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commentsmeta11"/>
  <Override ContentType="application/binary" PartName="/xl/commentsmeta12"/>
  <Override ContentType="application/binary" PartName="/xl/commentsmeta13"/>
  <Override ContentType="application/binary" PartName="/xl/commentsmeta14"/>
  <Override ContentType="application/binary" PartName="/xl/commentsmeta10"/>
  <Override ContentType="application/binary" PartName="/xl/commentsmeta19"/>
  <Override ContentType="application/binary" PartName="/xl/commentsmeta15"/>
  <Override ContentType="application/binary" PartName="/xl/commentsmeta16"/>
  <Override ContentType="application/binary" PartName="/xl/commentsmeta17"/>
  <Override ContentType="application/binary" PartName="/xl/commentsmeta18"/>
  <Override ContentType="application/binary" PartName="/xl/commentsmeta22"/>
  <Override ContentType="application/binary" PartName="/xl/commentsmeta23"/>
  <Override ContentType="application/binary" PartName="/xl/commentsmeta24"/>
  <Override ContentType="application/binary" PartName="/xl/commentsmeta25"/>
  <Override ContentType="application/binary" PartName="/xl/commentsmeta20"/>
  <Override ContentType="application/binary" PartName="/xl/commentsmeta21"/>
  <Override ContentType="application/binary" PartName="/xl/commentsmeta4"/>
  <Override ContentType="application/binary" PartName="/xl/commentsmeta5"/>
  <Override ContentType="application/binary" PartName="/xl/commentsmeta2"/>
  <Override ContentType="application/binary" PartName="/xl/commentsmeta3"/>
  <Override ContentType="application/binary" PartName="/xl/commentsmeta0"/>
  <Override ContentType="application/binary" PartName="/xl/commentsmeta1"/>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us of the Fund" sheetId="1" r:id="rId4"/>
    <sheet state="visible" name="Statistics" sheetId="2" r:id="rId5"/>
    <sheet state="visible" name="Summary Status of Contributions" sheetId="3" r:id="rId6"/>
    <sheet state="visible" name="2024-26 Contributions" sheetId="4" r:id="rId7"/>
    <sheet state="hidden" name="YR2024" sheetId="5" r:id="rId8"/>
    <sheet state="hidden" name="YR2021_23" sheetId="6" r:id="rId9"/>
    <sheet state="hidden" name="YR2023" sheetId="7" r:id="rId10"/>
    <sheet state="hidden" name="YR2022" sheetId="8" r:id="rId11"/>
    <sheet state="hidden" name="YR2021" sheetId="9" r:id="rId12"/>
    <sheet state="hidden" name="YR2018_20" sheetId="10" r:id="rId13"/>
    <sheet state="hidden" name="YR2020" sheetId="11" r:id="rId14"/>
    <sheet state="hidden" name="YR2019" sheetId="12" r:id="rId15"/>
    <sheet state="hidden" name="YR2018" sheetId="13" r:id="rId16"/>
    <sheet state="hidden" name="YR2015_17" sheetId="14" r:id="rId17"/>
    <sheet state="hidden" name="YR2017" sheetId="15" r:id="rId18"/>
    <sheet state="hidden" name="YR2016" sheetId="16" r:id="rId19"/>
    <sheet state="hidden" name="YR2015" sheetId="17" r:id="rId20"/>
    <sheet state="hidden" name="YR2012_14" sheetId="18" r:id="rId21"/>
    <sheet state="hidden" name="YR2014" sheetId="19" r:id="rId22"/>
    <sheet state="hidden" name="YR2013" sheetId="20" r:id="rId23"/>
    <sheet state="hidden" name="YR2012" sheetId="21" r:id="rId24"/>
    <sheet state="hidden" name="YR2009_11" sheetId="22" r:id="rId25"/>
    <sheet state="hidden" name="YR2011" sheetId="23" r:id="rId26"/>
    <sheet state="hidden" name="YR2010" sheetId="24" r:id="rId27"/>
    <sheet state="hidden" name="YR2009" sheetId="25" r:id="rId28"/>
    <sheet state="hidden" name="YR2006_08" sheetId="26" r:id="rId29"/>
    <sheet state="hidden" name="YR2008" sheetId="27" r:id="rId30"/>
    <sheet state="hidden" name="YR2007" sheetId="28" r:id="rId31"/>
    <sheet state="hidden" name="YR2006" sheetId="29" r:id="rId32"/>
    <sheet state="hidden" name="YR2003_05" sheetId="30" r:id="rId33"/>
    <sheet state="hidden" name="YR2005" sheetId="31" r:id="rId34"/>
    <sheet state="hidden" name="YR2004" sheetId="32" r:id="rId35"/>
    <sheet state="hidden" name="YR2003" sheetId="33" r:id="rId36"/>
    <sheet state="hidden" name="YR2000_02" sheetId="34" r:id="rId37"/>
    <sheet state="hidden" name="YR2002" sheetId="35" r:id="rId38"/>
    <sheet state="hidden" name="YR2001" sheetId="36" r:id="rId39"/>
    <sheet state="hidden" name="YR2000" sheetId="37" r:id="rId40"/>
    <sheet state="hidden" name="YR1997_99" sheetId="38" r:id="rId41"/>
    <sheet state="hidden" name="YR1999" sheetId="39" r:id="rId42"/>
    <sheet state="hidden" name="YR1998" sheetId="40" r:id="rId43"/>
    <sheet state="hidden" name="YR1997" sheetId="41" r:id="rId44"/>
    <sheet state="hidden" name="YR1994_96" sheetId="42" r:id="rId45"/>
    <sheet state="hidden" name="YR1996" sheetId="43" r:id="rId46"/>
    <sheet state="hidden" name="YR1995" sheetId="44" r:id="rId47"/>
    <sheet state="hidden" name="YR1994" sheetId="45" r:id="rId48"/>
    <sheet state="hidden" name="YR1991_93" sheetId="46" r:id="rId49"/>
    <sheet state="hidden" name="YR1993" sheetId="47" r:id="rId50"/>
    <sheet state="hidden" name="YR1992" sheetId="48" r:id="rId51"/>
    <sheet state="hidden" name="YR1991" sheetId="49" r:id="rId52"/>
  </sheets>
  <externalReferences>
    <externalReference r:id="rId53"/>
    <externalReference r:id="rId54"/>
    <externalReference r:id="rId55"/>
    <externalReference r:id="rId56"/>
  </externalReferences>
  <definedNames>
    <definedName hidden="1" localSheetId="3" name="_xlnm._FilterDatabase">'2024-26 Contributions'!$B$10:$G$64</definedName>
    <definedName hidden="1" localSheetId="5" name="_xlnm._FilterDatabase">YR2021_23!$A$8:$F$61</definedName>
    <definedName hidden="1" localSheetId="7" name="_xlnm._FilterDatabase">'YR2022'!$A$8:$F$63</definedName>
    <definedName hidden="1" localSheetId="8" name="_xlnm._FilterDatabase">'YR2021'!$A$8:$F$61</definedName>
  </definedNames>
  <calcPr/>
  <extLst>
    <ext uri="GoogleSheetsCustomDataVersion2">
      <go:sheetsCustomData xmlns:go="http://customooxmlschemas.google.com/" r:id="rId57" roundtripDataChecksum="iXpbEW/R0AofdsV+BYCPSdZ49i0uDJtfmL6Z0Cu2L2w="/>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1">
      <text>
        <t xml:space="preserve">======
ID#AAABikc6VbA
tc={6F455D61-9E54-4BDD-85D3-A67482821E16}    (2025-04-28 17:09:00)
[Threaded comment]
Your version of Excel allows you to read this threaded comment; however, any edits to it will get removed if the file is opened in a newer version of Excel. Learn more: https://go.microsoft.com/fwlink/?linkid=870924
Comment:
    Deferred contribution from Australia</t>
      </text>
    </comment>
  </commentList>
  <extLst>
    <ext uri="GoogleSheetsCustomDataVersion2">
      <go:sheetsCustomData xmlns:go="http://customooxmlschemas.google.com/" r:id="rId1" roundtripDataSignature="AMtx7mjZH7fhC9h/rmdrvhFDqcdulG3I0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ID#AAABikc6Vhw
tc={C8E410B6-889B-4539-8C38-EFD6DA9B7683}    (2025-04-28 17:09:00)
[Threaded comment]
Your version of Excel allows you to read this threaded comment; however, any edits to it will get removed if the file is opened in a newer version of Excel. Learn more: https://go.microsoft.com/fwlink/?linkid=870924
Comment:
    Bilateral approved at 92nd and transfer of projects to UNDP as per 92nd decision and 93rd meeting</t>
      </text>
    </comment>
    <comment authorId="0" ref="D32">
      <text>
        <t xml:space="preserve">======
ID#AAABikc6VgY
tc={81C7A460-8C21-4EC6-8353-317C38F2D3DF}    (2025-04-28 17:09:00)
[Threaded comment]
Your version of Excel allows you to read this threaded comment; however, any edits to it will get removed if the file is opened in a newer version of Excel. Learn more: https://go.microsoft.com/fwlink/?linkid=870924
Comment:
    Bilateral 93rd meeting</t>
      </text>
    </comment>
    <comment authorId="0" ref="D10">
      <text>
        <t xml:space="preserve">======
ID#AAABikc6VL4
Girma Gina    (2025-04-28 17:09:00)
Bilateral approved at the 92nd meeting that Australia requested to be transferred to UNDP 30/01/2024</t>
      </text>
    </comment>
  </commentList>
  <extLst>
    <ext uri="GoogleSheetsCustomDataVersion2">
      <go:sheetsCustomData xmlns:go="http://customooxmlschemas.google.com/" r:id="rId1" roundtripDataSignature="AMtx7mgu+yrNnmIXaX1Wh+RDLgvwSJ1ha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ID#AAABikc6VhY
tc={42158F13-B374-4B46-86DC-194E324B76F7}    (2025-04-28 17:09:00)
[Threaded comment]
Your version of Excel allows you to read this threaded comment; however, any edits to it will get removed if the file is opened in a newer version of Excel. Learn more: https://go.microsoft.com/fwlink/?linkid=870924
Comment:
    Bilateral 90th ExCom 07 July 2022 and 91st Excom dd 28 Dec 2022</t>
      </text>
    </comment>
    <comment authorId="0" ref="D11">
      <text>
        <t xml:space="preserve">======
ID#AAABikc6VhU
Girma Gina    (2025-04-28 17:09:00)
Bilateral approved at 88th meeting</t>
      </text>
    </comment>
  </commentList>
  <extLst>
    <ext uri="GoogleSheetsCustomDataVersion2">
      <go:sheetsCustomData xmlns:go="http://customooxmlschemas.google.com/" r:id="rId1" roundtripDataSignature="AMtx7mhgRNczxPjWTwhirr0NKjWYPy43Zw=="/>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ID#AAABikc6Vhg
tc={F01F2486-62F1-4B3D-8D34-9C3B2987B8CD}    (2025-04-28 17:09:00)
[Threaded comment]
Your version of Excel allows you to read this threaded comment; however, any edits to it will get removed if the file is opened in a newer version of Excel. Learn more: https://go.microsoft.com/fwlink/?linkid=870924
Comment:
    US$1,102,511 at 87th ExCom US$3,214,121 at 88th ExCom; balance to be transferred to 2022</t>
      </text>
    </comment>
    <comment authorId="0" ref="C32">
      <text>
        <t xml:space="preserve">======
ID#AAABikc6Vgw
Girma Gina    (2025-04-28 17:09:00)
Japan's instruction to transfer US$271,200 to UNEP ref. email dd 28/02/22</t>
      </text>
    </comment>
    <comment authorId="0" ref="D31">
      <text>
        <t xml:space="preserve">======
ID#AAABikc6Vbc
tc={03BDAC45-F2E4-4F2E-A012-E00F9ABEC245}    (2025-04-28 17:09:00)
[Threaded comment]
Your version of Excel allows you to read this threaded comment; however, any edits to it will get removed if the file is opened in a newer version of Excel. Learn more: https://go.microsoft.com/fwlink/?linkid=870924
Comment:
    Bilateral approved at 88th ExCom</t>
      </text>
    </comment>
    <comment authorId="0" ref="D23">
      <text>
        <t xml:space="preserve">======
ID#AAABikc6VbM
tc={95602D43-0518-46FC-8DC3-8B784149C5E4}    (2025-04-28 17:09:00)
[Threaded comment]
Your version of Excel allows you to read this threaded comment; however, any edits to it will get removed if the file is opened in a newer version of Excel. Learn more: https://go.microsoft.com/fwlink/?linkid=870924
Comment:
    Bilateral approved at 86th ExCom and US$6,747 return of bilateral to the 87th ExCom
Reply:
    Difference of $30,250 arose because of the FERM rate difference between 2018/20 and 2021/23
Reply:
    86th ExCom decided to offset France's 2020 contribution for the bilateral, but invoice done in 2021/22
Reply:
    Bilateral return ExCom decision 91/3 (a)(vi) US$21,199</t>
      </text>
    </comment>
    <comment authorId="0" ref="D32">
      <text>
        <t xml:space="preserve">======
ID#AAABikc6VLQ
tc={0B6E999B-FBAF-4602-BD8C-37C34FA53E15}    (2025-04-28 17:09:00)
[Threaded comment]
Your version of Excel allows you to read this threaded comment; however, any edits to it will get removed if the file is opened in a newer version of Excel. Learn more: https://go.microsoft.com/fwlink/?linkid=870924
Comment:
    Approved 87th and 88th ExCom</t>
      </text>
    </comment>
  </commentList>
  <extLst>
    <ext uri="GoogleSheetsCustomDataVersion2">
      <go:sheetsCustomData xmlns:go="http://customooxmlschemas.google.com/" r:id="rId1" roundtripDataSignature="AMtx7mhsQ3uSUI4BIAYdLt4eZqCehmjpzQ=="/>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6">
      <text>
        <t xml:space="preserve">======
ID#AAABikc6Vhs
tc={7A63BFF3-56A5-4366-97AE-E67630A98965}    (2025-04-28 17:09:00)
[Threaded comment]
Your version of Excel allows you to read this threaded comment; however, any edits to it will get removed if the file is opened in a newer version of Excel. Learn more: https://go.microsoft.com/fwlink/?linkid=870924
Comment:
    Email request from Phillipe on 24/09/2019
Reply:
    US$42,800 85th ISA</t>
      </text>
    </comment>
    <comment authorId="0" ref="D23">
      <text>
        <t xml:space="preserve">======
ID#AAABikc6Vbk
tc={74F000F5-243F-4633-B4F6-C0A2C74B6C4C}    (2025-04-28 17:09:00)
[Threaded comment]
Your version of Excel allows you to read this threaded comment; however, any edits to it will get removed if the file is opened in a newer version of Excel. Learn more: https://go.microsoft.com/fwlink/?linkid=870924
Comment:
    84th ExCom bilateral approval
Reply:
    US5,085 85th ISA
Reply:
    87th ExCom Cash transfer due</t>
      </text>
    </comment>
  </commentList>
  <extLst>
    <ext uri="GoogleSheetsCustomDataVersion2">
      <go:sheetsCustomData xmlns:go="http://customooxmlschemas.google.com/" r:id="rId1" roundtripDataSignature="AMtx7mg37/Z1/Ujhub92OVY4MuY7KcFOwQ=="/>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2">
      <text>
        <t xml:space="preserve">======
ID#AAABikc6ViQ
tc={93003BFA-4C6D-4EBB-BB5B-08F8D60B9699}    (2025-04-28 17:09:00)
[Threaded comment]
Your version of Excel allows you to read this threaded comment; however, any edits to it will get removed if the file is opened in a newer version of Excel. Learn more: https://go.microsoft.com/fwlink/?linkid=870924
Comment:
    84th ExCom meeting approval
Reply:
    Paid to WB on 06 March 2020</t>
      </text>
    </comment>
    <comment authorId="0" ref="C24">
      <text>
        <t xml:space="preserve">======
ID#AAABikc6VhQ
tc={1F92A21C-2F77-40C4-8872-E3BAEDB377A9}    (2025-04-28 17:09:00)
[Threaded comment]
Your version of Excel allows you to read this threaded comment; however, any edits to it will get removed if the file is opened in a newer version of Excel. Learn more: https://go.microsoft.com/fwlink/?linkid=870924
Comment:
    US$304,950 is bilateral from the additional contribution that Germany paid without deducting it.</t>
      </text>
    </comment>
    <comment authorId="0" ref="D16">
      <text>
        <t xml:space="preserve">======
ID#AAABikc6Vg4
tc={7D76BCFE-8940-48D0-AFF9-CE83BFEE5282}    (2025-04-28 17:09:00)
[Threaded comment]
Your version of Excel allows you to read this threaded comment; however, any edits to it will get removed if the file is opened in a newer version of Excel. Learn more: https://go.microsoft.com/fwlink/?linkid=870924
Comment:
    Email request from Phillipe on 24/09/2019</t>
      </text>
    </comment>
    <comment authorId="0" ref="C32">
      <text>
        <t xml:space="preserve">======
ID#AAABikc6Vgs
tc={3C5974EA-09B2-4AFB-964F-8F4FBF7E71DF}    (2025-04-28 17:09:00)
[Threaded comment]
Your version of Excel allows you to read this threaded comment; however, any edits to it will get removed if the file is opened in a newer version of Excel. Learn more: https://go.microsoft.com/fwlink/?linkid=870924
Comment:
    MOFA &amp; MOE invoices settled and on 17/03/2020 MoF settled the balance</t>
      </text>
    </comment>
    <comment authorId="0" ref="D24">
      <text>
        <t xml:space="preserve">======
ID#AAABikc6VgQ
tc={C831BBF8-190D-438C-A024-98B1D153B605}    (2025-04-28 17:09:00)
[Threaded comment]
Your version of Excel allows you to read this threaded comment; however, any edits to it will get removed if the file is opened in a newer version of Excel. Learn more: https://go.microsoft.com/fwlink/?linkid=870924
Comment:
    US$1,852,533.4 bilateral approved by 82nd ExCom
Reply:
    $1,367,733.6 portion of 84th ExCom approval</t>
      </text>
    </comment>
    <comment authorId="0" ref="C25">
      <text>
        <t xml:space="preserve">======
ID#AAABikc6VgA
tc={48529FD9-7CE9-44CB-87E6-2938AA58AADF}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D31">
      <text>
        <t xml:space="preserve">======
ID#AAABikc6Vbs
tc={100460EE-D6BF-4935-98D6-9839A47D353D}    (2025-04-28 17:09:00)
[Threaded comment]
Your version of Excel allows you to read this threaded comment; however, any edits to it will get removed if the file is opened in a newer version of Excel. Learn more: https://go.microsoft.com/fwlink/?linkid=870924
Comment:
    84th Excom approval</t>
      </text>
    </comment>
  </commentList>
  <extLst>
    <ext uri="GoogleSheetsCustomDataVersion2">
      <go:sheetsCustomData xmlns:go="http://customooxmlschemas.google.com/" r:id="rId1" roundtripDataSignature="AMtx7mj1vedLOQIIWSuZQ/Caw2WvcYyIfQ=="/>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3">
      <text>
        <t xml:space="preserve">======
ID#AAABikc6ViI
Girma Gina    (2025-04-28 17:09:00)
From receipt of US$725,870 deposited on 27/04/2018</t>
      </text>
    </comment>
    <comment authorId="0" ref="D31">
      <text>
        <t xml:space="preserve">======
ID#AAABikc6Vhk
Girma Gina    (2025-04-28 17:09:00)
US$ 67,800 (Ghana through UNDP)
US$303,962 (Nigeria through UNDP)</t>
      </text>
    </comment>
    <comment authorId="0" ref="D24">
      <text>
        <t xml:space="preserve">======
ID#AAABikc6Vg0
tc={02CCE766-94F6-4EFF-9B1C-0537FCB7C132}    (2025-04-28 17:09:00)
[Threaded comment]
Your version of Excel allows you to read this threaded comment; however, any edits to it will get removed if the file is opened in a newer version of Excel. Learn more: https://go.microsoft.com/fwlink/?linkid=870924
Comment:
    US$222,182 bilateral approved 81st ExCom; US$2,998,084.6</t>
      </text>
    </comment>
    <comment authorId="0" ref="D23">
      <text>
        <t xml:space="preserve">======
ID#AAABikc6VME
tc={166EFB7F-1C0E-479E-923A-F19C12D2CD5B}    (2025-04-28 17:09:00)
[Threaded comment]
Your version of Excel allows you to read this threaded comment; however, any edits to it will get removed if the file is opened in a newer version of Excel. Learn more: https://go.microsoft.com/fwlink/?linkid=870924
Comment:
    82nd ExCom bilateral approva</t>
      </text>
    </comment>
    <comment authorId="0" ref="C41">
      <text>
        <t xml:space="preserve">======
ID#AAABikc6VLw
Girma Gina    (2025-04-28 17:09:00)
US$46,996, overpayment made by NZD for HFC, credited to the regular contribution.
US$626,634.73 paid on 26/04/2018</t>
      </text>
    </comment>
    <comment authorId="0" ref="C25">
      <text>
        <t xml:space="preserve">======
ID#AAABikc6VLk
tc={BFC0BCEA-FD1D-4645-B479-EB72877571CD}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List>
  <extLst>
    <ext uri="GoogleSheetsCustomDataVersion2">
      <go:sheetsCustomData xmlns:go="http://customooxmlschemas.google.com/" r:id="rId1" roundtripDataSignature="AMtx7mhDi4TMxz7QmrnkBBe+Pho6w0oxgA=="/>
    </ext>
  </extL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ID#AAABikc6Vgk
Girma Gina    (2025-04-28 17:09:00)
From 77th US$197,596 &amp; from 80th ExCom US$633,408</t>
      </text>
    </comment>
    <comment authorId="0" ref="C44">
      <text>
        <t xml:space="preserve">======
ID#AAABikc6Vf4
tc={F832AEF9-67AA-4955-8A35-348F2709A5A2}    (2025-04-28 17:09:00)
[Threaded comment]
Your version of Excel allows you to read this threaded comment; however, any edits to it will get removed if the file is opened in a newer version of Excel. Learn more: https://go.microsoft.com/fwlink/?linkid=870924
Comment:
    From Portugal payment of US$1,826,537.45 dd 17/12/2018</t>
      </text>
    </comment>
    <comment authorId="0" ref="C25">
      <text>
        <t xml:space="preserve">======
ID#AAABikc6VbE
tc={9580F38D-58CC-4914-A29E-458DDEFE12D0}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C33">
      <text>
        <t xml:space="preserve">======
ID#AAABikc6VLc
Girma Gina    (2025-04-28 17:09:00)
From receipt of US$725,870 deposited on 27/04/2018</t>
      </text>
    </comment>
  </commentList>
  <extLst>
    <ext uri="GoogleSheetsCustomDataVersion2">
      <go:sheetsCustomData xmlns:go="http://customooxmlschemas.google.com/" r:id="rId1" roundtripDataSignature="AMtx7mi36W1CkNAZ7spWqveDGnwgrKpwRQ=="/>
    </ext>
  </extL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ID#AAABikc6ViM
Girma Gina    (2025-04-28 17:09:00)
From 75th Excom US$1,772,067 and US$1,114,275 from 77th</t>
      </text>
    </comment>
    <comment authorId="0" ref="D50">
      <text>
        <t xml:space="preserve">======
ID#AAABikc6Vh8
Girma Gina    (2025-04-28 17:09:00)
US$1,178,229 from 77th ExCom BA approval</t>
      </text>
    </comment>
    <comment authorId="0" ref="D23">
      <text>
        <t xml:space="preserve">======
ID#AAABikc6Vg8
Girma Gina    (2025-04-28 17:09:00)
From 75th Excom US$265,396 &amp; 76th US$19,061, US$6,747 returned at 87th meeting</t>
      </text>
    </comment>
    <comment authorId="0" ref="C33">
      <text>
        <t xml:space="preserve">======
ID#AAABikc6Vgc
Girma Gina    (2025-04-28 17:09:00)
From receipt of US$244,537 dd 30/05/2016</t>
      </text>
    </comment>
    <comment authorId="0" ref="C28">
      <text>
        <t xml:space="preserve">======
ID#AAABikc6Vbg
Girma Gina    (2025-04-28 17:09:00)
From receipt amount US$179,586.74 dd 12/01/2017
US$984 from the receipt of US$113,530 dd 20/08/18</t>
      </text>
    </comment>
    <comment authorId="0" ref="D31">
      <text>
        <t xml:space="preserve">======
ID#AAABikc6VbY
Girma Gina    (2025-04-28 17:09:00)
From 76th Excom; to be withheld pending instruction from Secretariat; 77th US$1,452,000</t>
      </text>
    </comment>
    <comment authorId="0" ref="C25">
      <text>
        <t xml:space="preserve">======
ID#AAABikc6VL8
tc={0698250B-A735-44B8-B8F1-62DA71E1487D}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D46">
      <text>
        <t xml:space="preserve">======
ID#AAABikc6VL0
Girma Gina    (2025-04-28 17:09:00)
From 76th Excom</t>
      </text>
    </comment>
    <comment authorId="0" ref="D32">
      <text>
        <t xml:space="preserve">======
ID#AAABikc6VLo
Girma Gina    (2025-04-28 17:09:00)
From 76th Excom US$48,873 &amp; 77th US$90,400</t>
      </text>
    </comment>
    <comment authorId="0" ref="C44">
      <text>
        <t xml:space="preserve">======
ID#AAABikc6VLU
Girma Gina    (2025-04-28 17:09:00)
From payment dd 29/12/2017 US$6,204,194, unspent bilateral US$957,937</t>
      </text>
    </comment>
  </commentList>
  <extLst>
    <ext uri="GoogleSheetsCustomDataVersion2">
      <go:sheetsCustomData xmlns:go="http://customooxmlschemas.google.com/" r:id="rId1" roundtripDataSignature="AMtx7mgUMh35JPNXMxnEokD5K7gSRwyOIA=="/>
    </ext>
  </extL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ID#AAABikc6Vh0
Girma Gina    (2025-04-28 17:09:00)
US$1,903,869 from 75th,</t>
      </text>
    </comment>
    <comment authorId="0" ref="C33">
      <text>
        <t xml:space="preserve">======
ID#AAABikc6Vhc
Girma Gina    (2025-04-28 17:09:00)
From receipts of US$128,906  dd 12/02/2015 &amp; US$115,631 dd 27/11/2015</t>
      </text>
    </comment>
    <comment authorId="0" ref="C28">
      <text>
        <t xml:space="preserve">======
ID#AAABikc6VhI
Girma Gina    (2025-04-28 17:09:00)
From receipt amount US$179,586.74 dd12/01/2017</t>
      </text>
    </comment>
    <comment authorId="0" ref="D23">
      <text>
        <t xml:space="preserve">======
ID#AAABikc6VgM
Girma Gina    (2025-04-28 17:09:00)
From 74th ExCom</t>
      </text>
    </comment>
    <comment authorId="0" ref="C44">
      <text>
        <t xml:space="preserve">======
ID#AAABikc6VbQ
Girma Gina    (2025-04-28 17:09:00)
From payment dd 29/12/2017 US$6,204,194, unspent bilateral US$957,937</t>
      </text>
    </comment>
    <comment authorId="0" ref="C25">
      <text>
        <t xml:space="preserve">======
ID#AAABikc6VLs
tc={AE3B594F-503D-416D-97DF-A84410AC32AA}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List>
  <extLst>
    <ext uri="GoogleSheetsCustomDataVersion2">
      <go:sheetsCustomData xmlns:go="http://customooxmlschemas.google.com/" r:id="rId1" roundtripDataSignature="AMtx7mi3KYLjwitDOEdzbq/0ZQXMWZIM+Q=="/>
    </ext>
  </extL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4">
      <text>
        <t xml:space="preserve">======
ID#AAABikc6VhE
Girma Gina    (2025-04-28 17:09:00)
From payment dd 29/12/2017 US$6,204,194, unspent bilateral US$869,176</t>
      </text>
    </comment>
    <comment authorId="0" ref="C25">
      <text>
        <t xml:space="preserve">======
ID#AAABikc6VgE
tc={1BCD0D7E-C405-43C4-80F2-514A9DFDB238}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C28">
      <text>
        <t xml:space="preserve">======
ID#AAABikc6VbI
Girma Gina    (2025-04-28 17:09:00)
From receipt amount US$179,586.74 dd 12/01/2017</t>
      </text>
    </comment>
    <comment authorId="0" ref="C33">
      <text>
        <t xml:space="preserve">======
ID#AAABikc6Va0
Girma Gina    (2025-04-28 17:09:00)
Receipt amount of US$128,906 dd 15/12/2014</t>
      </text>
    </comment>
  </commentList>
  <extLst>
    <ext uri="GoogleSheetsCustomDataVersion2">
      <go:sheetsCustomData xmlns:go="http://customooxmlschemas.google.com/" r:id="rId1" roundtripDataSignature="AMtx7miPuQpqJKbxiBlElZ19jbv3pEDecg=="/>
    </ext>
  </extL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ID#AAABikc6ViA
Sandeep Bhambra    (2025-04-28 17:09:00)
Sandeep : Changed during Excom; 13May14 - in discussion with France. Moved from YR2012 sheet to YR2013 sheet</t>
      </text>
    </comment>
    <comment authorId="0" ref="C44">
      <text>
        <t xml:space="preserve">======
ID#AAABikc6Vf8
Girma Gina    (2025-04-28 17:09:00)
From payment dd 29/12/2017 US$6,204,194, unspent bilateral US$869,176</t>
      </text>
    </comment>
    <comment authorId="0" ref="C25">
      <text>
        <t xml:space="preserve">======
ID#AAABikc6Vaw
tc={097DFE4D-3CF7-494D-B432-8D50651065AB}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List>
  <extLst>
    <ext uri="GoogleSheetsCustomDataVersion2">
      <go:sheetsCustomData xmlns:go="http://customooxmlschemas.google.com/" r:id="rId1" roundtripDataSignature="AMtx7mi632RwWwQH1DJVvfRRU1fpP9nCdw=="/>
    </ext>
  </extL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5">
      <text>
        <t xml:space="preserve">======
ID#AAABikc6ViE
Girma Gina    (2025-04-28 17:09:00)
US$200,000 paid on 31/10/2017 and paid on 15/01/2019</t>
      </text>
    </comment>
    <comment authorId="0" ref="C44">
      <text>
        <t xml:space="preserve">======
ID#AAABikc6VhA
Girma Gina    (2025-04-28 17:09:00)
From payment dd 29/12/2017 US$6,204,194, unspent bilateral US$869,176</t>
      </text>
    </comment>
  </commentList>
  <extLst>
    <ext uri="GoogleSheetsCustomDataVersion2">
      <go:sheetsCustomData xmlns:go="http://customooxmlschemas.google.com/" r:id="rId1" roundtripDataSignature="AMtx7miya3pclEoYimZzS0sle/IZLVOrgg=="/>
    </ext>
  </extL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2">
      <text>
        <t xml:space="preserve">======
ID#AAABikc6VbU
Girma Gina    (2025-04-28 17:09:00)
From payment dd 29/12/2017 US$6,204,194, unspent bilateral US$853,083</t>
      </text>
    </comment>
  </commentList>
  <extLst>
    <ext uri="GoogleSheetsCustomDataVersion2">
      <go:sheetsCustomData xmlns:go="http://customooxmlschemas.google.com/" r:id="rId1" roundtripDataSignature="AMtx7mj2iPU70axRU+v3Kzapu6cLVkD2rg=="/>
    </ext>
  </extL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2">
      <text>
        <t xml:space="preserve">======
ID#AAABikc6Vbo
Girma Gina    (2025-04-28 17:09:00)
From payment dd 29/12/2017 US$6,204,194, unspent bilateral US$773,946</t>
      </text>
    </comment>
    <comment authorId="0" ref="D30">
      <text>
        <t xml:space="preserve">======
ID#AAABikc6Va4
Girma Gina    (2025-04-28 17:09:00)
Returned by UNIDO US$1,453.58 and US$5,589.87 on 27/04/18 and 05/08/18 respectively. UNDP returned 236.22 on 11/01/18</t>
      </text>
    </comment>
    <comment authorId="0" ref="D29">
      <text>
        <t xml:space="preserve">======
ID#AAABikc6VLM
Girma Gina    (2025-04-28 17:09:00)
US$201,131.40 deposited by UNIDO on 27/09/17 for return of BA to 79th Italy 2010.</t>
      </text>
    </comment>
  </commentList>
  <extLst>
    <ext uri="GoogleSheetsCustomDataVersion2">
      <go:sheetsCustomData xmlns:go="http://customooxmlschemas.google.com/" r:id="rId1" roundtripDataSignature="AMtx7micY6gK0g4fC1PizbqkYKdJedFY6w=="/>
    </ext>
  </extLst>
</comments>
</file>

<file path=xl/comments1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5">
      <text>
        <t xml:space="preserve">======
ID#AAABikc6Vgg
Girma Gina    (2025-04-28 17:09:00)
UNIDO returned USD3,165.44 from bilateral project.</t>
      </text>
    </comment>
    <comment authorId="0" ref="D28">
      <text>
        <t xml:space="preserve">======
ID#AAABikc6VMA
Girma Gina    (2025-04-28 17:09:00)
US$66,030 reimbursed by UNDP as unspent balance from Italy's 2008 BA; US$6,831.44 unspent bal from TF/MOR/08/06 and UNIDO paid US$24.99 on 27/09/17</t>
      </text>
    </comment>
  </commentList>
  <extLst>
    <ext uri="GoogleSheetsCustomDataVersion2">
      <go:sheetsCustomData xmlns:go="http://customooxmlschemas.google.com/" r:id="rId1" roundtripDataSignature="AMtx7mj8A0OS3wcYPf1h2hd1yDH7nbUYTA=="/>
    </ext>
  </extLst>
</comments>
</file>

<file path=xl/comments17.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7">
      <text>
        <t xml:space="preserve">======
ID#AAABikc6Vho
Girma Gina    (2025-04-28 17:09:00)
Unspent bal &amp; Interest US$12,067.32 from TF/CMR/07/002 &amp; US$20,752.20 from TF/SEN/07/007</t>
      </text>
    </comment>
  </commentList>
  <extLst>
    <ext uri="GoogleSheetsCustomDataVersion2">
      <go:sheetsCustomData xmlns:go="http://customooxmlschemas.google.com/" r:id="rId1" roundtripDataSignature="AMtx7mir4ujbJqO//usqjFFFz5mqEE7NzQ=="/>
    </ext>
  </extLst>
</comments>
</file>

<file path=xl/comments18.xml><?xml version="1.0" encoding="utf-8"?>
<comments xmlns:r="http://schemas.openxmlformats.org/officeDocument/2006/relationships" xmlns="http://schemas.openxmlformats.org/spreadsheetml/2006/main" xmlns:xr="http://schemas.microsoft.com/office/spreadsheetml/2014/revision">
  <authors>
    <author/>
  </authors>
  <commentList>
    <comment authorId="0" ref="H19">
      <text>
        <t xml:space="preserve">======
ID#AAABikc6ViY
Moses T    (2025-04-28 17:09:00)
moved to year 2004</t>
      </text>
    </comment>
    <comment authorId="0" ref="D20">
      <text>
        <t xml:space="preserve">======
ID#AAABikc6VgU
tc={3044DFB1-985B-4766-8B98-6113960C1E7C}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 authorId="0" ref="I19">
      <text>
        <t xml:space="preserve">======
ID#AAABikc6VLY
Moses T    (2025-04-28 17:09:00)
moved to year 2004</t>
      </text>
    </comment>
    <comment authorId="0" ref="C38">
      <text>
        <t xml:space="preserve">======
ID#AAABikc6VKI
Girma Gina    (2025-04-28 17:09:00)
From payment dd 29/12/2017 US$6,204,194, unspent bilateral US$53,765</t>
      </text>
    </comment>
  </commentList>
  <extLst>
    <ext uri="GoogleSheetsCustomDataVersion2">
      <go:sheetsCustomData xmlns:go="http://customooxmlschemas.google.com/" r:id="rId1" roundtripDataSignature="AMtx7mieeYhXX8ezofkHjxouCE8gSP8h3g=="/>
    </ext>
  </extLst>
</comments>
</file>

<file path=xl/comments19.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ID#AAABikc6Va8
tc={B8CB65A7-23BE-45A9-9A9B-AA5E860F9E60}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hJMDdg5oROm10C2u4xuHTZK5+EwQ=="/>
    </ext>
  </extLst>
</comments>
</file>

<file path=xl/comments20.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ID#AAABikc6Vh4
tc={CEA1EF39-23FE-4400-819F-B6375382491B}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i86orX7WZaiPGyX+GFgqKFR+0UGw=="/>
    </ext>
  </extLst>
</comments>
</file>

<file path=xl/comments2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ID#AAABikc6ViU
tc={50F1A08F-5364-41FB-8B91-DA36D586A4D1}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heCrDp1m/Pbct73JOF3rorXDeh+A=="/>
    </ext>
  </extLst>
</comments>
</file>

<file path=xl/comments2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ID#AAABikc6VLg
tc={26A6C3F3-7530-469C-AEFE-3EA9D4A8CF77}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i42BKR5o6QH+qGrtf7ooe0ylR10w=="/>
    </ext>
  </extLst>
</comments>
</file>

<file path=xl/comments2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ID#AAABikc6VgI
tc={C6A3FA63-62DE-4AEE-BBC1-804F6D4D3C59}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jOGpgJaiHSnro7TVuLcYzhgO5V4A=="/>
    </ext>
  </extLst>
</comments>
</file>

<file path=xl/comments2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ID#AAABikc6VhM
tc={12D1188A-6C7A-47C8-96FA-BB78AA86C97D}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ivbT2Ua9FN8TBPZkuf4VjL6qyz0A=="/>
    </ext>
  </extLst>
</comments>
</file>

<file path=xl/comments2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ID#AAABikc6Vgo
tc={3F80C775-FA20-4027-AE9F-11EFD9F11A25}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j5hz/chihcwOmlX5PbLL+8x8Wi7g=="/>
    </ext>
  </extLst>
</comments>
</file>

<file path=xl/comments2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ID#AAABikc6Vic
tc={BD0C75FC-12E0-46AF-88CE-8FEF49EC310F}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gT5Kdu5FAwVJlYFSSC2IIUbu4IRQ=="/>
    </ext>
  </extLst>
</comments>
</file>

<file path=xl/sharedStrings.xml><?xml version="1.0" encoding="utf-8"?>
<sst xmlns="http://schemas.openxmlformats.org/spreadsheetml/2006/main" count="3054" uniqueCount="295">
  <si>
    <t>UNEP/OzL.Pro/ExCom/94/3</t>
  </si>
  <si>
    <t>Annex I</t>
  </si>
  <si>
    <t>Page 1</t>
  </si>
  <si>
    <t>TRUST FUND FOR THE MULTILATERAL FUND FOR THE IMPLEMENTATION OF THE MONTREAL PROTOCOL</t>
  </si>
  <si>
    <t>TABLE 1: STATUS OF THE FUND FROM 1991-2024 (US$)</t>
  </si>
  <si>
    <t>As at 24/05/2024</t>
  </si>
  <si>
    <t>INCOME</t>
  </si>
  <si>
    <t>Contributions received:</t>
  </si>
  <si>
    <t xml:space="preserve"> -     Cash payments including note encashments</t>
  </si>
  <si>
    <t xml:space="preserve"> -     Promissory notes held</t>
  </si>
  <si>
    <t xml:space="preserve"> -     Bilateral cooperation</t>
  </si>
  <si>
    <t xml:space="preserve"> -     Interest earned*</t>
  </si>
  <si>
    <t xml:space="preserve"> -     Miscellaneous income</t>
  </si>
  <si>
    <t>Total Income</t>
  </si>
  <si>
    <t>ALLOCATIONS** AND PROVISIONS</t>
  </si>
  <si>
    <t xml:space="preserve"> -     UNDP </t>
  </si>
  <si>
    <t xml:space="preserve"> -     UNEP</t>
  </si>
  <si>
    <t xml:space="preserve"> -     UNIDO</t>
  </si>
  <si>
    <t xml:space="preserve"> -     World Bank</t>
  </si>
  <si>
    <r>
      <rPr>
        <rFont val="Times New Roman"/>
        <color theme="1"/>
        <sz val="12.0"/>
      </rPr>
      <t>Unspecified projects</t>
    </r>
    <r>
      <rPr>
        <rFont val="Times New Roman"/>
        <color rgb="FFFF0000"/>
        <sz val="12.0"/>
      </rPr>
      <t xml:space="preserve"> </t>
    </r>
  </si>
  <si>
    <t>-</t>
  </si>
  <si>
    <t>Less Adjustments</t>
  </si>
  <si>
    <t xml:space="preserve">Total allocations to implementing agencies </t>
  </si>
  <si>
    <t>Secretariat and Executive Committee costs  (1991-2026)</t>
  </si>
  <si>
    <t xml:space="preserve"> -     includes provision for staff contracts into 2026</t>
  </si>
  <si>
    <t>Treasury fees (2003-2026)</t>
  </si>
  <si>
    <t>Monitoring and Evaluation costs (1999-2025)</t>
  </si>
  <si>
    <t>Technical Audit costs (1998-2010)</t>
  </si>
  <si>
    <t>Information Strategy costs (2003-2004)</t>
  </si>
  <si>
    <t xml:space="preserve"> -     includes provision for Network maintenance costs for 2004</t>
  </si>
  <si>
    <t>Bilateral cooperation</t>
  </si>
  <si>
    <t>Provision for fixed-exchange-rate mechanism's fluctuations</t>
  </si>
  <si>
    <t xml:space="preserve"> -     losses/(gains) in value</t>
  </si>
  <si>
    <t>Total allocations and  provisions</t>
  </si>
  <si>
    <t xml:space="preserve">Cash </t>
  </si>
  <si>
    <t xml:space="preserve">Promissory Notes:           </t>
  </si>
  <si>
    <t>BALANCE  AVAILABLE   FOR  NEW  ALLOCATIONS</t>
  </si>
  <si>
    <t>* Includes interest amount US $1,600,912 earned by FECO/MEP (China).</t>
  </si>
  <si>
    <t>** Amounts reflect net approvals for which resources are transferred to Implementing Agencies.The Secretariat budget reflects actual costs as per the final 2022 and preliminary 2023 accounts of the Fund and approved amounts for 2020 - 2026.</t>
  </si>
  <si>
    <t>Page 2</t>
  </si>
  <si>
    <t>TABLE 2: 1991 - 2024 SUMMARY STATUS OF CONTRIBUTIONS AND OTHER INCOME (US$)</t>
  </si>
  <si>
    <t>BALANCE AVAILABLE FOR NEW ALLOCATIONS</t>
  </si>
  <si>
    <t>Description</t>
  </si>
  <si>
    <t>1991-1993</t>
  </si>
  <si>
    <t>1994-1996</t>
  </si>
  <si>
    <t>1997-1999</t>
  </si>
  <si>
    <t>2000-2002</t>
  </si>
  <si>
    <t>2003-2005</t>
  </si>
  <si>
    <t>2006-2008</t>
  </si>
  <si>
    <t>2009-2011</t>
  </si>
  <si>
    <t>2012-2014</t>
  </si>
  <si>
    <t>2015-2017</t>
  </si>
  <si>
    <t>2018-2020</t>
  </si>
  <si>
    <t>2021-2023</t>
  </si>
  <si>
    <t>2024-2026</t>
  </si>
  <si>
    <t>1991-2026</t>
  </si>
  <si>
    <t>Pledged contributions</t>
  </si>
  <si>
    <t>Cash payments/received</t>
  </si>
  <si>
    <t>Bilateral assistance</t>
  </si>
  <si>
    <t>Promissory notes</t>
  </si>
  <si>
    <t>Total payments</t>
  </si>
  <si>
    <t>Disputed contributions</t>
  </si>
  <si>
    <t>Outstanding pledges</t>
  </si>
  <si>
    <t>Payments %age to pledges</t>
  </si>
  <si>
    <t>Interest earned</t>
  </si>
  <si>
    <t xml:space="preserve">                                                       </t>
  </si>
  <si>
    <t>Miscellaneous income</t>
  </si>
  <si>
    <t>TOTAL INCOME</t>
  </si>
  <si>
    <t>Accumulated figures</t>
  </si>
  <si>
    <t>1991-2024</t>
  </si>
  <si>
    <t>Total pledges</t>
  </si>
  <si>
    <t>Total income</t>
  </si>
  <si>
    <t>Total outstanding contributions</t>
  </si>
  <si>
    <t>As % to total pledges</t>
  </si>
  <si>
    <t>Outstanding contributions for certain Countries with Economies in Transition (CEITs)</t>
  </si>
  <si>
    <t>CEITs' outstandings %age to pledges</t>
  </si>
  <si>
    <t>PS: CEITs are Azerbaijan, Belarus, Bulgaria, Czech Republic, Estonia, Hungary, Latvia, Lithuania, Poland, Russian Federation, Slovakia, Slovenia, Tajikistan, Ukraine and Uzbekistan, including Turkmenistan up to 2004 as per decision XVI/39.</t>
  </si>
  <si>
    <t>Page 3</t>
  </si>
  <si>
    <t>TABLE 3: 1991-2024 Summary Status of Contributions (US$)</t>
  </si>
  <si>
    <t>Party</t>
  </si>
  <si>
    <t>Agreed Contributions</t>
  </si>
  <si>
    <t>Cash Payments</t>
  </si>
  <si>
    <t>Bilateral Assistance</t>
  </si>
  <si>
    <t>Promissory Notes</t>
  </si>
  <si>
    <t>Outstanding Contributions</t>
  </si>
  <si>
    <t>Exchange (Gain)/Loss NB: Negative
 Amount = Gain</t>
  </si>
  <si>
    <t>Andorra</t>
  </si>
  <si>
    <t>Australia*</t>
  </si>
  <si>
    <t>Austria</t>
  </si>
  <si>
    <t>Azerbaijan</t>
  </si>
  <si>
    <t>Belarus</t>
  </si>
  <si>
    <t>Belgium</t>
  </si>
  <si>
    <t>Bulgaria</t>
  </si>
  <si>
    <t>Canada*</t>
  </si>
  <si>
    <t>Croatia</t>
  </si>
  <si>
    <t>Cyprus</t>
  </si>
  <si>
    <t>Czech Republic</t>
  </si>
  <si>
    <t>Denmark</t>
  </si>
  <si>
    <t>Estonia</t>
  </si>
  <si>
    <t>Finland</t>
  </si>
  <si>
    <t>France</t>
  </si>
  <si>
    <t>Germany</t>
  </si>
  <si>
    <t>Greece</t>
  </si>
  <si>
    <t>Holy See</t>
  </si>
  <si>
    <t>Hungary</t>
  </si>
  <si>
    <t>Iceland</t>
  </si>
  <si>
    <t>Ireland</t>
  </si>
  <si>
    <t>Israel</t>
  </si>
  <si>
    <t>Italy</t>
  </si>
  <si>
    <t>Japan</t>
  </si>
  <si>
    <t>Kazakhstan</t>
  </si>
  <si>
    <t>Kuwait</t>
  </si>
  <si>
    <t>Latvia</t>
  </si>
  <si>
    <t>Liechtenstein</t>
  </si>
  <si>
    <t>Lithuania</t>
  </si>
  <si>
    <t>Luxembourg</t>
  </si>
  <si>
    <t>Malta</t>
  </si>
  <si>
    <t>Monaco</t>
  </si>
  <si>
    <t>Netherlands</t>
  </si>
  <si>
    <t>New Zealand</t>
  </si>
  <si>
    <t>Norway</t>
  </si>
  <si>
    <t>Panama</t>
  </si>
  <si>
    <t>Poland</t>
  </si>
  <si>
    <t>Portugal</t>
  </si>
  <si>
    <t>Romania</t>
  </si>
  <si>
    <t>Russian Federation</t>
  </si>
  <si>
    <t>San Marino</t>
  </si>
  <si>
    <t>Singapore</t>
  </si>
  <si>
    <t>Slovak Republic</t>
  </si>
  <si>
    <t>Slovenia</t>
  </si>
  <si>
    <t>South Africa</t>
  </si>
  <si>
    <t>Spain</t>
  </si>
  <si>
    <t>Sweden</t>
  </si>
  <si>
    <t>Switzerland</t>
  </si>
  <si>
    <t>Tajikistan</t>
  </si>
  <si>
    <t>Turkmenistan**</t>
  </si>
  <si>
    <t>Ukraine</t>
  </si>
  <si>
    <t>United Arab Emirates</t>
  </si>
  <si>
    <t>United Kingdom</t>
  </si>
  <si>
    <t>United States of America</t>
  </si>
  <si>
    <t>Uzbekistan</t>
  </si>
  <si>
    <t>SUB-TOTAL</t>
  </si>
  <si>
    <t>Disputed Contributions***</t>
  </si>
  <si>
    <t>TOTAL</t>
  </si>
  <si>
    <r>
      <rPr>
        <rFont val="Times New Roman"/>
        <color theme="1"/>
        <sz val="10.0"/>
      </rPr>
      <t>* The bilateral assistance recorded for Australia and Canada was adjusted following approvals at the 39</t>
    </r>
    <r>
      <rPr>
        <rFont val="Times New Roman"/>
        <color theme="1"/>
        <sz val="10.0"/>
        <vertAlign val="superscript"/>
      </rPr>
      <t xml:space="preserve">th </t>
    </r>
    <r>
      <rPr>
        <rFont val="Times New Roman"/>
        <color theme="1"/>
        <sz val="10.0"/>
      </rPr>
      <t>meeting and taking into consideration a reconciliation carried out by the Secretariat through the progress reports submitted to the 40</t>
    </r>
    <r>
      <rPr>
        <rFont val="Times New Roman"/>
        <color theme="1"/>
        <sz val="10.0"/>
        <vertAlign val="superscript"/>
      </rPr>
      <t>th</t>
    </r>
    <r>
      <rPr>
        <rFont val="Times New Roman"/>
        <color theme="1"/>
        <sz val="10.0"/>
      </rPr>
      <t xml:space="preserve"> meeting to read US $1,208,219 and US $6,449,438 instead of US $1,300,088 and US $6,414,880 respectively.  </t>
    </r>
  </si>
  <si>
    <t>** In accordance with decisions VI/5 and XVI/39 of the meeting of the Parties to the Montreal Protocol, Turkmenistan has been reclassified as operating under Article 5 in 2004 and therefore its contribution of US $5,764 for 2005 should be disregarded.</t>
  </si>
  <si>
    <t xml:space="preserve">*** Amount netted off from outstanding contributions and are shown here for records only. </t>
  </si>
  <si>
    <t>Page 4</t>
  </si>
  <si>
    <t>TRUST  FUND FOR THE  MULTILATERAL FUND FOR THE IMPLEMENTATION OF THE MONTREAL PROTOCOL</t>
  </si>
  <si>
    <t>TABLE 4: Status of Contributions for 2024-2026 (US$)</t>
  </si>
  <si>
    <t>Australia</t>
  </si>
  <si>
    <t>Canada</t>
  </si>
  <si>
    <t xml:space="preserve">France </t>
  </si>
  <si>
    <t xml:space="preserve">Germany </t>
  </si>
  <si>
    <t xml:space="preserve">Ireland </t>
  </si>
  <si>
    <t xml:space="preserve">Japan </t>
  </si>
  <si>
    <t xml:space="preserve">Sweden </t>
  </si>
  <si>
    <t xml:space="preserve">   Disputed Contributions(*)</t>
  </si>
  <si>
    <t xml:space="preserve">   TOTAL</t>
  </si>
  <si>
    <t>CEITs</t>
  </si>
  <si>
    <t>Page 5</t>
  </si>
  <si>
    <r>
      <rPr>
        <rFont val="Times New Roman"/>
        <b/>
        <color theme="1"/>
        <sz val="12.0"/>
      </rPr>
      <t xml:space="preserve">TABLE 5 : Status of Contributions for  </t>
    </r>
    <r>
      <rPr>
        <rFont val="Times New Roman"/>
        <b/>
        <color theme="1"/>
        <sz val="12.0"/>
        <u/>
      </rPr>
      <t>2024</t>
    </r>
    <r>
      <rPr>
        <rFont val="Times New Roman"/>
        <b/>
        <color theme="1"/>
        <sz val="12.0"/>
      </rPr>
      <t xml:space="preserve"> (US$)</t>
    </r>
  </si>
  <si>
    <t>3 year scale for germany</t>
  </si>
  <si>
    <t>20% for bilateral cooperation</t>
  </si>
  <si>
    <t>Page 6</t>
  </si>
  <si>
    <r>
      <rPr>
        <rFont val="Times New Roman"/>
        <b/>
        <color theme="1"/>
        <sz val="12.0"/>
      </rPr>
      <t xml:space="preserve">TABLE 6 : Status of Contributions for  </t>
    </r>
    <r>
      <rPr>
        <rFont val="Times New Roman"/>
        <b/>
        <color theme="1"/>
        <sz val="12.0"/>
        <u/>
      </rPr>
      <t>2021-2023</t>
    </r>
    <r>
      <rPr>
        <rFont val="Times New Roman"/>
        <b/>
        <color theme="1"/>
        <sz val="12.0"/>
      </rPr>
      <t xml:space="preserve"> (US$)</t>
    </r>
  </si>
  <si>
    <t xml:space="preserve">(*) Additional amount on disputed contributions from the United States of America. </t>
  </si>
  <si>
    <t>Page 7</t>
  </si>
  <si>
    <r>
      <rPr>
        <rFont val="Times New Roman"/>
        <b/>
        <color theme="1"/>
        <sz val="12.0"/>
      </rPr>
      <t xml:space="preserve">TABLE 7 : Status of Contributions for  </t>
    </r>
    <r>
      <rPr>
        <rFont val="Times New Roman"/>
        <b/>
        <color theme="1"/>
        <sz val="12.0"/>
        <u/>
      </rPr>
      <t>2023</t>
    </r>
    <r>
      <rPr>
        <rFont val="Times New Roman"/>
        <b/>
        <color theme="1"/>
        <sz val="12.0"/>
      </rPr>
      <t xml:space="preserve"> (US$)</t>
    </r>
  </si>
  <si>
    <t>Page 8</t>
  </si>
  <si>
    <r>
      <rPr>
        <rFont val="Times New Roman"/>
        <b/>
        <color theme="1"/>
        <sz val="12.0"/>
      </rPr>
      <t xml:space="preserve">TABLE 8 : Status of Contributions for  </t>
    </r>
    <r>
      <rPr>
        <rFont val="Times New Roman"/>
        <b/>
        <color theme="1"/>
        <sz val="12.0"/>
        <u/>
      </rPr>
      <t>2022</t>
    </r>
    <r>
      <rPr>
        <rFont val="Times New Roman"/>
        <b/>
        <color theme="1"/>
        <sz val="12.0"/>
      </rPr>
      <t xml:space="preserve"> (US$)</t>
    </r>
  </si>
  <si>
    <t>UNEP/OzL.Pro/ExCom/92/3</t>
  </si>
  <si>
    <t>Page 9</t>
  </si>
  <si>
    <r>
      <rPr>
        <rFont val="Times New Roman"/>
        <b/>
        <color theme="1"/>
        <sz val="12.0"/>
      </rPr>
      <t xml:space="preserve">TABLE 9 : Status of Contributions for  </t>
    </r>
    <r>
      <rPr>
        <rFont val="Times New Roman"/>
        <b/>
        <color theme="1"/>
        <sz val="12.0"/>
        <u/>
      </rPr>
      <t>2021</t>
    </r>
    <r>
      <rPr>
        <rFont val="Times New Roman"/>
        <b/>
        <color theme="1"/>
        <sz val="12.0"/>
      </rPr>
      <t xml:space="preserve"> (US$)</t>
    </r>
  </si>
  <si>
    <t>Austria paid the full amount in 2021</t>
  </si>
  <si>
    <t>Page 10</t>
  </si>
  <si>
    <r>
      <rPr>
        <rFont val="Times New Roman"/>
        <b/>
        <color theme="1"/>
        <sz val="12.0"/>
      </rPr>
      <t xml:space="preserve">TABLE 10 : Status of Contributions for  </t>
    </r>
    <r>
      <rPr>
        <rFont val="Times New Roman"/>
        <b/>
        <color theme="1"/>
        <sz val="12.0"/>
        <u/>
      </rPr>
      <t>2018-2020</t>
    </r>
    <r>
      <rPr>
        <rFont val="Times New Roman"/>
        <b/>
        <color theme="1"/>
        <sz val="12.0"/>
      </rPr>
      <t xml:space="preserve"> (US$)</t>
    </r>
  </si>
  <si>
    <t>*Additional amount on disputed contribution relates to the United States of America (US $2,429,948) and Japan's disputed contribution (US $1,295,383).</t>
  </si>
  <si>
    <t>Page 11</t>
  </si>
  <si>
    <r>
      <rPr>
        <rFont val="Times New Roman"/>
        <b/>
        <color theme="1"/>
        <sz val="12.0"/>
      </rPr>
      <t xml:space="preserve">TABLE 11 : Status of Contributions for  </t>
    </r>
    <r>
      <rPr>
        <rFont val="Times New Roman"/>
        <b/>
        <color theme="1"/>
        <sz val="12.0"/>
        <u/>
      </rPr>
      <t>2020</t>
    </r>
    <r>
      <rPr>
        <rFont val="Times New Roman"/>
        <b/>
        <color theme="1"/>
        <sz val="12.0"/>
      </rPr>
      <t xml:space="preserve"> (US$)</t>
    </r>
  </si>
  <si>
    <t>Page 12</t>
  </si>
  <si>
    <r>
      <rPr>
        <rFont val="Times New Roman"/>
        <b/>
        <color theme="1"/>
        <sz val="12.0"/>
      </rPr>
      <t xml:space="preserve">TABLE 12 : Status of Contributions for  </t>
    </r>
    <r>
      <rPr>
        <rFont val="Times New Roman"/>
        <b/>
        <color theme="1"/>
        <sz val="12.0"/>
        <u/>
      </rPr>
      <t>2019</t>
    </r>
    <r>
      <rPr>
        <rFont val="Times New Roman"/>
        <b/>
        <color theme="1"/>
        <sz val="12.0"/>
      </rPr>
      <t xml:space="preserve"> (US$)</t>
    </r>
  </si>
  <si>
    <t>Page 13</t>
  </si>
  <si>
    <r>
      <rPr>
        <rFont val="Times New Roman"/>
        <b/>
        <color theme="1"/>
        <sz val="12.0"/>
      </rPr>
      <t xml:space="preserve">TABLE 13 : Status of Contributions for  </t>
    </r>
    <r>
      <rPr>
        <rFont val="Times New Roman"/>
        <b/>
        <color theme="1"/>
        <sz val="12.0"/>
        <u/>
      </rPr>
      <t>2018</t>
    </r>
    <r>
      <rPr>
        <rFont val="Times New Roman"/>
        <b/>
        <color theme="1"/>
        <sz val="12.0"/>
      </rPr>
      <t xml:space="preserve"> (US$)</t>
    </r>
  </si>
  <si>
    <t>*Addiontional amount on disputed contribution relating to Japan (US$1,295,383) and the United States of America (US$191,409).</t>
  </si>
  <si>
    <r>
      <rPr>
        <rFont val="Times New Roman"/>
        <b/>
        <color theme="1"/>
        <sz val="12.0"/>
      </rPr>
      <t xml:space="preserve">Status of Contributions for  </t>
    </r>
    <r>
      <rPr>
        <rFont val="Times New Roman"/>
        <b/>
        <color theme="1"/>
        <sz val="12.0"/>
        <u/>
      </rPr>
      <t>2015-2017</t>
    </r>
    <r>
      <rPr>
        <rFont val="Times New Roman"/>
        <b/>
        <color theme="1"/>
        <sz val="12.0"/>
      </rPr>
      <t xml:space="preserve"> (US$)</t>
    </r>
  </si>
  <si>
    <t>(*) Additional amount on disputed contributions relating to the United States of America.</t>
  </si>
  <si>
    <r>
      <rPr>
        <rFont val="Times New Roman"/>
        <b/>
        <color theme="1"/>
        <sz val="12.0"/>
      </rPr>
      <t xml:space="preserve">Status of Contributions for  </t>
    </r>
    <r>
      <rPr>
        <rFont val="Times New Roman"/>
        <b/>
        <color theme="1"/>
        <sz val="12.0"/>
        <u/>
      </rPr>
      <t>2017</t>
    </r>
    <r>
      <rPr>
        <rFont val="Times New Roman"/>
        <b/>
        <color theme="1"/>
        <sz val="12.0"/>
      </rPr>
      <t xml:space="preserve"> (US$)</t>
    </r>
  </si>
  <si>
    <t>Page 14</t>
  </si>
  <si>
    <r>
      <rPr>
        <rFont val="Times New Roman"/>
        <b/>
        <color theme="1"/>
        <sz val="12.0"/>
      </rPr>
      <t xml:space="preserve">Status of Contributions for  </t>
    </r>
    <r>
      <rPr>
        <rFont val="Times New Roman"/>
        <b/>
        <color theme="1"/>
        <sz val="12.0"/>
        <u/>
      </rPr>
      <t>2016</t>
    </r>
    <r>
      <rPr>
        <rFont val="Times New Roman"/>
        <b/>
        <color theme="1"/>
        <sz val="12.0"/>
      </rPr>
      <t xml:space="preserve"> (US$)</t>
    </r>
  </si>
  <si>
    <t>Page 15</t>
  </si>
  <si>
    <r>
      <rPr>
        <rFont val="Times New Roman"/>
        <b/>
        <color theme="1"/>
        <sz val="12.0"/>
      </rPr>
      <t xml:space="preserve">Status of Contributions for  </t>
    </r>
    <r>
      <rPr>
        <rFont val="Times New Roman"/>
        <b/>
        <color theme="1"/>
        <sz val="12.0"/>
        <u/>
      </rPr>
      <t>2015</t>
    </r>
    <r>
      <rPr>
        <rFont val="Times New Roman"/>
        <b/>
        <color theme="1"/>
        <sz val="12.0"/>
      </rPr>
      <t xml:space="preserve"> (US$)</t>
    </r>
  </si>
  <si>
    <r>
      <rPr>
        <rFont val="Times New Roman"/>
        <b/>
        <color theme="1"/>
        <sz val="12.0"/>
      </rPr>
      <t xml:space="preserve"> Status of Contributions for  </t>
    </r>
    <r>
      <rPr>
        <rFont val="Times New Roman"/>
        <b/>
        <color theme="1"/>
        <sz val="12.0"/>
        <u/>
      </rPr>
      <t>2012 - 2014</t>
    </r>
    <r>
      <rPr>
        <rFont val="Times New Roman"/>
        <b/>
        <color theme="1"/>
        <sz val="12.0"/>
      </rPr>
      <t xml:space="preserve"> (US$)</t>
    </r>
  </si>
  <si>
    <t>Page 16</t>
  </si>
  <si>
    <r>
      <rPr>
        <rFont val="Times New Roman"/>
        <b/>
        <color theme="1"/>
        <sz val="12.0"/>
      </rPr>
      <t xml:space="preserve">Status of Contributions for  </t>
    </r>
    <r>
      <rPr>
        <rFont val="Times New Roman"/>
        <b/>
        <color theme="1"/>
        <sz val="12.0"/>
        <u/>
      </rPr>
      <t>2014</t>
    </r>
    <r>
      <rPr>
        <rFont val="Times New Roman"/>
        <b/>
        <color theme="1"/>
        <sz val="12.0"/>
      </rPr>
      <t xml:space="preserve"> (US$)</t>
    </r>
  </si>
  <si>
    <t>Page 17</t>
  </si>
  <si>
    <r>
      <rPr>
        <rFont val="Times New Roman"/>
        <b/>
        <color theme="1"/>
        <sz val="12.0"/>
      </rPr>
      <t xml:space="preserve">Status of Contributions for  </t>
    </r>
    <r>
      <rPr>
        <rFont val="Times New Roman"/>
        <b/>
        <color theme="1"/>
        <sz val="12.0"/>
        <u/>
      </rPr>
      <t>2013</t>
    </r>
    <r>
      <rPr>
        <rFont val="Times New Roman"/>
        <b/>
        <color theme="1"/>
        <sz val="12.0"/>
      </rPr>
      <t xml:space="preserve"> (US$)</t>
    </r>
  </si>
  <si>
    <t>Page 18</t>
  </si>
  <si>
    <r>
      <rPr>
        <rFont val="Times New Roman"/>
        <b/>
        <color theme="1"/>
        <sz val="12.0"/>
      </rPr>
      <t xml:space="preserve"> Status of Contributions for  </t>
    </r>
    <r>
      <rPr>
        <rFont val="Times New Roman"/>
        <b/>
        <color theme="1"/>
        <sz val="12.0"/>
        <u/>
      </rPr>
      <t>2012</t>
    </r>
    <r>
      <rPr>
        <rFont val="Times New Roman"/>
        <b/>
        <color theme="1"/>
        <sz val="12.0"/>
      </rPr>
      <t xml:space="preserve"> (US$)</t>
    </r>
  </si>
  <si>
    <t>Page 19</t>
  </si>
  <si>
    <r>
      <rPr>
        <rFont val="Times New Roman"/>
        <b/>
        <color theme="1"/>
        <sz val="12.0"/>
      </rPr>
      <t xml:space="preserve"> Summary Status of Contributions for  </t>
    </r>
    <r>
      <rPr>
        <rFont val="Times New Roman"/>
        <b/>
        <color theme="1"/>
        <sz val="12.0"/>
        <u/>
      </rPr>
      <t>2009-2011</t>
    </r>
    <r>
      <rPr>
        <rFont val="Times New Roman"/>
        <b/>
        <color theme="1"/>
        <sz val="12.0"/>
      </rPr>
      <t xml:space="preserve"> (US$)</t>
    </r>
  </si>
  <si>
    <t>Page 20</t>
  </si>
  <si>
    <r>
      <rPr>
        <rFont val="Times New Roman"/>
        <b/>
        <color theme="1"/>
        <sz val="12.0"/>
      </rPr>
      <t xml:space="preserve"> Status of Contributions for  </t>
    </r>
    <r>
      <rPr>
        <rFont val="Times New Roman"/>
        <b/>
        <color theme="1"/>
        <sz val="12.0"/>
        <u/>
      </rPr>
      <t>2011</t>
    </r>
    <r>
      <rPr>
        <rFont val="Times New Roman"/>
        <b/>
        <color theme="1"/>
        <sz val="12.0"/>
      </rPr>
      <t xml:space="preserve"> (US$)</t>
    </r>
  </si>
  <si>
    <t>Page 21</t>
  </si>
  <si>
    <r>
      <rPr>
        <rFont val="Times New Roman"/>
        <b/>
        <color theme="1"/>
        <sz val="11.0"/>
      </rPr>
      <t xml:space="preserve">Status of Contributions for </t>
    </r>
    <r>
      <rPr>
        <rFont val="Times New Roman"/>
        <b/>
        <color theme="1"/>
        <sz val="11.0"/>
        <u/>
      </rPr>
      <t>2010</t>
    </r>
  </si>
  <si>
    <t>(*) Additional amount on Disputed contribution relating to the USA.</t>
  </si>
  <si>
    <t>Page 22</t>
  </si>
  <si>
    <r>
      <rPr>
        <rFont val="Times New Roman"/>
        <b/>
        <color theme="1"/>
        <sz val="12.0"/>
      </rPr>
      <t xml:space="preserve"> Status of Contributions for  </t>
    </r>
    <r>
      <rPr>
        <rFont val="Times New Roman"/>
        <b/>
        <color theme="1"/>
        <sz val="12.0"/>
        <u/>
      </rPr>
      <t>2009</t>
    </r>
  </si>
  <si>
    <t>Page 23</t>
  </si>
  <si>
    <r>
      <rPr>
        <rFont val="Times New Roman"/>
        <b/>
        <color theme="1"/>
        <sz val="11.0"/>
      </rPr>
      <t xml:space="preserve"> Status of Contributions for </t>
    </r>
    <r>
      <rPr>
        <rFont val="Times New Roman"/>
        <b/>
        <color theme="1"/>
        <sz val="11.0"/>
        <u/>
      </rPr>
      <t>2006-2008</t>
    </r>
  </si>
  <si>
    <t xml:space="preserve">Germany* </t>
  </si>
  <si>
    <t>United States of America**</t>
  </si>
  <si>
    <t>Disputed Contributions**</t>
  </si>
  <si>
    <r>
      <rPr>
        <rFont val="Times New Roman"/>
        <color theme="1"/>
        <sz val="10.0"/>
      </rPr>
      <t>* Bilateral assistance of US $572,817 approved at the 51</t>
    </r>
    <r>
      <rPr>
        <rFont val="Times New Roman"/>
        <color theme="1"/>
        <sz val="10.0"/>
        <vertAlign val="superscript"/>
      </rPr>
      <t>st</t>
    </r>
    <r>
      <rPr>
        <rFont val="Times New Roman"/>
        <color theme="1"/>
        <sz val="10.0"/>
      </rPr>
      <t xml:space="preserve"> Meeting of the Excom applied in 2008 and US $353,814 approved at the 52</t>
    </r>
    <r>
      <rPr>
        <rFont val="Times New Roman"/>
        <color theme="1"/>
        <sz val="10.0"/>
        <vertAlign val="superscript"/>
      </rPr>
      <t>nd</t>
    </r>
    <r>
      <rPr>
        <rFont val="Times New Roman"/>
        <color theme="1"/>
        <sz val="10.0"/>
      </rPr>
      <t xml:space="preserve"> Meeting of the Excom applied in 2008 for Germany.</t>
    </r>
  </si>
  <si>
    <t xml:space="preserve">** The total contribution shown here for the USA for the replenishment period is after netting off the disputed amount of US $32,471,642. </t>
  </si>
  <si>
    <t>Page 24</t>
  </si>
  <si>
    <r>
      <rPr>
        <rFont val="Times New Roman"/>
        <b/>
        <color theme="1"/>
        <sz val="12.0"/>
      </rPr>
      <t xml:space="preserve"> Status of Contributions for </t>
    </r>
    <r>
      <rPr>
        <rFont val="Times New Roman"/>
        <b/>
        <color theme="1"/>
        <sz val="12.0"/>
        <u/>
      </rPr>
      <t>2008</t>
    </r>
  </si>
  <si>
    <t>Germany*</t>
  </si>
  <si>
    <r>
      <rPr>
        <rFont val="Times New Roman"/>
        <color theme="1"/>
        <sz val="10.0"/>
      </rPr>
      <t>(*) Bilateral assistance of US $572,817 approved at the 51</t>
    </r>
    <r>
      <rPr>
        <rFont val="Times New Roman"/>
        <color theme="1"/>
        <sz val="10.0"/>
        <vertAlign val="superscript"/>
      </rPr>
      <t>st</t>
    </r>
    <r>
      <rPr>
        <rFont val="Times New Roman"/>
        <color theme="1"/>
        <sz val="10.0"/>
      </rPr>
      <t xml:space="preserve"> Meeting of the Excom applied in 2008 and US $353,814 approved at the 52</t>
    </r>
    <r>
      <rPr>
        <rFont val="Times New Roman"/>
        <color theme="1"/>
        <sz val="10.0"/>
        <vertAlign val="superscript"/>
      </rPr>
      <t>nd</t>
    </r>
    <r>
      <rPr>
        <rFont val="Times New Roman"/>
        <color theme="1"/>
        <sz val="10.0"/>
      </rPr>
      <t xml:space="preserve"> Meeting of the Excom applied </t>
    </r>
  </si>
  <si>
    <t xml:space="preserve">in 2008.  </t>
  </si>
  <si>
    <t>(**) Balance of USA Disputed contribution of US $32,471,642 of which US $14,889,724 was applied to 2007.</t>
  </si>
  <si>
    <t>Page 25</t>
  </si>
  <si>
    <r>
      <rPr>
        <rFont val="CG Times"/>
        <b/>
        <color theme="1"/>
        <sz val="10.0"/>
      </rPr>
      <t xml:space="preserve">Status of Contributions for </t>
    </r>
    <r>
      <rPr>
        <rFont val="CG Times"/>
        <b/>
        <color theme="1"/>
        <sz val="10.0"/>
        <u/>
      </rPr>
      <t>2007</t>
    </r>
  </si>
  <si>
    <t>United States of America*</t>
  </si>
  <si>
    <t>Disputed Contributions(*)</t>
  </si>
  <si>
    <t xml:space="preserve">(*) Portion of total Disputed contribution of US $32,471,642 partly offset in 2007 and the balance in 2008. </t>
  </si>
  <si>
    <t>Page 26</t>
  </si>
  <si>
    <r>
      <rPr>
        <rFont val="Times"/>
        <b/>
        <color theme="1"/>
        <sz val="12.0"/>
      </rPr>
      <t xml:space="preserve">Status of Contributions for </t>
    </r>
    <r>
      <rPr>
        <rFont val="Times"/>
        <b/>
        <color theme="1"/>
        <sz val="12.0"/>
        <u/>
      </rPr>
      <t>2006</t>
    </r>
  </si>
  <si>
    <t>Page 27</t>
  </si>
  <si>
    <r>
      <rPr>
        <rFont val="CG Times"/>
        <b/>
        <color theme="1"/>
        <sz val="10.0"/>
      </rPr>
      <t xml:space="preserve"> Status of Contributions for </t>
    </r>
    <r>
      <rPr>
        <rFont val="CG Times"/>
        <b/>
        <color theme="1"/>
        <sz val="10.0"/>
        <u/>
      </rPr>
      <t>2003 - 2005</t>
    </r>
  </si>
  <si>
    <t>Turkmenistan</t>
  </si>
  <si>
    <t>Page 28</t>
  </si>
  <si>
    <r>
      <rPr>
        <rFont val="CG Times"/>
        <b/>
        <color theme="1"/>
        <sz val="10.0"/>
      </rPr>
      <t xml:space="preserve"> Status of Contributions for </t>
    </r>
    <r>
      <rPr>
        <rFont val="CG Times"/>
        <b/>
        <color theme="1"/>
        <sz val="10.0"/>
        <u/>
      </rPr>
      <t>2005</t>
    </r>
  </si>
  <si>
    <t>Page 29</t>
  </si>
  <si>
    <r>
      <rPr>
        <rFont val="CG Times"/>
        <b/>
        <color theme="1"/>
        <sz val="10.0"/>
      </rPr>
      <t xml:space="preserve"> Status of Contributions for </t>
    </r>
    <r>
      <rPr>
        <rFont val="CG Times"/>
        <b/>
        <color theme="1"/>
        <sz val="10.0"/>
        <u/>
      </rPr>
      <t>2004</t>
    </r>
  </si>
  <si>
    <t>Italy*</t>
  </si>
  <si>
    <t>* Italy's bilateral cooperation amount was approved at the 46th meeting in 2005.</t>
  </si>
  <si>
    <t>Page  30</t>
  </si>
  <si>
    <r>
      <rPr>
        <rFont val="Times New Roman"/>
        <b/>
        <color theme="1"/>
        <sz val="12.0"/>
      </rPr>
      <t xml:space="preserve">Status of Contributions for </t>
    </r>
    <r>
      <rPr>
        <rFont val="Times New Roman"/>
        <b/>
        <color theme="1"/>
        <sz val="12.0"/>
        <u/>
      </rPr>
      <t>2003</t>
    </r>
  </si>
  <si>
    <t>this fig. added and needs support 543832</t>
  </si>
  <si>
    <t>Page  31</t>
  </si>
  <si>
    <r>
      <rPr>
        <rFont val="Times New Roman"/>
        <b/>
        <color theme="1"/>
        <sz val="12.0"/>
      </rPr>
      <t xml:space="preserve">Status of Contributions for </t>
    </r>
    <r>
      <rPr>
        <rFont val="Times New Roman"/>
        <b/>
        <color theme="1"/>
        <sz val="12.0"/>
        <u/>
      </rPr>
      <t>2000 - 2002</t>
    </r>
  </si>
  <si>
    <t>UNEP/OzL.Pro/ExCom/86/3</t>
  </si>
  <si>
    <t>Page  32</t>
  </si>
  <si>
    <r>
      <rPr>
        <rFont val="Times New Roman"/>
        <b/>
        <color theme="1"/>
        <sz val="12.0"/>
      </rPr>
      <t xml:space="preserve"> Status of Contributions for </t>
    </r>
    <r>
      <rPr>
        <rFont val="Times New Roman"/>
        <b/>
        <color theme="1"/>
        <sz val="12.0"/>
        <u/>
      </rPr>
      <t>2002</t>
    </r>
  </si>
  <si>
    <t xml:space="preserve">Canada </t>
  </si>
  <si>
    <t>Page  33</t>
  </si>
  <si>
    <r>
      <rPr>
        <rFont val="Times New Roman"/>
        <b/>
        <color theme="1"/>
        <sz val="12.0"/>
      </rPr>
      <t xml:space="preserve">Status of Contributions for </t>
    </r>
    <r>
      <rPr>
        <rFont val="Times New Roman"/>
        <b/>
        <color theme="1"/>
        <sz val="12.0"/>
        <u/>
      </rPr>
      <t>2001</t>
    </r>
  </si>
  <si>
    <t>Page  34</t>
  </si>
  <si>
    <r>
      <rPr>
        <rFont val="Times New Roman"/>
        <b/>
        <color theme="1"/>
        <sz val="12.0"/>
      </rPr>
      <t xml:space="preserve"> Status of Contributions for </t>
    </r>
    <r>
      <rPr>
        <rFont val="Times New Roman"/>
        <b/>
        <color theme="1"/>
        <sz val="12.0"/>
        <u/>
      </rPr>
      <t>2000</t>
    </r>
  </si>
  <si>
    <t>Page  35</t>
  </si>
  <si>
    <r>
      <rPr>
        <rFont val="Times New Roman"/>
        <b/>
        <color theme="1"/>
        <sz val="12.0"/>
      </rPr>
      <t xml:space="preserve">Status of Contributions for </t>
    </r>
    <r>
      <rPr>
        <rFont val="Times New Roman"/>
        <b/>
        <color theme="1"/>
        <sz val="12.0"/>
        <u/>
      </rPr>
      <t>1997 - 1999</t>
    </r>
  </si>
  <si>
    <t>Payment not in yearly sheets but was in cumulative sheet</t>
  </si>
  <si>
    <t>Belgium 1/</t>
  </si>
  <si>
    <t>Brunei Darussalam</t>
  </si>
  <si>
    <t>$103927 payment not in yrly sheets. Bil. Asst reduced</t>
  </si>
  <si>
    <t>PN payment reflected in cumulative sheet</t>
  </si>
  <si>
    <t>Georgia</t>
  </si>
  <si>
    <t>Bil asst adjustment in cumulative sheet</t>
  </si>
  <si>
    <t>1/ $108,480 transferred from bilateral cooperation to cash contribution as bilateral was not utilised, but cash paid instead.</t>
  </si>
  <si>
    <t>Page  36</t>
  </si>
  <si>
    <r>
      <rPr>
        <rFont val="Times New Roman"/>
        <b/>
        <color theme="1"/>
        <sz val="12.0"/>
      </rPr>
      <t xml:space="preserve">Status of Contributions for </t>
    </r>
    <r>
      <rPr>
        <rFont val="Times New Roman"/>
        <b/>
        <color theme="1"/>
        <sz val="12.0"/>
        <u/>
      </rPr>
      <t>1999</t>
    </r>
  </si>
  <si>
    <t>Slovakia</t>
  </si>
  <si>
    <t xml:space="preserve">Page  37 </t>
  </si>
  <si>
    <r>
      <rPr>
        <rFont val="Times New Roman"/>
        <b/>
        <color theme="1"/>
        <sz val="12.0"/>
      </rPr>
      <t xml:space="preserve">Status of Contributions for </t>
    </r>
    <r>
      <rPr>
        <rFont val="Times New Roman"/>
        <b/>
        <color theme="1"/>
        <sz val="12.0"/>
        <u/>
      </rPr>
      <t>1998</t>
    </r>
  </si>
  <si>
    <t>Japan(*)</t>
  </si>
  <si>
    <r>
      <rPr>
        <rFont val="Times New Roman"/>
        <b/>
        <color theme="1"/>
        <sz val="12.0"/>
        <u/>
      </rPr>
      <t>NB:</t>
    </r>
    <r>
      <rPr>
        <rFont val="Times New Roman"/>
        <b val="0"/>
        <color theme="1"/>
        <sz val="12.0"/>
        <u/>
      </rPr>
      <t xml:space="preserve">    (*)    Outstanding contribution withheld for bilateral cooperation.</t>
    </r>
  </si>
  <si>
    <t>Amount paid in March 2014</t>
  </si>
  <si>
    <t>Page  38</t>
  </si>
  <si>
    <r>
      <rPr>
        <rFont val="Times New Roman"/>
        <b/>
        <color theme="1"/>
        <sz val="12.0"/>
      </rPr>
      <t xml:space="preserve">Status of Contributions for </t>
    </r>
    <r>
      <rPr>
        <rFont val="Times New Roman"/>
        <b/>
        <color theme="1"/>
        <sz val="12.0"/>
        <u/>
      </rPr>
      <t>1997</t>
    </r>
  </si>
  <si>
    <t xml:space="preserve">Austria </t>
  </si>
  <si>
    <t>Page  39</t>
  </si>
  <si>
    <r>
      <rPr>
        <rFont val="Times New Roman"/>
        <b/>
        <color theme="1"/>
        <sz val="12.0"/>
      </rPr>
      <t xml:space="preserve">Status of Contributions for </t>
    </r>
    <r>
      <rPr>
        <rFont val="Times New Roman"/>
        <b/>
        <color theme="1"/>
        <sz val="12.0"/>
        <u/>
      </rPr>
      <t>1994 - 1996</t>
    </r>
  </si>
  <si>
    <t>Disputed Contributions(**)</t>
  </si>
  <si>
    <t>NB:   (**)  Amounts for France, Germany, Italy, Japan and the United Kingdom  netted off from the 1996 contributions and are shown here for records only.</t>
  </si>
  <si>
    <t>Page  40</t>
  </si>
  <si>
    <r>
      <rPr>
        <rFont val="Times New Roman"/>
        <b/>
        <color theme="1"/>
        <sz val="12.0"/>
      </rPr>
      <t xml:space="preserve">Status of Contributions for </t>
    </r>
    <r>
      <rPr>
        <rFont val="Times New Roman"/>
        <b/>
        <color theme="1"/>
        <sz val="12.0"/>
        <u/>
      </rPr>
      <t>1996</t>
    </r>
  </si>
  <si>
    <t>Disputed Contributions</t>
  </si>
  <si>
    <t xml:space="preserve">Page  41 </t>
  </si>
  <si>
    <r>
      <rPr>
        <rFont val="Times New Roman"/>
        <b/>
        <color theme="1"/>
        <sz val="12.0"/>
      </rPr>
      <t xml:space="preserve">Status of Contributions for </t>
    </r>
    <r>
      <rPr>
        <rFont val="Times New Roman"/>
        <b/>
        <color theme="1"/>
        <sz val="12.0"/>
        <u/>
      </rPr>
      <t>1995</t>
    </r>
  </si>
  <si>
    <t xml:space="preserve">Page  42 </t>
  </si>
  <si>
    <r>
      <rPr>
        <rFont val="Times New Roman"/>
        <b/>
        <color theme="1"/>
        <sz val="12.0"/>
      </rPr>
      <t xml:space="preserve">Status of Contributions for </t>
    </r>
    <r>
      <rPr>
        <rFont val="Times New Roman"/>
        <b/>
        <color theme="1"/>
        <sz val="12.0"/>
        <u/>
      </rPr>
      <t>1994</t>
    </r>
  </si>
  <si>
    <t>Page  43</t>
  </si>
  <si>
    <r>
      <rPr>
        <rFont val="Times New Roman"/>
        <b/>
        <color theme="1"/>
        <sz val="12.0"/>
      </rPr>
      <t xml:space="preserve">Status of Contributions for </t>
    </r>
    <r>
      <rPr>
        <rFont val="Times New Roman"/>
        <b/>
        <color theme="1"/>
        <sz val="12.0"/>
        <u/>
      </rPr>
      <t>1991 - 1993</t>
    </r>
  </si>
  <si>
    <t>$33558 overpayment of year 1993 was reduced in cumulative sheet.</t>
  </si>
  <si>
    <t>4 payments reflected in cumulative sheet and not yearly sheets</t>
  </si>
  <si>
    <t>Page  44</t>
  </si>
  <si>
    <r>
      <rPr>
        <rFont val="Times New Roman"/>
        <b/>
        <color theme="1"/>
        <sz val="12.0"/>
      </rPr>
      <t xml:space="preserve">Status of Contributions for </t>
    </r>
    <r>
      <rPr>
        <rFont val="Times New Roman"/>
        <b/>
        <color theme="1"/>
        <sz val="12.0"/>
        <u/>
      </rPr>
      <t>1993</t>
    </r>
  </si>
  <si>
    <t>As at 31/12/2020</t>
  </si>
  <si>
    <t>Page  45</t>
  </si>
  <si>
    <r>
      <rPr>
        <rFont val="Times New Roman"/>
        <b/>
        <color theme="1"/>
        <sz val="12.0"/>
      </rPr>
      <t xml:space="preserve">Status of Contributions for </t>
    </r>
    <r>
      <rPr>
        <rFont val="Times New Roman"/>
        <b/>
        <color theme="1"/>
        <sz val="12.0"/>
        <u/>
      </rPr>
      <t>1992</t>
    </r>
  </si>
  <si>
    <t xml:space="preserve"> </t>
  </si>
  <si>
    <t xml:space="preserve">Page  46 </t>
  </si>
  <si>
    <r>
      <rPr>
        <rFont val="Times New Roman"/>
        <b/>
        <color theme="1"/>
        <sz val="12.0"/>
      </rPr>
      <t xml:space="preserve">Status of Contributions for </t>
    </r>
    <r>
      <rPr>
        <rFont val="Times New Roman"/>
        <b/>
        <color theme="1"/>
        <sz val="12.0"/>
        <u/>
      </rPr>
      <t>1991</t>
    </r>
  </si>
  <si>
    <t>Bahrain is in the replenishment list of the 3rd MoP with an amount of US$12,553 but not included in the Treasurer's list</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</si>
</sst>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_-* #,##0.00_-;\-* #,##0.00_-;_-* &quot;-&quot;??_-;_-@"/>
    <numFmt numFmtId="165" formatCode="_(* #,##0_);_(* \(#,##0\);_(* &quot;-&quot;_);_(@_)"/>
    <numFmt numFmtId="166" formatCode="_(* #,##0_);_(* \(#,##0\);_(* &quot;-&quot;??_);_(@_)"/>
    <numFmt numFmtId="167" formatCode="#,##0;[Red]\(#,##0\)"/>
    <numFmt numFmtId="168" formatCode="0.0%"/>
    <numFmt numFmtId="169" formatCode="_(* #,##0.0000000_);_(* \(#,##0.0000000\);_(* &quot;-&quot;??_);_(@_)"/>
    <numFmt numFmtId="170" formatCode="#,##0.00;[Red]\(#,##0.00\)"/>
  </numFmts>
  <fonts count="52">
    <font>
      <sz val="11.0"/>
      <color theme="1"/>
      <name val="Calibri"/>
      <scheme val="minor"/>
    </font>
    <font>
      <sz val="12.0"/>
      <color theme="1"/>
      <name val="Arial"/>
    </font>
    <font>
      <sz val="12.0"/>
      <color theme="1"/>
      <name val="Times New Roman"/>
    </font>
    <font>
      <sz val="11.0"/>
      <color theme="1"/>
      <name val="Times New Roman"/>
    </font>
    <font>
      <b/>
      <u/>
      <sz val="12.0"/>
      <color theme="1"/>
      <name val="Arial"/>
    </font>
    <font>
      <b/>
      <sz val="12.0"/>
      <color theme="1"/>
      <name val="Times New Roman"/>
    </font>
    <font/>
    <font>
      <b/>
      <sz val="12.0"/>
      <color theme="1"/>
      <name val="Arial"/>
    </font>
    <font>
      <b/>
      <sz val="12.0"/>
      <color rgb="FF000000"/>
      <name val="Times New Roman"/>
    </font>
    <font>
      <sz val="12.0"/>
      <color rgb="FF000000"/>
      <name val="Times New Roman"/>
    </font>
    <font>
      <sz val="14.0"/>
      <color theme="1"/>
      <name val="Arial"/>
    </font>
    <font>
      <sz val="12.0"/>
      <color theme="0"/>
      <name val="Arial"/>
    </font>
    <font>
      <sz val="14.0"/>
      <color theme="1"/>
      <name val="Times New Roman"/>
    </font>
    <font>
      <sz val="15.0"/>
      <color theme="1"/>
      <name val="Times New Roman"/>
    </font>
    <font>
      <sz val="10.0"/>
      <color theme="1"/>
      <name val="Times New Roman"/>
    </font>
    <font>
      <sz val="11.0"/>
      <color rgb="FF000000"/>
      <name val="Times New Roman"/>
    </font>
    <font>
      <sz val="10.0"/>
      <color rgb="FF000000"/>
      <name val="Times New Roman"/>
    </font>
    <font>
      <sz val="12.0"/>
      <color theme="1"/>
      <name val="Arial Narrow"/>
    </font>
    <font>
      <sz val="10.0"/>
      <color theme="1"/>
      <name val="CG Times"/>
    </font>
    <font>
      <sz val="12.0"/>
      <color theme="1"/>
      <name val="CG Times"/>
    </font>
    <font>
      <sz val="11.0"/>
      <color theme="1"/>
      <name val="Calibri"/>
    </font>
    <font>
      <sz val="12.0"/>
      <color theme="1"/>
      <name val="Calibri"/>
    </font>
    <font>
      <sz val="13.0"/>
      <color theme="1"/>
      <name val="Times New Roman"/>
    </font>
    <font>
      <b/>
      <sz val="10.0"/>
      <color rgb="FF000000"/>
      <name val="Times New Roman"/>
    </font>
    <font>
      <color theme="1"/>
      <name val="Calibri"/>
      <scheme val="minor"/>
    </font>
    <font>
      <b/>
      <sz val="10.0"/>
      <color theme="1"/>
      <name val="Times New Roman"/>
    </font>
    <font>
      <b/>
      <sz val="10.0"/>
      <color theme="0"/>
      <name val="Times New Roman"/>
    </font>
    <font>
      <b/>
      <sz val="10.0"/>
      <color theme="1"/>
      <name val="CG Times"/>
    </font>
    <font>
      <b/>
      <sz val="10.0"/>
      <color theme="0"/>
      <name val="CG Times"/>
    </font>
    <font>
      <sz val="10.0"/>
      <color rgb="FF000000"/>
      <name val="CG Times"/>
    </font>
    <font>
      <sz val="10.0"/>
      <color theme="0"/>
      <name val="CG Times"/>
    </font>
    <font>
      <sz val="10.0"/>
      <color theme="0"/>
      <name val="Times New Roman"/>
    </font>
    <font>
      <sz val="10.0"/>
      <color theme="1"/>
      <name val="Courier"/>
    </font>
    <font>
      <sz val="12.0"/>
      <color theme="0"/>
      <name val="Courier"/>
    </font>
    <font>
      <sz val="12.0"/>
      <color theme="1"/>
      <name val="Courier"/>
    </font>
    <font>
      <b/>
      <sz val="11.0"/>
      <color theme="1"/>
      <name val="Times New Roman"/>
    </font>
    <font>
      <sz val="12.0"/>
      <color rgb="FFFF0000"/>
      <name val="Times New Roman"/>
    </font>
    <font>
      <sz val="12.0"/>
      <color rgb="FF000000"/>
      <name val="CG Times"/>
    </font>
    <font>
      <b/>
      <sz val="10.0"/>
      <color rgb="FF000000"/>
      <name val="CG Times"/>
    </font>
    <font>
      <b/>
      <sz val="12.0"/>
      <color theme="1"/>
      <name val="CG Times"/>
    </font>
    <font>
      <sz val="12.0"/>
      <color theme="1"/>
      <name val="Times"/>
    </font>
    <font>
      <b/>
      <sz val="12.0"/>
      <color theme="1"/>
      <name val="Times"/>
    </font>
    <font>
      <b/>
      <sz val="11.0"/>
      <color rgb="FF000000"/>
      <name val="Times"/>
    </font>
    <font>
      <sz val="11.0"/>
      <color rgb="FF000000"/>
      <name val="Times"/>
    </font>
    <font>
      <sz val="11.0"/>
      <color theme="1"/>
      <name val="Times"/>
    </font>
    <font>
      <b/>
      <sz val="11.0"/>
      <color theme="1"/>
      <name val="Times"/>
    </font>
    <font>
      <b/>
      <sz val="12.0"/>
      <color rgb="FF000000"/>
      <name val="CG Times"/>
    </font>
    <font>
      <sz val="9.0"/>
      <color theme="1"/>
      <name val="Times New Roman"/>
    </font>
    <font>
      <sz val="8.0"/>
      <color rgb="FFFF0000"/>
      <name val="Times New Roman"/>
    </font>
    <font>
      <b/>
      <u/>
      <sz val="12.0"/>
      <color theme="1"/>
      <name val="Times New Roman"/>
    </font>
    <font>
      <b/>
      <sz val="12.0"/>
      <color rgb="FFFF0000"/>
      <name val="Times New Roman"/>
    </font>
    <font>
      <sz val="12.0"/>
      <color rgb="FF000000"/>
      <name val="Arial Narrow"/>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B4C6E7"/>
        <bgColor rgb="FFB4C6E7"/>
      </patternFill>
    </fill>
    <fill>
      <patternFill patternType="solid">
        <fgColor rgb="FFADB9CA"/>
        <bgColor rgb="FFADB9CA"/>
      </patternFill>
    </fill>
  </fills>
  <borders count="92">
    <border/>
    <border>
      <left/>
      <right/>
      <top/>
      <bottom/>
    </border>
    <border>
      <left/>
      <top/>
      <bottom/>
    </border>
    <border>
      <top/>
      <bottom/>
    </border>
    <border>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border>
    <border>
      <left/>
      <right style="medium">
        <color rgb="FF000000"/>
      </right>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top style="medium">
        <color rgb="FF000000"/>
      </top>
      <bottom style="medium">
        <color rgb="FF000000"/>
      </bottom>
    </border>
    <border>
      <left style="medium">
        <color rgb="FF000000"/>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top/>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top/>
    </border>
    <border>
      <left/>
      <right/>
      <bottom/>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right style="thin">
        <color rgb="FF000000"/>
      </right>
      <top style="thin">
        <color rgb="FF000000"/>
      </top>
      <bottom/>
    </border>
    <border>
      <left style="thin">
        <color rgb="FF000000"/>
      </left>
      <right/>
      <top style="thin">
        <color rgb="FF000000"/>
      </top>
      <bottom/>
    </border>
    <border>
      <left style="thin">
        <color rgb="FF000000"/>
      </left>
      <right style="medium">
        <color rgb="FF000000"/>
      </right>
      <top style="thin">
        <color rgb="FF000000"/>
      </top>
      <bottom/>
    </border>
    <border>
      <left/>
      <right style="thin">
        <color rgb="FF000000"/>
      </right>
      <top/>
      <bottom style="thin">
        <color rgb="FF000000"/>
      </bottom>
    </border>
    <border>
      <left style="thin">
        <color rgb="FF000000"/>
      </left>
      <right style="thin">
        <color rgb="FF000000"/>
      </right>
      <top/>
      <bottom/>
    </border>
    <border>
      <left style="thin">
        <color rgb="FF000000"/>
      </left>
      <right/>
      <top/>
      <bottom/>
    </border>
    <border>
      <left style="thin">
        <color rgb="FF000000"/>
      </left>
      <right style="medium">
        <color rgb="FF000000"/>
      </right>
      <top/>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bottom/>
    </border>
    <border>
      <right style="thin">
        <color rgb="FF000000"/>
      </right>
      <top style="medium">
        <color rgb="FF000000"/>
      </top>
      <bottom style="medium">
        <color rgb="FF000000"/>
      </bottom>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medium">
        <color rgb="FF000000"/>
      </right>
      <top style="thin">
        <color rgb="FF000000"/>
      </top>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left style="thin">
        <color rgb="FF000000"/>
      </left>
      <top style="medium">
        <color rgb="FF000000"/>
      </top>
      <bottom style="medium">
        <color rgb="FF000000"/>
      </bottom>
    </border>
    <border>
      <left style="medium">
        <color rgb="FF000000"/>
      </left>
      <right style="thin">
        <color rgb="FF000000"/>
      </right>
    </border>
    <border>
      <left style="thin">
        <color rgb="FF000000"/>
      </left>
      <right style="medium">
        <color rgb="FF000000"/>
      </right>
    </border>
    <border>
      <left/>
      <right style="thin">
        <color rgb="FF000000"/>
      </right>
      <top style="thin">
        <color rgb="FF000000"/>
      </top>
      <bottom style="thin">
        <color rgb="FF000000"/>
      </bottom>
    </border>
    <border>
      <left style="thin">
        <color rgb="FF000000"/>
      </left>
      <right style="thin">
        <color rgb="FF000000"/>
      </right>
    </border>
    <border>
      <top style="medium">
        <color rgb="FF000000"/>
      </top>
    </border>
    <border>
      <bottom style="medium">
        <color rgb="FF000000"/>
      </bottom>
    </border>
    <border>
      <left style="medium">
        <color rgb="FF000000"/>
      </left>
      <right style="thin">
        <color rgb="FF000000"/>
      </right>
      <top style="medium">
        <color rgb="FF000000"/>
      </top>
    </border>
    <border>
      <right style="medium">
        <color rgb="FF000000"/>
      </right>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right style="thin">
        <color rgb="FF000000"/>
      </right>
      <top style="medium">
        <color rgb="FF000000"/>
      </top>
      <bottom style="thin">
        <color rgb="FF000000"/>
      </bottom>
    </border>
    <border>
      <right style="thin">
        <color rgb="FF000000"/>
      </right>
      <top style="thin">
        <color rgb="FF000000"/>
      </top>
      <bottom style="thin">
        <color rgb="FF000000"/>
      </bottom>
    </border>
    <border>
      <left style="thin">
        <color rgb="FF000000"/>
      </left>
      <right/>
      <top style="medium">
        <color rgb="FF000000"/>
      </top>
      <bottom style="thin">
        <color rgb="FF000000"/>
      </bottom>
    </border>
    <border>
      <left style="thin">
        <color rgb="FF000000"/>
      </left>
      <right/>
      <top style="thin">
        <color rgb="FF000000"/>
      </top>
      <bottom style="medium">
        <color rgb="FF000000"/>
      </bottom>
    </border>
    <border>
      <left style="thin">
        <color rgb="FF000000"/>
      </left>
      <top style="thin">
        <color rgb="FF000000"/>
      </top>
    </border>
    <border>
      <right style="thin">
        <color rgb="FF000000"/>
      </right>
      <top style="thin">
        <color rgb="FF000000"/>
      </top>
      <bottom style="medium">
        <color rgb="FF000000"/>
      </bottom>
    </border>
    <border>
      <left style="thin">
        <color rgb="FF000000"/>
      </left>
      <right style="thin">
        <color rgb="FF000000"/>
      </right>
      <top style="medium">
        <color rgb="FF000000"/>
      </top>
    </border>
    <border>
      <left style="thin">
        <color rgb="FF000000"/>
      </left>
      <right style="medium">
        <color rgb="FF000000"/>
      </right>
      <top style="medium">
        <color rgb="FF000000"/>
      </top>
    </border>
    <border>
      <right style="thin">
        <color rgb="FF000000"/>
      </right>
      <top style="medium">
        <color rgb="FF000000"/>
      </top>
    </border>
    <border>
      <left/>
      <right style="thin">
        <color rgb="FF000000"/>
      </right>
      <top style="medium">
        <color rgb="FF000000"/>
      </top>
      <bottom style="thin">
        <color rgb="FF000000"/>
      </bottom>
    </border>
    <border>
      <left style="thin">
        <color rgb="FF000000"/>
      </left>
      <top style="medium">
        <color rgb="FF000000"/>
      </top>
    </border>
    <border>
      <left style="medium">
        <color rgb="FF000000"/>
      </left>
      <right style="medium">
        <color rgb="FF000000"/>
      </right>
      <top style="medium">
        <color rgb="FF000000"/>
      </top>
    </border>
    <border>
      <top style="thin">
        <color rgb="FF000000"/>
      </top>
    </border>
    <border>
      <left style="medium">
        <color rgb="FF000000"/>
      </left>
      <right style="medium">
        <color rgb="FF000000"/>
      </right>
      <top style="medium">
        <color rgb="FF000000"/>
      </top>
      <bottom style="medium">
        <color rgb="FF000000"/>
      </bottom>
    </border>
    <border>
      <left style="thin">
        <color rgb="FF000000"/>
      </left>
      <top style="medium">
        <color rgb="FF000000"/>
      </top>
      <bottom style="thin">
        <color rgb="FF000000"/>
      </bottom>
    </border>
    <border>
      <left style="thin">
        <color rgb="FF000000"/>
      </left>
      <right/>
      <top style="medium">
        <color rgb="FF000000"/>
      </top>
      <bottom/>
    </border>
    <border>
      <left style="medium">
        <color rgb="FF000000"/>
      </left>
      <top style="medium">
        <color rgb="FF000000"/>
      </top>
      <bottom style="medium">
        <color rgb="FF000000"/>
      </bottom>
    </border>
    <border>
      <left style="medium">
        <color rgb="FF000000"/>
      </left>
    </border>
    <border>
      <left style="medium">
        <color rgb="FF000000"/>
      </left>
      <right style="medium">
        <color rgb="FF000000"/>
      </right>
      <bottom style="medium">
        <color rgb="FF000000"/>
      </bottom>
    </border>
    <border>
      <right style="thin">
        <color rgb="FF000000"/>
      </right>
      <top style="thin">
        <color rgb="FF000000"/>
      </top>
    </border>
    <border>
      <right style="medium">
        <color rgb="FF000000"/>
      </right>
      <top style="medium">
        <color rgb="FF000000"/>
      </top>
      <bottom style="medium">
        <color rgb="FF000000"/>
      </bottom>
    </border>
    <border>
      <left style="medium">
        <color rgb="FF000000"/>
      </left>
      <top style="medium">
        <color rgb="FF000000"/>
      </top>
    </border>
    <border>
      <left style="medium">
        <color rgb="FF000000"/>
      </left>
      <right style="medium">
        <color rgb="FF000000"/>
      </right>
    </border>
    <border>
      <top style="medium">
        <color rgb="FF000000"/>
      </top>
      <bottom style="medium">
        <color rgb="FF000000"/>
      </bottom>
    </border>
    <border>
      <left style="medium">
        <color rgb="FF000000"/>
      </left>
      <right style="thin">
        <color rgb="FF000000"/>
      </right>
      <top/>
      <bottom style="medium">
        <color rgb="FF000000"/>
      </bottom>
    </border>
    <border>
      <left style="thin">
        <color rgb="FF000000"/>
      </left>
      <right style="thin">
        <color rgb="FF000000"/>
      </right>
      <top/>
      <bottom style="medium">
        <color rgb="FF000000"/>
      </bottom>
    </border>
    <border>
      <left style="thin">
        <color rgb="FF000000"/>
      </left>
      <top style="thin">
        <color rgb="FF000000"/>
      </top>
      <bottom style="thin">
        <color rgb="FF000000"/>
      </bottom>
    </border>
    <border>
      <left style="thin">
        <color rgb="FF000000"/>
      </left>
    </border>
  </borders>
  <cellStyleXfs count="1">
    <xf borderId="0" fillId="0" fontId="0" numFmtId="0" applyAlignment="1" applyFont="1"/>
  </cellStyleXfs>
  <cellXfs count="716">
    <xf borderId="0" fillId="0" fontId="0" numFmtId="0" xfId="0" applyAlignment="1" applyFont="1">
      <alignment readingOrder="0" shrinkToFit="0" vertical="bottom" wrapText="0"/>
    </xf>
    <xf borderId="1" fillId="2" fontId="1" numFmtId="0" xfId="0" applyAlignment="1" applyBorder="1" applyFill="1" applyFont="1">
      <alignment vertical="center"/>
    </xf>
    <xf borderId="1" fillId="2" fontId="2" numFmtId="0" xfId="0" applyAlignment="1" applyBorder="1" applyFont="1">
      <alignment vertical="center"/>
    </xf>
    <xf borderId="1" fillId="2" fontId="2" numFmtId="0" xfId="0" applyAlignment="1" applyBorder="1" applyFont="1">
      <alignment horizontal="right" vertical="center"/>
    </xf>
    <xf borderId="1" fillId="2" fontId="3" numFmtId="0" xfId="0" applyAlignment="1" applyBorder="1" applyFont="1">
      <alignment horizontal="right" vertical="center"/>
    </xf>
    <xf borderId="1" fillId="2" fontId="1" numFmtId="164" xfId="0" applyAlignment="1" applyBorder="1" applyFont="1" applyNumberFormat="1">
      <alignment vertical="center"/>
    </xf>
    <xf borderId="1" fillId="2" fontId="2" numFmtId="0" xfId="0" applyAlignment="1" applyBorder="1" applyFont="1">
      <alignment horizontal="left" vertical="center"/>
    </xf>
    <xf borderId="1" fillId="2" fontId="4" numFmtId="0" xfId="0" applyAlignment="1" applyBorder="1" applyFont="1">
      <alignment vertical="center"/>
    </xf>
    <xf borderId="1" fillId="2" fontId="5" numFmtId="0" xfId="0" applyAlignment="1" applyBorder="1" applyFont="1">
      <alignment horizontal="center" vertical="center"/>
    </xf>
    <xf borderId="1" fillId="2" fontId="2" numFmtId="0" xfId="0" applyAlignment="1" applyBorder="1" applyFont="1">
      <alignment horizontal="center" vertical="center"/>
    </xf>
    <xf borderId="2" fillId="2" fontId="2" numFmtId="0" xfId="0" applyAlignment="1" applyBorder="1" applyFont="1">
      <alignment horizontal="center" shrinkToFit="0" vertical="center" wrapText="1"/>
    </xf>
    <xf borderId="3" fillId="0" fontId="6" numFmtId="0" xfId="0" applyBorder="1" applyFont="1"/>
    <xf borderId="4" fillId="0" fontId="6" numFmtId="0" xfId="0" applyBorder="1" applyFont="1"/>
    <xf borderId="1" fillId="2" fontId="7" numFmtId="0" xfId="0" applyAlignment="1" applyBorder="1" applyFont="1">
      <alignment vertical="center"/>
    </xf>
    <xf borderId="2" fillId="2" fontId="8" numFmtId="0" xfId="0" applyAlignment="1" applyBorder="1" applyFont="1">
      <alignment horizontal="center" shrinkToFit="0" vertical="center" wrapText="1"/>
    </xf>
    <xf borderId="2" fillId="2" fontId="2" numFmtId="37" xfId="0" applyAlignment="1" applyBorder="1" applyFont="1" applyNumberFormat="1">
      <alignment horizontal="center" shrinkToFit="0" vertical="center" wrapText="1"/>
    </xf>
    <xf borderId="1" fillId="2" fontId="2" numFmtId="37" xfId="0" applyAlignment="1" applyBorder="1" applyFont="1" applyNumberFormat="1">
      <alignment horizontal="center" vertical="center"/>
    </xf>
    <xf borderId="5" fillId="2" fontId="5" numFmtId="0" xfId="0" applyAlignment="1" applyBorder="1" applyFont="1">
      <alignment horizontal="left" vertical="center"/>
    </xf>
    <xf borderId="6" fillId="2" fontId="5" numFmtId="0" xfId="0" applyAlignment="1" applyBorder="1" applyFont="1">
      <alignment vertical="center"/>
    </xf>
    <xf borderId="7" fillId="2" fontId="8" numFmtId="165" xfId="0" applyAlignment="1" applyBorder="1" applyFont="1" applyNumberFormat="1">
      <alignment vertical="center"/>
    </xf>
    <xf borderId="8" fillId="2" fontId="2" numFmtId="3" xfId="0" applyAlignment="1" applyBorder="1" applyFont="1" applyNumberFormat="1">
      <alignment horizontal="left" vertical="center"/>
    </xf>
    <xf borderId="1" fillId="2" fontId="5" numFmtId="3" xfId="0" applyAlignment="1" applyBorder="1" applyFont="1" applyNumberFormat="1">
      <alignment vertical="center"/>
    </xf>
    <xf borderId="9" fillId="2" fontId="8" numFmtId="3" xfId="0" applyAlignment="1" applyBorder="1" applyFont="1" applyNumberFormat="1">
      <alignment vertical="center"/>
    </xf>
    <xf borderId="1" fillId="2" fontId="1" numFmtId="3" xfId="0" applyAlignment="1" applyBorder="1" applyFont="1" applyNumberFormat="1">
      <alignment vertical="center"/>
    </xf>
    <xf borderId="9" fillId="2" fontId="9" numFmtId="3" xfId="0" applyAlignment="1" applyBorder="1" applyFont="1" applyNumberFormat="1">
      <alignment vertical="center"/>
    </xf>
    <xf borderId="1" fillId="2" fontId="10" numFmtId="3" xfId="0" applyAlignment="1" applyBorder="1" applyFont="1" applyNumberFormat="1">
      <alignment vertical="center"/>
    </xf>
    <xf borderId="1" fillId="2" fontId="11" numFmtId="3" xfId="0" applyAlignment="1" applyBorder="1" applyFont="1" applyNumberFormat="1">
      <alignment vertical="center"/>
    </xf>
    <xf borderId="8" fillId="2" fontId="5" numFmtId="3" xfId="0" applyAlignment="1" applyBorder="1" applyFont="1" applyNumberFormat="1">
      <alignment horizontal="left" vertical="center"/>
    </xf>
    <xf quotePrefix="1" borderId="10" fillId="2" fontId="5" numFmtId="3" xfId="0" applyAlignment="1" applyBorder="1" applyFont="1" applyNumberFormat="1">
      <alignment horizontal="left" vertical="center"/>
    </xf>
    <xf borderId="11" fillId="2" fontId="5" numFmtId="3" xfId="0" applyAlignment="1" applyBorder="1" applyFont="1" applyNumberFormat="1">
      <alignment vertical="center"/>
    </xf>
    <xf borderId="12" fillId="2" fontId="8" numFmtId="3" xfId="0" applyAlignment="1" applyBorder="1" applyFont="1" applyNumberFormat="1">
      <alignment vertical="center"/>
    </xf>
    <xf borderId="1" fillId="2" fontId="5" numFmtId="3" xfId="0" applyAlignment="1" applyBorder="1" applyFont="1" applyNumberFormat="1">
      <alignment horizontal="left" vertical="center"/>
    </xf>
    <xf borderId="9" fillId="2" fontId="9" numFmtId="3" xfId="0" applyAlignment="1" applyBorder="1" applyFont="1" applyNumberFormat="1">
      <alignment horizontal="left" vertical="center"/>
    </xf>
    <xf borderId="1" fillId="2" fontId="9" numFmtId="3" xfId="0" applyAlignment="1" applyBorder="1" applyFont="1" applyNumberFormat="1">
      <alignment horizontal="right" vertical="center"/>
    </xf>
    <xf borderId="1" fillId="2" fontId="2" numFmtId="3" xfId="0" applyAlignment="1" applyBorder="1" applyFont="1" applyNumberFormat="1">
      <alignment vertical="center"/>
    </xf>
    <xf borderId="9" fillId="2" fontId="2" numFmtId="3" xfId="0" applyAlignment="1" applyBorder="1" applyFont="1" applyNumberFormat="1">
      <alignment vertical="center"/>
    </xf>
    <xf borderId="1" fillId="2" fontId="9" numFmtId="3" xfId="0" applyAlignment="1" applyBorder="1" applyFont="1" applyNumberFormat="1">
      <alignment vertical="center"/>
    </xf>
    <xf borderId="1" fillId="2" fontId="2" numFmtId="3" xfId="0" applyAlignment="1" applyBorder="1" applyFont="1" applyNumberFormat="1">
      <alignment horizontal="right" vertical="center"/>
    </xf>
    <xf borderId="9" fillId="2" fontId="5" numFmtId="3" xfId="0" applyAlignment="1" applyBorder="1" applyFont="1" applyNumberFormat="1">
      <alignment vertical="center"/>
    </xf>
    <xf quotePrefix="1" borderId="8" fillId="2" fontId="2" numFmtId="3" xfId="0" applyAlignment="1" applyBorder="1" applyFont="1" applyNumberFormat="1">
      <alignment horizontal="left" vertical="center"/>
    </xf>
    <xf borderId="1" fillId="2" fontId="5" numFmtId="3" xfId="0" applyAlignment="1" applyBorder="1" applyFont="1" applyNumberFormat="1">
      <alignment horizontal="right" vertical="center"/>
    </xf>
    <xf borderId="8" fillId="2" fontId="8" numFmtId="3" xfId="0" applyAlignment="1" applyBorder="1" applyFont="1" applyNumberFormat="1">
      <alignment horizontal="left" vertical="center"/>
    </xf>
    <xf borderId="9" fillId="2" fontId="2" numFmtId="3" xfId="0" applyAlignment="1" applyBorder="1" applyFont="1" applyNumberFormat="1">
      <alignment horizontal="center" vertical="center"/>
    </xf>
    <xf borderId="1" fillId="2" fontId="1" numFmtId="3" xfId="0" applyAlignment="1" applyBorder="1" applyFont="1" applyNumberFormat="1">
      <alignment horizontal="center" vertical="center"/>
    </xf>
    <xf borderId="11" fillId="2" fontId="2" numFmtId="3" xfId="0" applyAlignment="1" applyBorder="1" applyFont="1" applyNumberFormat="1">
      <alignment vertical="center"/>
    </xf>
    <xf borderId="12" fillId="2" fontId="5" numFmtId="3" xfId="0" applyAlignment="1" applyBorder="1" applyFont="1" applyNumberFormat="1">
      <alignment vertical="center"/>
    </xf>
    <xf borderId="9" fillId="2" fontId="5" numFmtId="3" xfId="0" applyAlignment="1" applyBorder="1" applyFont="1" applyNumberFormat="1">
      <alignment horizontal="right" vertical="center"/>
    </xf>
    <xf borderId="8" fillId="2" fontId="5" numFmtId="3" xfId="0" applyAlignment="1" applyBorder="1" applyFont="1" applyNumberFormat="1">
      <alignment horizontal="right" vertical="center"/>
    </xf>
    <xf borderId="8" fillId="2" fontId="9" numFmtId="3" xfId="0" applyAlignment="1" applyBorder="1" applyFont="1" applyNumberFormat="1">
      <alignment horizontal="left" vertical="center"/>
    </xf>
    <xf borderId="2" fillId="2" fontId="2" numFmtId="3" xfId="0" applyAlignment="1" applyBorder="1" applyFont="1" applyNumberFormat="1">
      <alignment horizontal="left" vertical="center"/>
    </xf>
    <xf borderId="2" fillId="2" fontId="2" numFmtId="3" xfId="0" applyAlignment="1" applyBorder="1" applyFont="1" applyNumberFormat="1">
      <alignment horizontal="left" shrinkToFit="0" vertical="center" wrapText="1"/>
    </xf>
    <xf borderId="1" fillId="2" fontId="2" numFmtId="3" xfId="0" applyAlignment="1" applyBorder="1" applyFont="1" applyNumberFormat="1">
      <alignment shrinkToFit="0" vertical="center" wrapText="1"/>
    </xf>
    <xf borderId="1" fillId="2" fontId="1" numFmtId="3" xfId="0" applyAlignment="1" applyBorder="1" applyFont="1" applyNumberFormat="1">
      <alignment horizontal="left" vertical="center"/>
    </xf>
    <xf borderId="0" fillId="0" fontId="1" numFmtId="0" xfId="0" applyAlignment="1" applyFont="1">
      <alignment vertical="center"/>
    </xf>
    <xf borderId="0" fillId="0" fontId="1" numFmtId="164" xfId="0" applyAlignment="1" applyFont="1" applyNumberFormat="1">
      <alignment vertical="center"/>
    </xf>
    <xf borderId="1" fillId="2" fontId="12" numFmtId="0" xfId="0" applyAlignment="1" applyBorder="1" applyFont="1">
      <alignment vertical="center"/>
    </xf>
    <xf borderId="1" fillId="2" fontId="2" numFmtId="164" xfId="0" applyAlignment="1" applyBorder="1" applyFont="1" applyNumberFormat="1">
      <alignment vertical="center"/>
    </xf>
    <xf borderId="1" fillId="2" fontId="2" numFmtId="166" xfId="0" applyAlignment="1" applyBorder="1" applyFont="1" applyNumberFormat="1">
      <alignment vertical="center"/>
    </xf>
    <xf borderId="2" fillId="2" fontId="2" numFmtId="166" xfId="0" applyAlignment="1" applyBorder="1" applyFont="1" applyNumberFormat="1">
      <alignment horizontal="right" vertical="center"/>
    </xf>
    <xf borderId="1" fillId="2" fontId="13" numFmtId="0" xfId="0" applyAlignment="1" applyBorder="1" applyFont="1">
      <alignment vertical="center"/>
    </xf>
    <xf borderId="1" fillId="2" fontId="14" numFmtId="164" xfId="0" applyAlignment="1" applyBorder="1" applyFont="1" applyNumberFormat="1">
      <alignment vertical="center"/>
    </xf>
    <xf borderId="1" fillId="2" fontId="2" numFmtId="166" xfId="0" applyAlignment="1" applyBorder="1" applyFont="1" applyNumberFormat="1">
      <alignment horizontal="right" vertical="center"/>
    </xf>
    <xf borderId="1" fillId="2" fontId="3" numFmtId="164" xfId="0" applyAlignment="1" applyBorder="1" applyFont="1" applyNumberFormat="1">
      <alignment vertical="center"/>
    </xf>
    <xf borderId="2" fillId="2" fontId="2" numFmtId="37" xfId="0" applyAlignment="1" applyBorder="1" applyFont="1" applyNumberFormat="1">
      <alignment horizontal="center" vertical="center"/>
    </xf>
    <xf borderId="2" fillId="2" fontId="5" numFmtId="37" xfId="0" applyAlignment="1" applyBorder="1" applyFont="1" applyNumberFormat="1">
      <alignment horizontal="center" vertical="center"/>
    </xf>
    <xf borderId="1" fillId="2" fontId="2" numFmtId="37" xfId="0" applyAlignment="1" applyBorder="1" applyFont="1" applyNumberFormat="1">
      <alignment horizontal="center" shrinkToFit="0" vertical="center" wrapText="1"/>
    </xf>
    <xf borderId="1" fillId="2" fontId="2" numFmtId="0" xfId="0" applyAlignment="1" applyBorder="1" applyFont="1">
      <alignment horizontal="center" shrinkToFit="0" vertical="center" wrapText="1"/>
    </xf>
    <xf borderId="13" fillId="2" fontId="5" numFmtId="3" xfId="0" applyAlignment="1" applyBorder="1" applyFont="1" applyNumberFormat="1">
      <alignment vertical="center"/>
    </xf>
    <xf borderId="14" fillId="2" fontId="5" numFmtId="3" xfId="0" applyAlignment="1" applyBorder="1" applyFont="1" applyNumberFormat="1">
      <alignment horizontal="center" vertical="center"/>
    </xf>
    <xf borderId="15" fillId="2" fontId="5" numFmtId="3" xfId="0" applyAlignment="1" applyBorder="1" applyFont="1" applyNumberFormat="1">
      <alignment horizontal="center" vertical="center"/>
    </xf>
    <xf borderId="16" fillId="2" fontId="5" numFmtId="3" xfId="0" applyAlignment="1" applyBorder="1" applyFont="1" applyNumberFormat="1">
      <alignment horizontal="center" vertical="center"/>
    </xf>
    <xf borderId="14" fillId="2" fontId="5" numFmtId="0" xfId="0" applyAlignment="1" applyBorder="1" applyFont="1">
      <alignment horizontal="center" vertical="center"/>
    </xf>
    <xf borderId="17" fillId="2" fontId="5" numFmtId="0" xfId="0" applyAlignment="1" applyBorder="1" applyFont="1">
      <alignment horizontal="center" vertical="center"/>
    </xf>
    <xf borderId="15" fillId="2" fontId="5" numFmtId="0" xfId="0" applyAlignment="1" applyBorder="1" applyFont="1">
      <alignment horizontal="center" vertical="center"/>
    </xf>
    <xf borderId="18" fillId="2" fontId="9" numFmtId="3" xfId="0" applyAlignment="1" applyBorder="1" applyFont="1" applyNumberFormat="1">
      <alignment vertical="center"/>
    </xf>
    <xf borderId="19" fillId="2" fontId="2" numFmtId="3" xfId="0" applyAlignment="1" applyBorder="1" applyFont="1" applyNumberFormat="1">
      <alignment vertical="center"/>
    </xf>
    <xf borderId="19" fillId="2" fontId="2" numFmtId="167" xfId="0" applyAlignment="1" applyBorder="1" applyFont="1" applyNumberFormat="1">
      <alignment vertical="center"/>
    </xf>
    <xf borderId="20" fillId="2" fontId="2" numFmtId="3" xfId="0" applyAlignment="1" applyBorder="1" applyFont="1" applyNumberFormat="1">
      <alignment vertical="center"/>
    </xf>
    <xf borderId="21" fillId="2" fontId="2" numFmtId="3" xfId="0" applyAlignment="1" applyBorder="1" applyFont="1" applyNumberFormat="1">
      <alignment vertical="center"/>
    </xf>
    <xf borderId="1" fillId="2" fontId="15" numFmtId="164" xfId="0" applyAlignment="1" applyBorder="1" applyFont="1" applyNumberFormat="1">
      <alignment horizontal="right" vertical="center"/>
    </xf>
    <xf borderId="22" fillId="2" fontId="9" numFmtId="3" xfId="0" applyAlignment="1" applyBorder="1" applyFont="1" applyNumberFormat="1">
      <alignment vertical="center"/>
    </xf>
    <xf borderId="23" fillId="2" fontId="2" numFmtId="3" xfId="0" applyAlignment="1" applyBorder="1" applyFont="1" applyNumberFormat="1">
      <alignment vertical="center"/>
    </xf>
    <xf borderId="24" fillId="2" fontId="2" numFmtId="3" xfId="0" applyAlignment="1" applyBorder="1" applyFont="1" applyNumberFormat="1">
      <alignment vertical="center"/>
    </xf>
    <xf borderId="25" fillId="2" fontId="2" numFmtId="3" xfId="0" applyAlignment="1" applyBorder="1" applyFont="1" applyNumberFormat="1">
      <alignment vertical="center"/>
    </xf>
    <xf borderId="26" fillId="2" fontId="2" numFmtId="9" xfId="0" applyAlignment="1" applyBorder="1" applyFont="1" applyNumberFormat="1">
      <alignment horizontal="center" vertical="center"/>
    </xf>
    <xf borderId="27" fillId="0" fontId="6" numFmtId="0" xfId="0" applyBorder="1" applyFont="1"/>
    <xf borderId="23" fillId="2" fontId="2" numFmtId="166" xfId="0" applyAlignment="1" applyBorder="1" applyFont="1" applyNumberFormat="1">
      <alignment vertical="center"/>
    </xf>
    <xf borderId="1" fillId="2" fontId="2" numFmtId="9" xfId="0" applyAlignment="1" applyBorder="1" applyFont="1" applyNumberFormat="1">
      <alignment horizontal="center" vertical="center"/>
    </xf>
    <xf borderId="1" fillId="2" fontId="5" numFmtId="0" xfId="0" applyAlignment="1" applyBorder="1" applyFont="1">
      <alignment vertical="center"/>
    </xf>
    <xf borderId="22" fillId="2" fontId="8" numFmtId="3" xfId="0" applyAlignment="1" applyBorder="1" applyFont="1" applyNumberFormat="1">
      <alignment vertical="center"/>
    </xf>
    <xf borderId="23" fillId="2" fontId="5" numFmtId="3" xfId="0" applyAlignment="1" applyBorder="1" applyFont="1" applyNumberFormat="1">
      <alignment vertical="center"/>
    </xf>
    <xf borderId="23" fillId="2" fontId="5" numFmtId="167" xfId="0" applyAlignment="1" applyBorder="1" applyFont="1" applyNumberFormat="1">
      <alignment vertical="center"/>
    </xf>
    <xf borderId="25" fillId="2" fontId="5" numFmtId="3" xfId="0" applyAlignment="1" applyBorder="1" applyFont="1" applyNumberFormat="1">
      <alignment vertical="center"/>
    </xf>
    <xf borderId="1" fillId="2" fontId="5" numFmtId="164" xfId="0" applyAlignment="1" applyBorder="1" applyFont="1" applyNumberFormat="1">
      <alignment vertical="center"/>
    </xf>
    <xf borderId="23" fillId="2" fontId="2" numFmtId="167" xfId="0" applyAlignment="1" applyBorder="1" applyFont="1" applyNumberFormat="1">
      <alignment vertical="center"/>
    </xf>
    <xf borderId="1" fillId="2" fontId="2" numFmtId="9" xfId="0" applyAlignment="1" applyBorder="1" applyFont="1" applyNumberFormat="1">
      <alignment vertical="center"/>
    </xf>
    <xf borderId="24" fillId="2" fontId="2" numFmtId="167" xfId="0" applyAlignment="1" applyBorder="1" applyFont="1" applyNumberFormat="1">
      <alignment vertical="center"/>
    </xf>
    <xf borderId="23" fillId="2" fontId="2" numFmtId="9" xfId="0" applyAlignment="1" applyBorder="1" applyFont="1" applyNumberFormat="1">
      <alignment vertical="center"/>
    </xf>
    <xf borderId="25" fillId="2" fontId="2" numFmtId="9" xfId="0" applyAlignment="1" applyBorder="1" applyFont="1" applyNumberFormat="1">
      <alignment vertical="center"/>
    </xf>
    <xf borderId="22" fillId="2" fontId="2" numFmtId="3" xfId="0" applyAlignment="1" applyBorder="1" applyFont="1" applyNumberFormat="1">
      <alignment vertical="center"/>
    </xf>
    <xf borderId="23" fillId="2" fontId="2" numFmtId="0" xfId="0" applyAlignment="1" applyBorder="1" applyFont="1">
      <alignment vertical="center"/>
    </xf>
    <xf borderId="24" fillId="2" fontId="2" numFmtId="166" xfId="0" applyAlignment="1" applyBorder="1" applyFont="1" applyNumberFormat="1">
      <alignment vertical="center"/>
    </xf>
    <xf borderId="25" fillId="2" fontId="2" numFmtId="166" xfId="0" applyAlignment="1" applyBorder="1" applyFont="1" applyNumberFormat="1">
      <alignment vertical="center"/>
    </xf>
    <xf borderId="22" fillId="2" fontId="5" numFmtId="3" xfId="0" applyAlignment="1" applyBorder="1" applyFont="1" applyNumberFormat="1">
      <alignment vertical="center"/>
    </xf>
    <xf borderId="23" fillId="2" fontId="5" numFmtId="166" xfId="0" applyAlignment="1" applyBorder="1" applyFont="1" applyNumberFormat="1">
      <alignment vertical="center"/>
    </xf>
    <xf borderId="24" fillId="2" fontId="5" numFmtId="166" xfId="0" applyAlignment="1" applyBorder="1" applyFont="1" applyNumberFormat="1">
      <alignment vertical="center"/>
    </xf>
    <xf borderId="25" fillId="2" fontId="5" numFmtId="167" xfId="0" applyAlignment="1" applyBorder="1" applyFont="1" applyNumberFormat="1">
      <alignment vertical="center"/>
    </xf>
    <xf borderId="28" fillId="2" fontId="2" numFmtId="3" xfId="0" applyAlignment="1" applyBorder="1" applyFont="1" applyNumberFormat="1">
      <alignment vertical="center"/>
    </xf>
    <xf borderId="29" fillId="2" fontId="2" numFmtId="3" xfId="0" applyAlignment="1" applyBorder="1" applyFont="1" applyNumberFormat="1">
      <alignment vertical="center"/>
    </xf>
    <xf borderId="30" fillId="2" fontId="2" numFmtId="3" xfId="0" applyAlignment="1" applyBorder="1" applyFont="1" applyNumberFormat="1">
      <alignment vertical="center"/>
    </xf>
    <xf borderId="29" fillId="2" fontId="2" numFmtId="0" xfId="0" applyAlignment="1" applyBorder="1" applyFont="1">
      <alignment vertical="center"/>
    </xf>
    <xf borderId="29" fillId="2" fontId="2" numFmtId="166" xfId="0" applyAlignment="1" applyBorder="1" applyFont="1" applyNumberFormat="1">
      <alignment vertical="center"/>
    </xf>
    <xf borderId="31" fillId="2" fontId="2" numFmtId="166" xfId="0" applyAlignment="1" applyBorder="1" applyFont="1" applyNumberFormat="1">
      <alignment vertical="center"/>
    </xf>
    <xf borderId="32" fillId="2" fontId="2" numFmtId="166" xfId="0" applyAlignment="1" applyBorder="1" applyFont="1" applyNumberFormat="1">
      <alignment vertical="center"/>
    </xf>
    <xf borderId="14" fillId="2" fontId="5" numFmtId="3" xfId="0" applyAlignment="1" applyBorder="1" applyFont="1" applyNumberFormat="1">
      <alignment vertical="center"/>
    </xf>
    <xf borderId="16" fillId="2" fontId="5" numFmtId="3" xfId="0" applyAlignment="1" applyBorder="1" applyFont="1" applyNumberFormat="1">
      <alignment vertical="center"/>
    </xf>
    <xf borderId="14" fillId="2" fontId="5" numFmtId="167" xfId="0" applyAlignment="1" applyBorder="1" applyFont="1" applyNumberFormat="1">
      <alignment vertical="center"/>
    </xf>
    <xf borderId="15" fillId="2" fontId="5" numFmtId="167" xfId="0" applyAlignment="1" applyBorder="1" applyFont="1" applyNumberFormat="1">
      <alignment vertical="center"/>
    </xf>
    <xf borderId="18" fillId="2" fontId="2" numFmtId="3" xfId="0" applyAlignment="1" applyBorder="1" applyFont="1" applyNumberFormat="1">
      <alignment vertical="center"/>
    </xf>
    <xf borderId="33" fillId="2" fontId="2" numFmtId="3" xfId="0" applyAlignment="1" applyBorder="1" applyFont="1" applyNumberFormat="1">
      <alignment vertical="center"/>
    </xf>
    <xf borderId="19" fillId="2" fontId="2" numFmtId="166" xfId="0" applyAlignment="1" applyBorder="1" applyFont="1" applyNumberFormat="1">
      <alignment vertical="center"/>
    </xf>
    <xf borderId="34" fillId="2" fontId="2" numFmtId="166" xfId="0" applyAlignment="1" applyBorder="1" applyFont="1" applyNumberFormat="1">
      <alignment vertical="center"/>
    </xf>
    <xf borderId="35" fillId="2" fontId="2" numFmtId="166" xfId="0" applyAlignment="1" applyBorder="1" applyFont="1" applyNumberFormat="1">
      <alignment vertical="center"/>
    </xf>
    <xf borderId="36" fillId="2" fontId="2" numFmtId="166" xfId="0" applyAlignment="1" applyBorder="1" applyFont="1" applyNumberFormat="1">
      <alignment vertical="center"/>
    </xf>
    <xf borderId="23" fillId="2" fontId="5" numFmtId="3" xfId="0" applyAlignment="1" applyBorder="1" applyFont="1" applyNumberFormat="1">
      <alignment horizontal="center" vertical="center"/>
    </xf>
    <xf borderId="23" fillId="2" fontId="5" numFmtId="0" xfId="0" applyAlignment="1" applyBorder="1" applyFont="1">
      <alignment horizontal="center" vertical="center"/>
    </xf>
    <xf borderId="25" fillId="2" fontId="5" numFmtId="0" xfId="0" applyAlignment="1" applyBorder="1" applyFont="1">
      <alignment horizontal="center" vertical="center"/>
    </xf>
    <xf borderId="25" fillId="2" fontId="2" numFmtId="167" xfId="0" applyAlignment="1" applyBorder="1" applyFont="1" applyNumberFormat="1">
      <alignment vertical="center"/>
    </xf>
    <xf borderId="23" fillId="2" fontId="2" numFmtId="10" xfId="0" applyAlignment="1" applyBorder="1" applyFont="1" applyNumberFormat="1">
      <alignment vertical="center"/>
    </xf>
    <xf borderId="25" fillId="2" fontId="2" numFmtId="10" xfId="0" applyAlignment="1" applyBorder="1" applyFont="1" applyNumberFormat="1">
      <alignment vertical="center"/>
    </xf>
    <xf borderId="22" fillId="2" fontId="9" numFmtId="3" xfId="0" applyAlignment="1" applyBorder="1" applyFont="1" applyNumberFormat="1">
      <alignment shrinkToFit="0" vertical="center" wrapText="1"/>
    </xf>
    <xf borderId="37" fillId="2" fontId="9" numFmtId="3" xfId="0" applyAlignment="1" applyBorder="1" applyFont="1" applyNumberFormat="1">
      <alignment vertical="center"/>
    </xf>
    <xf borderId="38" fillId="2" fontId="2" numFmtId="10" xfId="0" applyAlignment="1" applyBorder="1" applyFont="1" applyNumberFormat="1">
      <alignment vertical="center"/>
    </xf>
    <xf borderId="39" fillId="2" fontId="2" numFmtId="10" xfId="0" applyAlignment="1" applyBorder="1" applyFont="1" applyNumberFormat="1">
      <alignment vertical="center"/>
    </xf>
    <xf borderId="6" fillId="2" fontId="16" numFmtId="3" xfId="0" applyAlignment="1" applyBorder="1" applyFont="1" applyNumberFormat="1">
      <alignment vertical="center"/>
    </xf>
    <xf borderId="1" fillId="2" fontId="14" numFmtId="3" xfId="0" applyAlignment="1" applyBorder="1" applyFont="1" applyNumberFormat="1">
      <alignment vertical="center"/>
    </xf>
    <xf borderId="9" fillId="2" fontId="14" numFmtId="3" xfId="0" applyAlignment="1" applyBorder="1" applyFont="1" applyNumberFormat="1">
      <alignment vertical="center"/>
    </xf>
    <xf borderId="1" fillId="2" fontId="14" numFmtId="0" xfId="0" applyAlignment="1" applyBorder="1" applyFont="1">
      <alignment vertical="center"/>
    </xf>
    <xf borderId="1" fillId="2" fontId="14" numFmtId="166" xfId="0" applyAlignment="1" applyBorder="1" applyFont="1" applyNumberFormat="1">
      <alignment vertical="center"/>
    </xf>
    <xf borderId="0" fillId="0" fontId="2" numFmtId="0" xfId="0" applyAlignment="1" applyFont="1">
      <alignment vertical="center"/>
    </xf>
    <xf borderId="0" fillId="0" fontId="2" numFmtId="166" xfId="0" applyAlignment="1" applyFont="1" applyNumberFormat="1">
      <alignment vertical="center"/>
    </xf>
    <xf borderId="1" fillId="2" fontId="2" numFmtId="40" xfId="0" applyAlignment="1" applyBorder="1" applyFont="1" applyNumberFormat="1">
      <alignment horizontal="left" vertical="center"/>
    </xf>
    <xf borderId="1" fillId="2" fontId="2" numFmtId="40" xfId="0" applyAlignment="1" applyBorder="1" applyFont="1" applyNumberFormat="1">
      <alignment vertical="center"/>
    </xf>
    <xf borderId="1" fillId="2" fontId="2" numFmtId="40" xfId="0" applyAlignment="1" applyBorder="1" applyFont="1" applyNumberFormat="1">
      <alignment horizontal="right" vertical="center"/>
    </xf>
    <xf borderId="1" fillId="2" fontId="12" numFmtId="40" xfId="0" applyAlignment="1" applyBorder="1" applyFont="1" applyNumberFormat="1">
      <alignment horizontal="right" vertical="center"/>
    </xf>
    <xf borderId="1" fillId="2" fontId="13" numFmtId="40" xfId="0" applyAlignment="1" applyBorder="1" applyFont="1" applyNumberFormat="1">
      <alignment horizontal="right" vertical="center"/>
    </xf>
    <xf borderId="2" fillId="2" fontId="2" numFmtId="0" xfId="0" applyAlignment="1" applyBorder="1" applyFont="1">
      <alignment horizontal="center" vertical="center"/>
    </xf>
    <xf borderId="13" fillId="2" fontId="8" numFmtId="37" xfId="0" applyAlignment="1" applyBorder="1" applyFont="1" applyNumberFormat="1">
      <alignment horizontal="center" shrinkToFit="0" vertical="center" wrapText="1"/>
    </xf>
    <xf borderId="14" fillId="2" fontId="8" numFmtId="40" xfId="0" applyAlignment="1" applyBorder="1" applyFont="1" applyNumberFormat="1">
      <alignment horizontal="center" shrinkToFit="0" vertical="center" wrapText="1"/>
    </xf>
    <xf borderId="15" fillId="2" fontId="8" numFmtId="40" xfId="0" applyAlignment="1" applyBorder="1" applyFont="1" applyNumberFormat="1">
      <alignment horizontal="center" shrinkToFit="0" vertical="center" wrapText="1"/>
    </xf>
    <xf borderId="0" fillId="0" fontId="5" numFmtId="0" xfId="0" applyAlignment="1" applyFont="1">
      <alignment vertical="center"/>
    </xf>
    <xf borderId="18" fillId="2" fontId="9" numFmtId="3" xfId="0" applyAlignment="1" applyBorder="1" applyFont="1" applyNumberFormat="1">
      <alignment horizontal="left" vertical="center"/>
    </xf>
    <xf borderId="19" fillId="2" fontId="9" numFmtId="3" xfId="0" applyAlignment="1" applyBorder="1" applyFont="1" applyNumberFormat="1">
      <alignment horizontal="right" shrinkToFit="0" vertical="center" wrapText="1"/>
    </xf>
    <xf borderId="21" fillId="2" fontId="9" numFmtId="3" xfId="0" applyAlignment="1" applyBorder="1" applyFont="1" applyNumberFormat="1">
      <alignment shrinkToFit="0" vertical="center" wrapText="1"/>
    </xf>
    <xf borderId="22" fillId="2" fontId="9" numFmtId="3" xfId="0" applyAlignment="1" applyBorder="1" applyFont="1" applyNumberFormat="1">
      <alignment horizontal="left" vertical="center"/>
    </xf>
    <xf borderId="23" fillId="2" fontId="9" numFmtId="3" xfId="0" applyAlignment="1" applyBorder="1" applyFont="1" applyNumberFormat="1">
      <alignment vertical="center"/>
    </xf>
    <xf borderId="25" fillId="2" fontId="9" numFmtId="3" xfId="0" applyAlignment="1" applyBorder="1" applyFont="1" applyNumberFormat="1">
      <alignment shrinkToFit="0" vertical="center" wrapText="1"/>
    </xf>
    <xf quotePrefix="1" borderId="22" fillId="2" fontId="9" numFmtId="3" xfId="0" applyAlignment="1" applyBorder="1" applyFont="1" applyNumberFormat="1">
      <alignment horizontal="left" vertical="center"/>
    </xf>
    <xf borderId="1" fillId="2" fontId="2" numFmtId="38" xfId="0" applyAlignment="1" applyBorder="1" applyFont="1" applyNumberFormat="1">
      <alignment vertical="center"/>
    </xf>
    <xf borderId="1" fillId="2" fontId="17" numFmtId="164" xfId="0" applyAlignment="1" applyBorder="1" applyFont="1" applyNumberFormat="1">
      <alignment vertical="center"/>
    </xf>
    <xf borderId="22" fillId="2" fontId="2" numFmtId="3" xfId="0" applyAlignment="1" applyBorder="1" applyFont="1" applyNumberFormat="1">
      <alignment horizontal="left" vertical="center"/>
    </xf>
    <xf borderId="28" fillId="2" fontId="9" numFmtId="3" xfId="0" applyAlignment="1" applyBorder="1" applyFont="1" applyNumberFormat="1">
      <alignment horizontal="left" vertical="center"/>
    </xf>
    <xf borderId="29" fillId="2" fontId="9" numFmtId="3" xfId="0" applyAlignment="1" applyBorder="1" applyFont="1" applyNumberFormat="1">
      <alignment vertical="center"/>
    </xf>
    <xf borderId="32" fillId="2" fontId="9" numFmtId="3" xfId="0" applyAlignment="1" applyBorder="1" applyFont="1" applyNumberFormat="1">
      <alignment shrinkToFit="0" vertical="center" wrapText="1"/>
    </xf>
    <xf borderId="13" fillId="2" fontId="8" numFmtId="3" xfId="0" applyAlignment="1" applyBorder="1" applyFont="1" applyNumberFormat="1">
      <alignment horizontal="left" vertical="center"/>
    </xf>
    <xf borderId="15" fillId="2" fontId="5" numFmtId="3" xfId="0" applyAlignment="1" applyBorder="1" applyFont="1" applyNumberFormat="1">
      <alignment vertical="center"/>
    </xf>
    <xf borderId="40" fillId="2" fontId="2" numFmtId="3" xfId="0" applyAlignment="1" applyBorder="1" applyFont="1" applyNumberFormat="1">
      <alignment horizontal="left" vertical="center"/>
    </xf>
    <xf borderId="34" fillId="2" fontId="9" numFmtId="3" xfId="0" applyAlignment="1" applyBorder="1" applyFont="1" applyNumberFormat="1">
      <alignment vertical="center"/>
    </xf>
    <xf borderId="34" fillId="2" fontId="2" numFmtId="3" xfId="0" applyAlignment="1" applyBorder="1" applyFont="1" applyNumberFormat="1">
      <alignment vertical="center"/>
    </xf>
    <xf borderId="36" fillId="2" fontId="2" numFmtId="3" xfId="0" applyAlignment="1" applyBorder="1" applyFont="1" applyNumberFormat="1">
      <alignment vertical="center"/>
    </xf>
    <xf borderId="13" fillId="2" fontId="5" numFmtId="3" xfId="0" applyAlignment="1" applyBorder="1" applyFont="1" applyNumberFormat="1">
      <alignment horizontal="left" vertical="center"/>
    </xf>
    <xf borderId="1" fillId="2" fontId="5" numFmtId="38" xfId="0" applyAlignment="1" applyBorder="1" applyFont="1" applyNumberFormat="1">
      <alignment vertical="center"/>
    </xf>
    <xf borderId="2" fillId="2" fontId="14" numFmtId="0" xfId="0" applyAlignment="1" applyBorder="1" applyFont="1">
      <alignment horizontal="left" shrinkToFit="0" vertical="center" wrapText="1"/>
    </xf>
    <xf borderId="1" fillId="2" fontId="2" numFmtId="0" xfId="0" applyAlignment="1" applyBorder="1" applyFont="1">
      <alignment vertical="top"/>
    </xf>
    <xf borderId="2" fillId="2" fontId="16" numFmtId="37" xfId="0" applyAlignment="1" applyBorder="1" applyFont="1" applyNumberFormat="1">
      <alignment horizontal="left" shrinkToFit="0" vertical="top" wrapText="1"/>
    </xf>
    <xf borderId="0" fillId="0" fontId="2" numFmtId="0" xfId="0" applyAlignment="1" applyFont="1">
      <alignment vertical="top"/>
    </xf>
    <xf borderId="1" fillId="2" fontId="9" numFmtId="37" xfId="0" applyAlignment="1" applyBorder="1" applyFont="1" applyNumberFormat="1">
      <alignment vertical="center"/>
    </xf>
    <xf borderId="1" fillId="2" fontId="14" numFmtId="40" xfId="0" applyAlignment="1" applyBorder="1" applyFont="1" applyNumberFormat="1">
      <alignment vertical="center"/>
    </xf>
    <xf borderId="1" fillId="2" fontId="18" numFmtId="40" xfId="0" applyAlignment="1" applyBorder="1" applyFont="1" applyNumberFormat="1">
      <alignment vertical="center"/>
    </xf>
    <xf borderId="1" fillId="2" fontId="19" numFmtId="40" xfId="0" applyAlignment="1" applyBorder="1" applyFont="1" applyNumberFormat="1">
      <alignment vertical="center"/>
    </xf>
    <xf borderId="1" fillId="2" fontId="20" numFmtId="0" xfId="0" applyAlignment="1" applyBorder="1" applyFont="1">
      <alignment vertical="center"/>
    </xf>
    <xf borderId="1" fillId="2" fontId="20" numFmtId="0" xfId="0" applyAlignment="1" applyBorder="1" applyFont="1">
      <alignment shrinkToFit="0" vertical="center" wrapText="1"/>
    </xf>
    <xf borderId="1" fillId="2" fontId="20" numFmtId="38" xfId="0" applyAlignment="1" applyBorder="1" applyFont="1" applyNumberFormat="1">
      <alignment vertical="center"/>
    </xf>
    <xf borderId="0" fillId="0" fontId="2" numFmtId="40" xfId="0" applyAlignment="1" applyFont="1" applyNumberFormat="1">
      <alignment vertical="center"/>
    </xf>
    <xf borderId="0" fillId="0" fontId="19" numFmtId="40" xfId="0" applyAlignment="1" applyFont="1" applyNumberFormat="1">
      <alignment vertical="center"/>
    </xf>
    <xf borderId="1" fillId="2" fontId="20" numFmtId="0" xfId="0" applyBorder="1" applyFont="1"/>
    <xf borderId="2" fillId="2" fontId="12" numFmtId="39" xfId="0" applyAlignment="1" applyBorder="1" applyFont="1" applyNumberFormat="1">
      <alignment horizontal="left"/>
    </xf>
    <xf borderId="1" fillId="2" fontId="2" numFmtId="40" xfId="0" applyBorder="1" applyFont="1" applyNumberFormat="1"/>
    <xf borderId="2" fillId="2" fontId="2" numFmtId="40" xfId="0" applyAlignment="1" applyBorder="1" applyFont="1" applyNumberFormat="1">
      <alignment horizontal="right"/>
    </xf>
    <xf borderId="1" fillId="2" fontId="20" numFmtId="164" xfId="0" applyBorder="1" applyFont="1" applyNumberFormat="1"/>
    <xf borderId="1" fillId="2" fontId="12" numFmtId="39" xfId="0" applyAlignment="1" applyBorder="1" applyFont="1" applyNumberFormat="1">
      <alignment horizontal="left"/>
    </xf>
    <xf borderId="1" fillId="2" fontId="2" numFmtId="40" xfId="0" applyAlignment="1" applyBorder="1" applyFont="1" applyNumberFormat="1">
      <alignment horizontal="right"/>
    </xf>
    <xf borderId="1" fillId="2" fontId="12" numFmtId="0" xfId="0" applyAlignment="1" applyBorder="1" applyFont="1">
      <alignment horizontal="left"/>
    </xf>
    <xf borderId="1" fillId="2" fontId="2" numFmtId="0" xfId="0" applyBorder="1" applyFont="1"/>
    <xf borderId="1" fillId="2" fontId="21" numFmtId="0" xfId="0" applyBorder="1" applyFont="1"/>
    <xf borderId="2" fillId="2" fontId="2" numFmtId="0" xfId="0" applyAlignment="1" applyBorder="1" applyFont="1">
      <alignment horizontal="center" vertical="top"/>
    </xf>
    <xf borderId="2" fillId="2" fontId="5" numFmtId="37" xfId="0" applyAlignment="1" applyBorder="1" applyFont="1" applyNumberFormat="1">
      <alignment horizontal="center" vertical="top"/>
    </xf>
    <xf borderId="2" fillId="2" fontId="2" numFmtId="37" xfId="0" applyAlignment="1" applyBorder="1" applyFont="1" applyNumberFormat="1">
      <alignment horizontal="center" vertical="top"/>
    </xf>
    <xf borderId="1" fillId="2" fontId="22" numFmtId="37" xfId="0" applyAlignment="1" applyBorder="1" applyFont="1" applyNumberFormat="1">
      <alignment horizontal="center" vertical="top"/>
    </xf>
    <xf borderId="13" fillId="2" fontId="8" numFmtId="37" xfId="0" applyAlignment="1" applyBorder="1" applyFont="1" applyNumberFormat="1">
      <alignment horizontal="center" vertical="center"/>
    </xf>
    <xf borderId="16" fillId="2" fontId="8" numFmtId="40" xfId="0" applyAlignment="1" applyBorder="1" applyFont="1" applyNumberFormat="1">
      <alignment horizontal="center" shrinkToFit="0" vertical="center" wrapText="1"/>
    </xf>
    <xf borderId="17" fillId="2" fontId="8" numFmtId="40" xfId="0" applyAlignment="1" applyBorder="1" applyFont="1" applyNumberFormat="1">
      <alignment horizontal="center" shrinkToFit="0" vertical="center" wrapText="1"/>
    </xf>
    <xf borderId="1" fillId="2" fontId="21" numFmtId="164" xfId="0" applyBorder="1" applyFont="1" applyNumberFormat="1"/>
    <xf borderId="19" fillId="2" fontId="9" numFmtId="3" xfId="0" applyAlignment="1" applyBorder="1" applyFont="1" applyNumberFormat="1">
      <alignment vertical="center"/>
    </xf>
    <xf borderId="32" fillId="2" fontId="2" numFmtId="3" xfId="0" applyAlignment="1" applyBorder="1" applyFont="1" applyNumberFormat="1">
      <alignment vertical="center"/>
    </xf>
    <xf borderId="40" fillId="2" fontId="9" numFmtId="3" xfId="0" applyAlignment="1" applyBorder="1" applyFont="1" applyNumberFormat="1">
      <alignment horizontal="left" vertical="center"/>
    </xf>
    <xf borderId="22" fillId="2" fontId="9" numFmtId="37" xfId="0" applyAlignment="1" applyBorder="1" applyFont="1" applyNumberFormat="1">
      <alignment horizontal="left" vertical="center"/>
    </xf>
    <xf borderId="14" fillId="2" fontId="9" numFmtId="3" xfId="0" applyAlignment="1" applyBorder="1" applyFont="1" applyNumberFormat="1">
      <alignment vertical="center"/>
    </xf>
    <xf borderId="34" fillId="2" fontId="19" numFmtId="3" xfId="0" applyAlignment="1" applyBorder="1" applyFont="1" applyNumberFormat="1">
      <alignment vertical="center"/>
    </xf>
    <xf borderId="35" fillId="2" fontId="9" numFmtId="3" xfId="0" applyAlignment="1" applyBorder="1" applyFont="1" applyNumberFormat="1">
      <alignment vertical="center"/>
    </xf>
    <xf borderId="36" fillId="2" fontId="19" numFmtId="3" xfId="0" applyAlignment="1" applyBorder="1" applyFont="1" applyNumberFormat="1">
      <alignment vertical="center"/>
    </xf>
    <xf borderId="1" fillId="2" fontId="14" numFmtId="3" xfId="0" applyBorder="1" applyFont="1" applyNumberFormat="1"/>
    <xf borderId="1" fillId="2" fontId="18" numFmtId="3" xfId="0" applyAlignment="1" applyBorder="1" applyFont="1" applyNumberFormat="1">
      <alignment vertical="center"/>
    </xf>
    <xf borderId="13" fillId="2" fontId="9" numFmtId="3" xfId="0" applyAlignment="1" applyBorder="1" applyFont="1" applyNumberFormat="1">
      <alignment vertical="center"/>
    </xf>
    <xf borderId="15" fillId="2" fontId="2" numFmtId="3" xfId="0" applyAlignment="1" applyBorder="1" applyFont="1" applyNumberFormat="1">
      <alignment vertical="center"/>
    </xf>
    <xf borderId="1" fillId="2" fontId="20" numFmtId="38" xfId="0" applyBorder="1" applyFont="1" applyNumberFormat="1"/>
    <xf borderId="0" fillId="0" fontId="20" numFmtId="164" xfId="0" applyFont="1" applyNumberFormat="1"/>
    <xf borderId="0" fillId="0" fontId="12" numFmtId="39" xfId="0" applyAlignment="1" applyFont="1" applyNumberFormat="1">
      <alignment horizontal="left"/>
    </xf>
    <xf borderId="0" fillId="0" fontId="2" numFmtId="40" xfId="0" applyFont="1" applyNumberFormat="1"/>
    <xf borderId="0" fillId="0" fontId="12" numFmtId="40" xfId="0" applyFont="1" applyNumberFormat="1"/>
    <xf borderId="0" fillId="0" fontId="12" numFmtId="40" xfId="0" applyAlignment="1" applyFont="1" applyNumberFormat="1">
      <alignment horizontal="right"/>
    </xf>
    <xf borderId="0" fillId="0" fontId="12" numFmtId="0" xfId="0" applyAlignment="1" applyFont="1">
      <alignment horizontal="left"/>
    </xf>
    <xf borderId="0" fillId="0" fontId="2" numFmtId="0" xfId="0" applyFont="1"/>
    <xf borderId="0" fillId="0" fontId="2" numFmtId="0" xfId="0" applyAlignment="1" applyFont="1">
      <alignment horizontal="center" vertical="top"/>
    </xf>
    <xf borderId="0" fillId="0" fontId="5" numFmtId="37" xfId="0" applyAlignment="1" applyFont="1" applyNumberFormat="1">
      <alignment horizontal="center" vertical="top"/>
    </xf>
    <xf borderId="0" fillId="0" fontId="2" numFmtId="37" xfId="0" applyAlignment="1" applyFont="1" applyNumberFormat="1">
      <alignment horizontal="center" vertical="top"/>
    </xf>
    <xf borderId="13" fillId="0" fontId="23" numFmtId="37" xfId="0" applyAlignment="1" applyBorder="1" applyFont="1" applyNumberFormat="1">
      <alignment horizontal="center"/>
    </xf>
    <xf borderId="14" fillId="0" fontId="23" numFmtId="40" xfId="0" applyAlignment="1" applyBorder="1" applyFont="1" applyNumberFormat="1">
      <alignment horizontal="center" shrinkToFit="0" wrapText="1"/>
    </xf>
    <xf borderId="41" fillId="0" fontId="23" numFmtId="40" xfId="0" applyAlignment="1" applyBorder="1" applyFont="1" applyNumberFormat="1">
      <alignment horizontal="center" shrinkToFit="0" wrapText="1"/>
    </xf>
    <xf borderId="15" fillId="0" fontId="23" numFmtId="40" xfId="0" applyAlignment="1" applyBorder="1" applyFont="1" applyNumberFormat="1">
      <alignment horizontal="center" shrinkToFit="0" wrapText="1"/>
    </xf>
    <xf borderId="42" fillId="0" fontId="16" numFmtId="3" xfId="0" applyAlignment="1" applyBorder="1" applyFont="1" applyNumberFormat="1">
      <alignment horizontal="left" vertical="center"/>
    </xf>
    <xf borderId="43" fillId="0" fontId="16" numFmtId="3" xfId="0" applyAlignment="1" applyBorder="1" applyFont="1" applyNumberFormat="1">
      <alignment vertical="center"/>
    </xf>
    <xf borderId="44" fillId="0" fontId="23" numFmtId="3" xfId="0" applyAlignment="1" applyBorder="1" applyFont="1" applyNumberFormat="1">
      <alignment horizontal="center" shrinkToFit="0" vertical="top" wrapText="1"/>
    </xf>
    <xf borderId="43" fillId="0" fontId="23" numFmtId="3" xfId="0" applyAlignment="1" applyBorder="1" applyFont="1" applyNumberFormat="1">
      <alignment horizontal="center" shrinkToFit="0" vertical="top" wrapText="1"/>
    </xf>
    <xf borderId="45" fillId="0" fontId="14" numFmtId="3" xfId="0" applyAlignment="1" applyBorder="1" applyFont="1" applyNumberFormat="1">
      <alignment vertical="center"/>
    </xf>
    <xf borderId="0" fillId="0" fontId="20" numFmtId="3" xfId="0" applyFont="1" applyNumberFormat="1"/>
    <xf borderId="22" fillId="0" fontId="16" numFmtId="3" xfId="0" applyAlignment="1" applyBorder="1" applyFont="1" applyNumberFormat="1">
      <alignment horizontal="left" vertical="center"/>
    </xf>
    <xf borderId="23" fillId="0" fontId="16" numFmtId="3" xfId="0" applyAlignment="1" applyBorder="1" applyFont="1" applyNumberFormat="1">
      <alignment vertical="center"/>
    </xf>
    <xf borderId="25" fillId="0" fontId="14" numFmtId="3" xfId="0" applyAlignment="1" applyBorder="1" applyFont="1" applyNumberFormat="1">
      <alignment vertical="center"/>
    </xf>
    <xf quotePrefix="1" borderId="22" fillId="0" fontId="16" numFmtId="3" xfId="0" applyAlignment="1" applyBorder="1" applyFont="1" applyNumberFormat="1">
      <alignment horizontal="left" vertical="center"/>
    </xf>
    <xf borderId="23" fillId="3" fontId="16" numFmtId="3" xfId="0" applyAlignment="1" applyBorder="1" applyFill="1" applyFont="1" applyNumberFormat="1">
      <alignment vertical="center"/>
    </xf>
    <xf borderId="0" fillId="0" fontId="24" numFmtId="0" xfId="0" applyFont="1"/>
    <xf borderId="0" fillId="0" fontId="20" numFmtId="38" xfId="0" applyFont="1" applyNumberFormat="1"/>
    <xf borderId="46" fillId="0" fontId="16" numFmtId="3" xfId="0" applyAlignment="1" applyBorder="1" applyFont="1" applyNumberFormat="1">
      <alignment horizontal="left" vertical="center"/>
    </xf>
    <xf borderId="47" fillId="0" fontId="16" numFmtId="3" xfId="0" applyAlignment="1" applyBorder="1" applyFont="1" applyNumberFormat="1">
      <alignment vertical="center"/>
    </xf>
    <xf borderId="48" fillId="0" fontId="14" numFmtId="3" xfId="0" applyAlignment="1" applyBorder="1" applyFont="1" applyNumberFormat="1">
      <alignment vertical="center"/>
    </xf>
    <xf borderId="13" fillId="0" fontId="25" numFmtId="3" xfId="0" applyAlignment="1" applyBorder="1" applyFont="1" applyNumberFormat="1">
      <alignment horizontal="left" vertical="center"/>
    </xf>
    <xf borderId="14" fillId="0" fontId="25" numFmtId="3" xfId="0" applyAlignment="1" applyBorder="1" applyFont="1" applyNumberFormat="1">
      <alignment vertical="center"/>
    </xf>
    <xf borderId="14" fillId="0" fontId="26" numFmtId="3" xfId="0" applyAlignment="1" applyBorder="1" applyFont="1" applyNumberFormat="1">
      <alignment vertical="center"/>
    </xf>
    <xf borderId="15" fillId="0" fontId="25" numFmtId="3" xfId="0" applyAlignment="1" applyBorder="1" applyFont="1" applyNumberFormat="1">
      <alignment vertical="center"/>
    </xf>
    <xf borderId="0" fillId="0" fontId="25" numFmtId="168" xfId="0" applyAlignment="1" applyFont="1" applyNumberFormat="1">
      <alignment vertical="center"/>
    </xf>
    <xf borderId="13" fillId="0" fontId="16" numFmtId="3" xfId="0" applyAlignment="1" applyBorder="1" applyFont="1" applyNumberFormat="1">
      <alignment horizontal="left" vertical="center"/>
    </xf>
    <xf borderId="14" fillId="0" fontId="18" numFmtId="3" xfId="0" applyAlignment="1" applyBorder="1" applyFont="1" applyNumberFormat="1">
      <alignment vertical="center"/>
    </xf>
    <xf borderId="15" fillId="0" fontId="14" numFmtId="3" xfId="0" applyAlignment="1" applyBorder="1" applyFont="1" applyNumberFormat="1">
      <alignment vertical="center"/>
    </xf>
    <xf borderId="49" fillId="0" fontId="23" numFmtId="3" xfId="0" applyAlignment="1" applyBorder="1" applyFont="1" applyNumberFormat="1">
      <alignment horizontal="left" vertical="center"/>
    </xf>
    <xf borderId="50" fillId="0" fontId="27" numFmtId="3" xfId="0" applyBorder="1" applyFont="1" applyNumberFormat="1"/>
    <xf borderId="50" fillId="0" fontId="28" numFmtId="3" xfId="0" applyBorder="1" applyFont="1" applyNumberFormat="1"/>
    <xf borderId="51" fillId="0" fontId="27" numFmtId="3" xfId="0" applyBorder="1" applyFont="1" applyNumberFormat="1"/>
    <xf borderId="0" fillId="0" fontId="20" numFmtId="168" xfId="0" applyFont="1" applyNumberFormat="1"/>
    <xf borderId="0" fillId="0" fontId="14" numFmtId="3" xfId="0" applyFont="1" applyNumberFormat="1"/>
    <xf borderId="0" fillId="0" fontId="18" numFmtId="3" xfId="0" applyAlignment="1" applyFont="1" applyNumberFormat="1">
      <alignment vertical="center"/>
    </xf>
    <xf borderId="13" fillId="0" fontId="29" numFmtId="3" xfId="0" applyAlignment="1" applyBorder="1" applyFont="1" applyNumberFormat="1">
      <alignment vertical="center"/>
    </xf>
    <xf borderId="14" fillId="0" fontId="29" numFmtId="3" xfId="0" applyAlignment="1" applyBorder="1" applyFont="1" applyNumberFormat="1">
      <alignment vertical="center"/>
    </xf>
    <xf borderId="14" fillId="0" fontId="30" numFmtId="3" xfId="0" applyAlignment="1" applyBorder="1" applyFont="1" applyNumberFormat="1">
      <alignment vertical="center"/>
    </xf>
    <xf borderId="15" fillId="0" fontId="18" numFmtId="3" xfId="0" applyAlignment="1" applyBorder="1" applyFont="1" applyNumberFormat="1">
      <alignment vertical="center"/>
    </xf>
    <xf borderId="52" fillId="0" fontId="23" numFmtId="40" xfId="0" applyAlignment="1" applyBorder="1" applyFont="1" applyNumberFormat="1">
      <alignment horizontal="center" shrinkToFit="0" wrapText="1"/>
    </xf>
    <xf borderId="53" fillId="0" fontId="16" numFmtId="3" xfId="0" applyAlignment="1" applyBorder="1" applyFont="1" applyNumberFormat="1">
      <alignment horizontal="left" vertical="center"/>
    </xf>
    <xf borderId="35" fillId="3" fontId="16" numFmtId="3" xfId="0" applyAlignment="1" applyBorder="1" applyFont="1" applyNumberFormat="1">
      <alignment vertical="center"/>
    </xf>
    <xf borderId="19" fillId="3" fontId="16" numFmtId="3" xfId="0" applyAlignment="1" applyBorder="1" applyFont="1" applyNumberFormat="1">
      <alignment vertical="center"/>
    </xf>
    <xf borderId="1" fillId="3" fontId="16" numFmtId="3" xfId="0" applyAlignment="1" applyBorder="1" applyFont="1" applyNumberFormat="1">
      <alignment vertical="center"/>
    </xf>
    <xf borderId="54" fillId="0" fontId="14" numFmtId="3" xfId="0" applyAlignment="1" applyBorder="1" applyFont="1" applyNumberFormat="1">
      <alignment vertical="center"/>
    </xf>
    <xf borderId="29" fillId="3" fontId="16" numFmtId="3" xfId="0" applyAlignment="1" applyBorder="1" applyFont="1" applyNumberFormat="1">
      <alignment vertical="center"/>
    </xf>
    <xf borderId="55" fillId="3" fontId="16" numFmtId="3" xfId="0" applyAlignment="1" applyBorder="1" applyFont="1" applyNumberFormat="1">
      <alignment vertical="center"/>
    </xf>
    <xf borderId="24" fillId="3" fontId="16" numFmtId="3" xfId="0" applyAlignment="1" applyBorder="1" applyFont="1" applyNumberFormat="1">
      <alignment vertical="center"/>
    </xf>
    <xf quotePrefix="1" borderId="42" fillId="0" fontId="16" numFmtId="3" xfId="0" applyAlignment="1" applyBorder="1" applyFont="1" applyNumberFormat="1">
      <alignment horizontal="left" vertical="center"/>
    </xf>
    <xf borderId="34" fillId="3" fontId="16" numFmtId="3" xfId="0" applyAlignment="1" applyBorder="1" applyFont="1" applyNumberFormat="1">
      <alignment vertical="center"/>
    </xf>
    <xf borderId="25" fillId="2" fontId="14" numFmtId="3" xfId="0" applyAlignment="1" applyBorder="1" applyFont="1" applyNumberFormat="1">
      <alignment vertical="center"/>
    </xf>
    <xf borderId="56" fillId="0" fontId="16" numFmtId="3" xfId="0" applyAlignment="1" applyBorder="1" applyFont="1" applyNumberFormat="1">
      <alignment vertical="center"/>
    </xf>
    <xf borderId="22" fillId="0" fontId="16" numFmtId="37" xfId="0" applyAlignment="1" applyBorder="1" applyFont="1" applyNumberFormat="1">
      <alignment horizontal="left" vertical="center"/>
    </xf>
    <xf borderId="0" fillId="0" fontId="25" numFmtId="164" xfId="0" applyAlignment="1" applyFont="1" applyNumberFormat="1">
      <alignment vertical="center"/>
    </xf>
    <xf borderId="24" fillId="3" fontId="31" numFmtId="3" xfId="0" applyAlignment="1" applyBorder="1" applyFont="1" applyNumberFormat="1">
      <alignment vertical="center"/>
    </xf>
    <xf borderId="13" fillId="0" fontId="23" numFmtId="3" xfId="0" applyAlignment="1" applyBorder="1" applyFont="1" applyNumberFormat="1">
      <alignment horizontal="left" vertical="center"/>
    </xf>
    <xf borderId="57" fillId="0" fontId="14" numFmtId="3" xfId="0" applyBorder="1" applyFont="1" applyNumberFormat="1"/>
    <xf borderId="58" fillId="0" fontId="20" numFmtId="3" xfId="0" applyBorder="1" applyFont="1" applyNumberFormat="1"/>
    <xf borderId="13" fillId="3" fontId="29" numFmtId="3" xfId="0" applyAlignment="1" applyBorder="1" applyFont="1" applyNumberFormat="1">
      <alignment vertical="center"/>
    </xf>
    <xf borderId="14" fillId="3" fontId="29" numFmtId="3" xfId="0" applyAlignment="1" applyBorder="1" applyFont="1" applyNumberFormat="1">
      <alignment vertical="center"/>
    </xf>
    <xf borderId="14" fillId="3" fontId="30" numFmtId="3" xfId="0" applyAlignment="1" applyBorder="1" applyFont="1" applyNumberFormat="1">
      <alignment vertical="center"/>
    </xf>
    <xf borderId="15" fillId="3" fontId="18" numFmtId="3" xfId="0" applyAlignment="1" applyBorder="1" applyFont="1" applyNumberFormat="1">
      <alignment vertical="center"/>
    </xf>
    <xf borderId="0" fillId="0" fontId="12" numFmtId="40" xfId="0" applyAlignment="1" applyFont="1" applyNumberFormat="1">
      <alignment horizontal="left"/>
    </xf>
    <xf borderId="0" fillId="0" fontId="20" numFmtId="9" xfId="0" applyFont="1" applyNumberFormat="1"/>
    <xf borderId="0" fillId="0" fontId="25" numFmtId="9" xfId="0" applyAlignment="1" applyFont="1" applyNumberFormat="1">
      <alignment vertical="center"/>
    </xf>
    <xf borderId="0" fillId="0" fontId="12" numFmtId="39" xfId="0" applyFont="1" applyNumberFormat="1"/>
    <xf borderId="22" fillId="0" fontId="14" numFmtId="3" xfId="0" applyAlignment="1" applyBorder="1" applyFont="1" applyNumberFormat="1">
      <alignment horizontal="left" vertical="center"/>
    </xf>
    <xf borderId="59" fillId="0" fontId="16" numFmtId="3" xfId="0" applyAlignment="1" applyBorder="1" applyFont="1" applyNumberFormat="1">
      <alignment horizontal="left" vertical="center"/>
    </xf>
    <xf borderId="14" fillId="0" fontId="27" numFmtId="3" xfId="0" applyBorder="1" applyFont="1" applyNumberFormat="1"/>
    <xf borderId="15" fillId="0" fontId="27" numFmtId="3" xfId="0" applyBorder="1" applyFont="1" applyNumberFormat="1"/>
    <xf borderId="0" fillId="0" fontId="12" numFmtId="39" xfId="0" applyAlignment="1" applyFont="1" applyNumberFormat="1">
      <alignment horizontal="right"/>
    </xf>
    <xf borderId="58" fillId="0" fontId="2" numFmtId="37" xfId="0" applyAlignment="1" applyBorder="1" applyFont="1" applyNumberFormat="1">
      <alignment horizontal="center" vertical="top"/>
    </xf>
    <xf borderId="58" fillId="0" fontId="6" numFmtId="0" xfId="0" applyBorder="1" applyFont="1"/>
    <xf borderId="0" fillId="0" fontId="2" numFmtId="40" xfId="0" applyAlignment="1" applyFont="1" applyNumberFormat="1">
      <alignment horizontal="right"/>
    </xf>
    <xf borderId="18" fillId="2" fontId="16" numFmtId="3" xfId="0" applyAlignment="1" applyBorder="1" applyFont="1" applyNumberFormat="1">
      <alignment horizontal="left" vertical="center"/>
    </xf>
    <xf borderId="22" fillId="2" fontId="16" numFmtId="3" xfId="0" applyAlignment="1" applyBorder="1" applyFont="1" applyNumberFormat="1">
      <alignment horizontal="left" vertical="center"/>
    </xf>
    <xf quotePrefix="1" borderId="22" fillId="2" fontId="16" numFmtId="3" xfId="0" applyAlignment="1" applyBorder="1" applyFont="1" applyNumberFormat="1">
      <alignment horizontal="left" vertical="center"/>
    </xf>
    <xf borderId="49" fillId="0" fontId="25" numFmtId="3" xfId="0" applyAlignment="1" applyBorder="1" applyFont="1" applyNumberFormat="1">
      <alignment horizontal="left" vertical="center"/>
    </xf>
    <xf borderId="50" fillId="0" fontId="25" numFmtId="3" xfId="0" applyAlignment="1" applyBorder="1" applyFont="1" applyNumberFormat="1">
      <alignment vertical="center"/>
    </xf>
    <xf borderId="51" fillId="0" fontId="25" numFmtId="3" xfId="0" applyAlignment="1" applyBorder="1" applyFont="1" applyNumberFormat="1">
      <alignment vertical="center"/>
    </xf>
    <xf borderId="0" fillId="0" fontId="16" numFmtId="3" xfId="0" applyAlignment="1" applyFont="1" applyNumberFormat="1">
      <alignment horizontal="left" vertical="center"/>
    </xf>
    <xf borderId="0" fillId="0" fontId="27" numFmtId="3" xfId="0" applyFont="1" applyNumberFormat="1"/>
    <xf borderId="0" fillId="0" fontId="14" numFmtId="0" xfId="0" applyFont="1"/>
    <xf borderId="0" fillId="0" fontId="16" numFmtId="3" xfId="0" applyAlignment="1" applyFont="1" applyNumberFormat="1">
      <alignment horizontal="left" shrinkToFit="0" vertical="center" wrapText="1"/>
    </xf>
    <xf borderId="0" fillId="0" fontId="20" numFmtId="40" xfId="0" applyFont="1" applyNumberFormat="1"/>
    <xf borderId="0" fillId="0" fontId="32" numFmtId="3" xfId="0" applyFont="1" applyNumberFormat="1"/>
    <xf borderId="0" fillId="0" fontId="33" numFmtId="0" xfId="0" applyFont="1"/>
    <xf borderId="0" fillId="0" fontId="34" numFmtId="3" xfId="0" applyFont="1" applyNumberFormat="1"/>
    <xf borderId="0" fillId="0" fontId="33" numFmtId="3" xfId="0" applyFont="1" applyNumberFormat="1"/>
    <xf borderId="0" fillId="0" fontId="34" numFmtId="40" xfId="0" applyFont="1" applyNumberFormat="1"/>
    <xf borderId="0" fillId="0" fontId="2" numFmtId="40" xfId="0" applyAlignment="1" applyFont="1" applyNumberFormat="1">
      <alignment horizontal="left"/>
    </xf>
    <xf borderId="42" fillId="0" fontId="16" numFmtId="37" xfId="0" applyAlignment="1" applyBorder="1" applyFont="1" applyNumberFormat="1">
      <alignment horizontal="left" vertical="center"/>
    </xf>
    <xf borderId="19" fillId="3" fontId="16" numFmtId="38" xfId="0" applyAlignment="1" applyBorder="1" applyFont="1" applyNumberFormat="1">
      <alignment vertical="center"/>
    </xf>
    <xf borderId="43" fillId="0" fontId="23" numFmtId="38" xfId="0" applyAlignment="1" applyBorder="1" applyFont="1" applyNumberFormat="1">
      <alignment horizontal="center" shrinkToFit="0" vertical="top" wrapText="1"/>
    </xf>
    <xf borderId="45" fillId="0" fontId="14" numFmtId="38" xfId="0" applyAlignment="1" applyBorder="1" applyFont="1" applyNumberFormat="1">
      <alignment vertical="center"/>
    </xf>
    <xf borderId="23" fillId="3" fontId="16" numFmtId="38" xfId="0" applyAlignment="1" applyBorder="1" applyFont="1" applyNumberFormat="1">
      <alignment vertical="center"/>
    </xf>
    <xf borderId="23" fillId="0" fontId="16" numFmtId="38" xfId="0" applyAlignment="1" applyBorder="1" applyFont="1" applyNumberFormat="1">
      <alignment vertical="center"/>
    </xf>
    <xf borderId="25" fillId="0" fontId="14" numFmtId="38" xfId="0" applyAlignment="1" applyBorder="1" applyFont="1" applyNumberFormat="1">
      <alignment vertical="center"/>
    </xf>
    <xf quotePrefix="1" borderId="22" fillId="0" fontId="16" numFmtId="37" xfId="0" applyAlignment="1" applyBorder="1" applyFont="1" applyNumberFormat="1">
      <alignment horizontal="left" vertical="center"/>
    </xf>
    <xf borderId="0" fillId="0" fontId="32" numFmtId="164" xfId="0" applyFont="1" applyNumberFormat="1"/>
    <xf borderId="0" fillId="0" fontId="20" numFmtId="169" xfId="0" applyFont="1" applyNumberFormat="1"/>
    <xf borderId="49" fillId="0" fontId="25" numFmtId="0" xfId="0" applyAlignment="1" applyBorder="1" applyFont="1">
      <alignment horizontal="left" vertical="center"/>
    </xf>
    <xf borderId="50" fillId="0" fontId="25" numFmtId="38" xfId="0" applyAlignment="1" applyBorder="1" applyFont="1" applyNumberFormat="1">
      <alignment vertical="center"/>
    </xf>
    <xf borderId="51" fillId="0" fontId="25" numFmtId="38" xfId="0" applyAlignment="1" applyBorder="1" applyFont="1" applyNumberFormat="1">
      <alignment vertical="center"/>
    </xf>
    <xf borderId="59" fillId="0" fontId="16" numFmtId="37" xfId="0" applyAlignment="1" applyBorder="1" applyFont="1" applyNumberFormat="1">
      <alignment horizontal="left" vertical="center"/>
    </xf>
    <xf borderId="0" fillId="0" fontId="18" numFmtId="38" xfId="0" applyAlignment="1" applyFont="1" applyNumberFormat="1">
      <alignment vertical="center"/>
    </xf>
    <xf borderId="60" fillId="0" fontId="18" numFmtId="38" xfId="0" applyAlignment="1" applyBorder="1" applyFont="1" applyNumberFormat="1">
      <alignment vertical="center"/>
    </xf>
    <xf borderId="13" fillId="0" fontId="23" numFmtId="37" xfId="0" applyAlignment="1" applyBorder="1" applyFont="1" applyNumberFormat="1">
      <alignment horizontal="left" vertical="center"/>
    </xf>
    <xf borderId="14" fillId="0" fontId="27" numFmtId="38" xfId="0" applyBorder="1" applyFont="1" applyNumberFormat="1"/>
    <xf borderId="15" fillId="0" fontId="27" numFmtId="38" xfId="0" applyBorder="1" applyFont="1" applyNumberFormat="1"/>
    <xf borderId="0" fillId="0" fontId="18" numFmtId="0" xfId="0" applyAlignment="1" applyFont="1">
      <alignment vertical="center"/>
    </xf>
    <xf borderId="13" fillId="3" fontId="29" numFmtId="37" xfId="0" applyAlignment="1" applyBorder="1" applyFont="1" applyNumberFormat="1">
      <alignment vertical="center"/>
    </xf>
    <xf borderId="14" fillId="3" fontId="29" numFmtId="38" xfId="0" applyAlignment="1" applyBorder="1" applyFont="1" applyNumberFormat="1">
      <alignment vertical="center"/>
    </xf>
    <xf borderId="15" fillId="3" fontId="18" numFmtId="38" xfId="0" applyAlignment="1" applyBorder="1" applyFont="1" applyNumberFormat="1">
      <alignment vertical="center"/>
    </xf>
    <xf borderId="0" fillId="0" fontId="32" numFmtId="40" xfId="0" applyFont="1" applyNumberFormat="1"/>
    <xf borderId="0" fillId="0" fontId="33" numFmtId="40" xfId="0" applyFont="1" applyNumberFormat="1"/>
    <xf borderId="61" fillId="0" fontId="23" numFmtId="37" xfId="0" applyAlignment="1" applyBorder="1" applyFont="1" applyNumberFormat="1">
      <alignment horizontal="center"/>
    </xf>
    <xf borderId="62" fillId="0" fontId="23" numFmtId="40" xfId="0" applyAlignment="1" applyBorder="1" applyFont="1" applyNumberFormat="1">
      <alignment horizontal="center" shrinkToFit="0" wrapText="1"/>
    </xf>
    <xf borderId="63" fillId="0" fontId="23" numFmtId="40" xfId="0" applyAlignment="1" applyBorder="1" applyFont="1" applyNumberFormat="1">
      <alignment horizontal="center" shrinkToFit="0" wrapText="1"/>
    </xf>
    <xf borderId="64" fillId="0" fontId="23" numFmtId="40" xfId="0" applyAlignment="1" applyBorder="1" applyFont="1" applyNumberFormat="1">
      <alignment horizontal="center" shrinkToFit="0" wrapText="1"/>
    </xf>
    <xf borderId="25" fillId="3" fontId="16" numFmtId="38" xfId="0" applyAlignment="1" applyBorder="1" applyFont="1" applyNumberFormat="1">
      <alignment vertical="center"/>
    </xf>
    <xf borderId="65" fillId="0" fontId="23" numFmtId="38" xfId="0" applyAlignment="1" applyBorder="1" applyFont="1" applyNumberFormat="1">
      <alignment horizontal="center" shrinkToFit="0" vertical="top" wrapText="1"/>
    </xf>
    <xf borderId="23" fillId="0" fontId="23" numFmtId="38" xfId="0" applyAlignment="1" applyBorder="1" applyFont="1" applyNumberFormat="1">
      <alignment horizontal="center" shrinkToFit="0" vertical="top" wrapText="1"/>
    </xf>
    <xf borderId="65" fillId="0" fontId="16" numFmtId="38" xfId="0" applyAlignment="1" applyBorder="1" applyFont="1" applyNumberFormat="1">
      <alignment vertical="center"/>
    </xf>
    <xf borderId="37" fillId="0" fontId="16" numFmtId="37" xfId="0" applyAlignment="1" applyBorder="1" applyFont="1" applyNumberFormat="1">
      <alignment horizontal="left" vertical="center"/>
    </xf>
    <xf borderId="38" fillId="3" fontId="16" numFmtId="38" xfId="0" applyAlignment="1" applyBorder="1" applyFont="1" applyNumberFormat="1">
      <alignment vertical="center"/>
    </xf>
    <xf borderId="39" fillId="3" fontId="16" numFmtId="38" xfId="0" applyAlignment="1" applyBorder="1" applyFont="1" applyNumberFormat="1">
      <alignment vertical="center"/>
    </xf>
    <xf borderId="0" fillId="0" fontId="34" numFmtId="0" xfId="0" applyFont="1"/>
    <xf borderId="47" fillId="0" fontId="16" numFmtId="38" xfId="0" applyAlignment="1" applyBorder="1" applyFont="1" applyNumberFormat="1">
      <alignment vertical="center"/>
    </xf>
    <xf borderId="54" fillId="0" fontId="18" numFmtId="38" xfId="0" applyAlignment="1" applyBorder="1" applyFont="1" applyNumberFormat="1">
      <alignment vertical="center"/>
    </xf>
    <xf borderId="61" fillId="0" fontId="16" numFmtId="37" xfId="0" applyAlignment="1" applyBorder="1" applyFont="1" applyNumberFormat="1">
      <alignment horizontal="left" vertical="center"/>
    </xf>
    <xf borderId="66" fillId="3" fontId="16" numFmtId="38" xfId="0" applyAlignment="1" applyBorder="1" applyFont="1" applyNumberFormat="1">
      <alignment vertical="center"/>
    </xf>
    <xf borderId="63" fillId="3" fontId="16" numFmtId="38" xfId="0" applyAlignment="1" applyBorder="1" applyFont="1" applyNumberFormat="1">
      <alignment vertical="center"/>
    </xf>
    <xf borderId="64" fillId="0" fontId="23" numFmtId="38" xfId="0" applyAlignment="1" applyBorder="1" applyFont="1" applyNumberFormat="1">
      <alignment horizontal="center" shrinkToFit="0" vertical="top" wrapText="1"/>
    </xf>
    <xf borderId="62" fillId="0" fontId="23" numFmtId="38" xfId="0" applyAlignment="1" applyBorder="1" applyFont="1" applyNumberFormat="1">
      <alignment horizontal="center" shrinkToFit="0" vertical="top" wrapText="1"/>
    </xf>
    <xf borderId="35" fillId="3" fontId="16" numFmtId="38" xfId="0" applyAlignment="1" applyBorder="1" applyFont="1" applyNumberFormat="1">
      <alignment vertical="center"/>
    </xf>
    <xf borderId="44" fillId="0" fontId="16" numFmtId="38" xfId="0" applyAlignment="1" applyBorder="1" applyFont="1" applyNumberFormat="1">
      <alignment vertical="center"/>
    </xf>
    <xf borderId="43" fillId="0" fontId="16" numFmtId="38" xfId="0" applyAlignment="1" applyBorder="1" applyFont="1" applyNumberFormat="1">
      <alignment vertical="center"/>
    </xf>
    <xf borderId="31" fillId="3" fontId="16" numFmtId="38" xfId="0" applyAlignment="1" applyBorder="1" applyFont="1" applyNumberFormat="1">
      <alignment vertical="center"/>
    </xf>
    <xf borderId="67" fillId="3" fontId="16" numFmtId="38" xfId="0" applyAlignment="1" applyBorder="1" applyFont="1" applyNumberFormat="1">
      <alignment vertical="center"/>
    </xf>
    <xf borderId="15" fillId="3" fontId="16" numFmtId="38" xfId="0" applyAlignment="1" applyBorder="1" applyFont="1" applyNumberFormat="1">
      <alignment vertical="center"/>
    </xf>
    <xf borderId="20" fillId="3" fontId="16" numFmtId="38" xfId="0" applyAlignment="1" applyBorder="1" applyFont="1" applyNumberFormat="1">
      <alignment vertical="center"/>
    </xf>
    <xf borderId="68" fillId="0" fontId="16" numFmtId="38" xfId="0" applyAlignment="1" applyBorder="1" applyFont="1" applyNumberFormat="1">
      <alignment vertical="center"/>
    </xf>
    <xf borderId="46" fillId="0" fontId="16" numFmtId="37" xfId="0" applyAlignment="1" applyBorder="1" applyFont="1" applyNumberFormat="1">
      <alignment horizontal="left" vertical="center"/>
    </xf>
    <xf borderId="69" fillId="0" fontId="16" numFmtId="38" xfId="0" applyAlignment="1" applyBorder="1" applyFont="1" applyNumberFormat="1">
      <alignment vertical="center"/>
    </xf>
    <xf borderId="38" fillId="0" fontId="16" numFmtId="38" xfId="0" applyAlignment="1" applyBorder="1" applyFont="1" applyNumberFormat="1">
      <alignment vertical="center"/>
    </xf>
    <xf borderId="13" fillId="0" fontId="25" numFmtId="0" xfId="0" applyAlignment="1" applyBorder="1" applyFont="1">
      <alignment horizontal="left" vertical="center"/>
    </xf>
    <xf borderId="14" fillId="0" fontId="25" numFmtId="38" xfId="0" applyAlignment="1" applyBorder="1" applyFont="1" applyNumberFormat="1">
      <alignment vertical="center"/>
    </xf>
    <xf borderId="15" fillId="0" fontId="25" numFmtId="38" xfId="0" applyAlignment="1" applyBorder="1" applyFont="1" applyNumberFormat="1">
      <alignment vertical="center"/>
    </xf>
    <xf borderId="13" fillId="0" fontId="16" numFmtId="37" xfId="0" applyAlignment="1" applyBorder="1" applyFont="1" applyNumberFormat="1">
      <alignment horizontal="left" vertical="center"/>
    </xf>
    <xf borderId="56" fillId="0" fontId="18" numFmtId="38" xfId="0" applyAlignment="1" applyBorder="1" applyFont="1" applyNumberFormat="1">
      <alignment vertical="center"/>
    </xf>
    <xf borderId="51" fillId="0" fontId="18" numFmtId="38" xfId="0" applyAlignment="1" applyBorder="1" applyFont="1" applyNumberFormat="1">
      <alignment vertical="center"/>
    </xf>
    <xf borderId="0" fillId="0" fontId="16" numFmtId="37" xfId="0" applyAlignment="1" applyFont="1" applyNumberFormat="1">
      <alignment horizontal="left" vertical="center"/>
    </xf>
    <xf borderId="0" fillId="0" fontId="18" numFmtId="0" xfId="0" applyFont="1"/>
    <xf borderId="0" fillId="0" fontId="18" numFmtId="38" xfId="0" applyFont="1" applyNumberFormat="1"/>
    <xf borderId="0" fillId="0" fontId="2" numFmtId="164" xfId="0" applyFont="1" applyNumberFormat="1"/>
    <xf borderId="59" fillId="0" fontId="23" numFmtId="37" xfId="0" applyAlignment="1" applyBorder="1" applyFont="1" applyNumberFormat="1">
      <alignment horizontal="center"/>
    </xf>
    <xf borderId="70" fillId="0" fontId="23" numFmtId="164" xfId="0" applyAlignment="1" applyBorder="1" applyFont="1" applyNumberFormat="1">
      <alignment horizontal="center" shrinkToFit="0" wrapText="1"/>
    </xf>
    <xf borderId="71" fillId="0" fontId="23" numFmtId="164" xfId="0" applyAlignment="1" applyBorder="1" applyFont="1" applyNumberFormat="1">
      <alignment horizontal="center" shrinkToFit="0" wrapText="1"/>
    </xf>
    <xf borderId="72" fillId="0" fontId="23" numFmtId="164" xfId="0" applyAlignment="1" applyBorder="1" applyFont="1" applyNumberFormat="1">
      <alignment horizontal="center" shrinkToFit="0" wrapText="1"/>
    </xf>
    <xf borderId="62" fillId="3" fontId="16" numFmtId="3" xfId="0" applyAlignment="1" applyBorder="1" applyFont="1" applyNumberFormat="1">
      <alignment vertical="center"/>
    </xf>
    <xf borderId="63" fillId="3" fontId="16" numFmtId="3" xfId="0" applyAlignment="1" applyBorder="1" applyFont="1" applyNumberFormat="1">
      <alignment vertical="center"/>
    </xf>
    <xf borderId="73" fillId="3" fontId="16" numFmtId="3" xfId="0" applyAlignment="1" applyBorder="1" applyFont="1" applyNumberFormat="1">
      <alignment vertical="center"/>
    </xf>
    <xf borderId="63" fillId="0" fontId="14" numFmtId="3" xfId="0" applyAlignment="1" applyBorder="1" applyFont="1" applyNumberFormat="1">
      <alignment vertical="center"/>
    </xf>
    <xf borderId="14" fillId="3" fontId="16" numFmtId="3" xfId="0" applyAlignment="1" applyBorder="1" applyFont="1" applyNumberFormat="1">
      <alignment vertical="center"/>
    </xf>
    <xf borderId="15" fillId="3" fontId="16" numFmtId="3" xfId="0" applyAlignment="1" applyBorder="1" applyFont="1" applyNumberFormat="1">
      <alignment vertical="center"/>
    </xf>
    <xf borderId="53" fillId="0" fontId="16" numFmtId="37" xfId="0" applyAlignment="1" applyBorder="1" applyFont="1" applyNumberFormat="1">
      <alignment horizontal="left" vertical="center"/>
    </xf>
    <xf borderId="56" fillId="0" fontId="18" numFmtId="3" xfId="0" applyAlignment="1" applyBorder="1" applyFont="1" applyNumberFormat="1">
      <alignment vertical="center"/>
    </xf>
    <xf borderId="54" fillId="0" fontId="18" numFmtId="3" xfId="0" applyAlignment="1" applyBorder="1" applyFont="1" applyNumberFormat="1">
      <alignment vertical="center"/>
    </xf>
    <xf borderId="0" fillId="0" fontId="18" numFmtId="164" xfId="0" applyAlignment="1" applyFont="1" applyNumberFormat="1">
      <alignment vertical="center"/>
    </xf>
    <xf borderId="0" fillId="0" fontId="18" numFmtId="164" xfId="0" applyFont="1" applyNumberFormat="1"/>
    <xf borderId="14" fillId="3" fontId="29" numFmtId="164" xfId="0" applyAlignment="1" applyBorder="1" applyFont="1" applyNumberFormat="1">
      <alignment vertical="center"/>
    </xf>
    <xf borderId="15" fillId="3" fontId="18" numFmtId="164" xfId="0" applyAlignment="1" applyBorder="1" applyFont="1" applyNumberFormat="1">
      <alignment vertical="center"/>
    </xf>
    <xf borderId="0" fillId="0" fontId="34" numFmtId="164" xfId="0" applyFont="1" applyNumberFormat="1"/>
    <xf borderId="14" fillId="0" fontId="23" numFmtId="37" xfId="0" applyAlignment="1" applyBorder="1" applyFont="1" applyNumberFormat="1">
      <alignment horizontal="center" shrinkToFit="0" wrapText="1"/>
    </xf>
    <xf borderId="15" fillId="0" fontId="23" numFmtId="37" xfId="0" applyAlignment="1" applyBorder="1" applyFont="1" applyNumberFormat="1">
      <alignment horizontal="center" shrinkToFit="0" wrapText="1"/>
    </xf>
    <xf borderId="62" fillId="0" fontId="23" numFmtId="37" xfId="0" applyAlignment="1" applyBorder="1" applyFont="1" applyNumberFormat="1">
      <alignment horizontal="center" shrinkToFit="0" vertical="top" wrapText="1"/>
    </xf>
    <xf borderId="25" fillId="0" fontId="14" numFmtId="167" xfId="0" applyAlignment="1" applyBorder="1" applyFont="1" applyNumberFormat="1">
      <alignment vertical="center"/>
    </xf>
    <xf borderId="43" fillId="0" fontId="16" numFmtId="167" xfId="0" applyAlignment="1" applyBorder="1" applyFont="1" applyNumberFormat="1">
      <alignment vertical="center"/>
    </xf>
    <xf borderId="23" fillId="0" fontId="16" numFmtId="167" xfId="0" applyAlignment="1" applyBorder="1" applyFont="1" applyNumberFormat="1">
      <alignment vertical="center"/>
    </xf>
    <xf borderId="31" fillId="4" fontId="16" numFmtId="38" xfId="0" applyAlignment="1" applyBorder="1" applyFill="1" applyFont="1" applyNumberFormat="1">
      <alignment vertical="center"/>
    </xf>
    <xf borderId="68" fillId="0" fontId="16" numFmtId="167" xfId="0" applyAlignment="1" applyBorder="1" applyFont="1" applyNumberFormat="1">
      <alignment vertical="center"/>
    </xf>
    <xf borderId="23" fillId="4" fontId="16" numFmtId="38" xfId="0" applyAlignment="1" applyBorder="1" applyFont="1" applyNumberFormat="1">
      <alignment vertical="center"/>
    </xf>
    <xf borderId="47" fillId="0" fontId="16" numFmtId="167" xfId="0" applyAlignment="1" applyBorder="1" applyFont="1" applyNumberFormat="1">
      <alignment vertical="center"/>
    </xf>
    <xf borderId="69" fillId="0" fontId="16" numFmtId="167" xfId="0" applyAlignment="1" applyBorder="1" applyFont="1" applyNumberFormat="1">
      <alignment vertical="center"/>
    </xf>
    <xf borderId="38" fillId="0" fontId="16" numFmtId="167" xfId="0" applyAlignment="1" applyBorder="1" applyFont="1" applyNumberFormat="1">
      <alignment vertical="center"/>
    </xf>
    <xf borderId="14" fillId="0" fontId="25" numFmtId="167" xfId="0" applyAlignment="1" applyBorder="1" applyFont="1" applyNumberFormat="1">
      <alignment vertical="center"/>
    </xf>
    <xf borderId="15" fillId="0" fontId="25" numFmtId="167" xfId="0" applyAlignment="1" applyBorder="1" applyFont="1" applyNumberFormat="1">
      <alignment vertical="center"/>
    </xf>
    <xf borderId="14" fillId="3" fontId="29" numFmtId="167" xfId="0" applyAlignment="1" applyBorder="1" applyFont="1" applyNumberFormat="1">
      <alignment vertical="center"/>
    </xf>
    <xf borderId="15" fillId="3" fontId="18" numFmtId="167" xfId="0" applyAlignment="1" applyBorder="1" applyFont="1" applyNumberFormat="1">
      <alignment vertical="center"/>
    </xf>
    <xf borderId="0" fillId="0" fontId="33" numFmtId="9" xfId="0" applyFont="1" applyNumberFormat="1"/>
    <xf borderId="0" fillId="0" fontId="33" numFmtId="164" xfId="0" applyFont="1" applyNumberFormat="1"/>
    <xf borderId="0" fillId="0" fontId="34" numFmtId="10" xfId="0" applyFont="1" applyNumberFormat="1"/>
    <xf borderId="1" fillId="3" fontId="16" numFmtId="38" xfId="0" applyAlignment="1" applyBorder="1" applyFont="1" applyNumberFormat="1">
      <alignment vertical="center"/>
    </xf>
    <xf borderId="23" fillId="2" fontId="16" numFmtId="38" xfId="0" applyAlignment="1" applyBorder="1" applyFont="1" applyNumberFormat="1">
      <alignment vertical="center"/>
    </xf>
    <xf borderId="59" fillId="0" fontId="25" numFmtId="0" xfId="0" applyAlignment="1" applyBorder="1" applyFont="1">
      <alignment horizontal="left" vertical="center"/>
    </xf>
    <xf borderId="74" fillId="0" fontId="25" numFmtId="38" xfId="0" applyAlignment="1" applyBorder="1" applyFont="1" applyNumberFormat="1">
      <alignment vertical="center"/>
    </xf>
    <xf borderId="75" fillId="0" fontId="25" numFmtId="167" xfId="0" applyAlignment="1" applyBorder="1" applyFont="1" applyNumberFormat="1">
      <alignment vertical="center"/>
    </xf>
    <xf borderId="72" fillId="0" fontId="25" numFmtId="167" xfId="0" applyAlignment="1" applyBorder="1" applyFont="1" applyNumberFormat="1">
      <alignment vertical="center"/>
    </xf>
    <xf borderId="70" fillId="0" fontId="25" numFmtId="167" xfId="0" applyAlignment="1" applyBorder="1" applyFont="1" applyNumberFormat="1">
      <alignment vertical="center"/>
    </xf>
    <xf borderId="71" fillId="0" fontId="25" numFmtId="167" xfId="0" applyAlignment="1" applyBorder="1" applyFont="1" applyNumberFormat="1">
      <alignment vertical="center"/>
    </xf>
    <xf borderId="76" fillId="0" fontId="20" numFmtId="164" xfId="0" applyBorder="1" applyFont="1" applyNumberFormat="1"/>
    <xf borderId="14" fillId="0" fontId="27" numFmtId="3" xfId="0" applyAlignment="1" applyBorder="1" applyFont="1" applyNumberFormat="1">
      <alignment vertical="center"/>
    </xf>
    <xf borderId="15" fillId="0" fontId="27" numFmtId="3" xfId="0" applyAlignment="1" applyBorder="1" applyFont="1" applyNumberFormat="1">
      <alignment vertical="center"/>
    </xf>
    <xf borderId="14" fillId="0" fontId="29" numFmtId="167" xfId="0" applyAlignment="1" applyBorder="1" applyFont="1" applyNumberFormat="1">
      <alignment vertical="center"/>
    </xf>
    <xf borderId="15" fillId="0" fontId="18" numFmtId="167" xfId="0" applyAlignment="1" applyBorder="1" applyFont="1" applyNumberFormat="1">
      <alignment vertical="center"/>
    </xf>
    <xf borderId="0" fillId="0" fontId="2" numFmtId="39" xfId="0" applyAlignment="1" applyFont="1" applyNumberFormat="1">
      <alignment horizontal="left"/>
    </xf>
    <xf borderId="0" fillId="0" fontId="2" numFmtId="0" xfId="0" applyAlignment="1" applyFont="1">
      <alignment horizontal="left"/>
    </xf>
    <xf borderId="50" fillId="0" fontId="27" numFmtId="3" xfId="0" applyAlignment="1" applyBorder="1" applyFont="1" applyNumberFormat="1">
      <alignment vertical="center"/>
    </xf>
    <xf borderId="51" fillId="0" fontId="27" numFmtId="3" xfId="0" applyAlignment="1" applyBorder="1" applyFont="1" applyNumberFormat="1">
      <alignment vertical="center"/>
    </xf>
    <xf borderId="0" fillId="0" fontId="12" numFmtId="0" xfId="0" applyAlignment="1" applyFont="1">
      <alignment horizontal="right"/>
    </xf>
    <xf borderId="52" fillId="0" fontId="25" numFmtId="38" xfId="0" applyAlignment="1" applyBorder="1" applyFont="1" applyNumberFormat="1">
      <alignment vertical="center"/>
    </xf>
    <xf borderId="77" fillId="0" fontId="25" numFmtId="167" xfId="0" applyAlignment="1" applyBorder="1" applyFont="1" applyNumberFormat="1">
      <alignment vertical="center"/>
    </xf>
    <xf borderId="41" fillId="0" fontId="25" numFmtId="167" xfId="0" applyAlignment="1" applyBorder="1" applyFont="1" applyNumberFormat="1">
      <alignment vertical="center"/>
    </xf>
    <xf borderId="14" fillId="0" fontId="14" numFmtId="3" xfId="0" applyAlignment="1" applyBorder="1" applyFont="1" applyNumberFormat="1">
      <alignment vertical="center"/>
    </xf>
    <xf borderId="15" fillId="0" fontId="14" numFmtId="167" xfId="0" applyAlignment="1" applyBorder="1" applyFont="1" applyNumberFormat="1">
      <alignment vertical="center"/>
    </xf>
    <xf borderId="0" fillId="0" fontId="14" numFmtId="0" xfId="0" applyAlignment="1" applyFont="1">
      <alignment vertical="center"/>
    </xf>
    <xf borderId="0" fillId="0" fontId="12" numFmtId="0" xfId="0" applyFont="1"/>
    <xf borderId="62" fillId="0" fontId="23" numFmtId="37" xfId="0" applyAlignment="1" applyBorder="1" applyFont="1" applyNumberFormat="1">
      <alignment horizontal="center" shrinkToFit="0" wrapText="1"/>
    </xf>
    <xf borderId="62" fillId="0" fontId="23" numFmtId="37" xfId="0" applyAlignment="1" applyBorder="1" applyFont="1" applyNumberFormat="1">
      <alignment shrinkToFit="0" wrapText="1"/>
    </xf>
    <xf borderId="63" fillId="0" fontId="23" numFmtId="37" xfId="0" applyAlignment="1" applyBorder="1" applyFont="1" applyNumberFormat="1">
      <alignment horizontal="center" shrinkToFit="0" wrapText="1"/>
    </xf>
    <xf borderId="23" fillId="0" fontId="23" numFmtId="37" xfId="0" applyAlignment="1" applyBorder="1" applyFont="1" applyNumberFormat="1">
      <alignment horizontal="center" shrinkToFit="0" vertical="top" wrapText="1"/>
    </xf>
    <xf borderId="25" fillId="0" fontId="14" numFmtId="170" xfId="0" applyAlignment="1" applyBorder="1" applyFont="1" applyNumberFormat="1">
      <alignment vertical="center"/>
    </xf>
    <xf borderId="23" fillId="2" fontId="16" numFmtId="167" xfId="0" applyAlignment="1" applyBorder="1" applyFont="1" applyNumberFormat="1">
      <alignment vertical="center"/>
    </xf>
    <xf borderId="29" fillId="3" fontId="16" numFmtId="38" xfId="0" applyAlignment="1" applyBorder="1" applyFont="1" applyNumberFormat="1">
      <alignment vertical="center"/>
    </xf>
    <xf borderId="48" fillId="0" fontId="14" numFmtId="167" xfId="0" applyAlignment="1" applyBorder="1" applyFont="1" applyNumberFormat="1">
      <alignment vertical="center"/>
    </xf>
    <xf borderId="0" fillId="0" fontId="29" numFmtId="37" xfId="0" applyAlignment="1" applyFont="1" applyNumberFormat="1">
      <alignment horizontal="left" vertical="center"/>
    </xf>
    <xf borderId="0" fillId="0" fontId="22" numFmtId="39" xfId="0" applyAlignment="1" applyFont="1" applyNumberFormat="1">
      <alignment horizontal="right"/>
    </xf>
    <xf borderId="0" fillId="0" fontId="22" numFmtId="0" xfId="0" applyAlignment="1" applyFont="1">
      <alignment horizontal="right"/>
    </xf>
    <xf borderId="0" fillId="0" fontId="3" numFmtId="0" xfId="0" applyAlignment="1" applyFont="1">
      <alignment horizontal="center" vertical="top"/>
    </xf>
    <xf borderId="0" fillId="0" fontId="35" numFmtId="37" xfId="0" applyAlignment="1" applyFont="1" applyNumberFormat="1">
      <alignment horizontal="center" vertical="top"/>
    </xf>
    <xf borderId="0" fillId="0" fontId="3" numFmtId="37" xfId="0" applyAlignment="1" applyFont="1" applyNumberFormat="1">
      <alignment horizontal="center" vertical="top"/>
    </xf>
    <xf borderId="61" fillId="0" fontId="23" numFmtId="37" xfId="0" applyAlignment="1" applyBorder="1" applyFont="1" applyNumberFormat="1">
      <alignment horizontal="center" vertical="top"/>
    </xf>
    <xf borderId="63" fillId="0" fontId="23" numFmtId="37" xfId="0" applyAlignment="1" applyBorder="1" applyFont="1" applyNumberFormat="1">
      <alignment horizontal="center" shrinkToFit="0" vertical="top" wrapText="1"/>
    </xf>
    <xf borderId="14" fillId="0" fontId="16" numFmtId="37" xfId="0" applyAlignment="1" applyBorder="1" applyFont="1" applyNumberFormat="1">
      <alignment horizontal="left" vertical="center"/>
    </xf>
    <xf borderId="14" fillId="0" fontId="23" numFmtId="37" xfId="0" applyAlignment="1" applyBorder="1" applyFont="1" applyNumberFormat="1">
      <alignment horizontal="left" vertical="center"/>
    </xf>
    <xf borderId="78" fillId="0" fontId="16" numFmtId="38" xfId="0" applyAlignment="1" applyBorder="1" applyFont="1" applyNumberFormat="1">
      <alignment vertical="center"/>
    </xf>
    <xf borderId="23" fillId="4" fontId="16" numFmtId="167" xfId="0" applyAlignment="1" applyBorder="1" applyFont="1" applyNumberFormat="1">
      <alignment vertical="center"/>
    </xf>
    <xf borderId="2" fillId="4" fontId="22" numFmtId="39" xfId="0" applyAlignment="1" applyBorder="1" applyFont="1" applyNumberFormat="1">
      <alignment horizontal="left"/>
    </xf>
    <xf borderId="0" fillId="0" fontId="1" numFmtId="39" xfId="0" applyFont="1" applyNumberFormat="1"/>
    <xf borderId="0" fillId="0" fontId="22" numFmtId="39" xfId="0" applyAlignment="1" applyFont="1" applyNumberFormat="1">
      <alignment horizontal="left"/>
    </xf>
    <xf borderId="0" fillId="0" fontId="22" numFmtId="0" xfId="0" applyAlignment="1" applyFont="1">
      <alignment horizontal="left"/>
    </xf>
    <xf borderId="0" fillId="0" fontId="22" numFmtId="0" xfId="0" applyFont="1"/>
    <xf borderId="58" fillId="0" fontId="3" numFmtId="37" xfId="0" applyAlignment="1" applyBorder="1" applyFont="1" applyNumberFormat="1">
      <alignment horizontal="center" vertical="top"/>
    </xf>
    <xf borderId="62" fillId="3" fontId="16" numFmtId="38" xfId="0" applyAlignment="1" applyBorder="1" applyFont="1" applyNumberFormat="1">
      <alignment vertical="center"/>
    </xf>
    <xf borderId="63" fillId="0" fontId="14" numFmtId="167" xfId="0" applyAlignment="1" applyBorder="1" applyFont="1" applyNumberFormat="1">
      <alignment vertical="center"/>
    </xf>
    <xf borderId="39" fillId="0" fontId="14" numFmtId="167" xfId="0" applyAlignment="1" applyBorder="1" applyFont="1" applyNumberFormat="1">
      <alignment vertical="center"/>
    </xf>
    <xf borderId="13" fillId="0" fontId="9" numFmtId="37" xfId="0" applyAlignment="1" applyBorder="1" applyFont="1" applyNumberFormat="1">
      <alignment horizontal="left" vertical="center"/>
    </xf>
    <xf borderId="14" fillId="0" fontId="14" numFmtId="38" xfId="0" applyAlignment="1" applyBorder="1" applyFont="1" applyNumberFormat="1">
      <alignment vertical="center"/>
    </xf>
    <xf borderId="57" fillId="0" fontId="14" numFmtId="0" xfId="0" applyAlignment="1" applyBorder="1" applyFont="1">
      <alignment horizontal="left" shrinkToFit="0" vertical="center" wrapText="1"/>
    </xf>
    <xf borderId="57" fillId="0" fontId="6" numFmtId="0" xfId="0" applyBorder="1" applyFont="1"/>
    <xf borderId="0" fillId="0" fontId="14" numFmtId="38" xfId="0" applyAlignment="1" applyFont="1" applyNumberFormat="1">
      <alignment vertical="center"/>
    </xf>
    <xf borderId="0" fillId="0" fontId="14" numFmtId="167" xfId="0" applyAlignment="1" applyFont="1" applyNumberFormat="1">
      <alignment vertical="center"/>
    </xf>
    <xf borderId="0" fillId="0" fontId="18" numFmtId="0" xfId="0" applyAlignment="1" applyFont="1">
      <alignment horizontal="left" vertical="center"/>
    </xf>
    <xf borderId="0" fillId="0" fontId="27" numFmtId="38" xfId="0" applyAlignment="1" applyFont="1" applyNumberFormat="1">
      <alignment vertical="center"/>
    </xf>
    <xf borderId="0" fillId="0" fontId="27" numFmtId="167" xfId="0" applyAlignment="1" applyFont="1" applyNumberFormat="1">
      <alignment vertical="center"/>
    </xf>
    <xf borderId="0" fillId="0" fontId="22" numFmtId="39" xfId="0" applyFont="1" applyNumberFormat="1"/>
    <xf borderId="0" fillId="0" fontId="3" numFmtId="39" xfId="0" applyFont="1" applyNumberFormat="1"/>
    <xf borderId="61" fillId="0" fontId="9" numFmtId="37" xfId="0" applyAlignment="1" applyBorder="1" applyFont="1" applyNumberFormat="1">
      <alignment horizontal="left" vertical="center"/>
    </xf>
    <xf borderId="79" fillId="3" fontId="9" numFmtId="38" xfId="0" applyAlignment="1" applyBorder="1" applyFont="1" applyNumberFormat="1">
      <alignment vertical="center"/>
    </xf>
    <xf borderId="62" fillId="0" fontId="9" numFmtId="167" xfId="0" applyAlignment="1" applyBorder="1" applyFont="1" applyNumberFormat="1">
      <alignment vertical="center"/>
    </xf>
    <xf borderId="25" fillId="0" fontId="2" numFmtId="167" xfId="0" applyAlignment="1" applyBorder="1" applyFont="1" applyNumberFormat="1">
      <alignment vertical="center"/>
    </xf>
    <xf borderId="22" fillId="0" fontId="9" numFmtId="37" xfId="0" applyAlignment="1" applyBorder="1" applyFont="1" applyNumberFormat="1">
      <alignment horizontal="left" vertical="center"/>
    </xf>
    <xf borderId="31" fillId="3" fontId="9" numFmtId="38" xfId="0" applyAlignment="1" applyBorder="1" applyFont="1" applyNumberFormat="1">
      <alignment vertical="center"/>
    </xf>
    <xf borderId="23" fillId="0" fontId="9" numFmtId="167" xfId="0" applyAlignment="1" applyBorder="1" applyFont="1" applyNumberFormat="1">
      <alignment vertical="center"/>
    </xf>
    <xf quotePrefix="1" borderId="22" fillId="0" fontId="9" numFmtId="37" xfId="0" applyAlignment="1" applyBorder="1" applyFont="1" applyNumberFormat="1">
      <alignment horizontal="left" vertical="center"/>
    </xf>
    <xf borderId="23" fillId="5" fontId="9" numFmtId="167" xfId="0" applyAlignment="1" applyBorder="1" applyFill="1" applyFont="1" applyNumberFormat="1">
      <alignment vertical="center"/>
    </xf>
    <xf borderId="23" fillId="0" fontId="36" numFmtId="167" xfId="0" applyAlignment="1" applyBorder="1" applyFont="1" applyNumberFormat="1">
      <alignment vertical="center"/>
    </xf>
    <xf borderId="31" fillId="4" fontId="9" numFmtId="38" xfId="0" applyAlignment="1" applyBorder="1" applyFont="1" applyNumberFormat="1">
      <alignment vertical="center"/>
    </xf>
    <xf borderId="42" fillId="0" fontId="9" numFmtId="37" xfId="0" applyAlignment="1" applyBorder="1" applyFont="1" applyNumberFormat="1">
      <alignment horizontal="left" vertical="center"/>
    </xf>
    <xf borderId="68" fillId="0" fontId="9" numFmtId="38" xfId="0" applyAlignment="1" applyBorder="1" applyFont="1" applyNumberFormat="1">
      <alignment vertical="center"/>
    </xf>
    <xf borderId="46" fillId="0" fontId="9" numFmtId="37" xfId="0" applyAlignment="1" applyBorder="1" applyFont="1" applyNumberFormat="1">
      <alignment horizontal="left" vertical="center"/>
    </xf>
    <xf borderId="47" fillId="0" fontId="9" numFmtId="167" xfId="0" applyAlignment="1" applyBorder="1" applyFont="1" applyNumberFormat="1">
      <alignment vertical="center"/>
    </xf>
    <xf borderId="69" fillId="0" fontId="9" numFmtId="167" xfId="0" applyAlignment="1" applyBorder="1" applyFont="1" applyNumberFormat="1">
      <alignment vertical="center"/>
    </xf>
    <xf borderId="38" fillId="0" fontId="9" numFmtId="167" xfId="0" applyAlignment="1" applyBorder="1" applyFont="1" applyNumberFormat="1">
      <alignment vertical="center"/>
    </xf>
    <xf borderId="80" fillId="0" fontId="5" numFmtId="0" xfId="0" applyAlignment="1" applyBorder="1" applyFont="1">
      <alignment horizontal="left" vertical="center"/>
    </xf>
    <xf borderId="77" fillId="0" fontId="5" numFmtId="38" xfId="0" applyAlignment="1" applyBorder="1" applyFont="1" applyNumberFormat="1">
      <alignment vertical="center"/>
    </xf>
    <xf borderId="77" fillId="0" fontId="5" numFmtId="167" xfId="0" applyAlignment="1" applyBorder="1" applyFont="1" applyNumberFormat="1">
      <alignment vertical="center"/>
    </xf>
    <xf borderId="81" fillId="0" fontId="9" numFmtId="37" xfId="0" applyAlignment="1" applyBorder="1" applyFont="1" applyNumberFormat="1">
      <alignment horizontal="left" vertical="center"/>
    </xf>
    <xf borderId="82" fillId="0" fontId="5" numFmtId="38" xfId="0" applyAlignment="1" applyBorder="1" applyFont="1" applyNumberFormat="1">
      <alignment vertical="center"/>
    </xf>
    <xf borderId="57" fillId="0" fontId="14" numFmtId="0" xfId="0" applyAlignment="1" applyBorder="1" applyFont="1">
      <alignment horizontal="left" vertical="center"/>
    </xf>
    <xf borderId="0" fillId="0" fontId="14" numFmtId="0" xfId="0" applyAlignment="1" applyFont="1">
      <alignment horizontal="left" vertical="center"/>
    </xf>
    <xf borderId="13" fillId="3" fontId="37" numFmtId="37" xfId="0" applyAlignment="1" applyBorder="1" applyFont="1" applyNumberFormat="1">
      <alignment vertical="center"/>
    </xf>
    <xf borderId="14" fillId="3" fontId="37" numFmtId="167" xfId="0" applyAlignment="1" applyBorder="1" applyFont="1" applyNumberFormat="1">
      <alignment vertical="center"/>
    </xf>
    <xf borderId="0" fillId="0" fontId="3" numFmtId="0" xfId="0" applyAlignment="1" applyFont="1">
      <alignment horizontal="left"/>
    </xf>
    <xf borderId="0" fillId="0" fontId="18" numFmtId="0" xfId="0" applyAlignment="1" applyFont="1">
      <alignment horizontal="center" vertical="top"/>
    </xf>
    <xf borderId="0" fillId="0" fontId="27" numFmtId="37" xfId="0" applyAlignment="1" applyFont="1" applyNumberFormat="1">
      <alignment horizontal="center" vertical="top"/>
    </xf>
    <xf borderId="58" fillId="0" fontId="18" numFmtId="37" xfId="0" applyAlignment="1" applyBorder="1" applyFont="1" applyNumberFormat="1">
      <alignment horizontal="center" vertical="top"/>
    </xf>
    <xf borderId="13" fillId="0" fontId="38" numFmtId="37" xfId="0" applyAlignment="1" applyBorder="1" applyFont="1" applyNumberFormat="1">
      <alignment horizontal="center"/>
    </xf>
    <xf borderId="14" fillId="0" fontId="38" numFmtId="37" xfId="0" applyAlignment="1" applyBorder="1" applyFont="1" applyNumberFormat="1">
      <alignment horizontal="center" shrinkToFit="0" wrapText="1"/>
    </xf>
    <xf borderId="15" fillId="0" fontId="38" numFmtId="37" xfId="0" applyAlignment="1" applyBorder="1" applyFont="1" applyNumberFormat="1">
      <alignment horizontal="center" shrinkToFit="0" wrapText="1"/>
    </xf>
    <xf borderId="61" fillId="0" fontId="37" numFmtId="37" xfId="0" applyAlignment="1" applyBorder="1" applyFont="1" applyNumberFormat="1">
      <alignment horizontal="left" vertical="center"/>
    </xf>
    <xf borderId="79" fillId="3" fontId="37" numFmtId="38" xfId="0" applyAlignment="1" applyBorder="1" applyFont="1" applyNumberFormat="1">
      <alignment vertical="center"/>
    </xf>
    <xf borderId="62" fillId="0" fontId="37" numFmtId="167" xfId="0" applyAlignment="1" applyBorder="1" applyFont="1" applyNumberFormat="1">
      <alignment vertical="center"/>
    </xf>
    <xf borderId="25" fillId="0" fontId="19" numFmtId="167" xfId="0" applyAlignment="1" applyBorder="1" applyFont="1" applyNumberFormat="1">
      <alignment vertical="center"/>
    </xf>
    <xf borderId="22" fillId="0" fontId="37" numFmtId="37" xfId="0" applyAlignment="1" applyBorder="1" applyFont="1" applyNumberFormat="1">
      <alignment horizontal="left" vertical="center"/>
    </xf>
    <xf borderId="31" fillId="3" fontId="37" numFmtId="38" xfId="0" applyAlignment="1" applyBorder="1" applyFont="1" applyNumberFormat="1">
      <alignment vertical="center"/>
    </xf>
    <xf borderId="23" fillId="0" fontId="37" numFmtId="167" xfId="0" applyAlignment="1" applyBorder="1" applyFont="1" applyNumberFormat="1">
      <alignment vertical="center"/>
    </xf>
    <xf quotePrefix="1" borderId="22" fillId="0" fontId="37" numFmtId="37" xfId="0" applyAlignment="1" applyBorder="1" applyFont="1" applyNumberFormat="1">
      <alignment horizontal="left" vertical="center"/>
    </xf>
    <xf borderId="42" fillId="0" fontId="37" numFmtId="37" xfId="0" applyAlignment="1" applyBorder="1" applyFont="1" applyNumberFormat="1">
      <alignment horizontal="left" vertical="center"/>
    </xf>
    <xf borderId="68" fillId="0" fontId="37" numFmtId="38" xfId="0" applyAlignment="1" applyBorder="1" applyFont="1" applyNumberFormat="1">
      <alignment vertical="center"/>
    </xf>
    <xf borderId="46" fillId="0" fontId="37" numFmtId="37" xfId="0" applyAlignment="1" applyBorder="1" applyFont="1" applyNumberFormat="1">
      <alignment horizontal="left" vertical="center"/>
    </xf>
    <xf borderId="47" fillId="0" fontId="37" numFmtId="167" xfId="0" applyAlignment="1" applyBorder="1" applyFont="1" applyNumberFormat="1">
      <alignment vertical="center"/>
    </xf>
    <xf borderId="83" fillId="0" fontId="37" numFmtId="167" xfId="0" applyAlignment="1" applyBorder="1" applyFont="1" applyNumberFormat="1">
      <alignment vertical="center"/>
    </xf>
    <xf borderId="48" fillId="0" fontId="19" numFmtId="167" xfId="0" applyAlignment="1" applyBorder="1" applyFont="1" applyNumberFormat="1">
      <alignment vertical="center"/>
    </xf>
    <xf borderId="13" fillId="0" fontId="5" numFmtId="0" xfId="0" applyAlignment="1" applyBorder="1" applyFont="1">
      <alignment horizontal="left" vertical="center"/>
    </xf>
    <xf borderId="52" fillId="0" fontId="39" numFmtId="38" xfId="0" applyAlignment="1" applyBorder="1" applyFont="1" applyNumberFormat="1">
      <alignment vertical="center"/>
    </xf>
    <xf borderId="77" fillId="0" fontId="39" numFmtId="167" xfId="0" applyAlignment="1" applyBorder="1" applyFont="1" applyNumberFormat="1">
      <alignment vertical="center"/>
    </xf>
    <xf borderId="84" fillId="0" fontId="39" numFmtId="167" xfId="0" applyAlignment="1" applyBorder="1" applyFont="1" applyNumberFormat="1">
      <alignment vertical="center"/>
    </xf>
    <xf borderId="85" fillId="0" fontId="19" numFmtId="38" xfId="0" applyAlignment="1" applyBorder="1" applyFont="1" applyNumberFormat="1">
      <alignment vertical="center"/>
    </xf>
    <xf borderId="82" fillId="0" fontId="19" numFmtId="167" xfId="0" applyAlignment="1" applyBorder="1" applyFont="1" applyNumberFormat="1">
      <alignment vertical="center"/>
    </xf>
    <xf borderId="86" fillId="0" fontId="19" numFmtId="167" xfId="0" applyAlignment="1" applyBorder="1" applyFont="1" applyNumberFormat="1">
      <alignment vertical="center"/>
    </xf>
    <xf borderId="60" fillId="0" fontId="19" numFmtId="167" xfId="0" applyAlignment="1" applyBorder="1" applyFont="1" applyNumberFormat="1">
      <alignment vertical="center"/>
    </xf>
    <xf borderId="77" fillId="0" fontId="39" numFmtId="38" xfId="0" applyAlignment="1" applyBorder="1" applyFont="1" applyNumberFormat="1">
      <alignment vertical="center"/>
    </xf>
    <xf borderId="87" fillId="0" fontId="39" numFmtId="38" xfId="0" applyAlignment="1" applyBorder="1" applyFont="1" applyNumberFormat="1">
      <alignment vertical="center"/>
    </xf>
    <xf borderId="84" fillId="0" fontId="39" numFmtId="38" xfId="0" applyAlignment="1" applyBorder="1" applyFont="1" applyNumberFormat="1">
      <alignment vertical="center"/>
    </xf>
    <xf borderId="0" fillId="0" fontId="39" numFmtId="38" xfId="0" applyAlignment="1" applyFont="1" applyNumberFormat="1">
      <alignment vertical="center"/>
    </xf>
    <xf borderId="43" fillId="0" fontId="34" numFmtId="0" xfId="0" applyBorder="1" applyFont="1"/>
    <xf borderId="88" fillId="3" fontId="37" numFmtId="37" xfId="0" applyAlignment="1" applyBorder="1" applyFont="1" applyNumberFormat="1">
      <alignment vertical="center"/>
    </xf>
    <xf borderId="89" fillId="3" fontId="37" numFmtId="167" xfId="0" applyAlignment="1" applyBorder="1" applyFont="1" applyNumberFormat="1">
      <alignment vertical="center"/>
    </xf>
    <xf borderId="0" fillId="0" fontId="1" numFmtId="0" xfId="0" applyFont="1"/>
    <xf borderId="0" fillId="0" fontId="3" numFmtId="39" xfId="0" applyAlignment="1" applyFont="1" applyNumberFormat="1">
      <alignment horizontal="right"/>
    </xf>
    <xf borderId="0" fillId="0" fontId="3" numFmtId="0" xfId="0" applyAlignment="1" applyFont="1">
      <alignment horizontal="right"/>
    </xf>
    <xf borderId="0" fillId="0" fontId="40" numFmtId="0" xfId="0" applyAlignment="1" applyFont="1">
      <alignment horizontal="center" vertical="top"/>
    </xf>
    <xf borderId="0" fillId="0" fontId="32" numFmtId="0" xfId="0" applyFont="1"/>
    <xf borderId="0" fillId="0" fontId="41" numFmtId="37" xfId="0" applyAlignment="1" applyFont="1" applyNumberFormat="1">
      <alignment horizontal="center" vertical="top"/>
    </xf>
    <xf borderId="58" fillId="0" fontId="40" numFmtId="37" xfId="0" applyAlignment="1" applyBorder="1" applyFont="1" applyNumberFormat="1">
      <alignment horizontal="center" vertical="top"/>
    </xf>
    <xf borderId="13" fillId="0" fontId="42" numFmtId="37" xfId="0" applyAlignment="1" applyBorder="1" applyFont="1" applyNumberFormat="1">
      <alignment horizontal="center"/>
    </xf>
    <xf borderId="14" fillId="0" fontId="42" numFmtId="37" xfId="0" applyAlignment="1" applyBorder="1" applyFont="1" applyNumberFormat="1">
      <alignment horizontal="center" shrinkToFit="0" wrapText="1"/>
    </xf>
    <xf borderId="15" fillId="0" fontId="42" numFmtId="37" xfId="0" applyAlignment="1" applyBorder="1" applyFont="1" applyNumberFormat="1">
      <alignment horizontal="center" shrinkToFit="0" wrapText="1"/>
    </xf>
    <xf borderId="61" fillId="0" fontId="43" numFmtId="37" xfId="0" applyAlignment="1" applyBorder="1" applyFont="1" applyNumberFormat="1">
      <alignment horizontal="left" vertical="center"/>
    </xf>
    <xf borderId="79" fillId="3" fontId="43" numFmtId="38" xfId="0" applyAlignment="1" applyBorder="1" applyFont="1" applyNumberFormat="1">
      <alignment vertical="center"/>
    </xf>
    <xf borderId="62" fillId="0" fontId="43" numFmtId="167" xfId="0" applyAlignment="1" applyBorder="1" applyFont="1" applyNumberFormat="1">
      <alignment vertical="center"/>
    </xf>
    <xf borderId="25" fillId="0" fontId="44" numFmtId="167" xfId="0" applyAlignment="1" applyBorder="1" applyFont="1" applyNumberFormat="1">
      <alignment vertical="center"/>
    </xf>
    <xf borderId="22" fillId="0" fontId="43" numFmtId="37" xfId="0" applyAlignment="1" applyBorder="1" applyFont="1" applyNumberFormat="1">
      <alignment horizontal="left" vertical="center"/>
    </xf>
    <xf borderId="31" fillId="3" fontId="43" numFmtId="38" xfId="0" applyAlignment="1" applyBorder="1" applyFont="1" applyNumberFormat="1">
      <alignment vertical="center"/>
    </xf>
    <xf borderId="23" fillId="0" fontId="43" numFmtId="167" xfId="0" applyAlignment="1" applyBorder="1" applyFont="1" applyNumberFormat="1">
      <alignment vertical="center"/>
    </xf>
    <xf quotePrefix="1" borderId="22" fillId="0" fontId="43" numFmtId="37" xfId="0" applyAlignment="1" applyBorder="1" applyFont="1" applyNumberFormat="1">
      <alignment horizontal="left" vertical="center"/>
    </xf>
    <xf borderId="23" fillId="5" fontId="43" numFmtId="167" xfId="0" applyAlignment="1" applyBorder="1" applyFont="1" applyNumberFormat="1">
      <alignment vertical="center"/>
    </xf>
    <xf borderId="42" fillId="0" fontId="43" numFmtId="37" xfId="0" applyAlignment="1" applyBorder="1" applyFont="1" applyNumberFormat="1">
      <alignment horizontal="left" vertical="center"/>
    </xf>
    <xf borderId="46" fillId="0" fontId="43" numFmtId="37" xfId="0" applyAlignment="1" applyBorder="1" applyFont="1" applyNumberFormat="1">
      <alignment horizontal="left" vertical="center"/>
    </xf>
    <xf borderId="47" fillId="0" fontId="43" numFmtId="167" xfId="0" applyAlignment="1" applyBorder="1" applyFont="1" applyNumberFormat="1">
      <alignment vertical="center"/>
    </xf>
    <xf borderId="69" fillId="0" fontId="43" numFmtId="167" xfId="0" applyAlignment="1" applyBorder="1" applyFont="1" applyNumberFormat="1">
      <alignment vertical="center"/>
    </xf>
    <xf borderId="38" fillId="0" fontId="43" numFmtId="167" xfId="0" applyAlignment="1" applyBorder="1" applyFont="1" applyNumberFormat="1">
      <alignment vertical="center"/>
    </xf>
    <xf borderId="13" fillId="0" fontId="45" numFmtId="0" xfId="0" applyAlignment="1" applyBorder="1" applyFont="1">
      <alignment horizontal="left" vertical="center"/>
    </xf>
    <xf borderId="52" fillId="0" fontId="45" numFmtId="38" xfId="0" applyAlignment="1" applyBorder="1" applyFont="1" applyNumberFormat="1">
      <alignment vertical="center"/>
    </xf>
    <xf borderId="77" fillId="0" fontId="45" numFmtId="167" xfId="0" applyAlignment="1" applyBorder="1" applyFont="1" applyNumberFormat="1">
      <alignment vertical="center"/>
    </xf>
    <xf borderId="41" fillId="0" fontId="45" numFmtId="167" xfId="0" applyAlignment="1" applyBorder="1" applyFont="1" applyNumberFormat="1">
      <alignment vertical="center"/>
    </xf>
    <xf borderId="14" fillId="0" fontId="45" numFmtId="167" xfId="0" applyAlignment="1" applyBorder="1" applyFont="1" applyNumberFormat="1">
      <alignment vertical="center"/>
    </xf>
    <xf borderId="15" fillId="0" fontId="45" numFmtId="167" xfId="0" applyAlignment="1" applyBorder="1" applyFont="1" applyNumberFormat="1">
      <alignment vertical="center"/>
    </xf>
    <xf borderId="0" fillId="0" fontId="19" numFmtId="0" xfId="0" applyAlignment="1" applyFont="1">
      <alignment vertical="center"/>
    </xf>
    <xf borderId="15" fillId="3" fontId="37" numFmtId="167" xfId="0" applyAlignment="1" applyBorder="1" applyFont="1" applyNumberFormat="1">
      <alignment vertical="center"/>
    </xf>
    <xf borderId="13" fillId="0" fontId="38" numFmtId="37" xfId="0" applyAlignment="1" applyBorder="1" applyFont="1" applyNumberFormat="1">
      <alignment horizontal="left" vertical="top"/>
    </xf>
    <xf borderId="14" fillId="0" fontId="38" numFmtId="37" xfId="0" applyAlignment="1" applyBorder="1" applyFont="1" applyNumberFormat="1">
      <alignment horizontal="center" shrinkToFit="0" vertical="top" wrapText="1"/>
    </xf>
    <xf borderId="15" fillId="0" fontId="38" numFmtId="37" xfId="0" applyAlignment="1" applyBorder="1" applyFont="1" applyNumberFormat="1">
      <alignment horizontal="center" shrinkToFit="0" vertical="top" wrapText="1"/>
    </xf>
    <xf borderId="61" fillId="0" fontId="29" numFmtId="37" xfId="0" applyAlignment="1" applyBorder="1" applyFont="1" applyNumberFormat="1">
      <alignment horizontal="left" vertical="center"/>
    </xf>
    <xf borderId="79" fillId="3" fontId="29" numFmtId="38" xfId="0" applyAlignment="1" applyBorder="1" applyFont="1" applyNumberFormat="1">
      <alignment vertical="center"/>
    </xf>
    <xf borderId="25" fillId="0" fontId="18" numFmtId="167" xfId="0" applyAlignment="1" applyBorder="1" applyFont="1" applyNumberFormat="1">
      <alignment vertical="center"/>
    </xf>
    <xf borderId="22" fillId="0" fontId="29" numFmtId="37" xfId="0" applyAlignment="1" applyBorder="1" applyFont="1" applyNumberFormat="1">
      <alignment horizontal="left" vertical="center"/>
    </xf>
    <xf quotePrefix="1" borderId="22" fillId="0" fontId="29" numFmtId="37" xfId="0" applyAlignment="1" applyBorder="1" applyFont="1" applyNumberFormat="1">
      <alignment horizontal="left" vertical="center"/>
    </xf>
    <xf borderId="42" fillId="0" fontId="29" numFmtId="37" xfId="0" applyAlignment="1" applyBorder="1" applyFont="1" applyNumberFormat="1">
      <alignment horizontal="left" vertical="center"/>
    </xf>
    <xf borderId="46" fillId="0" fontId="29" numFmtId="37" xfId="0" applyAlignment="1" applyBorder="1" applyFont="1" applyNumberFormat="1">
      <alignment horizontal="left" vertical="center"/>
    </xf>
    <xf borderId="13" fillId="0" fontId="27" numFmtId="0" xfId="0" applyAlignment="1" applyBorder="1" applyFont="1">
      <alignment horizontal="left" vertical="center"/>
    </xf>
    <xf borderId="52" fillId="0" fontId="27" numFmtId="38" xfId="0" applyAlignment="1" applyBorder="1" applyFont="1" applyNumberFormat="1">
      <alignment vertical="center"/>
    </xf>
    <xf borderId="77" fillId="0" fontId="27" numFmtId="167" xfId="0" applyAlignment="1" applyBorder="1" applyFont="1" applyNumberFormat="1">
      <alignment vertical="center"/>
    </xf>
    <xf borderId="41" fillId="0" fontId="27" numFmtId="167" xfId="0" applyAlignment="1" applyBorder="1" applyFont="1" applyNumberFormat="1">
      <alignment vertical="center"/>
    </xf>
    <xf borderId="14" fillId="0" fontId="27" numFmtId="167" xfId="0" applyAlignment="1" applyBorder="1" applyFont="1" applyNumberFormat="1">
      <alignment vertical="center"/>
    </xf>
    <xf borderId="0" fillId="0" fontId="18" numFmtId="0" xfId="0" applyAlignment="1" applyFont="1">
      <alignment shrinkToFit="0" wrapText="1"/>
    </xf>
    <xf borderId="0" fillId="0" fontId="3" numFmtId="39" xfId="0" applyAlignment="1" applyFont="1" applyNumberFormat="1">
      <alignment horizontal="left"/>
    </xf>
    <xf borderId="0" fillId="0" fontId="3" numFmtId="0" xfId="0" applyFont="1"/>
    <xf borderId="13" fillId="0" fontId="38" numFmtId="37" xfId="0" applyAlignment="1" applyBorder="1" applyFont="1" applyNumberFormat="1">
      <alignment horizontal="center" vertical="top"/>
    </xf>
    <xf borderId="62" fillId="0" fontId="29" numFmtId="167" xfId="0" applyAlignment="1" applyBorder="1" applyFont="1" applyNumberFormat="1">
      <alignment vertical="center"/>
    </xf>
    <xf borderId="31" fillId="3" fontId="29" numFmtId="38" xfId="0" applyAlignment="1" applyBorder="1" applyFont="1" applyNumberFormat="1">
      <alignment vertical="center"/>
    </xf>
    <xf borderId="23" fillId="0" fontId="29" numFmtId="167" xfId="0" applyAlignment="1" applyBorder="1" applyFont="1" applyNumberFormat="1">
      <alignment vertical="center"/>
    </xf>
    <xf borderId="23" fillId="6" fontId="29" numFmtId="167" xfId="0" applyAlignment="1" applyBorder="1" applyFill="1" applyFont="1" applyNumberFormat="1">
      <alignment vertical="center"/>
    </xf>
    <xf borderId="1" fillId="6" fontId="20" numFmtId="0" xfId="0" applyBorder="1" applyFont="1"/>
    <xf borderId="47" fillId="0" fontId="29" numFmtId="167" xfId="0" applyAlignment="1" applyBorder="1" applyFont="1" applyNumberFormat="1">
      <alignment vertical="center"/>
    </xf>
    <xf borderId="69" fillId="0" fontId="29" numFmtId="167" xfId="0" applyAlignment="1" applyBorder="1" applyFont="1" applyNumberFormat="1">
      <alignment vertical="center"/>
    </xf>
    <xf borderId="38" fillId="0" fontId="29" numFmtId="167" xfId="0" applyAlignment="1" applyBorder="1" applyFont="1" applyNumberFormat="1">
      <alignment vertical="center"/>
    </xf>
    <xf borderId="0" fillId="0" fontId="18" numFmtId="0" xfId="0" applyAlignment="1" applyFont="1">
      <alignment horizontal="left"/>
    </xf>
    <xf borderId="0" fillId="0" fontId="18" numFmtId="0" xfId="0" applyAlignment="1" applyFont="1">
      <alignment horizontal="right"/>
    </xf>
    <xf borderId="0" fillId="0" fontId="27" numFmtId="167" xfId="0" applyAlignment="1" applyFont="1" applyNumberFormat="1">
      <alignment horizontal="right"/>
    </xf>
    <xf borderId="0" fillId="0" fontId="18" numFmtId="167" xfId="0" applyAlignment="1" applyFont="1" applyNumberFormat="1">
      <alignment horizontal="right"/>
    </xf>
    <xf borderId="0" fillId="0" fontId="2" numFmtId="38" xfId="0" applyFont="1" applyNumberFormat="1"/>
    <xf borderId="0" fillId="0" fontId="2" numFmtId="38" xfId="0" applyAlignment="1" applyFont="1" applyNumberFormat="1">
      <alignment horizontal="right"/>
    </xf>
    <xf borderId="58" fillId="0" fontId="12" numFmtId="37" xfId="0" applyAlignment="1" applyBorder="1" applyFont="1" applyNumberFormat="1">
      <alignment horizontal="center" vertical="top"/>
    </xf>
    <xf borderId="13" fillId="0" fontId="8" numFmtId="37" xfId="0" applyAlignment="1" applyBorder="1" applyFont="1" applyNumberFormat="1">
      <alignment horizontal="left" vertical="top"/>
    </xf>
    <xf borderId="14" fillId="0" fontId="8" numFmtId="37" xfId="0" applyAlignment="1" applyBorder="1" applyFont="1" applyNumberFormat="1">
      <alignment horizontal="center" shrinkToFit="0" vertical="top" wrapText="1"/>
    </xf>
    <xf borderId="15" fillId="0" fontId="8" numFmtId="38" xfId="0" applyAlignment="1" applyBorder="1" applyFont="1" applyNumberFormat="1">
      <alignment horizontal="center" shrinkToFit="0" vertical="top" wrapText="1"/>
    </xf>
    <xf borderId="0" fillId="0" fontId="5" numFmtId="167" xfId="0" applyAlignment="1" applyFont="1" applyNumberFormat="1">
      <alignment horizontal="right"/>
    </xf>
    <xf borderId="63" fillId="0" fontId="2" numFmtId="38" xfId="0" applyAlignment="1" applyBorder="1" applyFont="1" applyNumberFormat="1">
      <alignment vertical="center"/>
    </xf>
    <xf borderId="0" fillId="0" fontId="2" numFmtId="167" xfId="0" applyAlignment="1" applyFont="1" applyNumberFormat="1">
      <alignment horizontal="right"/>
    </xf>
    <xf borderId="25" fillId="0" fontId="2" numFmtId="38" xfId="0" applyAlignment="1" applyBorder="1" applyFont="1" applyNumberFormat="1">
      <alignment vertical="center"/>
    </xf>
    <xf borderId="0" fillId="0" fontId="2" numFmtId="3" xfId="0" applyFont="1" applyNumberFormat="1"/>
    <xf borderId="38" fillId="0" fontId="37" numFmtId="167" xfId="0" applyAlignment="1" applyBorder="1" applyFont="1" applyNumberFormat="1">
      <alignment vertical="center"/>
    </xf>
    <xf borderId="48" fillId="0" fontId="2" numFmtId="38" xfId="0" applyAlignment="1" applyBorder="1" applyFont="1" applyNumberFormat="1">
      <alignment vertical="center"/>
    </xf>
    <xf borderId="0" fillId="0" fontId="2" numFmtId="167" xfId="0" applyFont="1" applyNumberFormat="1"/>
    <xf borderId="14" fillId="0" fontId="5" numFmtId="38" xfId="0" applyAlignment="1" applyBorder="1" applyFont="1" applyNumberFormat="1">
      <alignment vertical="center"/>
    </xf>
    <xf borderId="14" fillId="0" fontId="5" numFmtId="167" xfId="0" applyAlignment="1" applyBorder="1" applyFont="1" applyNumberFormat="1">
      <alignment vertical="center"/>
    </xf>
    <xf borderId="15" fillId="0" fontId="46" numFmtId="38" xfId="0" applyAlignment="1" applyBorder="1" applyFont="1" applyNumberFormat="1">
      <alignment vertical="center"/>
    </xf>
    <xf borderId="0" fillId="0" fontId="37" numFmtId="37" xfId="0" applyAlignment="1" applyFont="1" applyNumberFormat="1">
      <alignment horizontal="left" vertical="center"/>
    </xf>
    <xf borderId="0" fillId="0" fontId="2" numFmtId="38" xfId="0" applyAlignment="1" applyFont="1" applyNumberFormat="1">
      <alignment vertical="center"/>
    </xf>
    <xf borderId="0" fillId="0" fontId="9" numFmtId="37" xfId="0" applyAlignment="1" applyFont="1" applyNumberFormat="1">
      <alignment horizontal="left" vertical="center"/>
    </xf>
    <xf borderId="13" fillId="3" fontId="9" numFmtId="37" xfId="0" applyAlignment="1" applyBorder="1" applyFont="1" applyNumberFormat="1">
      <alignment vertical="center"/>
    </xf>
    <xf borderId="15" fillId="3" fontId="2" numFmtId="38" xfId="0" applyAlignment="1" applyBorder="1" applyFont="1" applyNumberFormat="1">
      <alignment vertical="center"/>
    </xf>
    <xf borderId="0" fillId="0" fontId="47" numFmtId="0" xfId="0" applyAlignment="1" applyFont="1">
      <alignment shrinkToFit="0" wrapText="1"/>
    </xf>
    <xf borderId="0" fillId="0" fontId="2" numFmtId="0" xfId="0" applyAlignment="1" applyFont="1">
      <alignment horizontal="right"/>
    </xf>
    <xf borderId="0" fillId="0" fontId="12" numFmtId="37" xfId="0" applyAlignment="1" applyFont="1" applyNumberFormat="1">
      <alignment horizontal="center" vertical="top"/>
    </xf>
    <xf borderId="15" fillId="0" fontId="8" numFmtId="37" xfId="0" applyAlignment="1" applyBorder="1" applyFont="1" applyNumberFormat="1">
      <alignment horizontal="center" shrinkToFit="0" vertical="top" wrapText="1"/>
    </xf>
    <xf borderId="63" fillId="0" fontId="37" numFmtId="167" xfId="0" applyAlignment="1" applyBorder="1" applyFont="1" applyNumberFormat="1">
      <alignment vertical="center"/>
    </xf>
    <xf borderId="25" fillId="0" fontId="37" numFmtId="167" xfId="0" applyAlignment="1" applyBorder="1" applyFont="1" applyNumberFormat="1">
      <alignment vertical="center"/>
    </xf>
    <xf borderId="0" fillId="0" fontId="2" numFmtId="164" xfId="0" applyAlignment="1" applyFont="1" applyNumberFormat="1">
      <alignment vertical="center"/>
    </xf>
    <xf borderId="0" fillId="0" fontId="2" numFmtId="0" xfId="0" applyAlignment="1" applyFont="1">
      <alignment horizontal="left" vertical="center"/>
    </xf>
    <xf borderId="13" fillId="3" fontId="9" numFmtId="37" xfId="0" applyAlignment="1" applyBorder="1" applyFont="1" applyNumberFormat="1">
      <alignment horizontal="left" vertical="center"/>
    </xf>
    <xf borderId="15" fillId="3" fontId="2" numFmtId="167" xfId="0" applyAlignment="1" applyBorder="1" applyFont="1" applyNumberFormat="1">
      <alignment vertical="center"/>
    </xf>
    <xf borderId="74" fillId="0" fontId="37" numFmtId="167" xfId="0" applyAlignment="1" applyBorder="1" applyFont="1" applyNumberFormat="1">
      <alignment vertical="center"/>
    </xf>
    <xf borderId="63" fillId="0" fontId="2" numFmtId="167" xfId="0" applyAlignment="1" applyBorder="1" applyFont="1" applyNumberFormat="1">
      <alignment vertical="center"/>
    </xf>
    <xf borderId="68" fillId="0" fontId="37" numFmtId="167" xfId="0" applyAlignment="1" applyBorder="1" applyFont="1" applyNumberFormat="1">
      <alignment vertical="center"/>
    </xf>
    <xf borderId="31" fillId="2" fontId="37" numFmtId="167" xfId="0" applyAlignment="1" applyBorder="1" applyFont="1" applyNumberFormat="1">
      <alignment vertical="center"/>
    </xf>
    <xf borderId="68" fillId="0" fontId="19" numFmtId="167" xfId="0" applyAlignment="1" applyBorder="1" applyFont="1" applyNumberFormat="1">
      <alignment vertical="center"/>
    </xf>
    <xf borderId="48" fillId="0" fontId="2" numFmtId="167" xfId="0" applyAlignment="1" applyBorder="1" applyFont="1" applyNumberFormat="1">
      <alignment vertical="center"/>
    </xf>
    <xf borderId="15" fillId="0" fontId="46" numFmtId="167" xfId="0" applyAlignment="1" applyBorder="1" applyFont="1" applyNumberFormat="1">
      <alignment vertical="center"/>
    </xf>
    <xf borderId="74" fillId="0" fontId="19" numFmtId="167" xfId="0" applyAlignment="1" applyBorder="1" applyFont="1" applyNumberFormat="1">
      <alignment vertical="center"/>
    </xf>
    <xf borderId="0" fillId="0" fontId="48" numFmtId="0" xfId="0" applyFont="1"/>
    <xf borderId="1" fillId="4" fontId="2" numFmtId="164" xfId="0" applyBorder="1" applyFont="1" applyNumberFormat="1"/>
    <xf borderId="52" fillId="0" fontId="8" numFmtId="167" xfId="0" applyAlignment="1" applyBorder="1" applyFont="1" applyNumberFormat="1">
      <alignment vertical="center"/>
    </xf>
    <xf borderId="14" fillId="0" fontId="8" numFmtId="167" xfId="0" applyAlignment="1" applyBorder="1" applyFont="1" applyNumberFormat="1">
      <alignment vertical="center"/>
    </xf>
    <xf borderId="61" fillId="0" fontId="9" numFmtId="37" xfId="0" applyAlignment="1" applyBorder="1" applyFont="1" applyNumberFormat="1">
      <alignment vertical="center"/>
    </xf>
    <xf borderId="22" fillId="0" fontId="9" numFmtId="37" xfId="0" applyAlignment="1" applyBorder="1" applyFont="1" applyNumberFormat="1">
      <alignment vertical="center"/>
    </xf>
    <xf borderId="23" fillId="0" fontId="2" numFmtId="167" xfId="0" applyBorder="1" applyFont="1" applyNumberFormat="1"/>
    <xf borderId="42" fillId="0" fontId="9" numFmtId="37" xfId="0" applyAlignment="1" applyBorder="1" applyFont="1" applyNumberFormat="1">
      <alignment vertical="center"/>
    </xf>
    <xf borderId="46" fillId="0" fontId="9" numFmtId="37" xfId="0" applyAlignment="1" applyBorder="1" applyFont="1" applyNumberFormat="1">
      <alignment vertical="center"/>
    </xf>
    <xf borderId="39" fillId="0" fontId="37" numFmtId="167" xfId="0" applyAlignment="1" applyBorder="1" applyFont="1" applyNumberFormat="1">
      <alignment vertical="center"/>
    </xf>
    <xf borderId="13" fillId="0" fontId="5" numFmtId="0" xfId="0" applyAlignment="1" applyBorder="1" applyFont="1">
      <alignment vertical="center"/>
    </xf>
    <xf borderId="61" fillId="0" fontId="9" numFmtId="37" xfId="0" applyAlignment="1" applyBorder="1" applyFont="1" applyNumberFormat="1">
      <alignment horizontal="left"/>
    </xf>
    <xf borderId="62" fillId="0" fontId="2" numFmtId="167" xfId="0" applyBorder="1" applyFont="1" applyNumberFormat="1"/>
    <xf borderId="63" fillId="0" fontId="2" numFmtId="167" xfId="0" applyBorder="1" applyFont="1" applyNumberFormat="1"/>
    <xf borderId="22" fillId="0" fontId="9" numFmtId="37" xfId="0" applyAlignment="1" applyBorder="1" applyFont="1" applyNumberFormat="1">
      <alignment horizontal="left"/>
    </xf>
    <xf borderId="25" fillId="0" fontId="2" numFmtId="167" xfId="0" applyBorder="1" applyFont="1" applyNumberFormat="1"/>
    <xf quotePrefix="1" borderId="22" fillId="0" fontId="9" numFmtId="37" xfId="0" applyAlignment="1" applyBorder="1" applyFont="1" applyNumberFormat="1">
      <alignment horizontal="left"/>
    </xf>
    <xf borderId="90" fillId="0" fontId="37" numFmtId="167" xfId="0" applyAlignment="1" applyBorder="1" applyFont="1" applyNumberFormat="1">
      <alignment vertical="center"/>
    </xf>
    <xf borderId="0" fillId="0" fontId="34" numFmtId="167" xfId="0" applyFont="1" applyNumberFormat="1"/>
    <xf borderId="46" fillId="0" fontId="9" numFmtId="37" xfId="0" applyAlignment="1" applyBorder="1" applyFont="1" applyNumberFormat="1">
      <alignment horizontal="left"/>
    </xf>
    <xf borderId="47" fillId="0" fontId="2" numFmtId="167" xfId="0" applyBorder="1" applyFont="1" applyNumberFormat="1"/>
    <xf borderId="39" fillId="0" fontId="2" numFmtId="167" xfId="0" applyBorder="1" applyFont="1" applyNumberFormat="1"/>
    <xf borderId="13" fillId="0" fontId="8" numFmtId="37" xfId="0" applyAlignment="1" applyBorder="1" applyFont="1" applyNumberFormat="1">
      <alignment horizontal="left"/>
    </xf>
    <xf borderId="14" fillId="0" fontId="5" numFmtId="167" xfId="0" applyBorder="1" applyFont="1" applyNumberFormat="1"/>
    <xf borderId="0" fillId="0" fontId="8" numFmtId="37" xfId="0" applyAlignment="1" applyFont="1" applyNumberFormat="1">
      <alignment horizontal="left"/>
    </xf>
    <xf borderId="0" fillId="0" fontId="5" numFmtId="167" xfId="0" applyFont="1" applyNumberFormat="1"/>
    <xf borderId="0" fillId="0" fontId="46" numFmtId="167" xfId="0" applyAlignment="1" applyFont="1" applyNumberFormat="1">
      <alignment vertical="center"/>
    </xf>
    <xf borderId="1" fillId="4" fontId="49" numFmtId="0" xfId="0" applyAlignment="1" applyBorder="1" applyFont="1">
      <alignment horizontal="left"/>
    </xf>
    <xf borderId="0" fillId="0" fontId="50" numFmtId="0" xfId="0" applyFont="1"/>
    <xf borderId="42" fillId="0" fontId="9" numFmtId="37" xfId="0" applyAlignment="1" applyBorder="1" applyFont="1" applyNumberFormat="1">
      <alignment horizontal="left"/>
    </xf>
    <xf borderId="91" fillId="0" fontId="9" numFmtId="167" xfId="0" applyBorder="1" applyFont="1" applyNumberFormat="1"/>
    <xf borderId="68" fillId="0" fontId="9" numFmtId="167" xfId="0" applyBorder="1" applyFont="1" applyNumberFormat="1"/>
    <xf borderId="68" fillId="0" fontId="9" numFmtId="3" xfId="0" applyBorder="1" applyFont="1" applyNumberFormat="1"/>
    <xf borderId="13" fillId="0" fontId="5" numFmtId="0" xfId="0" applyAlignment="1" applyBorder="1" applyFont="1">
      <alignment horizontal="left"/>
    </xf>
    <xf borderId="15" fillId="0" fontId="46" numFmtId="167" xfId="0" applyBorder="1" applyFont="1" applyNumberFormat="1"/>
    <xf borderId="0" fillId="0" fontId="2" numFmtId="166" xfId="0" applyFont="1" applyNumberFormat="1"/>
    <xf borderId="0" fillId="0" fontId="9" numFmtId="37" xfId="0" applyAlignment="1" applyFont="1" applyNumberFormat="1">
      <alignment horizontal="left"/>
    </xf>
    <xf borderId="62" fillId="0" fontId="37" numFmtId="167" xfId="0" applyAlignment="1" applyBorder="1" applyFont="1" applyNumberFormat="1">
      <alignment horizontal="right" vertical="center"/>
    </xf>
    <xf borderId="63" fillId="0" fontId="2" numFmtId="167" xfId="0" applyAlignment="1" applyBorder="1" applyFont="1" applyNumberFormat="1">
      <alignment horizontal="right" vertical="center"/>
    </xf>
    <xf borderId="23" fillId="0" fontId="37" numFmtId="167" xfId="0" applyAlignment="1" applyBorder="1" applyFont="1" applyNumberFormat="1">
      <alignment horizontal="right" vertical="center"/>
    </xf>
    <xf borderId="25" fillId="0" fontId="2" numFmtId="167" xfId="0" applyAlignment="1" applyBorder="1" applyFont="1" applyNumberFormat="1">
      <alignment horizontal="right" vertical="center"/>
    </xf>
    <xf borderId="39" fillId="0" fontId="2" numFmtId="167" xfId="0" applyAlignment="1" applyBorder="1" applyFont="1" applyNumberFormat="1">
      <alignment horizontal="right" vertical="center"/>
    </xf>
    <xf borderId="14" fillId="0" fontId="5" numFmtId="167" xfId="0" applyAlignment="1" applyBorder="1" applyFont="1" applyNumberFormat="1">
      <alignment horizontal="right" vertical="center"/>
    </xf>
    <xf borderId="53" fillId="0" fontId="9" numFmtId="37" xfId="0" applyAlignment="1" applyBorder="1" applyFont="1" applyNumberFormat="1">
      <alignment horizontal="left" vertical="center"/>
    </xf>
    <xf borderId="19" fillId="4" fontId="37" numFmtId="167" xfId="0" applyAlignment="1" applyBorder="1" applyFont="1" applyNumberFormat="1">
      <alignment horizontal="right" vertical="center"/>
    </xf>
    <xf borderId="43" fillId="0" fontId="37" numFmtId="167" xfId="0" applyAlignment="1" applyBorder="1" applyFont="1" applyNumberFormat="1">
      <alignment horizontal="right" vertical="center"/>
    </xf>
    <xf borderId="43" fillId="0" fontId="9" numFmtId="167" xfId="0" applyAlignment="1" applyBorder="1" applyFont="1" applyNumberFormat="1">
      <alignment horizontal="right" vertical="center"/>
    </xf>
    <xf borderId="45" fillId="0" fontId="2" numFmtId="167" xfId="0" applyAlignment="1" applyBorder="1" applyFont="1" applyNumberFormat="1">
      <alignment horizontal="right" vertical="center"/>
    </xf>
    <xf borderId="15" fillId="0" fontId="5" numFmtId="167" xfId="0" applyAlignment="1" applyBorder="1" applyFont="1" applyNumberFormat="1">
      <alignment horizontal="right" vertical="center"/>
    </xf>
    <xf borderId="0" fillId="0" fontId="5" numFmtId="0" xfId="0" applyAlignment="1" applyFont="1">
      <alignment horizontal="left" vertical="center"/>
    </xf>
    <xf borderId="0" fillId="0" fontId="5" numFmtId="167" xfId="0" applyAlignment="1" applyFont="1" applyNumberFormat="1">
      <alignment horizontal="right" vertical="center"/>
    </xf>
    <xf borderId="0" fillId="0" fontId="51" numFmtId="37" xfId="0" applyAlignment="1" applyFont="1" applyNumberFormat="1">
      <alignment horizontal="left" vertical="center"/>
    </xf>
    <xf borderId="0" fillId="0" fontId="17" numFmtId="0" xfId="0" applyAlignment="1" applyFont="1">
      <alignment vertical="center"/>
    </xf>
    <xf borderId="0" fillId="0" fontId="17" numFmtId="166" xfId="0" applyAlignment="1" applyFont="1" applyNumberFormat="1">
      <alignment vertical="center"/>
    </xf>
    <xf borderId="74" fillId="0" fontId="9" numFmtId="167" xfId="0" applyBorder="1" applyFont="1" applyNumberFormat="1"/>
    <xf borderId="71" fillId="0" fontId="9" numFmtId="167" xfId="0" applyBorder="1" applyFont="1" applyNumberFormat="1"/>
    <xf borderId="48" fillId="0" fontId="9" numFmtId="167" xfId="0" applyBorder="1" applyFont="1" applyNumberFormat="1"/>
    <xf borderId="80" fillId="0" fontId="8" numFmtId="37" xfId="0" applyAlignment="1" applyBorder="1" applyFont="1" applyNumberFormat="1">
      <alignment horizontal="left"/>
    </xf>
    <xf borderId="52" fillId="0" fontId="8" numFmtId="167" xfId="0" applyBorder="1" applyFont="1" applyNumberFormat="1"/>
    <xf borderId="15" fillId="0" fontId="8" numFmtId="167" xfId="0" applyBorder="1" applyFont="1" applyNumberFormat="1"/>
    <xf borderId="0" fillId="0" fontId="9" numFmtId="37" xfId="0" applyFont="1" applyNumberFormat="1"/>
    <xf borderId="0" fillId="0" fontId="9" numFmtId="0" xfId="0" applyFont="1"/>
    <xf borderId="0" fillId="0" fontId="9" numFmtId="0" xfId="0" applyAlignment="1" applyFont="1">
      <alignment horizontal="left"/>
    </xf>
    <xf borderId="0" fillId="0" fontId="2" numFmtId="0" xfId="0" applyAlignment="1" applyFont="1">
      <alignment horizontal="center"/>
    </xf>
    <xf borderId="0" fillId="0" fontId="36" numFmtId="0" xfId="0" applyFont="1"/>
    <xf borderId="48" fillId="0" fontId="37" numFmtId="167" xfId="0" applyAlignment="1" applyBorder="1" applyFont="1" applyNumberFormat="1">
      <alignment vertical="center"/>
    </xf>
    <xf borderId="1" fillId="4" fontId="2" numFmtId="0" xfId="0" applyBorder="1"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comments20.xml.rels><?xml version="1.0" encoding="UTF-8" standalone="yes"?><Relationships xmlns="http://schemas.openxmlformats.org/package/2006/relationships"><Relationship Id="rId1" Type="http://customschemas.google.com/relationships/workbookmetadata" Target="commentsmeta19"/></Relationships>
</file>

<file path=xl/_rels/comments21.xml.rels><?xml version="1.0" encoding="UTF-8" standalone="yes"?><Relationships xmlns="http://schemas.openxmlformats.org/package/2006/relationships"><Relationship Id="rId1" Type="http://customschemas.google.com/relationships/workbookmetadata" Target="commentsmeta20"/></Relationships>
</file>

<file path=xl/_rels/comments22.xml.rels><?xml version="1.0" encoding="UTF-8" standalone="yes"?><Relationships xmlns="http://schemas.openxmlformats.org/package/2006/relationships"><Relationship Id="rId1" Type="http://customschemas.google.com/relationships/workbookmetadata" Target="commentsmeta21"/></Relationships>
</file>

<file path=xl/_rels/comments23.xml.rels><?xml version="1.0" encoding="UTF-8" standalone="yes"?><Relationships xmlns="http://schemas.openxmlformats.org/package/2006/relationships"><Relationship Id="rId1" Type="http://customschemas.google.com/relationships/workbookmetadata" Target="commentsmeta22"/></Relationships>
</file>

<file path=xl/_rels/comments24.xml.rels><?xml version="1.0" encoding="UTF-8" standalone="yes"?><Relationships xmlns="http://schemas.openxmlformats.org/package/2006/relationships"><Relationship Id="rId1" Type="http://customschemas.google.com/relationships/workbookmetadata" Target="commentsmeta23"/></Relationships>
</file>

<file path=xl/_rels/comments25.xml.rels><?xml version="1.0" encoding="UTF-8" standalone="yes"?><Relationships xmlns="http://schemas.openxmlformats.org/package/2006/relationships"><Relationship Id="rId1" Type="http://customschemas.google.com/relationships/workbookmetadata" Target="commentsmeta24"/></Relationships>
</file>

<file path=xl/_rels/comments26.xml.rels><?xml version="1.0" encoding="UTF-8" standalone="yes"?><Relationships xmlns="http://schemas.openxmlformats.org/package/2006/relationships"><Relationship Id="rId1" Type="http://customschemas.google.com/relationships/workbookmetadata" Target="commentsmeta25"/></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externalLink" Target="externalLinks/externalLink1.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externalLink" Target="externalLinks/externalLink3.xml"/><Relationship Id="rId10" Type="http://schemas.openxmlformats.org/officeDocument/2006/relationships/worksheet" Target="worksheets/sheet7.xml"/><Relationship Id="rId54" Type="http://schemas.openxmlformats.org/officeDocument/2006/relationships/externalLink" Target="externalLinks/externalLink2.xml"/><Relationship Id="rId13" Type="http://schemas.openxmlformats.org/officeDocument/2006/relationships/worksheet" Target="worksheets/sheet10.xml"/><Relationship Id="rId57" Type="http://customschemas.google.com/relationships/workbookmetadata" Target="metadata"/><Relationship Id="rId12" Type="http://schemas.openxmlformats.org/officeDocument/2006/relationships/worksheet" Target="worksheets/sheet9.xml"/><Relationship Id="rId56" Type="http://schemas.openxmlformats.org/officeDocument/2006/relationships/externalLink" Target="externalLinks/externalLink4.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Sample%20downloa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rsonal/girma_gina_un_org/Documents/MFL/MFL/Interest_Income/Trinneial_Interest%20incom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sonal/fadi_abouelias_un_org/Documents/C-Drive/MLF/EXCOM/94th%20Meeting/Documents/Status%20of%20Contributions/Drafts/V6-Received%20from%20Girma/FERM%20Gain%20and%20Loss%20as%20at%2031.05.202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rsonal/fadi_abouelias_un_org/Documents/C-Drive/MLF/EXCOM/94th%20Meeting/Documents/Status%20of%20Contributions/In-session/FERM%20Gain%20and%20Loss%20as%20at%2031.05.2024.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tatistics"/>
      <sheetName val="Status"/>
      <sheetName val="YR2023"/>
      <sheetName val="YR2022"/>
    </sheetNames>
    <sheetDataSet>
      <sheetData sheetId="0"/>
      <sheetData sheetId="1"/>
      <sheetData sheetId="2"/>
      <sheetData sheetId="3"/>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2015_17_Interest"/>
      <sheetName val="2018_20_Interest"/>
      <sheetName val="2021_23_Interest"/>
      <sheetName val="2024_26_Interest"/>
      <sheetName val="Sheet3"/>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ummary"/>
      <sheetName val="AUL41"/>
      <sheetName val="AUS41"/>
      <sheetName val="BEL40"/>
      <sheetName val="CAN41"/>
      <sheetName val="CROATIA"/>
      <sheetName val="CYP"/>
      <sheetName val="CZE38"/>
      <sheetName val="DEN38"/>
      <sheetName val="EST09"/>
      <sheetName val="FIN38"/>
      <sheetName val="FRA38 AA"/>
      <sheetName val="GER38 AA"/>
      <sheetName val="GRE38"/>
      <sheetName val="HUN38"/>
      <sheetName val="ICE38"/>
      <sheetName val="IRE38"/>
      <sheetName val="ITA38"/>
      <sheetName val="LATV48"/>
      <sheetName val="LITU"/>
      <sheetName val="LUX38"/>
      <sheetName val="MAT"/>
      <sheetName val="MON49"/>
      <sheetName val="NET38 AA"/>
      <sheetName val="NZL38"/>
      <sheetName val="NOR38"/>
      <sheetName val="POL38"/>
      <sheetName val="POR38"/>
      <sheetName val="ROM54"/>
      <sheetName val="RUSSIA"/>
      <sheetName val="SanMarino"/>
      <sheetName val="Slovenia"/>
      <sheetName val="SLOVAK REP"/>
      <sheetName val="SPAIN"/>
      <sheetName val="SWE38"/>
      <sheetName val="SWZ38"/>
      <sheetName val="UK41 AA"/>
      <sheetName val="USA38 A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ummary"/>
      <sheetName val="AUL41"/>
      <sheetName val="AUS41"/>
      <sheetName val="BEL40"/>
      <sheetName val="CAN41"/>
      <sheetName val="CROATIA"/>
      <sheetName val="CYP"/>
      <sheetName val="CZE38"/>
      <sheetName val="DEN38"/>
      <sheetName val="EST09"/>
      <sheetName val="FIN38"/>
      <sheetName val="FRA38 AA"/>
      <sheetName val="GER38 AA"/>
      <sheetName val="GRE38"/>
      <sheetName val="HUN38"/>
      <sheetName val="ICE38"/>
      <sheetName val="IRE38"/>
      <sheetName val="ITA38"/>
      <sheetName val="LATV48"/>
      <sheetName val="LITU"/>
      <sheetName val="LUX38"/>
      <sheetName val="MAT"/>
      <sheetName val="MON49"/>
      <sheetName val="NET38 AA"/>
      <sheetName val="NZL38"/>
      <sheetName val="NOR38"/>
      <sheetName val="POL38"/>
      <sheetName val="POR38"/>
      <sheetName val="ROM54"/>
      <sheetName val="RUSSIA"/>
      <sheetName val="SanMarino"/>
      <sheetName val="Slovenia"/>
      <sheetName val="SLOVAK REP"/>
      <sheetName val="SPAIN"/>
      <sheetName val="SWE38"/>
      <sheetName val="SWZ38"/>
      <sheetName val="UK41 AA"/>
      <sheetName val="USA38 A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2.xml"/><Relationship Id="rId3"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3.xml"/><Relationship Id="rId3"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5.xml"/><Relationship Id="rId3"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6.xml"/><Relationship Id="rId3"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7.xml"/><Relationship Id="rId3"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9.xml"/><Relationship Id="rId3"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20.xml"/><Relationship Id="rId3"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1.xml"/><Relationship Id="rId3"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23.xml"/><Relationship Id="rId3" Type="http://schemas.openxmlformats.org/officeDocument/2006/relationships/vmlDrawing" Target="../drawings/vmlDrawing1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24.xml"/><Relationship Id="rId3" Type="http://schemas.openxmlformats.org/officeDocument/2006/relationships/vmlDrawing" Target="../drawings/vmlDrawing1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7.xml"/><Relationship Id="rId3" Type="http://schemas.openxmlformats.org/officeDocument/2006/relationships/vmlDrawing" Target="../drawings/vmlDrawing16.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8.xml"/><Relationship Id="rId3" Type="http://schemas.openxmlformats.org/officeDocument/2006/relationships/vmlDrawing" Target="../drawings/vmlDrawing17.v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31.xml"/><Relationship Id="rId3"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32.xml"/><Relationship Id="rId3"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33.xml"/><Relationship Id="rId3" Type="http://schemas.openxmlformats.org/officeDocument/2006/relationships/vmlDrawing" Target="../drawings/vmlDrawing20.v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35.xml"/><Relationship Id="rId3" Type="http://schemas.openxmlformats.org/officeDocument/2006/relationships/vmlDrawing" Target="../drawings/vmlDrawing21.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36.xml"/><Relationship Id="rId3" Type="http://schemas.openxmlformats.org/officeDocument/2006/relationships/vmlDrawing" Target="../drawings/vmlDrawing22.vml"/></Relationships>
</file>

<file path=xl/worksheets/_rels/sheet37.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37.xml"/><Relationship Id="rId3" Type="http://schemas.openxmlformats.org/officeDocument/2006/relationships/vmlDrawing" Target="../drawings/vmlDrawing23.v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39.xml"/><Relationship Id="rId3" Type="http://schemas.openxmlformats.org/officeDocument/2006/relationships/vmlDrawing" Target="../drawings/vmlDrawing24.vml"/></Relationships>
</file>

<file path=xl/worksheets/_rels/sheet40.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40.xml"/><Relationship Id="rId3" Type="http://schemas.openxmlformats.org/officeDocument/2006/relationships/vmlDrawing" Target="../drawings/vmlDrawing25.vml"/></Relationships>
</file>

<file path=xl/worksheets/_rels/sheet41.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41.xml"/><Relationship Id="rId3"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9.71"/>
    <col customWidth="1" min="2" max="2" width="61.71"/>
    <col customWidth="1" min="3" max="3" width="22.29"/>
    <col customWidth="1" min="4" max="4" width="20.71"/>
    <col customWidth="1" min="5" max="5" width="2.43"/>
    <col customWidth="1" min="6" max="6" width="13.86"/>
    <col customWidth="1" min="7" max="7" width="11.71"/>
    <col customWidth="1" min="8" max="8" width="9.71"/>
    <col customWidth="1" min="9" max="10" width="13.57"/>
    <col customWidth="1" min="11" max="26" width="9.71"/>
  </cols>
  <sheetData>
    <row r="1" ht="18.0" customHeight="1">
      <c r="A1" s="1"/>
      <c r="B1" s="2" t="s">
        <v>0</v>
      </c>
      <c r="C1" s="3"/>
      <c r="D1" s="4"/>
      <c r="E1" s="1"/>
      <c r="F1" s="1"/>
      <c r="G1" s="5"/>
      <c r="H1" s="1"/>
      <c r="I1" s="1"/>
      <c r="J1" s="5"/>
      <c r="K1" s="1"/>
      <c r="L1" s="1"/>
      <c r="M1" s="1"/>
      <c r="N1" s="1"/>
      <c r="O1" s="1"/>
      <c r="P1" s="1"/>
      <c r="Q1" s="1"/>
      <c r="R1" s="1"/>
      <c r="S1" s="1"/>
      <c r="T1" s="1"/>
      <c r="U1" s="1"/>
      <c r="V1" s="1"/>
      <c r="W1" s="1"/>
      <c r="X1" s="1"/>
      <c r="Y1" s="1"/>
      <c r="Z1" s="1"/>
    </row>
    <row r="2" ht="18.0" customHeight="1">
      <c r="A2" s="1"/>
      <c r="B2" s="2" t="s">
        <v>1</v>
      </c>
      <c r="C2" s="3"/>
      <c r="D2" s="4"/>
      <c r="E2" s="1"/>
      <c r="F2" s="1"/>
      <c r="G2" s="5"/>
      <c r="H2" s="1"/>
      <c r="I2" s="1"/>
      <c r="J2" s="5"/>
      <c r="K2" s="1"/>
      <c r="L2" s="1"/>
      <c r="M2" s="1"/>
      <c r="N2" s="1"/>
      <c r="O2" s="1"/>
      <c r="P2" s="1"/>
      <c r="Q2" s="1"/>
      <c r="R2" s="1"/>
      <c r="S2" s="1"/>
      <c r="T2" s="1"/>
      <c r="U2" s="1"/>
      <c r="V2" s="1"/>
      <c r="W2" s="1"/>
      <c r="X2" s="1"/>
      <c r="Y2" s="1"/>
      <c r="Z2" s="1"/>
    </row>
    <row r="3" ht="18.0" customHeight="1">
      <c r="A3" s="1"/>
      <c r="B3" s="6" t="s">
        <v>2</v>
      </c>
      <c r="C3" s="3"/>
      <c r="D3" s="4"/>
      <c r="E3" s="7"/>
      <c r="F3" s="1"/>
      <c r="G3" s="5"/>
      <c r="H3" s="1"/>
      <c r="I3" s="1"/>
      <c r="J3" s="5"/>
      <c r="K3" s="1"/>
      <c r="L3" s="1"/>
      <c r="M3" s="1"/>
      <c r="N3" s="1"/>
      <c r="O3" s="1"/>
      <c r="P3" s="1"/>
      <c r="Q3" s="1"/>
      <c r="R3" s="1"/>
      <c r="S3" s="1"/>
      <c r="T3" s="1"/>
      <c r="U3" s="1"/>
      <c r="V3" s="1"/>
      <c r="W3" s="1"/>
      <c r="X3" s="1"/>
      <c r="Y3" s="1"/>
      <c r="Z3" s="1"/>
    </row>
    <row r="4">
      <c r="A4" s="1"/>
      <c r="B4" s="8"/>
      <c r="C4" s="9"/>
      <c r="D4" s="4"/>
      <c r="E4" s="7"/>
      <c r="F4" s="1"/>
      <c r="G4" s="5"/>
      <c r="H4" s="1"/>
      <c r="I4" s="1"/>
      <c r="J4" s="5"/>
      <c r="K4" s="1"/>
      <c r="L4" s="1"/>
      <c r="M4" s="1"/>
      <c r="N4" s="1"/>
      <c r="O4" s="1"/>
      <c r="P4" s="1"/>
      <c r="Q4" s="1"/>
      <c r="R4" s="1"/>
      <c r="S4" s="1"/>
      <c r="T4" s="1"/>
      <c r="U4" s="1"/>
      <c r="V4" s="1"/>
      <c r="W4" s="1"/>
      <c r="X4" s="1"/>
      <c r="Y4" s="1"/>
      <c r="Z4" s="1"/>
    </row>
    <row r="5">
      <c r="A5" s="1"/>
      <c r="B5" s="8"/>
      <c r="C5" s="9"/>
      <c r="D5" s="4"/>
      <c r="E5" s="7"/>
      <c r="F5" s="1"/>
      <c r="G5" s="5"/>
      <c r="H5" s="1"/>
      <c r="I5" s="1"/>
      <c r="J5" s="5"/>
      <c r="K5" s="1"/>
      <c r="L5" s="1"/>
      <c r="M5" s="1"/>
      <c r="N5" s="1"/>
      <c r="O5" s="1"/>
      <c r="P5" s="1"/>
      <c r="Q5" s="1"/>
      <c r="R5" s="1"/>
      <c r="S5" s="1"/>
      <c r="T5" s="1"/>
      <c r="U5" s="1"/>
      <c r="V5" s="1"/>
      <c r="W5" s="1"/>
      <c r="X5" s="1"/>
      <c r="Y5" s="1"/>
      <c r="Z5" s="1"/>
    </row>
    <row r="6">
      <c r="A6" s="1"/>
      <c r="B6" s="10" t="s">
        <v>3</v>
      </c>
      <c r="C6" s="11"/>
      <c r="D6" s="12"/>
      <c r="E6" s="13"/>
      <c r="F6" s="1"/>
      <c r="G6" s="5"/>
      <c r="H6" s="1"/>
      <c r="I6" s="1"/>
      <c r="J6" s="5"/>
      <c r="K6" s="1"/>
      <c r="L6" s="1"/>
      <c r="M6" s="1"/>
      <c r="N6" s="1"/>
      <c r="O6" s="1"/>
      <c r="P6" s="1"/>
      <c r="Q6" s="1"/>
      <c r="R6" s="1"/>
      <c r="S6" s="1"/>
      <c r="T6" s="1"/>
      <c r="U6" s="1"/>
      <c r="V6" s="1"/>
      <c r="W6" s="1"/>
      <c r="X6" s="1"/>
      <c r="Y6" s="1"/>
      <c r="Z6" s="1"/>
    </row>
    <row r="7">
      <c r="A7" s="1"/>
      <c r="B7" s="14" t="s">
        <v>4</v>
      </c>
      <c r="C7" s="11"/>
      <c r="D7" s="12"/>
      <c r="E7" s="13"/>
      <c r="F7" s="1"/>
      <c r="G7" s="5"/>
      <c r="H7" s="1"/>
      <c r="I7" s="1"/>
      <c r="J7" s="5"/>
      <c r="K7" s="1"/>
      <c r="L7" s="1"/>
      <c r="M7" s="1"/>
      <c r="N7" s="1"/>
      <c r="O7" s="1"/>
      <c r="P7" s="1"/>
      <c r="Q7" s="1"/>
      <c r="R7" s="1"/>
      <c r="S7" s="1"/>
      <c r="T7" s="1"/>
      <c r="U7" s="1"/>
      <c r="V7" s="1"/>
      <c r="W7" s="1"/>
      <c r="X7" s="1"/>
      <c r="Y7" s="1"/>
      <c r="Z7" s="1"/>
    </row>
    <row r="8">
      <c r="A8" s="1"/>
      <c r="B8" s="15" t="s">
        <v>5</v>
      </c>
      <c r="C8" s="11"/>
      <c r="D8" s="12"/>
      <c r="E8" s="13"/>
      <c r="F8" s="1"/>
      <c r="G8" s="5"/>
      <c r="H8" s="1"/>
      <c r="I8" s="1"/>
      <c r="J8" s="5"/>
      <c r="K8" s="1"/>
      <c r="L8" s="1"/>
      <c r="M8" s="1"/>
      <c r="N8" s="1"/>
      <c r="O8" s="1"/>
      <c r="P8" s="1"/>
      <c r="Q8" s="1"/>
      <c r="R8" s="1"/>
      <c r="S8" s="1"/>
      <c r="T8" s="1"/>
      <c r="U8" s="1"/>
      <c r="V8" s="1"/>
      <c r="W8" s="1"/>
      <c r="X8" s="1"/>
      <c r="Y8" s="1"/>
      <c r="Z8" s="1"/>
    </row>
    <row r="9">
      <c r="A9" s="1"/>
      <c r="B9" s="16"/>
      <c r="C9" s="16"/>
      <c r="D9" s="16"/>
      <c r="E9" s="13"/>
      <c r="F9" s="1"/>
      <c r="G9" s="5"/>
      <c r="H9" s="1"/>
      <c r="I9" s="1"/>
      <c r="J9" s="5"/>
      <c r="K9" s="1"/>
      <c r="L9" s="1"/>
      <c r="M9" s="1"/>
      <c r="N9" s="1"/>
      <c r="O9" s="1"/>
      <c r="P9" s="1"/>
      <c r="Q9" s="1"/>
      <c r="R9" s="1"/>
      <c r="S9" s="1"/>
      <c r="T9" s="1"/>
      <c r="U9" s="1"/>
      <c r="V9" s="1"/>
      <c r="W9" s="1"/>
      <c r="X9" s="1"/>
      <c r="Y9" s="1"/>
      <c r="Z9" s="1"/>
    </row>
    <row r="10">
      <c r="A10" s="1"/>
      <c r="B10" s="17" t="s">
        <v>6</v>
      </c>
      <c r="C10" s="18"/>
      <c r="D10" s="19"/>
      <c r="E10" s="13"/>
      <c r="F10" s="5"/>
      <c r="G10" s="5"/>
      <c r="H10" s="1"/>
      <c r="I10" s="1"/>
      <c r="J10" s="5"/>
      <c r="K10" s="1"/>
      <c r="L10" s="1"/>
      <c r="M10" s="1"/>
      <c r="N10" s="1"/>
      <c r="O10" s="1"/>
      <c r="P10" s="1"/>
      <c r="Q10" s="1"/>
      <c r="R10" s="1"/>
      <c r="S10" s="1"/>
      <c r="T10" s="1"/>
      <c r="U10" s="1"/>
      <c r="V10" s="1"/>
      <c r="W10" s="1"/>
      <c r="X10" s="1"/>
      <c r="Y10" s="1"/>
      <c r="Z10" s="1"/>
    </row>
    <row r="11">
      <c r="A11" s="1"/>
      <c r="B11" s="20" t="s">
        <v>7</v>
      </c>
      <c r="C11" s="21"/>
      <c r="D11" s="22"/>
      <c r="E11" s="23"/>
      <c r="F11" s="23"/>
      <c r="G11" s="23"/>
      <c r="H11" s="23"/>
      <c r="I11" s="1"/>
      <c r="J11" s="5"/>
      <c r="K11" s="1"/>
      <c r="L11" s="1"/>
      <c r="M11" s="1"/>
      <c r="N11" s="1"/>
      <c r="O11" s="1"/>
      <c r="P11" s="1"/>
      <c r="Q11" s="1"/>
      <c r="R11" s="1"/>
      <c r="S11" s="1"/>
      <c r="T11" s="1"/>
      <c r="U11" s="1"/>
      <c r="V11" s="1"/>
      <c r="W11" s="1"/>
      <c r="X11" s="1"/>
      <c r="Y11" s="1"/>
      <c r="Z11" s="1"/>
    </row>
    <row r="12">
      <c r="A12" s="1"/>
      <c r="B12" s="20" t="s">
        <v>8</v>
      </c>
      <c r="C12" s="21"/>
      <c r="D12" s="24">
        <f>Statistics!O13</f>
        <v>4272742415</v>
      </c>
      <c r="E12" s="23"/>
      <c r="F12" s="25"/>
      <c r="G12" s="23"/>
      <c r="H12" s="26"/>
      <c r="I12" s="5"/>
      <c r="J12" s="5"/>
      <c r="K12" s="1"/>
      <c r="L12" s="1"/>
      <c r="M12" s="1"/>
      <c r="N12" s="1"/>
      <c r="O12" s="1"/>
      <c r="P12" s="1"/>
      <c r="Q12" s="1"/>
      <c r="R12" s="1"/>
      <c r="S12" s="1"/>
      <c r="T12" s="1"/>
      <c r="U12" s="1"/>
      <c r="V12" s="1"/>
      <c r="W12" s="1"/>
      <c r="X12" s="1"/>
      <c r="Y12" s="1"/>
      <c r="Z12" s="1"/>
    </row>
    <row r="13">
      <c r="A13" s="1"/>
      <c r="B13" s="20" t="s">
        <v>9</v>
      </c>
      <c r="C13" s="21"/>
      <c r="D13" s="24">
        <f>Statistics!O15</f>
        <v>-0.1098566416</v>
      </c>
      <c r="E13" s="23"/>
      <c r="F13" s="23"/>
      <c r="G13" s="23"/>
      <c r="H13" s="26"/>
      <c r="I13" s="5"/>
      <c r="J13" s="5"/>
      <c r="K13" s="1"/>
      <c r="L13" s="1"/>
      <c r="M13" s="1"/>
      <c r="N13" s="1"/>
      <c r="O13" s="1"/>
      <c r="P13" s="1"/>
      <c r="Q13" s="1"/>
      <c r="R13" s="1"/>
      <c r="S13" s="1"/>
      <c r="T13" s="1"/>
      <c r="U13" s="1"/>
      <c r="V13" s="1"/>
      <c r="W13" s="1"/>
      <c r="X13" s="1"/>
      <c r="Y13" s="1"/>
      <c r="Z13" s="1"/>
    </row>
    <row r="14">
      <c r="A14" s="1"/>
      <c r="B14" s="20" t="s">
        <v>10</v>
      </c>
      <c r="C14" s="21"/>
      <c r="D14" s="24">
        <f>Statistics!O14</f>
        <v>188759809.1</v>
      </c>
      <c r="E14" s="23"/>
      <c r="F14" s="23"/>
      <c r="G14" s="23"/>
      <c r="H14" s="26"/>
      <c r="I14" s="5"/>
      <c r="J14" s="5"/>
      <c r="K14" s="1"/>
      <c r="L14" s="1"/>
      <c r="M14" s="1"/>
      <c r="N14" s="1"/>
      <c r="O14" s="1"/>
      <c r="P14" s="1"/>
      <c r="Q14" s="1"/>
      <c r="R14" s="1"/>
      <c r="S14" s="1"/>
      <c r="T14" s="1"/>
      <c r="U14" s="1"/>
      <c r="V14" s="1"/>
      <c r="W14" s="1"/>
      <c r="X14" s="1"/>
      <c r="Y14" s="1"/>
      <c r="Z14" s="1"/>
    </row>
    <row r="15">
      <c r="A15" s="1"/>
      <c r="B15" s="20" t="s">
        <v>11</v>
      </c>
      <c r="C15" s="21"/>
      <c r="D15" s="24" t="str">
        <f>Statistics!O21</f>
        <v>#REF!</v>
      </c>
      <c r="E15" s="23"/>
      <c r="F15" s="23"/>
      <c r="G15" s="23"/>
      <c r="H15" s="26"/>
      <c r="I15" s="5"/>
      <c r="J15" s="5"/>
      <c r="K15" s="1"/>
      <c r="L15" s="1"/>
      <c r="M15" s="1"/>
      <c r="N15" s="1"/>
      <c r="O15" s="1"/>
      <c r="P15" s="1"/>
      <c r="Q15" s="1"/>
      <c r="R15" s="1"/>
      <c r="S15" s="1"/>
      <c r="T15" s="1"/>
      <c r="U15" s="1"/>
      <c r="V15" s="1"/>
      <c r="W15" s="1"/>
      <c r="X15" s="1"/>
      <c r="Y15" s="1"/>
      <c r="Z15" s="1"/>
    </row>
    <row r="16">
      <c r="A16" s="1"/>
      <c r="B16" s="20" t="s">
        <v>12</v>
      </c>
      <c r="C16" s="21"/>
      <c r="D16" s="24">
        <f>Statistics!O23</f>
        <v>26422452.59</v>
      </c>
      <c r="E16" s="23"/>
      <c r="F16" s="23"/>
      <c r="G16" s="23"/>
      <c r="H16" s="26"/>
      <c r="I16" s="1"/>
      <c r="J16" s="5"/>
      <c r="K16" s="1"/>
      <c r="L16" s="1"/>
      <c r="M16" s="1"/>
      <c r="N16" s="1"/>
      <c r="O16" s="1"/>
      <c r="P16" s="1"/>
      <c r="Q16" s="1"/>
      <c r="R16" s="1"/>
      <c r="S16" s="1"/>
      <c r="T16" s="1"/>
      <c r="U16" s="1"/>
      <c r="V16" s="1"/>
      <c r="W16" s="1"/>
      <c r="X16" s="1"/>
      <c r="Y16" s="1"/>
      <c r="Z16" s="1"/>
    </row>
    <row r="17">
      <c r="A17" s="1"/>
      <c r="B17" s="27"/>
      <c r="C17" s="21"/>
      <c r="D17" s="24"/>
      <c r="E17" s="23"/>
      <c r="F17" s="23"/>
      <c r="G17" s="23"/>
      <c r="H17" s="23"/>
      <c r="I17" s="1"/>
      <c r="J17" s="5"/>
      <c r="K17" s="1"/>
      <c r="L17" s="1"/>
      <c r="M17" s="1"/>
      <c r="N17" s="1"/>
      <c r="O17" s="1"/>
      <c r="P17" s="1"/>
      <c r="Q17" s="1"/>
      <c r="R17" s="1"/>
      <c r="S17" s="1"/>
      <c r="T17" s="1"/>
      <c r="U17" s="1"/>
      <c r="V17" s="1"/>
      <c r="W17" s="1"/>
      <c r="X17" s="1"/>
      <c r="Y17" s="1"/>
      <c r="Z17" s="1"/>
    </row>
    <row r="18">
      <c r="A18" s="1"/>
      <c r="B18" s="28" t="s">
        <v>13</v>
      </c>
      <c r="C18" s="29"/>
      <c r="D18" s="30" t="str">
        <f>SUM(D12:D16)</f>
        <v>#REF!</v>
      </c>
      <c r="E18" s="23"/>
      <c r="F18" s="23"/>
      <c r="G18" s="23"/>
      <c r="H18" s="23"/>
      <c r="I18" s="1"/>
      <c r="J18" s="5"/>
      <c r="K18" s="1"/>
      <c r="L18" s="1"/>
      <c r="M18" s="1"/>
      <c r="N18" s="1"/>
      <c r="O18" s="1"/>
      <c r="P18" s="1"/>
      <c r="Q18" s="1"/>
      <c r="R18" s="1"/>
      <c r="S18" s="1"/>
      <c r="T18" s="1"/>
      <c r="U18" s="1"/>
      <c r="V18" s="1"/>
      <c r="W18" s="1"/>
      <c r="X18" s="1"/>
      <c r="Y18" s="1"/>
      <c r="Z18" s="1"/>
    </row>
    <row r="19">
      <c r="A19" s="1"/>
      <c r="B19" s="20"/>
      <c r="C19" s="31"/>
      <c r="D19" s="32"/>
      <c r="E19" s="23"/>
      <c r="F19" s="23"/>
      <c r="G19" s="23"/>
      <c r="H19" s="23"/>
      <c r="I19" s="1"/>
      <c r="J19" s="5"/>
      <c r="K19" s="1"/>
      <c r="L19" s="1"/>
      <c r="M19" s="1"/>
      <c r="N19" s="1"/>
      <c r="O19" s="1"/>
      <c r="P19" s="1"/>
      <c r="Q19" s="1"/>
      <c r="R19" s="1"/>
      <c r="S19" s="1"/>
      <c r="T19" s="1"/>
      <c r="U19" s="1"/>
      <c r="V19" s="1"/>
      <c r="W19" s="1"/>
      <c r="X19" s="1"/>
      <c r="Y19" s="1"/>
      <c r="Z19" s="1"/>
    </row>
    <row r="20">
      <c r="A20" s="1"/>
      <c r="B20" s="27" t="s">
        <v>14</v>
      </c>
      <c r="C20" s="33"/>
      <c r="D20" s="32"/>
      <c r="E20" s="23"/>
      <c r="F20" s="23"/>
      <c r="G20" s="23"/>
      <c r="H20" s="23"/>
      <c r="I20" s="1"/>
      <c r="J20" s="5"/>
      <c r="K20" s="1"/>
      <c r="L20" s="1"/>
      <c r="M20" s="1"/>
      <c r="N20" s="1"/>
      <c r="O20" s="1"/>
      <c r="P20" s="1"/>
      <c r="Q20" s="1"/>
      <c r="R20" s="1"/>
      <c r="S20" s="1"/>
      <c r="T20" s="1"/>
      <c r="U20" s="1"/>
      <c r="V20" s="1"/>
      <c r="W20" s="1"/>
      <c r="X20" s="1"/>
      <c r="Y20" s="1"/>
      <c r="Z20" s="1"/>
    </row>
    <row r="21">
      <c r="A21" s="1"/>
      <c r="B21" s="20" t="s">
        <v>15</v>
      </c>
      <c r="C21" s="34">
        <f>294152170+(12915408+5195122)+(15215276-2977982)+(8618910-419301-226000)+(17018478)+(14177265-1683603)+((12653435+1430647)-2718481)+((14424568+1402119)-(193367+25137)-(53839+6999))+(19995569-314251-1103805+1500000)+0+4814666+30020278+8641445+5336707+13927069+252410+12804629+889225+19594404+4729942-124783+1329884+11966824+1717058+3758174+8437561+4643575+5472174-12091+17773210+5420536+2351096+8247485+13634970+1762610+8758421+5300312+45267545+15663304+46931+14033043+22222778+353925+2031741+35862061+5275344+20355546+5561567+32430951+6356195+37713812+2647144+31695752+13510235+31350593+1361219+11103876+17110701+16526718-6740+4778720+23735582-2537891-112350+5091172-2436628+15002341-3253421-11990+10244536-358115+860143+32100+28075102</f>
        <v>1058007535</v>
      </c>
      <c r="D21" s="35"/>
      <c r="E21" s="23"/>
      <c r="F21" s="23"/>
      <c r="G21" s="23"/>
      <c r="H21" s="23"/>
      <c r="I21" s="1"/>
      <c r="J21" s="5"/>
      <c r="K21" s="1"/>
      <c r="L21" s="1"/>
      <c r="M21" s="1"/>
      <c r="N21" s="1"/>
      <c r="O21" s="1"/>
      <c r="P21" s="1"/>
      <c r="Q21" s="1"/>
      <c r="R21" s="1"/>
      <c r="S21" s="1"/>
      <c r="T21" s="1"/>
      <c r="U21" s="1"/>
      <c r="V21" s="1"/>
      <c r="W21" s="1"/>
      <c r="X21" s="1"/>
      <c r="Y21" s="1"/>
      <c r="Z21" s="1"/>
    </row>
    <row r="22">
      <c r="A22" s="1"/>
      <c r="B22" s="20" t="s">
        <v>16</v>
      </c>
      <c r="C22" s="36">
        <f>46210607+(101700+93490)+(357921)+(5484085-46400+171195)+(455902-40050)+(1661931)+(8068739)+(1177484+52390)+((2305708+158594)-(69497+9035))+(7000091-196620-123196+0)+1256149+0+9367431+880987+2148145+119287+1006383+10018090-841216+1779504+10544117+1280894+1050162+11556946+644616+1349797+13840796+1733102+5704190+12279953+3630556+2306856+11564589+2959988+2128461+12382802+4217794+3233622+11644151+4490046+1110714+14250414+1735847+2388552+11808589+707576+12364538+7046470+16832202+3789280+18664356+266352+11294792+8452995+13846250+519362+14653425+3117082+16391215-4723+4241284+19235415-5291619+5603434-6601+20651757-3692709+7017631-295104-11300+20811969</f>
        <v>444592682</v>
      </c>
      <c r="D22" s="24"/>
      <c r="E22" s="23"/>
      <c r="F22" s="23"/>
      <c r="G22" s="23"/>
      <c r="H22" s="23"/>
      <c r="I22" s="1"/>
      <c r="J22" s="5"/>
      <c r="K22" s="1"/>
      <c r="L22" s="1"/>
      <c r="M22" s="1"/>
      <c r="N22" s="1"/>
      <c r="O22" s="1"/>
      <c r="P22" s="1"/>
      <c r="Q22" s="1"/>
      <c r="R22" s="1"/>
      <c r="S22" s="1"/>
      <c r="T22" s="1"/>
      <c r="U22" s="1"/>
      <c r="V22" s="1"/>
      <c r="W22" s="1"/>
      <c r="X22" s="1"/>
      <c r="Y22" s="1"/>
      <c r="Z22" s="1"/>
    </row>
    <row r="23">
      <c r="A23" s="1"/>
      <c r="B23" s="20" t="s">
        <v>17</v>
      </c>
      <c r="C23" s="36">
        <f>226247686+(9821527)+(17607754-330901)+(1327750-13492-329594)+(17843201)+(11039608-1093144)+((8981845+924465)-242936)+((10132368+1172196)-(453780+58992)+(53839+6999))+(18986156-2002717-5373340+1500000)+3460759+7017695+18453278+26445457+1619061+10489152+4692401+19140591+5102515+34085890+2861489-21500+3555874+17755253+5937374+9676792+12431007+4668250+8531775+24514248+4062480+1075000+8624563+6178010+13125921+17303725+22049303+6068096+70263252+8270724+11924951+6100287+20497057+12598913+758804+21550622+3912801+25360888+8111466+34888271+10347591+31376536+4898512+13550541+23328094+6446974+4870833+16602196+12378137+6300+4304263+548972+4157688+22256233-89028+112350+7138877-1036861+16652728-912525+11990+8452345-1852739+10700+37450+25787607</f>
        <v>1048274757</v>
      </c>
      <c r="D23" s="24"/>
      <c r="E23" s="23"/>
      <c r="F23" s="23"/>
      <c r="G23" s="23"/>
      <c r="H23" s="23"/>
      <c r="I23" s="1"/>
      <c r="J23" s="5"/>
      <c r="K23" s="1"/>
      <c r="L23" s="1"/>
      <c r="M23" s="1"/>
      <c r="N23" s="1"/>
      <c r="O23" s="1"/>
      <c r="P23" s="1"/>
      <c r="Q23" s="1"/>
      <c r="R23" s="1"/>
      <c r="S23" s="1"/>
      <c r="T23" s="1"/>
      <c r="U23" s="1"/>
      <c r="V23" s="1"/>
      <c r="W23" s="1"/>
      <c r="X23" s="1"/>
      <c r="Y23" s="1"/>
      <c r="Z23" s="1"/>
    </row>
    <row r="24">
      <c r="A24" s="1"/>
      <c r="B24" s="20" t="s">
        <v>18</v>
      </c>
      <c r="C24" s="36">
        <f>452427292+(16328864-1390630+919299+565000)+(9567629-994997-3395917+455597+284462)+(19320950-4296039)+((5882093+7085000))+(22844466-5930702)+((25095985+2087461)-1169780+616208)+((8273445+733010)-(2850828+76545))+(34135937-1237903-5271991-1159980+1500000)+41061596+8695727+(6206417+2049896)+28102429+32524768+18745197+32665054-22100402+21285528+10809594+46739582+52952081+9274829+2100000+4305380+44857769+17924143+10002270+20268552+16973843+7733205+11627575+5019776+13171590+837278+670378+1447935+3511955+43027044+2575018-1092081+11832051+24346431+1406655+5309798+14543440+22983559+4143052+25506900+10385585+36910263+4197195+11171583+971052+2535452+25616457+3477126-1428418-3008057+2211703+1237924+3624827+141384+7376464-8723002+26674944-263722-2787+2681988-2767-37450+15693399</f>
        <v>1325834341</v>
      </c>
      <c r="D24" s="24"/>
      <c r="E24" s="23"/>
      <c r="F24" s="23"/>
      <c r="G24" s="23"/>
      <c r="H24" s="23"/>
      <c r="I24" s="1"/>
      <c r="J24" s="5"/>
      <c r="K24" s="1"/>
      <c r="L24" s="1"/>
      <c r="M24" s="1"/>
      <c r="N24" s="1"/>
      <c r="O24" s="1"/>
      <c r="P24" s="1"/>
      <c r="Q24" s="1"/>
      <c r="R24" s="1"/>
      <c r="S24" s="1"/>
      <c r="T24" s="1"/>
      <c r="U24" s="1"/>
      <c r="V24" s="1"/>
      <c r="W24" s="1"/>
      <c r="X24" s="1"/>
      <c r="Y24" s="1"/>
      <c r="Z24" s="1"/>
    </row>
    <row r="25">
      <c r="A25" s="1"/>
      <c r="B25" s="20" t="s">
        <v>19</v>
      </c>
      <c r="C25" s="37" t="s">
        <v>20</v>
      </c>
      <c r="D25" s="24"/>
      <c r="E25" s="23"/>
      <c r="F25" s="23"/>
      <c r="G25" s="23"/>
      <c r="H25" s="23"/>
      <c r="I25" s="1"/>
      <c r="J25" s="5"/>
      <c r="K25" s="1"/>
      <c r="L25" s="1"/>
      <c r="M25" s="1"/>
      <c r="N25" s="1"/>
      <c r="O25" s="1"/>
      <c r="P25" s="1"/>
      <c r="Q25" s="1"/>
      <c r="R25" s="1"/>
      <c r="S25" s="1"/>
      <c r="T25" s="1"/>
      <c r="U25" s="1"/>
      <c r="V25" s="1"/>
      <c r="W25" s="1"/>
      <c r="X25" s="1"/>
      <c r="Y25" s="1"/>
      <c r="Z25" s="1"/>
    </row>
    <row r="26">
      <c r="A26" s="1"/>
      <c r="B26" s="20" t="s">
        <v>21</v>
      </c>
      <c r="C26" s="33" t="s">
        <v>20</v>
      </c>
      <c r="D26" s="38"/>
      <c r="E26" s="23"/>
      <c r="F26" s="23"/>
      <c r="G26" s="23"/>
      <c r="H26" s="23"/>
      <c r="I26" s="1"/>
      <c r="J26" s="5"/>
      <c r="K26" s="1"/>
      <c r="L26" s="1"/>
      <c r="M26" s="1"/>
      <c r="N26" s="1"/>
      <c r="O26" s="1"/>
      <c r="P26" s="1"/>
      <c r="Q26" s="1"/>
      <c r="R26" s="1"/>
      <c r="S26" s="1"/>
      <c r="T26" s="1"/>
      <c r="U26" s="1"/>
      <c r="V26" s="1"/>
      <c r="W26" s="1"/>
      <c r="X26" s="1"/>
      <c r="Y26" s="1"/>
      <c r="Z26" s="1"/>
    </row>
    <row r="27">
      <c r="A27" s="1"/>
      <c r="B27" s="39" t="s">
        <v>22</v>
      </c>
      <c r="C27" s="40"/>
      <c r="D27" s="22">
        <f>SUM(C21:C26)</f>
        <v>3876709315</v>
      </c>
      <c r="E27" s="23"/>
      <c r="F27" s="23"/>
      <c r="G27" s="23"/>
      <c r="H27" s="23"/>
      <c r="I27" s="1"/>
      <c r="J27" s="5"/>
      <c r="K27" s="1"/>
      <c r="L27" s="1"/>
      <c r="M27" s="1"/>
      <c r="N27" s="1"/>
      <c r="O27" s="1"/>
      <c r="P27" s="1"/>
      <c r="Q27" s="1"/>
      <c r="R27" s="1"/>
      <c r="S27" s="1"/>
      <c r="T27" s="1"/>
      <c r="U27" s="1"/>
      <c r="V27" s="1"/>
      <c r="W27" s="1"/>
      <c r="X27" s="1"/>
      <c r="Y27" s="1"/>
      <c r="Z27" s="1"/>
    </row>
    <row r="28">
      <c r="A28" s="1"/>
      <c r="B28" s="41"/>
      <c r="C28" s="34"/>
      <c r="D28" s="24"/>
      <c r="E28" s="23"/>
      <c r="F28" s="23"/>
      <c r="G28" s="23"/>
      <c r="H28" s="23"/>
      <c r="I28" s="1"/>
      <c r="J28" s="5"/>
      <c r="K28" s="1"/>
      <c r="L28" s="1"/>
      <c r="M28" s="1"/>
      <c r="N28" s="1"/>
      <c r="O28" s="1"/>
      <c r="P28" s="1"/>
      <c r="Q28" s="1"/>
      <c r="R28" s="1"/>
      <c r="S28" s="1"/>
      <c r="T28" s="1"/>
      <c r="U28" s="1"/>
      <c r="V28" s="1"/>
      <c r="W28" s="1"/>
      <c r="X28" s="1"/>
      <c r="Y28" s="1"/>
      <c r="Z28" s="1"/>
    </row>
    <row r="29">
      <c r="A29" s="1"/>
      <c r="B29" s="39" t="s">
        <v>23</v>
      </c>
      <c r="C29" s="34"/>
      <c r="D29" s="42"/>
      <c r="E29" s="43"/>
      <c r="F29" s="23"/>
      <c r="G29" s="23"/>
      <c r="H29" s="23"/>
      <c r="I29" s="1"/>
      <c r="J29" s="5"/>
      <c r="K29" s="1"/>
      <c r="L29" s="1"/>
      <c r="M29" s="1"/>
      <c r="N29" s="1"/>
      <c r="O29" s="1"/>
      <c r="P29" s="1"/>
      <c r="Q29" s="1"/>
      <c r="R29" s="1"/>
      <c r="S29" s="1"/>
      <c r="T29" s="1"/>
      <c r="U29" s="1"/>
      <c r="V29" s="1"/>
      <c r="W29" s="1"/>
      <c r="X29" s="1"/>
      <c r="Y29" s="1"/>
      <c r="Z29" s="1"/>
    </row>
    <row r="30">
      <c r="A30" s="1"/>
      <c r="B30" s="20" t="s">
        <v>24</v>
      </c>
      <c r="C30" s="34"/>
      <c r="D30" s="24">
        <f>49469950+4025245+50000+637373+2776000-500000+3129183+150000+95000+2784087-500000+3285641+150000+102946+299468+314443+2714587-500000+3771753+3144869+3888905-500000+3834869-500000+4001453-800000+3034869-500000+42063+4164821+7380090-500000-814921+7235044-500000-1190283+4138196+7190229-500000-1245943+60000+7268801-500000-1449117+434833+558753+560237+7510970-500000+7652890-500000-1345650-426619-421543-1631096-58470+7799067-50000-1624548+7949630-500000-1735073-2427831+7039830-500000+7167615-500000-1033864-1491964+1605497+1442409+8224624-500000+671063+671063+9056985-500000</f>
        <v>171238429</v>
      </c>
      <c r="E30" s="23"/>
      <c r="F30" s="23"/>
      <c r="G30" s="23"/>
      <c r="H30" s="23"/>
      <c r="I30" s="1"/>
      <c r="J30" s="5"/>
      <c r="K30" s="1"/>
      <c r="L30" s="1"/>
      <c r="M30" s="1"/>
      <c r="N30" s="1"/>
      <c r="O30" s="1"/>
      <c r="P30" s="1"/>
      <c r="Q30" s="1"/>
      <c r="R30" s="1"/>
      <c r="S30" s="1"/>
      <c r="T30" s="1"/>
      <c r="U30" s="1"/>
      <c r="V30" s="1"/>
      <c r="W30" s="1"/>
      <c r="X30" s="1"/>
      <c r="Y30" s="1"/>
      <c r="Z30" s="1"/>
    </row>
    <row r="31">
      <c r="A31" s="1"/>
      <c r="B31" s="20" t="s">
        <v>25</v>
      </c>
      <c r="C31" s="34"/>
      <c r="D31" s="24">
        <f>1050300+250+500000+500000+500000+500000+500000+500000+500000+500000+500000+6432+1000000+500000+500000+500000+500000+500000+500000+500000+500000+500000+500000+500000</f>
        <v>12056982</v>
      </c>
      <c r="E31" s="23"/>
      <c r="F31" s="23"/>
      <c r="G31" s="23"/>
      <c r="H31" s="23"/>
      <c r="I31" s="1"/>
      <c r="J31" s="5"/>
      <c r="K31" s="1"/>
      <c r="L31" s="1"/>
      <c r="M31" s="1"/>
      <c r="N31" s="1"/>
      <c r="O31" s="1"/>
      <c r="P31" s="1"/>
      <c r="Q31" s="1"/>
      <c r="R31" s="1"/>
      <c r="S31" s="1"/>
      <c r="T31" s="1"/>
      <c r="U31" s="1"/>
      <c r="V31" s="1"/>
      <c r="W31" s="1"/>
      <c r="X31" s="1"/>
      <c r="Y31" s="1"/>
      <c r="Z31" s="1"/>
    </row>
    <row r="32">
      <c r="A32" s="1"/>
      <c r="B32" s="20" t="s">
        <v>26</v>
      </c>
      <c r="C32" s="34"/>
      <c r="D32" s="24">
        <f>1753754+80000+346000+361000+326000+75000+86750+325000+191000-480393+148700+91285-67209+177226-28136+143484+174780-43108-34335+136050-21915+36500-47189-3000+85000-51558+115000-40000+175000</f>
        <v>4010686</v>
      </c>
      <c r="E32" s="23"/>
      <c r="F32" s="23"/>
      <c r="G32" s="23"/>
      <c r="H32" s="23"/>
      <c r="I32" s="1"/>
      <c r="J32" s="5"/>
      <c r="K32" s="1"/>
      <c r="L32" s="1"/>
      <c r="M32" s="1"/>
      <c r="N32" s="1"/>
      <c r="O32" s="1"/>
      <c r="P32" s="1"/>
      <c r="Q32" s="1"/>
      <c r="R32" s="1"/>
      <c r="S32" s="1"/>
      <c r="T32" s="1"/>
      <c r="U32" s="1"/>
      <c r="V32" s="1"/>
      <c r="W32" s="1"/>
      <c r="X32" s="1"/>
      <c r="Y32" s="1"/>
      <c r="Z32" s="1"/>
    </row>
    <row r="33">
      <c r="A33" s="1"/>
      <c r="B33" s="20" t="s">
        <v>27</v>
      </c>
      <c r="C33" s="34"/>
      <c r="D33" s="24">
        <f>909960+800000-10154</f>
        <v>1699806</v>
      </c>
      <c r="E33" s="23"/>
      <c r="F33" s="23"/>
      <c r="G33" s="23"/>
      <c r="H33" s="23"/>
      <c r="I33" s="1"/>
      <c r="J33" s="5"/>
      <c r="K33" s="1"/>
      <c r="L33" s="1"/>
      <c r="M33" s="1"/>
      <c r="N33" s="1"/>
      <c r="O33" s="1"/>
      <c r="P33" s="1"/>
      <c r="Q33" s="1"/>
      <c r="R33" s="1"/>
      <c r="S33" s="1"/>
      <c r="T33" s="1"/>
      <c r="U33" s="1"/>
      <c r="V33" s="1"/>
      <c r="W33" s="1"/>
      <c r="X33" s="1"/>
      <c r="Y33" s="1"/>
      <c r="Z33" s="1"/>
    </row>
    <row r="34">
      <c r="A34" s="1"/>
      <c r="B34" s="20" t="s">
        <v>28</v>
      </c>
      <c r="C34" s="34"/>
      <c r="D34" s="24"/>
      <c r="E34" s="23"/>
      <c r="F34" s="23"/>
      <c r="G34" s="23"/>
      <c r="H34" s="23"/>
      <c r="I34" s="1"/>
      <c r="J34" s="5"/>
      <c r="K34" s="1"/>
      <c r="L34" s="1"/>
      <c r="M34" s="1"/>
      <c r="N34" s="1"/>
      <c r="O34" s="1"/>
      <c r="P34" s="1"/>
      <c r="Q34" s="1"/>
      <c r="R34" s="1"/>
      <c r="S34" s="1"/>
      <c r="T34" s="1"/>
      <c r="U34" s="1"/>
      <c r="V34" s="1"/>
      <c r="W34" s="1"/>
      <c r="X34" s="1"/>
      <c r="Y34" s="1"/>
      <c r="Z34" s="1"/>
    </row>
    <row r="35">
      <c r="A35" s="1"/>
      <c r="B35" s="20" t="s">
        <v>29</v>
      </c>
      <c r="C35" s="34"/>
      <c r="D35" s="24">
        <f>905750-500000-100333-200667</f>
        <v>104750</v>
      </c>
      <c r="E35" s="23"/>
      <c r="F35" s="23"/>
      <c r="G35" s="23"/>
      <c r="H35" s="23"/>
      <c r="I35" s="1"/>
      <c r="J35" s="5"/>
      <c r="K35" s="1"/>
      <c r="L35" s="1"/>
      <c r="M35" s="1"/>
      <c r="N35" s="1"/>
      <c r="O35" s="1"/>
      <c r="P35" s="1"/>
      <c r="Q35" s="1"/>
      <c r="R35" s="1"/>
      <c r="S35" s="1"/>
      <c r="T35" s="1"/>
      <c r="U35" s="1"/>
      <c r="V35" s="1"/>
      <c r="W35" s="1"/>
      <c r="X35" s="1"/>
      <c r="Y35" s="1"/>
      <c r="Z35" s="1"/>
    </row>
    <row r="36">
      <c r="A36" s="1"/>
      <c r="B36" s="39" t="s">
        <v>30</v>
      </c>
      <c r="C36" s="34"/>
      <c r="D36" s="24">
        <f>D14</f>
        <v>188759809.1</v>
      </c>
      <c r="E36" s="23"/>
      <c r="F36" s="23"/>
      <c r="G36" s="23"/>
      <c r="H36" s="23"/>
      <c r="I36" s="5"/>
      <c r="J36" s="5"/>
      <c r="K36" s="1"/>
      <c r="L36" s="1"/>
      <c r="M36" s="1"/>
      <c r="N36" s="1"/>
      <c r="O36" s="1"/>
      <c r="P36" s="1"/>
      <c r="Q36" s="1"/>
      <c r="R36" s="1"/>
      <c r="S36" s="1"/>
      <c r="T36" s="1"/>
      <c r="U36" s="1"/>
      <c r="V36" s="1"/>
      <c r="W36" s="1"/>
      <c r="X36" s="1"/>
      <c r="Y36" s="1"/>
      <c r="Z36" s="1"/>
    </row>
    <row r="37">
      <c r="A37" s="1"/>
      <c r="B37" s="39" t="s">
        <v>31</v>
      </c>
      <c r="C37" s="34"/>
      <c r="D37" s="24"/>
      <c r="E37" s="23"/>
      <c r="F37" s="23"/>
      <c r="G37" s="23"/>
      <c r="H37" s="23"/>
      <c r="I37" s="1"/>
      <c r="J37" s="5"/>
      <c r="K37" s="1"/>
      <c r="L37" s="1"/>
      <c r="M37" s="1"/>
      <c r="N37" s="1"/>
      <c r="O37" s="1"/>
      <c r="P37" s="1"/>
      <c r="Q37" s="1"/>
      <c r="R37" s="1"/>
      <c r="S37" s="1"/>
      <c r="T37" s="1"/>
      <c r="U37" s="1"/>
      <c r="V37" s="1"/>
      <c r="W37" s="1"/>
      <c r="X37" s="1"/>
      <c r="Y37" s="1"/>
      <c r="Z37" s="1"/>
    </row>
    <row r="38">
      <c r="A38" s="1"/>
      <c r="B38" s="20" t="s">
        <v>32</v>
      </c>
      <c r="C38" s="34"/>
      <c r="D38" s="24" t="str">
        <f>'Summary Status of Contributions'!H66</f>
        <v>#ERROR!</v>
      </c>
      <c r="E38" s="23"/>
      <c r="F38" s="23"/>
      <c r="G38" s="23"/>
      <c r="H38" s="26"/>
      <c r="I38" s="5"/>
      <c r="J38" s="5"/>
      <c r="K38" s="1"/>
      <c r="L38" s="1"/>
      <c r="M38" s="1"/>
      <c r="N38" s="1"/>
      <c r="O38" s="1"/>
      <c r="P38" s="1"/>
      <c r="Q38" s="1"/>
      <c r="R38" s="1"/>
      <c r="S38" s="1"/>
      <c r="T38" s="1"/>
      <c r="U38" s="1"/>
      <c r="V38" s="1"/>
      <c r="W38" s="1"/>
      <c r="X38" s="1"/>
      <c r="Y38" s="1"/>
      <c r="Z38" s="1"/>
    </row>
    <row r="39">
      <c r="A39" s="1"/>
      <c r="B39" s="20"/>
      <c r="C39" s="34"/>
      <c r="D39" s="35"/>
      <c r="E39" s="23"/>
      <c r="F39" s="23"/>
      <c r="G39" s="23"/>
      <c r="H39" s="26"/>
      <c r="I39" s="1"/>
      <c r="J39" s="5"/>
      <c r="K39" s="1"/>
      <c r="L39" s="1"/>
      <c r="M39" s="1"/>
      <c r="N39" s="1"/>
      <c r="O39" s="1"/>
      <c r="P39" s="1"/>
      <c r="Q39" s="1"/>
      <c r="R39" s="1"/>
      <c r="S39" s="1"/>
      <c r="T39" s="1"/>
      <c r="U39" s="1"/>
      <c r="V39" s="1"/>
      <c r="W39" s="1"/>
      <c r="X39" s="1"/>
      <c r="Y39" s="1"/>
      <c r="Z39" s="1"/>
    </row>
    <row r="40">
      <c r="A40" s="1"/>
      <c r="B40" s="28" t="s">
        <v>33</v>
      </c>
      <c r="C40" s="44"/>
      <c r="D40" s="45" t="str">
        <f>SUM(D27:D39)</f>
        <v>#ERROR!</v>
      </c>
      <c r="E40" s="23"/>
      <c r="F40" s="23"/>
      <c r="G40" s="23"/>
      <c r="H40" s="26"/>
      <c r="I40" s="1"/>
      <c r="J40" s="5"/>
      <c r="K40" s="1"/>
      <c r="L40" s="1"/>
      <c r="M40" s="1"/>
      <c r="N40" s="1"/>
      <c r="O40" s="1"/>
      <c r="P40" s="1"/>
      <c r="Q40" s="1"/>
      <c r="R40" s="1"/>
      <c r="S40" s="1"/>
      <c r="T40" s="1"/>
      <c r="U40" s="1"/>
      <c r="V40" s="1"/>
      <c r="W40" s="1"/>
      <c r="X40" s="1"/>
      <c r="Y40" s="1"/>
      <c r="Z40" s="1"/>
    </row>
    <row r="41">
      <c r="A41" s="1"/>
      <c r="B41" s="27"/>
      <c r="C41" s="34"/>
      <c r="D41" s="38"/>
      <c r="E41" s="23"/>
      <c r="F41" s="23"/>
      <c r="G41" s="23"/>
      <c r="H41" s="26"/>
      <c r="I41" s="1"/>
      <c r="J41" s="5"/>
      <c r="K41" s="1"/>
      <c r="L41" s="1"/>
      <c r="M41" s="1"/>
      <c r="N41" s="1"/>
      <c r="O41" s="1"/>
      <c r="P41" s="1"/>
      <c r="Q41" s="1"/>
      <c r="R41" s="1"/>
      <c r="S41" s="1"/>
      <c r="T41" s="1"/>
      <c r="U41" s="1"/>
      <c r="V41" s="1"/>
      <c r="W41" s="1"/>
      <c r="X41" s="1"/>
      <c r="Y41" s="1"/>
      <c r="Z41" s="1"/>
    </row>
    <row r="42">
      <c r="A42" s="1"/>
      <c r="B42" s="27" t="s">
        <v>34</v>
      </c>
      <c r="C42" s="34"/>
      <c r="D42" s="46" t="str">
        <f>D52-D50</f>
        <v>#REF!</v>
      </c>
      <c r="E42" s="23"/>
      <c r="F42" s="23"/>
      <c r="G42" s="23"/>
      <c r="H42" s="26"/>
      <c r="I42" s="1"/>
      <c r="J42" s="5"/>
      <c r="K42" s="1"/>
      <c r="L42" s="1"/>
      <c r="M42" s="1"/>
      <c r="N42" s="1"/>
      <c r="O42" s="1"/>
      <c r="P42" s="1"/>
      <c r="Q42" s="1"/>
      <c r="R42" s="1"/>
      <c r="S42" s="1"/>
      <c r="T42" s="1"/>
      <c r="U42" s="1"/>
      <c r="V42" s="1"/>
      <c r="W42" s="1"/>
      <c r="X42" s="1"/>
      <c r="Y42" s="1"/>
      <c r="Z42" s="1"/>
    </row>
    <row r="43">
      <c r="A43" s="1"/>
      <c r="B43" s="27" t="s">
        <v>35</v>
      </c>
      <c r="C43" s="34"/>
      <c r="D43" s="38"/>
      <c r="E43" s="23"/>
      <c r="F43" s="26"/>
      <c r="G43" s="23"/>
      <c r="H43" s="26"/>
      <c r="I43" s="1"/>
      <c r="J43" s="5"/>
      <c r="K43" s="1"/>
      <c r="L43" s="1"/>
      <c r="M43" s="1"/>
      <c r="N43" s="1"/>
      <c r="O43" s="1"/>
      <c r="P43" s="1"/>
      <c r="Q43" s="1"/>
      <c r="R43" s="1"/>
      <c r="S43" s="1"/>
      <c r="T43" s="1"/>
      <c r="U43" s="1"/>
      <c r="V43" s="1"/>
      <c r="W43" s="1"/>
      <c r="X43" s="1"/>
      <c r="Y43" s="1"/>
      <c r="Z43" s="1"/>
    </row>
    <row r="44">
      <c r="A44" s="1"/>
      <c r="B44" s="47"/>
      <c r="C44" s="34"/>
      <c r="D44" s="38"/>
      <c r="E44" s="23"/>
      <c r="F44" s="23"/>
      <c r="G44" s="23"/>
      <c r="H44" s="26"/>
      <c r="I44" s="1"/>
      <c r="J44" s="5"/>
      <c r="K44" s="1"/>
      <c r="L44" s="1"/>
      <c r="M44" s="1"/>
      <c r="N44" s="1"/>
      <c r="O44" s="1"/>
      <c r="P44" s="1"/>
      <c r="Q44" s="1"/>
      <c r="R44" s="1"/>
      <c r="S44" s="1"/>
      <c r="T44" s="1"/>
      <c r="U44" s="1"/>
      <c r="V44" s="1"/>
      <c r="W44" s="1"/>
      <c r="X44" s="1"/>
      <c r="Y44" s="1"/>
      <c r="Z44" s="1"/>
    </row>
    <row r="45">
      <c r="A45" s="1"/>
      <c r="B45" s="47"/>
      <c r="C45" s="34"/>
      <c r="D45" s="38"/>
      <c r="E45" s="23"/>
      <c r="F45" s="23"/>
      <c r="G45" s="23"/>
      <c r="H45" s="26"/>
      <c r="I45" s="1"/>
      <c r="J45" s="5"/>
      <c r="K45" s="1"/>
      <c r="L45" s="1"/>
      <c r="M45" s="1"/>
      <c r="N45" s="1"/>
      <c r="O45" s="1"/>
      <c r="P45" s="1"/>
      <c r="Q45" s="1"/>
      <c r="R45" s="1"/>
      <c r="S45" s="1"/>
      <c r="T45" s="1"/>
      <c r="U45" s="1"/>
      <c r="V45" s="1"/>
      <c r="W45" s="1"/>
      <c r="X45" s="1"/>
      <c r="Y45" s="1"/>
      <c r="Z45" s="1"/>
    </row>
    <row r="46">
      <c r="A46" s="1"/>
      <c r="B46" s="47"/>
      <c r="C46" s="34"/>
      <c r="D46" s="38"/>
      <c r="E46" s="23"/>
      <c r="F46" s="23"/>
      <c r="G46" s="23"/>
      <c r="H46" s="26"/>
      <c r="I46" s="1"/>
      <c r="J46" s="5"/>
      <c r="K46" s="1"/>
      <c r="L46" s="1"/>
      <c r="M46" s="1"/>
      <c r="N46" s="1"/>
      <c r="O46" s="1"/>
      <c r="P46" s="1"/>
      <c r="Q46" s="1"/>
      <c r="R46" s="1"/>
      <c r="S46" s="1"/>
      <c r="T46" s="1"/>
      <c r="U46" s="1"/>
      <c r="V46" s="1"/>
      <c r="W46" s="1"/>
      <c r="X46" s="1"/>
      <c r="Y46" s="1"/>
      <c r="Z46" s="1"/>
    </row>
    <row r="47">
      <c r="A47" s="1"/>
      <c r="B47" s="47"/>
      <c r="C47" s="34"/>
      <c r="D47" s="38"/>
      <c r="E47" s="23"/>
      <c r="F47" s="23"/>
      <c r="G47" s="23"/>
      <c r="H47" s="26"/>
      <c r="I47" s="1"/>
      <c r="J47" s="5"/>
      <c r="K47" s="1"/>
      <c r="L47" s="1"/>
      <c r="M47" s="1"/>
      <c r="N47" s="1"/>
      <c r="O47" s="1"/>
      <c r="P47" s="1"/>
      <c r="Q47" s="1"/>
      <c r="R47" s="1"/>
      <c r="S47" s="1"/>
      <c r="T47" s="1"/>
      <c r="U47" s="1"/>
      <c r="V47" s="1"/>
      <c r="W47" s="1"/>
      <c r="X47" s="1"/>
      <c r="Y47" s="1"/>
      <c r="Z47" s="1"/>
    </row>
    <row r="48">
      <c r="A48" s="1"/>
      <c r="B48" s="47"/>
      <c r="C48" s="34"/>
      <c r="D48" s="38"/>
      <c r="E48" s="23"/>
      <c r="F48" s="23"/>
      <c r="G48" s="23"/>
      <c r="H48" s="26"/>
      <c r="I48" s="1"/>
      <c r="J48" s="5"/>
      <c r="K48" s="1"/>
      <c r="L48" s="1"/>
      <c r="M48" s="1"/>
      <c r="N48" s="1"/>
      <c r="O48" s="1"/>
      <c r="P48" s="1"/>
      <c r="Q48" s="1"/>
      <c r="R48" s="1"/>
      <c r="S48" s="1"/>
      <c r="T48" s="1"/>
      <c r="U48" s="1"/>
      <c r="V48" s="1"/>
      <c r="W48" s="1"/>
      <c r="X48" s="1"/>
      <c r="Y48" s="1"/>
      <c r="Z48" s="1"/>
    </row>
    <row r="49">
      <c r="A49" s="1"/>
      <c r="B49" s="47"/>
      <c r="C49" s="34"/>
      <c r="D49" s="38"/>
      <c r="E49" s="23"/>
      <c r="F49" s="23"/>
      <c r="G49" s="23"/>
      <c r="H49" s="26"/>
      <c r="I49" s="1"/>
      <c r="J49" s="5"/>
      <c r="K49" s="1"/>
      <c r="L49" s="1"/>
      <c r="M49" s="1"/>
      <c r="N49" s="1"/>
      <c r="O49" s="1"/>
      <c r="P49" s="1"/>
      <c r="Q49" s="1"/>
      <c r="R49" s="1"/>
      <c r="S49" s="1"/>
      <c r="T49" s="1"/>
      <c r="U49" s="1"/>
      <c r="V49" s="1"/>
      <c r="W49" s="1"/>
      <c r="X49" s="1"/>
      <c r="Y49" s="1"/>
      <c r="Z49" s="1"/>
    </row>
    <row r="50">
      <c r="A50" s="1"/>
      <c r="B50" s="47"/>
      <c r="C50" s="37"/>
      <c r="D50" s="38"/>
      <c r="E50" s="23"/>
      <c r="F50" s="23"/>
      <c r="G50" s="23"/>
      <c r="H50" s="26"/>
      <c r="I50" s="1"/>
      <c r="J50" s="5"/>
      <c r="K50" s="1"/>
      <c r="L50" s="1"/>
      <c r="M50" s="1"/>
      <c r="N50" s="1"/>
      <c r="O50" s="1"/>
      <c r="P50" s="1"/>
      <c r="Q50" s="1"/>
      <c r="R50" s="1"/>
      <c r="S50" s="1"/>
      <c r="T50" s="1"/>
      <c r="U50" s="1"/>
      <c r="V50" s="1"/>
      <c r="W50" s="1"/>
      <c r="X50" s="1"/>
      <c r="Y50" s="1"/>
      <c r="Z50" s="1"/>
    </row>
    <row r="51">
      <c r="A51" s="1"/>
      <c r="B51" s="48"/>
      <c r="C51" s="34"/>
      <c r="D51" s="24"/>
      <c r="E51" s="23"/>
      <c r="F51" s="23"/>
      <c r="G51" s="23"/>
      <c r="H51" s="26"/>
      <c r="I51" s="1"/>
      <c r="J51" s="5"/>
      <c r="K51" s="1"/>
      <c r="L51" s="1"/>
      <c r="M51" s="1"/>
      <c r="N51" s="1"/>
      <c r="O51" s="1"/>
      <c r="P51" s="1"/>
      <c r="Q51" s="1"/>
      <c r="R51" s="1"/>
      <c r="S51" s="1"/>
      <c r="T51" s="1"/>
      <c r="U51" s="1"/>
      <c r="V51" s="1"/>
      <c r="W51" s="1"/>
      <c r="X51" s="1"/>
      <c r="Y51" s="1"/>
      <c r="Z51" s="1"/>
    </row>
    <row r="52">
      <c r="A52" s="1"/>
      <c r="B52" s="28" t="s">
        <v>36</v>
      </c>
      <c r="C52" s="44"/>
      <c r="D52" s="30" t="str">
        <f>D18-D40</f>
        <v>#REF!</v>
      </c>
      <c r="E52" s="23"/>
      <c r="F52" s="23"/>
      <c r="G52" s="23"/>
      <c r="H52" s="26"/>
      <c r="I52" s="5"/>
      <c r="J52" s="5"/>
      <c r="K52" s="1"/>
      <c r="L52" s="1"/>
      <c r="M52" s="1"/>
      <c r="N52" s="1"/>
      <c r="O52" s="1"/>
      <c r="P52" s="1"/>
      <c r="Q52" s="1"/>
      <c r="R52" s="1"/>
      <c r="S52" s="1"/>
      <c r="T52" s="1"/>
      <c r="U52" s="1"/>
      <c r="V52" s="1"/>
      <c r="W52" s="1"/>
      <c r="X52" s="1"/>
      <c r="Y52" s="1"/>
      <c r="Z52" s="1"/>
    </row>
    <row r="53">
      <c r="A53" s="1"/>
      <c r="B53" s="49" t="s">
        <v>37</v>
      </c>
      <c r="C53" s="11"/>
      <c r="D53" s="12"/>
      <c r="E53" s="23"/>
      <c r="F53" s="23"/>
      <c r="G53" s="23"/>
      <c r="H53" s="26"/>
      <c r="I53" s="5"/>
      <c r="J53" s="5"/>
      <c r="K53" s="1"/>
      <c r="L53" s="1"/>
      <c r="M53" s="1"/>
      <c r="N53" s="1"/>
      <c r="O53" s="1"/>
      <c r="P53" s="1"/>
      <c r="Q53" s="1"/>
      <c r="R53" s="1"/>
      <c r="S53" s="1"/>
      <c r="T53" s="1"/>
      <c r="U53" s="1"/>
      <c r="V53" s="1"/>
      <c r="W53" s="1"/>
      <c r="X53" s="1"/>
      <c r="Y53" s="1"/>
      <c r="Z53" s="1"/>
    </row>
    <row r="54" ht="40.5" customHeight="1">
      <c r="A54" s="1"/>
      <c r="B54" s="50" t="s">
        <v>38</v>
      </c>
      <c r="C54" s="11"/>
      <c r="D54" s="12"/>
      <c r="E54" s="43"/>
      <c r="F54" s="26"/>
      <c r="G54" s="23"/>
      <c r="H54" s="26"/>
      <c r="I54" s="1"/>
      <c r="J54" s="5"/>
      <c r="K54" s="1"/>
      <c r="L54" s="1"/>
      <c r="M54" s="1"/>
      <c r="N54" s="1"/>
      <c r="O54" s="1"/>
      <c r="P54" s="1"/>
      <c r="Q54" s="1"/>
      <c r="R54" s="1"/>
      <c r="S54" s="1"/>
      <c r="T54" s="1"/>
      <c r="U54" s="1"/>
      <c r="V54" s="1"/>
      <c r="W54" s="1"/>
      <c r="X54" s="1"/>
      <c r="Y54" s="1"/>
      <c r="Z54" s="1"/>
    </row>
    <row r="55" ht="6.0" customHeight="1">
      <c r="A55" s="1"/>
      <c r="B55" s="50"/>
      <c r="C55" s="11"/>
      <c r="D55" s="12"/>
      <c r="E55" s="51"/>
      <c r="F55" s="23"/>
      <c r="G55" s="52"/>
      <c r="H55" s="23"/>
      <c r="I55" s="1"/>
      <c r="J55" s="5"/>
      <c r="K55" s="1"/>
      <c r="L55" s="1"/>
      <c r="M55" s="1"/>
      <c r="N55" s="1"/>
      <c r="O55" s="1"/>
      <c r="P55" s="1"/>
      <c r="Q55" s="1"/>
      <c r="R55" s="1"/>
      <c r="S55" s="1"/>
      <c r="T55" s="1"/>
      <c r="U55" s="1"/>
      <c r="V55" s="1"/>
      <c r="W55" s="1"/>
      <c r="X55" s="1"/>
      <c r="Y55" s="1"/>
      <c r="Z55" s="1"/>
    </row>
    <row r="56">
      <c r="A56" s="1"/>
      <c r="B56" s="34"/>
      <c r="C56" s="34"/>
      <c r="D56" s="34"/>
      <c r="E56" s="23"/>
      <c r="F56" s="23"/>
      <c r="G56" s="23"/>
      <c r="H56" s="23"/>
      <c r="I56" s="1"/>
      <c r="J56" s="5"/>
      <c r="K56" s="1"/>
      <c r="L56" s="1"/>
      <c r="M56" s="1"/>
      <c r="N56" s="1"/>
      <c r="O56" s="1"/>
      <c r="P56" s="1"/>
      <c r="Q56" s="1"/>
      <c r="R56" s="1"/>
      <c r="S56" s="1"/>
      <c r="T56" s="1"/>
      <c r="U56" s="1"/>
      <c r="V56" s="1"/>
      <c r="W56" s="1"/>
      <c r="X56" s="1"/>
      <c r="Y56" s="1"/>
      <c r="Z56" s="1"/>
    </row>
    <row r="57">
      <c r="A57" s="1"/>
      <c r="B57" s="23"/>
      <c r="C57" s="23"/>
      <c r="D57" s="23"/>
      <c r="E57" s="23"/>
      <c r="F57" s="23"/>
      <c r="G57" s="23"/>
      <c r="H57" s="23"/>
      <c r="I57" s="1"/>
      <c r="J57" s="5"/>
      <c r="K57" s="1"/>
      <c r="L57" s="1"/>
      <c r="M57" s="1"/>
      <c r="N57" s="1"/>
      <c r="O57" s="1"/>
      <c r="P57" s="1"/>
      <c r="Q57" s="1"/>
      <c r="R57" s="1"/>
      <c r="S57" s="1"/>
      <c r="T57" s="1"/>
      <c r="U57" s="1"/>
      <c r="V57" s="1"/>
      <c r="W57" s="1"/>
      <c r="X57" s="1"/>
      <c r="Y57" s="1"/>
      <c r="Z57" s="1"/>
    </row>
    <row r="58">
      <c r="A58" s="1"/>
      <c r="B58" s="23"/>
      <c r="C58" s="23"/>
      <c r="D58" s="23"/>
      <c r="E58" s="23"/>
      <c r="F58" s="23"/>
      <c r="G58" s="23"/>
      <c r="H58" s="23"/>
      <c r="I58" s="1"/>
      <c r="J58" s="5"/>
      <c r="K58" s="1"/>
      <c r="L58" s="1"/>
      <c r="M58" s="1"/>
      <c r="N58" s="1"/>
      <c r="O58" s="1"/>
      <c r="P58" s="1"/>
      <c r="Q58" s="1"/>
      <c r="R58" s="1"/>
      <c r="S58" s="1"/>
      <c r="T58" s="1"/>
      <c r="U58" s="1"/>
      <c r="V58" s="1"/>
      <c r="W58" s="1"/>
      <c r="X58" s="1"/>
      <c r="Y58" s="1"/>
      <c r="Z58" s="1"/>
    </row>
    <row r="59">
      <c r="A59" s="1"/>
      <c r="B59" s="23"/>
      <c r="C59" s="23"/>
      <c r="D59" s="23"/>
      <c r="E59" s="23"/>
      <c r="F59" s="23"/>
      <c r="G59" s="23"/>
      <c r="H59" s="23"/>
      <c r="I59" s="1"/>
      <c r="J59" s="5"/>
      <c r="K59" s="1"/>
      <c r="L59" s="1"/>
      <c r="M59" s="1"/>
      <c r="N59" s="1"/>
      <c r="O59" s="1"/>
      <c r="P59" s="1"/>
      <c r="Q59" s="1"/>
      <c r="R59" s="1"/>
      <c r="S59" s="1"/>
      <c r="T59" s="1"/>
      <c r="U59" s="1"/>
      <c r="V59" s="1"/>
      <c r="W59" s="1"/>
      <c r="X59" s="1"/>
      <c r="Y59" s="1"/>
      <c r="Z59" s="1"/>
    </row>
    <row r="60">
      <c r="A60" s="1"/>
      <c r="B60" s="23"/>
      <c r="C60" s="23"/>
      <c r="D60" s="23"/>
      <c r="E60" s="23"/>
      <c r="F60" s="23"/>
      <c r="G60" s="23"/>
      <c r="H60" s="23"/>
      <c r="I60" s="1"/>
      <c r="J60" s="5"/>
      <c r="K60" s="1"/>
      <c r="L60" s="1"/>
      <c r="M60" s="1"/>
      <c r="N60" s="1"/>
      <c r="O60" s="1"/>
      <c r="P60" s="1"/>
      <c r="Q60" s="1"/>
      <c r="R60" s="1"/>
      <c r="S60" s="1"/>
      <c r="T60" s="1"/>
      <c r="U60" s="1"/>
      <c r="V60" s="1"/>
      <c r="W60" s="1"/>
      <c r="X60" s="1"/>
      <c r="Y60" s="1"/>
      <c r="Z60" s="1"/>
    </row>
    <row r="61">
      <c r="A61" s="1"/>
      <c r="B61" s="23"/>
      <c r="C61" s="23"/>
      <c r="D61" s="23"/>
      <c r="E61" s="23"/>
      <c r="F61" s="23"/>
      <c r="G61" s="23"/>
      <c r="H61" s="23"/>
      <c r="I61" s="1"/>
      <c r="J61" s="5"/>
      <c r="K61" s="1"/>
      <c r="L61" s="1"/>
      <c r="M61" s="1"/>
      <c r="N61" s="1"/>
      <c r="O61" s="1"/>
      <c r="P61" s="1"/>
      <c r="Q61" s="1"/>
      <c r="R61" s="1"/>
      <c r="S61" s="1"/>
      <c r="T61" s="1"/>
      <c r="U61" s="1"/>
      <c r="V61" s="1"/>
      <c r="W61" s="1"/>
      <c r="X61" s="1"/>
      <c r="Y61" s="1"/>
      <c r="Z61" s="1"/>
    </row>
    <row r="62">
      <c r="A62" s="1"/>
      <c r="B62" s="23"/>
      <c r="C62" s="23"/>
      <c r="D62" s="23"/>
      <c r="E62" s="23"/>
      <c r="F62" s="23"/>
      <c r="G62" s="23"/>
      <c r="H62" s="23"/>
      <c r="I62" s="1"/>
      <c r="J62" s="5"/>
      <c r="K62" s="1"/>
      <c r="L62" s="1"/>
      <c r="M62" s="1"/>
      <c r="N62" s="1"/>
      <c r="O62" s="1"/>
      <c r="P62" s="1"/>
      <c r="Q62" s="1"/>
      <c r="R62" s="1"/>
      <c r="S62" s="1"/>
      <c r="T62" s="1"/>
      <c r="U62" s="1"/>
      <c r="V62" s="1"/>
      <c r="W62" s="1"/>
      <c r="X62" s="1"/>
      <c r="Y62" s="1"/>
      <c r="Z62" s="1"/>
    </row>
    <row r="63">
      <c r="A63" s="1"/>
      <c r="B63" s="23"/>
      <c r="C63" s="23"/>
      <c r="D63" s="23"/>
      <c r="E63" s="23"/>
      <c r="F63" s="23"/>
      <c r="G63" s="23"/>
      <c r="H63" s="23"/>
      <c r="I63" s="1"/>
      <c r="J63" s="5"/>
      <c r="K63" s="1"/>
      <c r="L63" s="1"/>
      <c r="M63" s="1"/>
      <c r="N63" s="1"/>
      <c r="O63" s="1"/>
      <c r="P63" s="1"/>
      <c r="Q63" s="1"/>
      <c r="R63" s="1"/>
      <c r="S63" s="1"/>
      <c r="T63" s="1"/>
      <c r="U63" s="1"/>
      <c r="V63" s="1"/>
      <c r="W63" s="1"/>
      <c r="X63" s="1"/>
      <c r="Y63" s="1"/>
      <c r="Z63" s="1"/>
    </row>
    <row r="64">
      <c r="A64" s="1"/>
      <c r="B64" s="23"/>
      <c r="C64" s="23"/>
      <c r="D64" s="23"/>
      <c r="E64" s="23"/>
      <c r="F64" s="23"/>
      <c r="G64" s="23"/>
      <c r="H64" s="23"/>
      <c r="I64" s="1"/>
      <c r="J64" s="5"/>
      <c r="K64" s="1"/>
      <c r="L64" s="1"/>
      <c r="M64" s="1"/>
      <c r="N64" s="1"/>
      <c r="O64" s="1"/>
      <c r="P64" s="1"/>
      <c r="Q64" s="1"/>
      <c r="R64" s="1"/>
      <c r="S64" s="1"/>
      <c r="T64" s="1"/>
      <c r="U64" s="1"/>
      <c r="V64" s="1"/>
      <c r="W64" s="1"/>
      <c r="X64" s="1"/>
      <c r="Y64" s="1"/>
      <c r="Z64" s="1"/>
    </row>
    <row r="65">
      <c r="A65" s="1"/>
      <c r="B65" s="23"/>
      <c r="C65" s="23"/>
      <c r="D65" s="23"/>
      <c r="E65" s="23"/>
      <c r="F65" s="23"/>
      <c r="G65" s="23"/>
      <c r="H65" s="23"/>
      <c r="I65" s="1"/>
      <c r="J65" s="5"/>
      <c r="K65" s="1"/>
      <c r="L65" s="1"/>
      <c r="M65" s="1"/>
      <c r="N65" s="1"/>
      <c r="O65" s="1"/>
      <c r="P65" s="1"/>
      <c r="Q65" s="1"/>
      <c r="R65" s="1"/>
      <c r="S65" s="1"/>
      <c r="T65" s="1"/>
      <c r="U65" s="1"/>
      <c r="V65" s="1"/>
      <c r="W65" s="1"/>
      <c r="X65" s="1"/>
      <c r="Y65" s="1"/>
      <c r="Z65" s="1"/>
    </row>
    <row r="66">
      <c r="A66" s="1"/>
      <c r="B66" s="23"/>
      <c r="C66" s="23"/>
      <c r="D66" s="23"/>
      <c r="E66" s="23"/>
      <c r="F66" s="23"/>
      <c r="G66" s="23"/>
      <c r="H66" s="23"/>
      <c r="I66" s="1"/>
      <c r="J66" s="5"/>
      <c r="K66" s="1"/>
      <c r="L66" s="1"/>
      <c r="M66" s="1"/>
      <c r="N66" s="1"/>
      <c r="O66" s="1"/>
      <c r="P66" s="1"/>
      <c r="Q66" s="1"/>
      <c r="R66" s="1"/>
      <c r="S66" s="1"/>
      <c r="T66" s="1"/>
      <c r="U66" s="1"/>
      <c r="V66" s="1"/>
      <c r="W66" s="1"/>
      <c r="X66" s="1"/>
      <c r="Y66" s="1"/>
      <c r="Z66" s="1"/>
    </row>
    <row r="67">
      <c r="A67" s="1"/>
      <c r="B67" s="23"/>
      <c r="C67" s="23"/>
      <c r="D67" s="23"/>
      <c r="E67" s="23"/>
      <c r="F67" s="23"/>
      <c r="G67" s="23"/>
      <c r="H67" s="23"/>
      <c r="I67" s="1"/>
      <c r="J67" s="5"/>
      <c r="K67" s="1"/>
      <c r="L67" s="1"/>
      <c r="M67" s="1"/>
      <c r="N67" s="1"/>
      <c r="O67" s="1"/>
      <c r="P67" s="1"/>
      <c r="Q67" s="1"/>
      <c r="R67" s="1"/>
      <c r="S67" s="1"/>
      <c r="T67" s="1"/>
      <c r="U67" s="1"/>
      <c r="V67" s="1"/>
      <c r="W67" s="1"/>
      <c r="X67" s="1"/>
      <c r="Y67" s="1"/>
      <c r="Z67" s="1"/>
    </row>
    <row r="68">
      <c r="A68" s="1"/>
      <c r="B68" s="23"/>
      <c r="C68" s="23"/>
      <c r="D68" s="23"/>
      <c r="E68" s="23"/>
      <c r="F68" s="23"/>
      <c r="G68" s="23"/>
      <c r="H68" s="23"/>
      <c r="I68" s="1"/>
      <c r="J68" s="5"/>
      <c r="K68" s="1"/>
      <c r="L68" s="1"/>
      <c r="M68" s="1"/>
      <c r="N68" s="1"/>
      <c r="O68" s="1"/>
      <c r="P68" s="1"/>
      <c r="Q68" s="1"/>
      <c r="R68" s="1"/>
      <c r="S68" s="1"/>
      <c r="T68" s="1"/>
      <c r="U68" s="1"/>
      <c r="V68" s="1"/>
      <c r="W68" s="1"/>
      <c r="X68" s="1"/>
      <c r="Y68" s="1"/>
      <c r="Z68" s="1"/>
    </row>
    <row r="69">
      <c r="A69" s="1"/>
      <c r="B69" s="1"/>
      <c r="C69" s="1"/>
      <c r="D69" s="1"/>
      <c r="E69" s="1"/>
      <c r="F69" s="1"/>
      <c r="G69" s="5"/>
      <c r="H69" s="1"/>
      <c r="I69" s="1"/>
      <c r="J69" s="5"/>
      <c r="K69" s="1"/>
      <c r="L69" s="1"/>
      <c r="M69" s="1"/>
      <c r="N69" s="1"/>
      <c r="O69" s="1"/>
      <c r="P69" s="1"/>
      <c r="Q69" s="1"/>
      <c r="R69" s="1"/>
      <c r="S69" s="1"/>
      <c r="T69" s="1"/>
      <c r="U69" s="1"/>
      <c r="V69" s="1"/>
      <c r="W69" s="1"/>
      <c r="X69" s="1"/>
      <c r="Y69" s="1"/>
      <c r="Z69" s="1"/>
    </row>
    <row r="70">
      <c r="A70" s="1"/>
      <c r="B70" s="1"/>
      <c r="C70" s="1"/>
      <c r="D70" s="1"/>
      <c r="E70" s="1"/>
      <c r="F70" s="1"/>
      <c r="G70" s="5"/>
      <c r="H70" s="1"/>
      <c r="I70" s="1"/>
      <c r="J70" s="5"/>
      <c r="K70" s="1"/>
      <c r="L70" s="1"/>
      <c r="M70" s="1"/>
      <c r="N70" s="1"/>
      <c r="O70" s="1"/>
      <c r="P70" s="1"/>
      <c r="Q70" s="1"/>
      <c r="R70" s="1"/>
      <c r="S70" s="1"/>
      <c r="T70" s="1"/>
      <c r="U70" s="1"/>
      <c r="V70" s="1"/>
      <c r="W70" s="1"/>
      <c r="X70" s="1"/>
      <c r="Y70" s="1"/>
      <c r="Z70" s="1"/>
    </row>
    <row r="71">
      <c r="A71" s="1"/>
      <c r="B71" s="1"/>
      <c r="C71" s="1"/>
      <c r="D71" s="1"/>
      <c r="E71" s="1"/>
      <c r="F71" s="1"/>
      <c r="G71" s="5"/>
      <c r="H71" s="1"/>
      <c r="I71" s="1"/>
      <c r="J71" s="5"/>
      <c r="K71" s="1"/>
      <c r="L71" s="1"/>
      <c r="M71" s="1"/>
      <c r="N71" s="1"/>
      <c r="O71" s="1"/>
      <c r="P71" s="1"/>
      <c r="Q71" s="1"/>
      <c r="R71" s="1"/>
      <c r="S71" s="1"/>
      <c r="T71" s="1"/>
      <c r="U71" s="1"/>
      <c r="V71" s="1"/>
      <c r="W71" s="1"/>
      <c r="X71" s="1"/>
      <c r="Y71" s="1"/>
      <c r="Z71" s="1"/>
    </row>
    <row r="72">
      <c r="A72" s="1"/>
      <c r="B72" s="1"/>
      <c r="C72" s="1"/>
      <c r="D72" s="1"/>
      <c r="E72" s="1"/>
      <c r="F72" s="1"/>
      <c r="G72" s="5"/>
      <c r="H72" s="1"/>
      <c r="I72" s="1"/>
      <c r="J72" s="5"/>
      <c r="K72" s="1"/>
      <c r="L72" s="1"/>
      <c r="M72" s="1"/>
      <c r="N72" s="1"/>
      <c r="O72" s="1"/>
      <c r="P72" s="1"/>
      <c r="Q72" s="1"/>
      <c r="R72" s="1"/>
      <c r="S72" s="1"/>
      <c r="T72" s="1"/>
      <c r="U72" s="1"/>
      <c r="V72" s="1"/>
      <c r="W72" s="1"/>
      <c r="X72" s="1"/>
      <c r="Y72" s="1"/>
      <c r="Z72" s="1"/>
    </row>
    <row r="73">
      <c r="A73" s="1"/>
      <c r="B73" s="1"/>
      <c r="C73" s="1"/>
      <c r="D73" s="1"/>
      <c r="E73" s="1"/>
      <c r="F73" s="1"/>
      <c r="G73" s="5"/>
      <c r="H73" s="1"/>
      <c r="I73" s="1"/>
      <c r="J73" s="5"/>
      <c r="K73" s="1"/>
      <c r="L73" s="1"/>
      <c r="M73" s="1"/>
      <c r="N73" s="1"/>
      <c r="O73" s="1"/>
      <c r="P73" s="1"/>
      <c r="Q73" s="1"/>
      <c r="R73" s="1"/>
      <c r="S73" s="1"/>
      <c r="T73" s="1"/>
      <c r="U73" s="1"/>
      <c r="V73" s="1"/>
      <c r="W73" s="1"/>
      <c r="X73" s="1"/>
      <c r="Y73" s="1"/>
      <c r="Z73" s="1"/>
    </row>
    <row r="74">
      <c r="A74" s="1"/>
      <c r="B74" s="1"/>
      <c r="C74" s="1"/>
      <c r="D74" s="1"/>
      <c r="E74" s="1"/>
      <c r="F74" s="1"/>
      <c r="G74" s="5"/>
      <c r="H74" s="1"/>
      <c r="I74" s="1"/>
      <c r="J74" s="5"/>
      <c r="K74" s="1"/>
      <c r="L74" s="1"/>
      <c r="M74" s="1"/>
      <c r="N74" s="1"/>
      <c r="O74" s="1"/>
      <c r="P74" s="1"/>
      <c r="Q74" s="1"/>
      <c r="R74" s="1"/>
      <c r="S74" s="1"/>
      <c r="T74" s="1"/>
      <c r="U74" s="1"/>
      <c r="V74" s="1"/>
      <c r="W74" s="1"/>
      <c r="X74" s="1"/>
      <c r="Y74" s="1"/>
      <c r="Z74" s="1"/>
    </row>
    <row r="75">
      <c r="A75" s="1"/>
      <c r="B75" s="1"/>
      <c r="C75" s="1"/>
      <c r="D75" s="1"/>
      <c r="E75" s="1"/>
      <c r="F75" s="1"/>
      <c r="G75" s="5"/>
      <c r="H75" s="1"/>
      <c r="I75" s="1"/>
      <c r="J75" s="5"/>
      <c r="K75" s="1"/>
      <c r="L75" s="1"/>
      <c r="M75" s="1"/>
      <c r="N75" s="1"/>
      <c r="O75" s="1"/>
      <c r="P75" s="1"/>
      <c r="Q75" s="1"/>
      <c r="R75" s="1"/>
      <c r="S75" s="1"/>
      <c r="T75" s="1"/>
      <c r="U75" s="1"/>
      <c r="V75" s="1"/>
      <c r="W75" s="1"/>
      <c r="X75" s="1"/>
      <c r="Y75" s="1"/>
      <c r="Z75" s="1"/>
    </row>
    <row r="76">
      <c r="A76" s="1"/>
      <c r="B76" s="1"/>
      <c r="C76" s="1"/>
      <c r="D76" s="1"/>
      <c r="E76" s="1"/>
      <c r="F76" s="1"/>
      <c r="G76" s="5"/>
      <c r="H76" s="1"/>
      <c r="I76" s="1"/>
      <c r="J76" s="5"/>
      <c r="K76" s="1"/>
      <c r="L76" s="1"/>
      <c r="M76" s="1"/>
      <c r="N76" s="1"/>
      <c r="O76" s="1"/>
      <c r="P76" s="1"/>
      <c r="Q76" s="1"/>
      <c r="R76" s="1"/>
      <c r="S76" s="1"/>
      <c r="T76" s="1"/>
      <c r="U76" s="1"/>
      <c r="V76" s="1"/>
      <c r="W76" s="1"/>
      <c r="X76" s="1"/>
      <c r="Y76" s="1"/>
      <c r="Z76" s="1"/>
    </row>
    <row r="77">
      <c r="A77" s="1"/>
      <c r="B77" s="1"/>
      <c r="C77" s="1"/>
      <c r="D77" s="1"/>
      <c r="E77" s="1"/>
      <c r="F77" s="1"/>
      <c r="G77" s="5"/>
      <c r="H77" s="1"/>
      <c r="I77" s="1"/>
      <c r="J77" s="5"/>
      <c r="K77" s="1"/>
      <c r="L77" s="1"/>
      <c r="M77" s="1"/>
      <c r="N77" s="1"/>
      <c r="O77" s="1"/>
      <c r="P77" s="1"/>
      <c r="Q77" s="1"/>
      <c r="R77" s="1"/>
      <c r="S77" s="1"/>
      <c r="T77" s="1"/>
      <c r="U77" s="1"/>
      <c r="V77" s="1"/>
      <c r="W77" s="1"/>
      <c r="X77" s="1"/>
      <c r="Y77" s="1"/>
      <c r="Z77" s="1"/>
    </row>
    <row r="78">
      <c r="A78" s="1"/>
      <c r="B78" s="1"/>
      <c r="C78" s="1"/>
      <c r="D78" s="1"/>
      <c r="E78" s="1"/>
      <c r="F78" s="1"/>
      <c r="G78" s="5"/>
      <c r="H78" s="1"/>
      <c r="I78" s="1"/>
      <c r="J78" s="5"/>
      <c r="K78" s="1"/>
      <c r="L78" s="1"/>
      <c r="M78" s="1"/>
      <c r="N78" s="1"/>
      <c r="O78" s="1"/>
      <c r="P78" s="1"/>
      <c r="Q78" s="1"/>
      <c r="R78" s="1"/>
      <c r="S78" s="1"/>
      <c r="T78" s="1"/>
      <c r="U78" s="1"/>
      <c r="V78" s="1"/>
      <c r="W78" s="1"/>
      <c r="X78" s="1"/>
      <c r="Y78" s="1"/>
      <c r="Z78" s="1"/>
    </row>
    <row r="79">
      <c r="A79" s="1"/>
      <c r="B79" s="1"/>
      <c r="C79" s="1"/>
      <c r="D79" s="1"/>
      <c r="E79" s="1"/>
      <c r="F79" s="1"/>
      <c r="G79" s="5"/>
      <c r="H79" s="1"/>
      <c r="I79" s="1"/>
      <c r="J79" s="5"/>
      <c r="K79" s="1"/>
      <c r="L79" s="1"/>
      <c r="M79" s="1"/>
      <c r="N79" s="1"/>
      <c r="O79" s="1"/>
      <c r="P79" s="1"/>
      <c r="Q79" s="1"/>
      <c r="R79" s="1"/>
      <c r="S79" s="1"/>
      <c r="T79" s="1"/>
      <c r="U79" s="1"/>
      <c r="V79" s="1"/>
      <c r="W79" s="1"/>
      <c r="X79" s="1"/>
      <c r="Y79" s="1"/>
      <c r="Z79" s="1"/>
    </row>
    <row r="80">
      <c r="A80" s="1"/>
      <c r="B80" s="1"/>
      <c r="C80" s="1"/>
      <c r="D80" s="1"/>
      <c r="E80" s="1"/>
      <c r="F80" s="1"/>
      <c r="G80" s="5"/>
      <c r="H80" s="1"/>
      <c r="I80" s="1"/>
      <c r="J80" s="5"/>
      <c r="K80" s="1"/>
      <c r="L80" s="1"/>
      <c r="M80" s="1"/>
      <c r="N80" s="1"/>
      <c r="O80" s="1"/>
      <c r="P80" s="1"/>
      <c r="Q80" s="1"/>
      <c r="R80" s="1"/>
      <c r="S80" s="1"/>
      <c r="T80" s="1"/>
      <c r="U80" s="1"/>
      <c r="V80" s="1"/>
      <c r="W80" s="1"/>
      <c r="X80" s="1"/>
      <c r="Y80" s="1"/>
      <c r="Z80" s="1"/>
    </row>
    <row r="81">
      <c r="A81" s="1"/>
      <c r="B81" s="1"/>
      <c r="C81" s="1"/>
      <c r="D81" s="1"/>
      <c r="E81" s="1"/>
      <c r="F81" s="1"/>
      <c r="G81" s="5"/>
      <c r="H81" s="1"/>
      <c r="I81" s="1"/>
      <c r="J81" s="5"/>
      <c r="K81" s="1"/>
      <c r="L81" s="1"/>
      <c r="M81" s="1"/>
      <c r="N81" s="1"/>
      <c r="O81" s="1"/>
      <c r="P81" s="1"/>
      <c r="Q81" s="1"/>
      <c r="R81" s="1"/>
      <c r="S81" s="1"/>
      <c r="T81" s="1"/>
      <c r="U81" s="1"/>
      <c r="V81" s="1"/>
      <c r="W81" s="1"/>
      <c r="X81" s="1"/>
      <c r="Y81" s="1"/>
      <c r="Z81" s="1"/>
    </row>
    <row r="82">
      <c r="A82" s="1"/>
      <c r="B82" s="1"/>
      <c r="C82" s="1"/>
      <c r="D82" s="1"/>
      <c r="E82" s="1"/>
      <c r="F82" s="1"/>
      <c r="G82" s="5"/>
      <c r="H82" s="1"/>
      <c r="I82" s="1"/>
      <c r="J82" s="5"/>
      <c r="K82" s="1"/>
      <c r="L82" s="1"/>
      <c r="M82" s="1"/>
      <c r="N82" s="1"/>
      <c r="O82" s="1"/>
      <c r="P82" s="1"/>
      <c r="Q82" s="1"/>
      <c r="R82" s="1"/>
      <c r="S82" s="1"/>
      <c r="T82" s="1"/>
      <c r="U82" s="1"/>
      <c r="V82" s="1"/>
      <c r="W82" s="1"/>
      <c r="X82" s="1"/>
      <c r="Y82" s="1"/>
      <c r="Z82" s="1"/>
    </row>
    <row r="83">
      <c r="A83" s="1"/>
      <c r="B83" s="1"/>
      <c r="C83" s="1"/>
      <c r="D83" s="1"/>
      <c r="E83" s="1"/>
      <c r="F83" s="1"/>
      <c r="G83" s="5"/>
      <c r="H83" s="1"/>
      <c r="I83" s="1"/>
      <c r="J83" s="5"/>
      <c r="K83" s="1"/>
      <c r="L83" s="1"/>
      <c r="M83" s="1"/>
      <c r="N83" s="1"/>
      <c r="O83" s="1"/>
      <c r="P83" s="1"/>
      <c r="Q83" s="1"/>
      <c r="R83" s="1"/>
      <c r="S83" s="1"/>
      <c r="T83" s="1"/>
      <c r="U83" s="1"/>
      <c r="V83" s="1"/>
      <c r="W83" s="1"/>
      <c r="X83" s="1"/>
      <c r="Y83" s="1"/>
      <c r="Z83" s="1"/>
    </row>
    <row r="84">
      <c r="A84" s="1"/>
      <c r="B84" s="1"/>
      <c r="C84" s="1"/>
      <c r="D84" s="1"/>
      <c r="E84" s="1"/>
      <c r="F84" s="1"/>
      <c r="G84" s="5"/>
      <c r="H84" s="1"/>
      <c r="I84" s="1"/>
      <c r="J84" s="5"/>
      <c r="K84" s="1"/>
      <c r="L84" s="1"/>
      <c r="M84" s="1"/>
      <c r="N84" s="1"/>
      <c r="O84" s="1"/>
      <c r="P84" s="1"/>
      <c r="Q84" s="1"/>
      <c r="R84" s="1"/>
      <c r="S84" s="1"/>
      <c r="T84" s="1"/>
      <c r="U84" s="1"/>
      <c r="V84" s="1"/>
      <c r="W84" s="1"/>
      <c r="X84" s="1"/>
      <c r="Y84" s="1"/>
      <c r="Z84" s="1"/>
    </row>
    <row r="85">
      <c r="A85" s="1"/>
      <c r="B85" s="1"/>
      <c r="C85" s="1"/>
      <c r="D85" s="1"/>
      <c r="E85" s="1"/>
      <c r="F85" s="1"/>
      <c r="G85" s="5"/>
      <c r="H85" s="1"/>
      <c r="I85" s="1"/>
      <c r="J85" s="5"/>
      <c r="K85" s="1"/>
      <c r="L85" s="1"/>
      <c r="M85" s="1"/>
      <c r="N85" s="1"/>
      <c r="O85" s="1"/>
      <c r="P85" s="1"/>
      <c r="Q85" s="1"/>
      <c r="R85" s="1"/>
      <c r="S85" s="1"/>
      <c r="T85" s="1"/>
      <c r="U85" s="1"/>
      <c r="V85" s="1"/>
      <c r="W85" s="1"/>
      <c r="X85" s="1"/>
      <c r="Y85" s="1"/>
      <c r="Z85" s="1"/>
    </row>
    <row r="86">
      <c r="A86" s="1"/>
      <c r="B86" s="1"/>
      <c r="C86" s="1"/>
      <c r="D86" s="1"/>
      <c r="E86" s="1"/>
      <c r="F86" s="1"/>
      <c r="G86" s="5"/>
      <c r="H86" s="1"/>
      <c r="I86" s="1"/>
      <c r="J86" s="5"/>
      <c r="K86" s="1"/>
      <c r="L86" s="1"/>
      <c r="M86" s="1"/>
      <c r="N86" s="1"/>
      <c r="O86" s="1"/>
      <c r="P86" s="1"/>
      <c r="Q86" s="1"/>
      <c r="R86" s="1"/>
      <c r="S86" s="1"/>
      <c r="T86" s="1"/>
      <c r="U86" s="1"/>
      <c r="V86" s="1"/>
      <c r="W86" s="1"/>
      <c r="X86" s="1"/>
      <c r="Y86" s="1"/>
      <c r="Z86" s="1"/>
    </row>
    <row r="87">
      <c r="A87" s="1"/>
      <c r="B87" s="1"/>
      <c r="C87" s="1"/>
      <c r="D87" s="1"/>
      <c r="E87" s="1"/>
      <c r="F87" s="1"/>
      <c r="G87" s="5"/>
      <c r="H87" s="1"/>
      <c r="I87" s="1"/>
      <c r="J87" s="5"/>
      <c r="K87" s="1"/>
      <c r="L87" s="1"/>
      <c r="M87" s="1"/>
      <c r="N87" s="1"/>
      <c r="O87" s="1"/>
      <c r="P87" s="1"/>
      <c r="Q87" s="1"/>
      <c r="R87" s="1"/>
      <c r="S87" s="1"/>
      <c r="T87" s="1"/>
      <c r="U87" s="1"/>
      <c r="V87" s="1"/>
      <c r="W87" s="1"/>
      <c r="X87" s="1"/>
      <c r="Y87" s="1"/>
      <c r="Z87" s="1"/>
    </row>
    <row r="88">
      <c r="A88" s="1"/>
      <c r="B88" s="1"/>
      <c r="C88" s="1"/>
      <c r="D88" s="1"/>
      <c r="E88" s="1"/>
      <c r="F88" s="1"/>
      <c r="G88" s="5"/>
      <c r="H88" s="1"/>
      <c r="I88" s="1"/>
      <c r="J88" s="5"/>
      <c r="K88" s="1"/>
      <c r="L88" s="1"/>
      <c r="M88" s="1"/>
      <c r="N88" s="1"/>
      <c r="O88" s="1"/>
      <c r="P88" s="1"/>
      <c r="Q88" s="1"/>
      <c r="R88" s="1"/>
      <c r="S88" s="1"/>
      <c r="T88" s="1"/>
      <c r="U88" s="1"/>
      <c r="V88" s="1"/>
      <c r="W88" s="1"/>
      <c r="X88" s="1"/>
      <c r="Y88" s="1"/>
      <c r="Z88" s="1"/>
    </row>
    <row r="89">
      <c r="A89" s="1"/>
      <c r="B89" s="1"/>
      <c r="C89" s="1"/>
      <c r="D89" s="1"/>
      <c r="E89" s="1"/>
      <c r="F89" s="1"/>
      <c r="G89" s="5"/>
      <c r="H89" s="1"/>
      <c r="I89" s="1"/>
      <c r="J89" s="5"/>
      <c r="K89" s="1"/>
      <c r="L89" s="1"/>
      <c r="M89" s="1"/>
      <c r="N89" s="1"/>
      <c r="O89" s="1"/>
      <c r="P89" s="1"/>
      <c r="Q89" s="1"/>
      <c r="R89" s="1"/>
      <c r="S89" s="1"/>
      <c r="T89" s="1"/>
      <c r="U89" s="1"/>
      <c r="V89" s="1"/>
      <c r="W89" s="1"/>
      <c r="X89" s="1"/>
      <c r="Y89" s="1"/>
      <c r="Z89" s="1"/>
    </row>
    <row r="90">
      <c r="A90" s="1"/>
      <c r="B90" s="1"/>
      <c r="C90" s="1"/>
      <c r="D90" s="1"/>
      <c r="E90" s="1"/>
      <c r="F90" s="1"/>
      <c r="G90" s="5"/>
      <c r="H90" s="1"/>
      <c r="I90" s="1"/>
      <c r="J90" s="5"/>
      <c r="K90" s="1"/>
      <c r="L90" s="1"/>
      <c r="M90" s="1"/>
      <c r="N90" s="1"/>
      <c r="O90" s="1"/>
      <c r="P90" s="1"/>
      <c r="Q90" s="1"/>
      <c r="R90" s="1"/>
      <c r="S90" s="1"/>
      <c r="T90" s="1"/>
      <c r="U90" s="1"/>
      <c r="V90" s="1"/>
      <c r="W90" s="1"/>
      <c r="X90" s="1"/>
      <c r="Y90" s="1"/>
      <c r="Z90" s="1"/>
    </row>
    <row r="91">
      <c r="A91" s="1"/>
      <c r="B91" s="1"/>
      <c r="C91" s="1"/>
      <c r="D91" s="1"/>
      <c r="E91" s="1"/>
      <c r="F91" s="1"/>
      <c r="G91" s="5"/>
      <c r="H91" s="1"/>
      <c r="I91" s="1"/>
      <c r="J91" s="5"/>
      <c r="K91" s="1"/>
      <c r="L91" s="1"/>
      <c r="M91" s="1"/>
      <c r="N91" s="1"/>
      <c r="O91" s="1"/>
      <c r="P91" s="1"/>
      <c r="Q91" s="1"/>
      <c r="R91" s="1"/>
      <c r="S91" s="1"/>
      <c r="T91" s="1"/>
      <c r="U91" s="1"/>
      <c r="V91" s="1"/>
      <c r="W91" s="1"/>
      <c r="X91" s="1"/>
      <c r="Y91" s="1"/>
      <c r="Z91" s="1"/>
    </row>
    <row r="92">
      <c r="A92" s="1"/>
      <c r="B92" s="1"/>
      <c r="C92" s="1"/>
      <c r="D92" s="1"/>
      <c r="E92" s="1"/>
      <c r="F92" s="1"/>
      <c r="G92" s="5"/>
      <c r="H92" s="1"/>
      <c r="I92" s="1"/>
      <c r="J92" s="5"/>
      <c r="K92" s="1"/>
      <c r="L92" s="1"/>
      <c r="M92" s="1"/>
      <c r="N92" s="1"/>
      <c r="O92" s="1"/>
      <c r="P92" s="1"/>
      <c r="Q92" s="1"/>
      <c r="R92" s="1"/>
      <c r="S92" s="1"/>
      <c r="T92" s="1"/>
      <c r="U92" s="1"/>
      <c r="V92" s="1"/>
      <c r="W92" s="1"/>
      <c r="X92" s="1"/>
      <c r="Y92" s="1"/>
      <c r="Z92" s="1"/>
    </row>
    <row r="93">
      <c r="A93" s="1"/>
      <c r="B93" s="1"/>
      <c r="C93" s="1"/>
      <c r="D93" s="1"/>
      <c r="E93" s="1"/>
      <c r="F93" s="1"/>
      <c r="G93" s="5"/>
      <c r="H93" s="1"/>
      <c r="I93" s="1"/>
      <c r="J93" s="5"/>
      <c r="K93" s="1"/>
      <c r="L93" s="1"/>
      <c r="M93" s="1"/>
      <c r="N93" s="1"/>
      <c r="O93" s="1"/>
      <c r="P93" s="1"/>
      <c r="Q93" s="1"/>
      <c r="R93" s="1"/>
      <c r="S93" s="1"/>
      <c r="T93" s="1"/>
      <c r="U93" s="1"/>
      <c r="V93" s="1"/>
      <c r="W93" s="1"/>
      <c r="X93" s="1"/>
      <c r="Y93" s="1"/>
      <c r="Z93" s="1"/>
    </row>
    <row r="94">
      <c r="A94" s="1"/>
      <c r="B94" s="1"/>
      <c r="C94" s="1"/>
      <c r="D94" s="1"/>
      <c r="E94" s="1"/>
      <c r="F94" s="1"/>
      <c r="G94" s="5"/>
      <c r="H94" s="1"/>
      <c r="I94" s="1"/>
      <c r="J94" s="5"/>
      <c r="K94" s="1"/>
      <c r="L94" s="1"/>
      <c r="M94" s="1"/>
      <c r="N94" s="1"/>
      <c r="O94" s="1"/>
      <c r="P94" s="1"/>
      <c r="Q94" s="1"/>
      <c r="R94" s="1"/>
      <c r="S94" s="1"/>
      <c r="T94" s="1"/>
      <c r="U94" s="1"/>
      <c r="V94" s="1"/>
      <c r="W94" s="1"/>
      <c r="X94" s="1"/>
      <c r="Y94" s="1"/>
      <c r="Z94" s="1"/>
    </row>
    <row r="95">
      <c r="A95" s="1"/>
      <c r="B95" s="1"/>
      <c r="C95" s="1"/>
      <c r="D95" s="1"/>
      <c r="E95" s="1"/>
      <c r="F95" s="1"/>
      <c r="G95" s="5"/>
      <c r="H95" s="1"/>
      <c r="I95" s="1"/>
      <c r="J95" s="5"/>
      <c r="K95" s="1"/>
      <c r="L95" s="1"/>
      <c r="M95" s="1"/>
      <c r="N95" s="1"/>
      <c r="O95" s="1"/>
      <c r="P95" s="1"/>
      <c r="Q95" s="1"/>
      <c r="R95" s="1"/>
      <c r="S95" s="1"/>
      <c r="T95" s="1"/>
      <c r="U95" s="1"/>
      <c r="V95" s="1"/>
      <c r="W95" s="1"/>
      <c r="X95" s="1"/>
      <c r="Y95" s="1"/>
      <c r="Z95" s="1"/>
    </row>
    <row r="96">
      <c r="A96" s="1"/>
      <c r="B96" s="1"/>
      <c r="C96" s="1"/>
      <c r="D96" s="1"/>
      <c r="E96" s="1"/>
      <c r="F96" s="1"/>
      <c r="G96" s="5"/>
      <c r="H96" s="1"/>
      <c r="I96" s="1"/>
      <c r="J96" s="5"/>
      <c r="K96" s="1"/>
      <c r="L96" s="1"/>
      <c r="M96" s="1"/>
      <c r="N96" s="1"/>
      <c r="O96" s="1"/>
      <c r="P96" s="1"/>
      <c r="Q96" s="1"/>
      <c r="R96" s="1"/>
      <c r="S96" s="1"/>
      <c r="T96" s="1"/>
      <c r="U96" s="1"/>
      <c r="V96" s="1"/>
      <c r="W96" s="1"/>
      <c r="X96" s="1"/>
      <c r="Y96" s="1"/>
      <c r="Z96" s="1"/>
    </row>
    <row r="97">
      <c r="A97" s="1"/>
      <c r="B97" s="1"/>
      <c r="C97" s="1"/>
      <c r="D97" s="1"/>
      <c r="E97" s="1"/>
      <c r="F97" s="1"/>
      <c r="G97" s="5"/>
      <c r="H97" s="1"/>
      <c r="I97" s="1"/>
      <c r="J97" s="5"/>
      <c r="K97" s="1"/>
      <c r="L97" s="1"/>
      <c r="M97" s="1"/>
      <c r="N97" s="1"/>
      <c r="O97" s="1"/>
      <c r="P97" s="1"/>
      <c r="Q97" s="1"/>
      <c r="R97" s="1"/>
      <c r="S97" s="1"/>
      <c r="T97" s="1"/>
      <c r="U97" s="1"/>
      <c r="V97" s="1"/>
      <c r="W97" s="1"/>
      <c r="X97" s="1"/>
      <c r="Y97" s="1"/>
      <c r="Z97" s="1"/>
    </row>
    <row r="98">
      <c r="A98" s="1"/>
      <c r="B98" s="1"/>
      <c r="C98" s="1"/>
      <c r="D98" s="1"/>
      <c r="E98" s="1"/>
      <c r="F98" s="1"/>
      <c r="G98" s="5"/>
      <c r="H98" s="1"/>
      <c r="I98" s="1"/>
      <c r="J98" s="5"/>
      <c r="K98" s="1"/>
      <c r="L98" s="1"/>
      <c r="M98" s="1"/>
      <c r="N98" s="1"/>
      <c r="O98" s="1"/>
      <c r="P98" s="1"/>
      <c r="Q98" s="1"/>
      <c r="R98" s="1"/>
      <c r="S98" s="1"/>
      <c r="T98" s="1"/>
      <c r="U98" s="1"/>
      <c r="V98" s="1"/>
      <c r="W98" s="1"/>
      <c r="X98" s="1"/>
      <c r="Y98" s="1"/>
      <c r="Z98" s="1"/>
    </row>
    <row r="99">
      <c r="A99" s="1"/>
      <c r="B99" s="1"/>
      <c r="C99" s="1"/>
      <c r="D99" s="1"/>
      <c r="E99" s="1"/>
      <c r="F99" s="1"/>
      <c r="G99" s="5"/>
      <c r="H99" s="1"/>
      <c r="I99" s="1"/>
      <c r="J99" s="5"/>
      <c r="K99" s="1"/>
      <c r="L99" s="1"/>
      <c r="M99" s="1"/>
      <c r="N99" s="1"/>
      <c r="O99" s="1"/>
      <c r="P99" s="1"/>
      <c r="Q99" s="1"/>
      <c r="R99" s="1"/>
      <c r="S99" s="1"/>
      <c r="T99" s="1"/>
      <c r="U99" s="1"/>
      <c r="V99" s="1"/>
      <c r="W99" s="1"/>
      <c r="X99" s="1"/>
      <c r="Y99" s="1"/>
      <c r="Z99" s="1"/>
    </row>
    <row r="100">
      <c r="A100" s="1"/>
      <c r="B100" s="1"/>
      <c r="C100" s="1"/>
      <c r="D100" s="1"/>
      <c r="E100" s="1"/>
      <c r="F100" s="1"/>
      <c r="G100" s="5"/>
      <c r="H100" s="1"/>
      <c r="I100" s="1"/>
      <c r="J100" s="5"/>
      <c r="K100" s="1"/>
      <c r="L100" s="1"/>
      <c r="M100" s="1"/>
      <c r="N100" s="1"/>
      <c r="O100" s="1"/>
      <c r="P100" s="1"/>
      <c r="Q100" s="1"/>
      <c r="R100" s="1"/>
      <c r="S100" s="1"/>
      <c r="T100" s="1"/>
      <c r="U100" s="1"/>
      <c r="V100" s="1"/>
      <c r="W100" s="1"/>
      <c r="X100" s="1"/>
      <c r="Y100" s="1"/>
      <c r="Z100" s="1"/>
    </row>
    <row r="101">
      <c r="A101" s="1"/>
      <c r="B101" s="1"/>
      <c r="C101" s="1"/>
      <c r="D101" s="1"/>
      <c r="E101" s="1"/>
      <c r="F101" s="1"/>
      <c r="G101" s="5"/>
      <c r="H101" s="1"/>
      <c r="I101" s="1"/>
      <c r="J101" s="5"/>
      <c r="K101" s="1"/>
      <c r="L101" s="1"/>
      <c r="M101" s="1"/>
      <c r="N101" s="1"/>
      <c r="O101" s="1"/>
      <c r="P101" s="1"/>
      <c r="Q101" s="1"/>
      <c r="R101" s="1"/>
      <c r="S101" s="1"/>
      <c r="T101" s="1"/>
      <c r="U101" s="1"/>
      <c r="V101" s="1"/>
      <c r="W101" s="1"/>
      <c r="X101" s="1"/>
      <c r="Y101" s="1"/>
      <c r="Z101" s="1"/>
    </row>
    <row r="102">
      <c r="A102" s="1"/>
      <c r="B102" s="1"/>
      <c r="C102" s="1"/>
      <c r="D102" s="1"/>
      <c r="E102" s="1"/>
      <c r="F102" s="1"/>
      <c r="G102" s="5"/>
      <c r="H102" s="1"/>
      <c r="I102" s="1"/>
      <c r="J102" s="5"/>
      <c r="K102" s="1"/>
      <c r="L102" s="1"/>
      <c r="M102" s="1"/>
      <c r="N102" s="1"/>
      <c r="O102" s="1"/>
      <c r="P102" s="1"/>
      <c r="Q102" s="1"/>
      <c r="R102" s="1"/>
      <c r="S102" s="1"/>
      <c r="T102" s="1"/>
      <c r="U102" s="1"/>
      <c r="V102" s="1"/>
      <c r="W102" s="1"/>
      <c r="X102" s="1"/>
      <c r="Y102" s="1"/>
      <c r="Z102" s="1"/>
    </row>
    <row r="103">
      <c r="A103" s="1"/>
      <c r="B103" s="1"/>
      <c r="C103" s="1"/>
      <c r="D103" s="1"/>
      <c r="E103" s="1"/>
      <c r="F103" s="1"/>
      <c r="G103" s="5"/>
      <c r="H103" s="1"/>
      <c r="I103" s="1"/>
      <c r="J103" s="5"/>
      <c r="K103" s="1"/>
      <c r="L103" s="1"/>
      <c r="M103" s="1"/>
      <c r="N103" s="1"/>
      <c r="O103" s="1"/>
      <c r="P103" s="1"/>
      <c r="Q103" s="1"/>
      <c r="R103" s="1"/>
      <c r="S103" s="1"/>
      <c r="T103" s="1"/>
      <c r="U103" s="1"/>
      <c r="V103" s="1"/>
      <c r="W103" s="1"/>
      <c r="X103" s="1"/>
      <c r="Y103" s="1"/>
      <c r="Z103" s="1"/>
    </row>
    <row r="104">
      <c r="A104" s="1"/>
      <c r="B104" s="1"/>
      <c r="C104" s="1"/>
      <c r="D104" s="1"/>
      <c r="E104" s="1"/>
      <c r="F104" s="1"/>
      <c r="G104" s="5"/>
      <c r="H104" s="1"/>
      <c r="I104" s="1"/>
      <c r="J104" s="5"/>
      <c r="K104" s="1"/>
      <c r="L104" s="1"/>
      <c r="M104" s="1"/>
      <c r="N104" s="1"/>
      <c r="O104" s="1"/>
      <c r="P104" s="1"/>
      <c r="Q104" s="1"/>
      <c r="R104" s="1"/>
      <c r="S104" s="1"/>
      <c r="T104" s="1"/>
      <c r="U104" s="1"/>
      <c r="V104" s="1"/>
      <c r="W104" s="1"/>
      <c r="X104" s="1"/>
      <c r="Y104" s="1"/>
      <c r="Z104" s="1"/>
    </row>
    <row r="105">
      <c r="A105" s="1"/>
      <c r="B105" s="1"/>
      <c r="C105" s="1"/>
      <c r="D105" s="1"/>
      <c r="E105" s="1"/>
      <c r="F105" s="1"/>
      <c r="G105" s="5"/>
      <c r="H105" s="1"/>
      <c r="I105" s="1"/>
      <c r="J105" s="5"/>
      <c r="K105" s="1"/>
      <c r="L105" s="1"/>
      <c r="M105" s="1"/>
      <c r="N105" s="1"/>
      <c r="O105" s="1"/>
      <c r="P105" s="1"/>
      <c r="Q105" s="1"/>
      <c r="R105" s="1"/>
      <c r="S105" s="1"/>
      <c r="T105" s="1"/>
      <c r="U105" s="1"/>
      <c r="V105" s="1"/>
      <c r="W105" s="1"/>
      <c r="X105" s="1"/>
      <c r="Y105" s="1"/>
      <c r="Z105" s="1"/>
    </row>
    <row r="106">
      <c r="A106" s="1"/>
      <c r="B106" s="1"/>
      <c r="C106" s="1"/>
      <c r="D106" s="1"/>
      <c r="E106" s="1"/>
      <c r="F106" s="1"/>
      <c r="G106" s="5"/>
      <c r="H106" s="1"/>
      <c r="I106" s="1"/>
      <c r="J106" s="5"/>
      <c r="K106" s="1"/>
      <c r="L106" s="1"/>
      <c r="M106" s="1"/>
      <c r="N106" s="1"/>
      <c r="O106" s="1"/>
      <c r="P106" s="1"/>
      <c r="Q106" s="1"/>
      <c r="R106" s="1"/>
      <c r="S106" s="1"/>
      <c r="T106" s="1"/>
      <c r="U106" s="1"/>
      <c r="V106" s="1"/>
      <c r="W106" s="1"/>
      <c r="X106" s="1"/>
      <c r="Y106" s="1"/>
      <c r="Z106" s="1"/>
    </row>
    <row r="107">
      <c r="A107" s="1"/>
      <c r="B107" s="1"/>
      <c r="C107" s="1"/>
      <c r="D107" s="1"/>
      <c r="E107" s="1"/>
      <c r="F107" s="1"/>
      <c r="G107" s="5"/>
      <c r="H107" s="1"/>
      <c r="I107" s="1"/>
      <c r="J107" s="5"/>
      <c r="K107" s="1"/>
      <c r="L107" s="1"/>
      <c r="M107" s="1"/>
      <c r="N107" s="1"/>
      <c r="O107" s="1"/>
      <c r="P107" s="1"/>
      <c r="Q107" s="1"/>
      <c r="R107" s="1"/>
      <c r="S107" s="1"/>
      <c r="T107" s="1"/>
      <c r="U107" s="1"/>
      <c r="V107" s="1"/>
      <c r="W107" s="1"/>
      <c r="X107" s="1"/>
      <c r="Y107" s="1"/>
      <c r="Z107" s="1"/>
    </row>
    <row r="108">
      <c r="A108" s="1"/>
      <c r="B108" s="1"/>
      <c r="C108" s="1"/>
      <c r="D108" s="1"/>
      <c r="E108" s="1"/>
      <c r="F108" s="1"/>
      <c r="G108" s="5"/>
      <c r="H108" s="1"/>
      <c r="I108" s="1"/>
      <c r="J108" s="5"/>
      <c r="K108" s="1"/>
      <c r="L108" s="1"/>
      <c r="M108" s="1"/>
      <c r="N108" s="1"/>
      <c r="O108" s="1"/>
      <c r="P108" s="1"/>
      <c r="Q108" s="1"/>
      <c r="R108" s="1"/>
      <c r="S108" s="1"/>
      <c r="T108" s="1"/>
      <c r="U108" s="1"/>
      <c r="V108" s="1"/>
      <c r="W108" s="1"/>
      <c r="X108" s="1"/>
      <c r="Y108" s="1"/>
      <c r="Z108" s="1"/>
    </row>
    <row r="109">
      <c r="A109" s="1"/>
      <c r="B109" s="1"/>
      <c r="C109" s="1"/>
      <c r="D109" s="1"/>
      <c r="E109" s="1"/>
      <c r="F109" s="1"/>
      <c r="G109" s="5"/>
      <c r="H109" s="1"/>
      <c r="I109" s="1"/>
      <c r="J109" s="5"/>
      <c r="K109" s="1"/>
      <c r="L109" s="1"/>
      <c r="M109" s="1"/>
      <c r="N109" s="1"/>
      <c r="O109" s="1"/>
      <c r="P109" s="1"/>
      <c r="Q109" s="1"/>
      <c r="R109" s="1"/>
      <c r="S109" s="1"/>
      <c r="T109" s="1"/>
      <c r="U109" s="1"/>
      <c r="V109" s="1"/>
      <c r="W109" s="1"/>
      <c r="X109" s="1"/>
      <c r="Y109" s="1"/>
      <c r="Z109" s="1"/>
    </row>
    <row r="110">
      <c r="A110" s="1"/>
      <c r="B110" s="1"/>
      <c r="C110" s="1"/>
      <c r="D110" s="1"/>
      <c r="E110" s="1"/>
      <c r="F110" s="1"/>
      <c r="G110" s="5"/>
      <c r="H110" s="1"/>
      <c r="I110" s="1"/>
      <c r="J110" s="5"/>
      <c r="K110" s="1"/>
      <c r="L110" s="1"/>
      <c r="M110" s="1"/>
      <c r="N110" s="1"/>
      <c r="O110" s="1"/>
      <c r="P110" s="1"/>
      <c r="Q110" s="1"/>
      <c r="R110" s="1"/>
      <c r="S110" s="1"/>
      <c r="T110" s="1"/>
      <c r="U110" s="1"/>
      <c r="V110" s="1"/>
      <c r="W110" s="1"/>
      <c r="X110" s="1"/>
      <c r="Y110" s="1"/>
      <c r="Z110" s="1"/>
    </row>
    <row r="111">
      <c r="A111" s="1"/>
      <c r="B111" s="1"/>
      <c r="C111" s="1"/>
      <c r="D111" s="1"/>
      <c r="E111" s="1"/>
      <c r="F111" s="1"/>
      <c r="G111" s="5"/>
      <c r="H111" s="1"/>
      <c r="I111" s="1"/>
      <c r="J111" s="5"/>
      <c r="K111" s="1"/>
      <c r="L111" s="1"/>
      <c r="M111" s="1"/>
      <c r="N111" s="1"/>
      <c r="O111" s="1"/>
      <c r="P111" s="1"/>
      <c r="Q111" s="1"/>
      <c r="R111" s="1"/>
      <c r="S111" s="1"/>
      <c r="T111" s="1"/>
      <c r="U111" s="1"/>
      <c r="V111" s="1"/>
      <c r="W111" s="1"/>
      <c r="X111" s="1"/>
      <c r="Y111" s="1"/>
      <c r="Z111" s="1"/>
    </row>
    <row r="112">
      <c r="A112" s="1"/>
      <c r="B112" s="1"/>
      <c r="C112" s="1"/>
      <c r="D112" s="1"/>
      <c r="E112" s="1"/>
      <c r="F112" s="1"/>
      <c r="G112" s="5"/>
      <c r="H112" s="1"/>
      <c r="I112" s="1"/>
      <c r="J112" s="5"/>
      <c r="K112" s="1"/>
      <c r="L112" s="1"/>
      <c r="M112" s="1"/>
      <c r="N112" s="1"/>
      <c r="O112" s="1"/>
      <c r="P112" s="1"/>
      <c r="Q112" s="1"/>
      <c r="R112" s="1"/>
      <c r="S112" s="1"/>
      <c r="T112" s="1"/>
      <c r="U112" s="1"/>
      <c r="V112" s="1"/>
      <c r="W112" s="1"/>
      <c r="X112" s="1"/>
      <c r="Y112" s="1"/>
      <c r="Z112" s="1"/>
    </row>
    <row r="113">
      <c r="A113" s="1"/>
      <c r="B113" s="1"/>
      <c r="C113" s="1"/>
      <c r="D113" s="1"/>
      <c r="E113" s="1"/>
      <c r="F113" s="1"/>
      <c r="G113" s="5"/>
      <c r="H113" s="1"/>
      <c r="I113" s="1"/>
      <c r="J113" s="5"/>
      <c r="K113" s="1"/>
      <c r="L113" s="1"/>
      <c r="M113" s="1"/>
      <c r="N113" s="1"/>
      <c r="O113" s="1"/>
      <c r="P113" s="1"/>
      <c r="Q113" s="1"/>
      <c r="R113" s="1"/>
      <c r="S113" s="1"/>
      <c r="T113" s="1"/>
      <c r="U113" s="1"/>
      <c r="V113" s="1"/>
      <c r="W113" s="1"/>
      <c r="X113" s="1"/>
      <c r="Y113" s="1"/>
      <c r="Z113" s="1"/>
    </row>
    <row r="114">
      <c r="A114" s="1"/>
      <c r="B114" s="1"/>
      <c r="C114" s="1"/>
      <c r="D114" s="1"/>
      <c r="E114" s="1"/>
      <c r="F114" s="1"/>
      <c r="G114" s="5"/>
      <c r="H114" s="1"/>
      <c r="I114" s="1"/>
      <c r="J114" s="5"/>
      <c r="K114" s="1"/>
      <c r="L114" s="1"/>
      <c r="M114" s="1"/>
      <c r="N114" s="1"/>
      <c r="O114" s="1"/>
      <c r="P114" s="1"/>
      <c r="Q114" s="1"/>
      <c r="R114" s="1"/>
      <c r="S114" s="1"/>
      <c r="T114" s="1"/>
      <c r="U114" s="1"/>
      <c r="V114" s="1"/>
      <c r="W114" s="1"/>
      <c r="X114" s="1"/>
      <c r="Y114" s="1"/>
      <c r="Z114" s="1"/>
    </row>
    <row r="115">
      <c r="A115" s="1"/>
      <c r="B115" s="1"/>
      <c r="C115" s="1"/>
      <c r="D115" s="1"/>
      <c r="E115" s="1"/>
      <c r="F115" s="1"/>
      <c r="G115" s="5"/>
      <c r="H115" s="1"/>
      <c r="I115" s="1"/>
      <c r="J115" s="5"/>
      <c r="K115" s="1"/>
      <c r="L115" s="1"/>
      <c r="M115" s="1"/>
      <c r="N115" s="1"/>
      <c r="O115" s="1"/>
      <c r="P115" s="1"/>
      <c r="Q115" s="1"/>
      <c r="R115" s="1"/>
      <c r="S115" s="1"/>
      <c r="T115" s="1"/>
      <c r="U115" s="1"/>
      <c r="V115" s="1"/>
      <c r="W115" s="1"/>
      <c r="X115" s="1"/>
      <c r="Y115" s="1"/>
      <c r="Z115" s="1"/>
    </row>
    <row r="116">
      <c r="A116" s="1"/>
      <c r="B116" s="1"/>
      <c r="C116" s="1"/>
      <c r="D116" s="1"/>
      <c r="E116" s="1"/>
      <c r="F116" s="1"/>
      <c r="G116" s="5"/>
      <c r="H116" s="1"/>
      <c r="I116" s="1"/>
      <c r="J116" s="5"/>
      <c r="K116" s="1"/>
      <c r="L116" s="1"/>
      <c r="M116" s="1"/>
      <c r="N116" s="1"/>
      <c r="O116" s="1"/>
      <c r="P116" s="1"/>
      <c r="Q116" s="1"/>
      <c r="R116" s="1"/>
      <c r="S116" s="1"/>
      <c r="T116" s="1"/>
      <c r="U116" s="1"/>
      <c r="V116" s="1"/>
      <c r="W116" s="1"/>
      <c r="X116" s="1"/>
      <c r="Y116" s="1"/>
      <c r="Z116" s="1"/>
    </row>
    <row r="117">
      <c r="A117" s="1"/>
      <c r="B117" s="1"/>
      <c r="C117" s="1"/>
      <c r="D117" s="1"/>
      <c r="E117" s="1"/>
      <c r="F117" s="1"/>
      <c r="G117" s="5"/>
      <c r="H117" s="1"/>
      <c r="I117" s="1"/>
      <c r="J117" s="5"/>
      <c r="K117" s="1"/>
      <c r="L117" s="1"/>
      <c r="M117" s="1"/>
      <c r="N117" s="1"/>
      <c r="O117" s="1"/>
      <c r="P117" s="1"/>
      <c r="Q117" s="1"/>
      <c r="R117" s="1"/>
      <c r="S117" s="1"/>
      <c r="T117" s="1"/>
      <c r="U117" s="1"/>
      <c r="V117" s="1"/>
      <c r="W117" s="1"/>
      <c r="X117" s="1"/>
      <c r="Y117" s="1"/>
      <c r="Z117" s="1"/>
    </row>
    <row r="118">
      <c r="A118" s="1"/>
      <c r="B118" s="1"/>
      <c r="C118" s="1"/>
      <c r="D118" s="1"/>
      <c r="E118" s="1"/>
      <c r="F118" s="1"/>
      <c r="G118" s="5"/>
      <c r="H118" s="1"/>
      <c r="I118" s="1"/>
      <c r="J118" s="5"/>
      <c r="K118" s="1"/>
      <c r="L118" s="1"/>
      <c r="M118" s="1"/>
      <c r="N118" s="1"/>
      <c r="O118" s="1"/>
      <c r="P118" s="1"/>
      <c r="Q118" s="1"/>
      <c r="R118" s="1"/>
      <c r="S118" s="1"/>
      <c r="T118" s="1"/>
      <c r="U118" s="1"/>
      <c r="V118" s="1"/>
      <c r="W118" s="1"/>
      <c r="X118" s="1"/>
      <c r="Y118" s="1"/>
      <c r="Z118" s="1"/>
    </row>
    <row r="119">
      <c r="A119" s="1"/>
      <c r="B119" s="1"/>
      <c r="C119" s="1"/>
      <c r="D119" s="1"/>
      <c r="E119" s="1"/>
      <c r="F119" s="1"/>
      <c r="G119" s="5"/>
      <c r="H119" s="1"/>
      <c r="I119" s="1"/>
      <c r="J119" s="5"/>
      <c r="K119" s="1"/>
      <c r="L119" s="1"/>
      <c r="M119" s="1"/>
      <c r="N119" s="1"/>
      <c r="O119" s="1"/>
      <c r="P119" s="1"/>
      <c r="Q119" s="1"/>
      <c r="R119" s="1"/>
      <c r="S119" s="1"/>
      <c r="T119" s="1"/>
      <c r="U119" s="1"/>
      <c r="V119" s="1"/>
      <c r="W119" s="1"/>
      <c r="X119" s="1"/>
      <c r="Y119" s="1"/>
      <c r="Z119" s="1"/>
    </row>
    <row r="120">
      <c r="A120" s="1"/>
      <c r="B120" s="1"/>
      <c r="C120" s="1"/>
      <c r="D120" s="1"/>
      <c r="E120" s="1"/>
      <c r="F120" s="1"/>
      <c r="G120" s="5"/>
      <c r="H120" s="1"/>
      <c r="I120" s="1"/>
      <c r="J120" s="5"/>
      <c r="K120" s="1"/>
      <c r="L120" s="1"/>
      <c r="M120" s="1"/>
      <c r="N120" s="1"/>
      <c r="O120" s="1"/>
      <c r="P120" s="1"/>
      <c r="Q120" s="1"/>
      <c r="R120" s="1"/>
      <c r="S120" s="1"/>
      <c r="T120" s="1"/>
      <c r="U120" s="1"/>
      <c r="V120" s="1"/>
      <c r="W120" s="1"/>
      <c r="X120" s="1"/>
      <c r="Y120" s="1"/>
      <c r="Z120" s="1"/>
    </row>
    <row r="121">
      <c r="A121" s="1"/>
      <c r="B121" s="1"/>
      <c r="C121" s="1"/>
      <c r="D121" s="1"/>
      <c r="E121" s="1"/>
      <c r="F121" s="1"/>
      <c r="G121" s="5"/>
      <c r="H121" s="1"/>
      <c r="I121" s="1"/>
      <c r="J121" s="5"/>
      <c r="K121" s="1"/>
      <c r="L121" s="1"/>
      <c r="M121" s="1"/>
      <c r="N121" s="1"/>
      <c r="O121" s="1"/>
      <c r="P121" s="1"/>
      <c r="Q121" s="1"/>
      <c r="R121" s="1"/>
      <c r="S121" s="1"/>
      <c r="T121" s="1"/>
      <c r="U121" s="1"/>
      <c r="V121" s="1"/>
      <c r="W121" s="1"/>
      <c r="X121" s="1"/>
      <c r="Y121" s="1"/>
      <c r="Z121" s="1"/>
    </row>
    <row r="122">
      <c r="A122" s="1"/>
      <c r="B122" s="1"/>
      <c r="C122" s="1"/>
      <c r="D122" s="1"/>
      <c r="E122" s="1"/>
      <c r="F122" s="1"/>
      <c r="G122" s="5"/>
      <c r="H122" s="1"/>
      <c r="I122" s="1"/>
      <c r="J122" s="5"/>
      <c r="K122" s="1"/>
      <c r="L122" s="1"/>
      <c r="M122" s="1"/>
      <c r="N122" s="1"/>
      <c r="O122" s="1"/>
      <c r="P122" s="1"/>
      <c r="Q122" s="1"/>
      <c r="R122" s="1"/>
      <c r="S122" s="1"/>
      <c r="T122" s="1"/>
      <c r="U122" s="1"/>
      <c r="V122" s="1"/>
      <c r="W122" s="1"/>
      <c r="X122" s="1"/>
      <c r="Y122" s="1"/>
      <c r="Z122" s="1"/>
    </row>
    <row r="123">
      <c r="A123" s="1"/>
      <c r="B123" s="1"/>
      <c r="C123" s="1"/>
      <c r="D123" s="1"/>
      <c r="E123" s="1"/>
      <c r="F123" s="1"/>
      <c r="G123" s="5"/>
      <c r="H123" s="1"/>
      <c r="I123" s="1"/>
      <c r="J123" s="5"/>
      <c r="K123" s="1"/>
      <c r="L123" s="1"/>
      <c r="M123" s="1"/>
      <c r="N123" s="1"/>
      <c r="O123" s="1"/>
      <c r="P123" s="1"/>
      <c r="Q123" s="1"/>
      <c r="R123" s="1"/>
      <c r="S123" s="1"/>
      <c r="T123" s="1"/>
      <c r="U123" s="1"/>
      <c r="V123" s="1"/>
      <c r="W123" s="1"/>
      <c r="X123" s="1"/>
      <c r="Y123" s="1"/>
      <c r="Z123" s="1"/>
    </row>
    <row r="124">
      <c r="A124" s="1"/>
      <c r="B124" s="1"/>
      <c r="C124" s="1"/>
      <c r="D124" s="1"/>
      <c r="E124" s="1"/>
      <c r="F124" s="1"/>
      <c r="G124" s="5"/>
      <c r="H124" s="1"/>
      <c r="I124" s="1"/>
      <c r="J124" s="5"/>
      <c r="K124" s="1"/>
      <c r="L124" s="1"/>
      <c r="M124" s="1"/>
      <c r="N124" s="1"/>
      <c r="O124" s="1"/>
      <c r="P124" s="1"/>
      <c r="Q124" s="1"/>
      <c r="R124" s="1"/>
      <c r="S124" s="1"/>
      <c r="T124" s="1"/>
      <c r="U124" s="1"/>
      <c r="V124" s="1"/>
      <c r="W124" s="1"/>
      <c r="X124" s="1"/>
      <c r="Y124" s="1"/>
      <c r="Z124" s="1"/>
    </row>
    <row r="125">
      <c r="A125" s="1"/>
      <c r="B125" s="1"/>
      <c r="C125" s="1"/>
      <c r="D125" s="1"/>
      <c r="E125" s="1"/>
      <c r="F125" s="1"/>
      <c r="G125" s="5"/>
      <c r="H125" s="1"/>
      <c r="I125" s="1"/>
      <c r="J125" s="5"/>
      <c r="K125" s="1"/>
      <c r="L125" s="1"/>
      <c r="M125" s="1"/>
      <c r="N125" s="1"/>
      <c r="O125" s="1"/>
      <c r="P125" s="1"/>
      <c r="Q125" s="1"/>
      <c r="R125" s="1"/>
      <c r="S125" s="1"/>
      <c r="T125" s="1"/>
      <c r="U125" s="1"/>
      <c r="V125" s="1"/>
      <c r="W125" s="1"/>
      <c r="X125" s="1"/>
      <c r="Y125" s="1"/>
      <c r="Z125" s="1"/>
    </row>
    <row r="126">
      <c r="A126" s="1"/>
      <c r="B126" s="1"/>
      <c r="C126" s="1"/>
      <c r="D126" s="1"/>
      <c r="E126" s="1"/>
      <c r="F126" s="1"/>
      <c r="G126" s="5"/>
      <c r="H126" s="1"/>
      <c r="I126" s="1"/>
      <c r="J126" s="5"/>
      <c r="K126" s="1"/>
      <c r="L126" s="1"/>
      <c r="M126" s="1"/>
      <c r="N126" s="1"/>
      <c r="O126" s="1"/>
      <c r="P126" s="1"/>
      <c r="Q126" s="1"/>
      <c r="R126" s="1"/>
      <c r="S126" s="1"/>
      <c r="T126" s="1"/>
      <c r="U126" s="1"/>
      <c r="V126" s="1"/>
      <c r="W126" s="1"/>
      <c r="X126" s="1"/>
      <c r="Y126" s="1"/>
      <c r="Z126" s="1"/>
    </row>
    <row r="127">
      <c r="A127" s="1"/>
      <c r="B127" s="1"/>
      <c r="C127" s="1"/>
      <c r="D127" s="1"/>
      <c r="E127" s="1"/>
      <c r="F127" s="1"/>
      <c r="G127" s="5"/>
      <c r="H127" s="1"/>
      <c r="I127" s="1"/>
      <c r="J127" s="5"/>
      <c r="K127" s="1"/>
      <c r="L127" s="1"/>
      <c r="M127" s="1"/>
      <c r="N127" s="1"/>
      <c r="O127" s="1"/>
      <c r="P127" s="1"/>
      <c r="Q127" s="1"/>
      <c r="R127" s="1"/>
      <c r="S127" s="1"/>
      <c r="T127" s="1"/>
      <c r="U127" s="1"/>
      <c r="V127" s="1"/>
      <c r="W127" s="1"/>
      <c r="X127" s="1"/>
      <c r="Y127" s="1"/>
      <c r="Z127" s="1"/>
    </row>
    <row r="128">
      <c r="A128" s="1"/>
      <c r="B128" s="1"/>
      <c r="C128" s="1"/>
      <c r="D128" s="1"/>
      <c r="E128" s="1"/>
      <c r="F128" s="1"/>
      <c r="G128" s="5"/>
      <c r="H128" s="1"/>
      <c r="I128" s="1"/>
      <c r="J128" s="5"/>
      <c r="K128" s="1"/>
      <c r="L128" s="1"/>
      <c r="M128" s="1"/>
      <c r="N128" s="1"/>
      <c r="O128" s="1"/>
      <c r="P128" s="1"/>
      <c r="Q128" s="1"/>
      <c r="R128" s="1"/>
      <c r="S128" s="1"/>
      <c r="T128" s="1"/>
      <c r="U128" s="1"/>
      <c r="V128" s="1"/>
      <c r="W128" s="1"/>
      <c r="X128" s="1"/>
      <c r="Y128" s="1"/>
      <c r="Z128" s="1"/>
    </row>
    <row r="129">
      <c r="A129" s="1"/>
      <c r="B129" s="1"/>
      <c r="C129" s="1"/>
      <c r="D129" s="1"/>
      <c r="E129" s="1"/>
      <c r="F129" s="1"/>
      <c r="G129" s="5"/>
      <c r="H129" s="1"/>
      <c r="I129" s="1"/>
      <c r="J129" s="5"/>
      <c r="K129" s="1"/>
      <c r="L129" s="1"/>
      <c r="M129" s="1"/>
      <c r="N129" s="1"/>
      <c r="O129" s="1"/>
      <c r="P129" s="1"/>
      <c r="Q129" s="1"/>
      <c r="R129" s="1"/>
      <c r="S129" s="1"/>
      <c r="T129" s="1"/>
      <c r="U129" s="1"/>
      <c r="V129" s="1"/>
      <c r="W129" s="1"/>
      <c r="X129" s="1"/>
      <c r="Y129" s="1"/>
      <c r="Z129" s="1"/>
    </row>
    <row r="130">
      <c r="A130" s="1"/>
      <c r="B130" s="1"/>
      <c r="C130" s="1"/>
      <c r="D130" s="1"/>
      <c r="E130" s="1"/>
      <c r="F130" s="1"/>
      <c r="G130" s="5"/>
      <c r="H130" s="1"/>
      <c r="I130" s="1"/>
      <c r="J130" s="5"/>
      <c r="K130" s="1"/>
      <c r="L130" s="1"/>
      <c r="M130" s="1"/>
      <c r="N130" s="1"/>
      <c r="O130" s="1"/>
      <c r="P130" s="1"/>
      <c r="Q130" s="1"/>
      <c r="R130" s="1"/>
      <c r="S130" s="1"/>
      <c r="T130" s="1"/>
      <c r="U130" s="1"/>
      <c r="V130" s="1"/>
      <c r="W130" s="1"/>
      <c r="X130" s="1"/>
      <c r="Y130" s="1"/>
      <c r="Z130" s="1"/>
    </row>
    <row r="131">
      <c r="A131" s="1"/>
      <c r="B131" s="1"/>
      <c r="C131" s="1"/>
      <c r="D131" s="1"/>
      <c r="E131" s="1"/>
      <c r="F131" s="1"/>
      <c r="G131" s="5"/>
      <c r="H131" s="1"/>
      <c r="I131" s="1"/>
      <c r="J131" s="5"/>
      <c r="K131" s="1"/>
      <c r="L131" s="1"/>
      <c r="M131" s="1"/>
      <c r="N131" s="1"/>
      <c r="O131" s="1"/>
      <c r="P131" s="1"/>
      <c r="Q131" s="1"/>
      <c r="R131" s="1"/>
      <c r="S131" s="1"/>
      <c r="T131" s="1"/>
      <c r="U131" s="1"/>
      <c r="V131" s="1"/>
      <c r="W131" s="1"/>
      <c r="X131" s="1"/>
      <c r="Y131" s="1"/>
      <c r="Z131" s="1"/>
    </row>
    <row r="132">
      <c r="A132" s="1"/>
      <c r="B132" s="1"/>
      <c r="C132" s="1"/>
      <c r="D132" s="1"/>
      <c r="E132" s="1"/>
      <c r="F132" s="1"/>
      <c r="G132" s="5"/>
      <c r="H132" s="1"/>
      <c r="I132" s="1"/>
      <c r="J132" s="5"/>
      <c r="K132" s="1"/>
      <c r="L132" s="1"/>
      <c r="M132" s="1"/>
      <c r="N132" s="1"/>
      <c r="O132" s="1"/>
      <c r="P132" s="1"/>
      <c r="Q132" s="1"/>
      <c r="R132" s="1"/>
      <c r="S132" s="1"/>
      <c r="T132" s="1"/>
      <c r="U132" s="1"/>
      <c r="V132" s="1"/>
      <c r="W132" s="1"/>
      <c r="X132" s="1"/>
      <c r="Y132" s="1"/>
      <c r="Z132" s="1"/>
    </row>
    <row r="133">
      <c r="A133" s="1"/>
      <c r="B133" s="1"/>
      <c r="C133" s="1"/>
      <c r="D133" s="1"/>
      <c r="E133" s="1"/>
      <c r="F133" s="1"/>
      <c r="G133" s="5"/>
      <c r="H133" s="1"/>
      <c r="I133" s="1"/>
      <c r="J133" s="5"/>
      <c r="K133" s="1"/>
      <c r="L133" s="1"/>
      <c r="M133" s="1"/>
      <c r="N133" s="1"/>
      <c r="O133" s="1"/>
      <c r="P133" s="1"/>
      <c r="Q133" s="1"/>
      <c r="R133" s="1"/>
      <c r="S133" s="1"/>
      <c r="T133" s="1"/>
      <c r="U133" s="1"/>
      <c r="V133" s="1"/>
      <c r="W133" s="1"/>
      <c r="X133" s="1"/>
      <c r="Y133" s="1"/>
      <c r="Z133" s="1"/>
    </row>
    <row r="134">
      <c r="A134" s="1"/>
      <c r="B134" s="1"/>
      <c r="C134" s="1"/>
      <c r="D134" s="1"/>
      <c r="E134" s="1"/>
      <c r="F134" s="1"/>
      <c r="G134" s="5"/>
      <c r="H134" s="1"/>
      <c r="I134" s="1"/>
      <c r="J134" s="5"/>
      <c r="K134" s="1"/>
      <c r="L134" s="1"/>
      <c r="M134" s="1"/>
      <c r="N134" s="1"/>
      <c r="O134" s="1"/>
      <c r="P134" s="1"/>
      <c r="Q134" s="1"/>
      <c r="R134" s="1"/>
      <c r="S134" s="1"/>
      <c r="T134" s="1"/>
      <c r="U134" s="1"/>
      <c r="V134" s="1"/>
      <c r="W134" s="1"/>
      <c r="X134" s="1"/>
      <c r="Y134" s="1"/>
      <c r="Z134" s="1"/>
    </row>
    <row r="135">
      <c r="A135" s="1"/>
      <c r="B135" s="1"/>
      <c r="C135" s="1"/>
      <c r="D135" s="1"/>
      <c r="E135" s="1"/>
      <c r="F135" s="1"/>
      <c r="G135" s="5"/>
      <c r="H135" s="1"/>
      <c r="I135" s="1"/>
      <c r="J135" s="5"/>
      <c r="K135" s="1"/>
      <c r="L135" s="1"/>
      <c r="M135" s="1"/>
      <c r="N135" s="1"/>
      <c r="O135" s="1"/>
      <c r="P135" s="1"/>
      <c r="Q135" s="1"/>
      <c r="R135" s="1"/>
      <c r="S135" s="1"/>
      <c r="T135" s="1"/>
      <c r="U135" s="1"/>
      <c r="V135" s="1"/>
      <c r="W135" s="1"/>
      <c r="X135" s="1"/>
      <c r="Y135" s="1"/>
      <c r="Z135" s="1"/>
    </row>
    <row r="136">
      <c r="A136" s="1"/>
      <c r="B136" s="1"/>
      <c r="C136" s="1"/>
      <c r="D136" s="1"/>
      <c r="E136" s="1"/>
      <c r="F136" s="1"/>
      <c r="G136" s="5"/>
      <c r="H136" s="1"/>
      <c r="I136" s="1"/>
      <c r="J136" s="5"/>
      <c r="K136" s="1"/>
      <c r="L136" s="1"/>
      <c r="M136" s="1"/>
      <c r="N136" s="1"/>
      <c r="O136" s="1"/>
      <c r="P136" s="1"/>
      <c r="Q136" s="1"/>
      <c r="R136" s="1"/>
      <c r="S136" s="1"/>
      <c r="T136" s="1"/>
      <c r="U136" s="1"/>
      <c r="V136" s="1"/>
      <c r="W136" s="1"/>
      <c r="X136" s="1"/>
      <c r="Y136" s="1"/>
      <c r="Z136" s="1"/>
    </row>
    <row r="137">
      <c r="A137" s="1"/>
      <c r="B137" s="1"/>
      <c r="C137" s="1"/>
      <c r="D137" s="1"/>
      <c r="E137" s="1"/>
      <c r="F137" s="1"/>
      <c r="G137" s="5"/>
      <c r="H137" s="1"/>
      <c r="I137" s="1"/>
      <c r="J137" s="5"/>
      <c r="K137" s="1"/>
      <c r="L137" s="1"/>
      <c r="M137" s="1"/>
      <c r="N137" s="1"/>
      <c r="O137" s="1"/>
      <c r="P137" s="1"/>
      <c r="Q137" s="1"/>
      <c r="R137" s="1"/>
      <c r="S137" s="1"/>
      <c r="T137" s="1"/>
      <c r="U137" s="1"/>
      <c r="V137" s="1"/>
      <c r="W137" s="1"/>
      <c r="X137" s="1"/>
      <c r="Y137" s="1"/>
      <c r="Z137" s="1"/>
    </row>
    <row r="138">
      <c r="A138" s="1"/>
      <c r="B138" s="1"/>
      <c r="C138" s="1"/>
      <c r="D138" s="1"/>
      <c r="E138" s="1"/>
      <c r="F138" s="1"/>
      <c r="G138" s="5"/>
      <c r="H138" s="1"/>
      <c r="I138" s="1"/>
      <c r="J138" s="5"/>
      <c r="K138" s="1"/>
      <c r="L138" s="1"/>
      <c r="M138" s="1"/>
      <c r="N138" s="1"/>
      <c r="O138" s="1"/>
      <c r="P138" s="1"/>
      <c r="Q138" s="1"/>
      <c r="R138" s="1"/>
      <c r="S138" s="1"/>
      <c r="T138" s="1"/>
      <c r="U138" s="1"/>
      <c r="V138" s="1"/>
      <c r="W138" s="1"/>
      <c r="X138" s="1"/>
      <c r="Y138" s="1"/>
      <c r="Z138" s="1"/>
    </row>
    <row r="139">
      <c r="A139" s="1"/>
      <c r="B139" s="1"/>
      <c r="C139" s="1"/>
      <c r="D139" s="1"/>
      <c r="E139" s="1"/>
      <c r="F139" s="1"/>
      <c r="G139" s="5"/>
      <c r="H139" s="1"/>
      <c r="I139" s="1"/>
      <c r="J139" s="5"/>
      <c r="K139" s="1"/>
      <c r="L139" s="1"/>
      <c r="M139" s="1"/>
      <c r="N139" s="1"/>
      <c r="O139" s="1"/>
      <c r="P139" s="1"/>
      <c r="Q139" s="1"/>
      <c r="R139" s="1"/>
      <c r="S139" s="1"/>
      <c r="T139" s="1"/>
      <c r="U139" s="1"/>
      <c r="V139" s="1"/>
      <c r="W139" s="1"/>
      <c r="X139" s="1"/>
      <c r="Y139" s="1"/>
      <c r="Z139" s="1"/>
    </row>
    <row r="140">
      <c r="A140" s="1"/>
      <c r="B140" s="1"/>
      <c r="C140" s="1"/>
      <c r="D140" s="1"/>
      <c r="E140" s="1"/>
      <c r="F140" s="1"/>
      <c r="G140" s="5"/>
      <c r="H140" s="1"/>
      <c r="I140" s="1"/>
      <c r="J140" s="5"/>
      <c r="K140" s="1"/>
      <c r="L140" s="1"/>
      <c r="M140" s="1"/>
      <c r="N140" s="1"/>
      <c r="O140" s="1"/>
      <c r="P140" s="1"/>
      <c r="Q140" s="1"/>
      <c r="R140" s="1"/>
      <c r="S140" s="1"/>
      <c r="T140" s="1"/>
      <c r="U140" s="1"/>
      <c r="V140" s="1"/>
      <c r="W140" s="1"/>
      <c r="X140" s="1"/>
      <c r="Y140" s="1"/>
      <c r="Z140" s="1"/>
    </row>
    <row r="141">
      <c r="A141" s="1"/>
      <c r="B141" s="1"/>
      <c r="C141" s="1"/>
      <c r="D141" s="1"/>
      <c r="E141" s="1"/>
      <c r="F141" s="1"/>
      <c r="G141" s="5"/>
      <c r="H141" s="1"/>
      <c r="I141" s="1"/>
      <c r="J141" s="5"/>
      <c r="K141" s="1"/>
      <c r="L141" s="1"/>
      <c r="M141" s="1"/>
      <c r="N141" s="1"/>
      <c r="O141" s="1"/>
      <c r="P141" s="1"/>
      <c r="Q141" s="1"/>
      <c r="R141" s="1"/>
      <c r="S141" s="1"/>
      <c r="T141" s="1"/>
      <c r="U141" s="1"/>
      <c r="V141" s="1"/>
      <c r="W141" s="1"/>
      <c r="X141" s="1"/>
      <c r="Y141" s="1"/>
      <c r="Z141" s="1"/>
    </row>
    <row r="142">
      <c r="A142" s="1"/>
      <c r="B142" s="1"/>
      <c r="C142" s="1"/>
      <c r="D142" s="1"/>
      <c r="E142" s="1"/>
      <c r="F142" s="1"/>
      <c r="G142" s="5"/>
      <c r="H142" s="1"/>
      <c r="I142" s="1"/>
      <c r="J142" s="5"/>
      <c r="K142" s="1"/>
      <c r="L142" s="1"/>
      <c r="M142" s="1"/>
      <c r="N142" s="1"/>
      <c r="O142" s="1"/>
      <c r="P142" s="1"/>
      <c r="Q142" s="1"/>
      <c r="R142" s="1"/>
      <c r="S142" s="1"/>
      <c r="T142" s="1"/>
      <c r="U142" s="1"/>
      <c r="V142" s="1"/>
      <c r="W142" s="1"/>
      <c r="X142" s="1"/>
      <c r="Y142" s="1"/>
      <c r="Z142" s="1"/>
    </row>
    <row r="143">
      <c r="A143" s="1"/>
      <c r="B143" s="1"/>
      <c r="C143" s="1"/>
      <c r="D143" s="1"/>
      <c r="E143" s="1"/>
      <c r="F143" s="1"/>
      <c r="G143" s="5"/>
      <c r="H143" s="1"/>
      <c r="I143" s="1"/>
      <c r="J143" s="5"/>
      <c r="K143" s="1"/>
      <c r="L143" s="1"/>
      <c r="M143" s="1"/>
      <c r="N143" s="1"/>
      <c r="O143" s="1"/>
      <c r="P143" s="1"/>
      <c r="Q143" s="1"/>
      <c r="R143" s="1"/>
      <c r="S143" s="1"/>
      <c r="T143" s="1"/>
      <c r="U143" s="1"/>
      <c r="V143" s="1"/>
      <c r="W143" s="1"/>
      <c r="X143" s="1"/>
      <c r="Y143" s="1"/>
      <c r="Z143" s="1"/>
    </row>
    <row r="144">
      <c r="A144" s="1"/>
      <c r="B144" s="1"/>
      <c r="C144" s="1"/>
      <c r="D144" s="1"/>
      <c r="E144" s="1"/>
      <c r="F144" s="1"/>
      <c r="G144" s="5"/>
      <c r="H144" s="1"/>
      <c r="I144" s="1"/>
      <c r="J144" s="5"/>
      <c r="K144" s="1"/>
      <c r="L144" s="1"/>
      <c r="M144" s="1"/>
      <c r="N144" s="1"/>
      <c r="O144" s="1"/>
      <c r="P144" s="1"/>
      <c r="Q144" s="1"/>
      <c r="R144" s="1"/>
      <c r="S144" s="1"/>
      <c r="T144" s="1"/>
      <c r="U144" s="1"/>
      <c r="V144" s="1"/>
      <c r="W144" s="1"/>
      <c r="X144" s="1"/>
      <c r="Y144" s="1"/>
      <c r="Z144" s="1"/>
    </row>
    <row r="145">
      <c r="A145" s="1"/>
      <c r="B145" s="1"/>
      <c r="C145" s="1"/>
      <c r="D145" s="1"/>
      <c r="E145" s="1"/>
      <c r="F145" s="1"/>
      <c r="G145" s="5"/>
      <c r="H145" s="1"/>
      <c r="I145" s="1"/>
      <c r="J145" s="5"/>
      <c r="K145" s="1"/>
      <c r="L145" s="1"/>
      <c r="M145" s="1"/>
      <c r="N145" s="1"/>
      <c r="O145" s="1"/>
      <c r="P145" s="1"/>
      <c r="Q145" s="1"/>
      <c r="R145" s="1"/>
      <c r="S145" s="1"/>
      <c r="T145" s="1"/>
      <c r="U145" s="1"/>
      <c r="V145" s="1"/>
      <c r="W145" s="1"/>
      <c r="X145" s="1"/>
      <c r="Y145" s="1"/>
      <c r="Z145" s="1"/>
    </row>
    <row r="146">
      <c r="A146" s="1"/>
      <c r="B146" s="1"/>
      <c r="C146" s="1"/>
      <c r="D146" s="1"/>
      <c r="E146" s="1"/>
      <c r="F146" s="1"/>
      <c r="G146" s="5"/>
      <c r="H146" s="1"/>
      <c r="I146" s="1"/>
      <c r="J146" s="5"/>
      <c r="K146" s="1"/>
      <c r="L146" s="1"/>
      <c r="M146" s="1"/>
      <c r="N146" s="1"/>
      <c r="O146" s="1"/>
      <c r="P146" s="1"/>
      <c r="Q146" s="1"/>
      <c r="R146" s="1"/>
      <c r="S146" s="1"/>
      <c r="T146" s="1"/>
      <c r="U146" s="1"/>
      <c r="V146" s="1"/>
      <c r="W146" s="1"/>
      <c r="X146" s="1"/>
      <c r="Y146" s="1"/>
      <c r="Z146" s="1"/>
    </row>
    <row r="147">
      <c r="A147" s="1"/>
      <c r="B147" s="1"/>
      <c r="C147" s="1"/>
      <c r="D147" s="1"/>
      <c r="E147" s="1"/>
      <c r="F147" s="1"/>
      <c r="G147" s="5"/>
      <c r="H147" s="1"/>
      <c r="I147" s="1"/>
      <c r="J147" s="5"/>
      <c r="K147" s="1"/>
      <c r="L147" s="1"/>
      <c r="M147" s="1"/>
      <c r="N147" s="1"/>
      <c r="O147" s="1"/>
      <c r="P147" s="1"/>
      <c r="Q147" s="1"/>
      <c r="R147" s="1"/>
      <c r="S147" s="1"/>
      <c r="T147" s="1"/>
      <c r="U147" s="1"/>
      <c r="V147" s="1"/>
      <c r="W147" s="1"/>
      <c r="X147" s="1"/>
      <c r="Y147" s="1"/>
      <c r="Z147" s="1"/>
    </row>
    <row r="148">
      <c r="A148" s="1"/>
      <c r="B148" s="1"/>
      <c r="C148" s="1"/>
      <c r="D148" s="1"/>
      <c r="E148" s="1"/>
      <c r="F148" s="1"/>
      <c r="G148" s="5"/>
      <c r="H148" s="1"/>
      <c r="I148" s="1"/>
      <c r="J148" s="5"/>
      <c r="K148" s="1"/>
      <c r="L148" s="1"/>
      <c r="M148" s="1"/>
      <c r="N148" s="1"/>
      <c r="O148" s="1"/>
      <c r="P148" s="1"/>
      <c r="Q148" s="1"/>
      <c r="R148" s="1"/>
      <c r="S148" s="1"/>
      <c r="T148" s="1"/>
      <c r="U148" s="1"/>
      <c r="V148" s="1"/>
      <c r="W148" s="1"/>
      <c r="X148" s="1"/>
      <c r="Y148" s="1"/>
      <c r="Z148" s="1"/>
    </row>
    <row r="149">
      <c r="A149" s="1"/>
      <c r="B149" s="1"/>
      <c r="C149" s="1"/>
      <c r="D149" s="1"/>
      <c r="E149" s="1"/>
      <c r="F149" s="1"/>
      <c r="G149" s="5"/>
      <c r="H149" s="1"/>
      <c r="I149" s="1"/>
      <c r="J149" s="5"/>
      <c r="K149" s="1"/>
      <c r="L149" s="1"/>
      <c r="M149" s="1"/>
      <c r="N149" s="1"/>
      <c r="O149" s="1"/>
      <c r="P149" s="1"/>
      <c r="Q149" s="1"/>
      <c r="R149" s="1"/>
      <c r="S149" s="1"/>
      <c r="T149" s="1"/>
      <c r="U149" s="1"/>
      <c r="V149" s="1"/>
      <c r="W149" s="1"/>
      <c r="X149" s="1"/>
      <c r="Y149" s="1"/>
      <c r="Z149" s="1"/>
    </row>
    <row r="150">
      <c r="A150" s="1"/>
      <c r="B150" s="1"/>
      <c r="C150" s="1"/>
      <c r="D150" s="1"/>
      <c r="E150" s="1"/>
      <c r="F150" s="1"/>
      <c r="G150" s="5"/>
      <c r="H150" s="1"/>
      <c r="I150" s="1"/>
      <c r="J150" s="5"/>
      <c r="K150" s="1"/>
      <c r="L150" s="1"/>
      <c r="M150" s="1"/>
      <c r="N150" s="1"/>
      <c r="O150" s="1"/>
      <c r="P150" s="1"/>
      <c r="Q150" s="1"/>
      <c r="R150" s="1"/>
      <c r="S150" s="1"/>
      <c r="T150" s="1"/>
      <c r="U150" s="1"/>
      <c r="V150" s="1"/>
      <c r="W150" s="1"/>
      <c r="X150" s="1"/>
      <c r="Y150" s="1"/>
      <c r="Z150" s="1"/>
    </row>
    <row r="151">
      <c r="A151" s="1"/>
      <c r="B151" s="1"/>
      <c r="C151" s="1"/>
      <c r="D151" s="1"/>
      <c r="E151" s="1"/>
      <c r="F151" s="1"/>
      <c r="G151" s="5"/>
      <c r="H151" s="1"/>
      <c r="I151" s="1"/>
      <c r="J151" s="5"/>
      <c r="K151" s="1"/>
      <c r="L151" s="1"/>
      <c r="M151" s="1"/>
      <c r="N151" s="1"/>
      <c r="O151" s="1"/>
      <c r="P151" s="1"/>
      <c r="Q151" s="1"/>
      <c r="R151" s="1"/>
      <c r="S151" s="1"/>
      <c r="T151" s="1"/>
      <c r="U151" s="1"/>
      <c r="V151" s="1"/>
      <c r="W151" s="1"/>
      <c r="X151" s="1"/>
      <c r="Y151" s="1"/>
      <c r="Z151" s="1"/>
    </row>
    <row r="152">
      <c r="A152" s="1"/>
      <c r="B152" s="1"/>
      <c r="C152" s="1"/>
      <c r="D152" s="1"/>
      <c r="E152" s="1"/>
      <c r="F152" s="1"/>
      <c r="G152" s="5"/>
      <c r="H152" s="1"/>
      <c r="I152" s="1"/>
      <c r="J152" s="5"/>
      <c r="K152" s="1"/>
      <c r="L152" s="1"/>
      <c r="M152" s="1"/>
      <c r="N152" s="1"/>
      <c r="O152" s="1"/>
      <c r="P152" s="1"/>
      <c r="Q152" s="1"/>
      <c r="R152" s="1"/>
      <c r="S152" s="1"/>
      <c r="T152" s="1"/>
      <c r="U152" s="1"/>
      <c r="V152" s="1"/>
      <c r="W152" s="1"/>
      <c r="X152" s="1"/>
      <c r="Y152" s="1"/>
      <c r="Z152" s="1"/>
    </row>
    <row r="153">
      <c r="A153" s="1"/>
      <c r="B153" s="1"/>
      <c r="C153" s="1"/>
      <c r="D153" s="1"/>
      <c r="E153" s="1"/>
      <c r="F153" s="1"/>
      <c r="G153" s="5"/>
      <c r="H153" s="1"/>
      <c r="I153" s="1"/>
      <c r="J153" s="5"/>
      <c r="K153" s="1"/>
      <c r="L153" s="1"/>
      <c r="M153" s="1"/>
      <c r="N153" s="1"/>
      <c r="O153" s="1"/>
      <c r="P153" s="1"/>
      <c r="Q153" s="1"/>
      <c r="R153" s="1"/>
      <c r="S153" s="1"/>
      <c r="T153" s="1"/>
      <c r="U153" s="1"/>
      <c r="V153" s="1"/>
      <c r="W153" s="1"/>
      <c r="X153" s="1"/>
      <c r="Y153" s="1"/>
      <c r="Z153" s="1"/>
    </row>
    <row r="154">
      <c r="A154" s="1"/>
      <c r="B154" s="1"/>
      <c r="C154" s="1"/>
      <c r="D154" s="1"/>
      <c r="E154" s="1"/>
      <c r="F154" s="1"/>
      <c r="G154" s="5"/>
      <c r="H154" s="1"/>
      <c r="I154" s="1"/>
      <c r="J154" s="5"/>
      <c r="K154" s="1"/>
      <c r="L154" s="1"/>
      <c r="M154" s="1"/>
      <c r="N154" s="1"/>
      <c r="O154" s="1"/>
      <c r="P154" s="1"/>
      <c r="Q154" s="1"/>
      <c r="R154" s="1"/>
      <c r="S154" s="1"/>
      <c r="T154" s="1"/>
      <c r="U154" s="1"/>
      <c r="V154" s="1"/>
      <c r="W154" s="1"/>
      <c r="X154" s="1"/>
      <c r="Y154" s="1"/>
      <c r="Z154" s="1"/>
    </row>
    <row r="155">
      <c r="A155" s="1"/>
      <c r="B155" s="1"/>
      <c r="C155" s="1"/>
      <c r="D155" s="1"/>
      <c r="E155" s="1"/>
      <c r="F155" s="1"/>
      <c r="G155" s="5"/>
      <c r="H155" s="1"/>
      <c r="I155" s="1"/>
      <c r="J155" s="5"/>
      <c r="K155" s="1"/>
      <c r="L155" s="1"/>
      <c r="M155" s="1"/>
      <c r="N155" s="1"/>
      <c r="O155" s="1"/>
      <c r="P155" s="1"/>
      <c r="Q155" s="1"/>
      <c r="R155" s="1"/>
      <c r="S155" s="1"/>
      <c r="T155" s="1"/>
      <c r="U155" s="1"/>
      <c r="V155" s="1"/>
      <c r="W155" s="1"/>
      <c r="X155" s="1"/>
      <c r="Y155" s="1"/>
      <c r="Z155" s="1"/>
    </row>
    <row r="156">
      <c r="A156" s="1"/>
      <c r="B156" s="1"/>
      <c r="C156" s="1"/>
      <c r="D156" s="1"/>
      <c r="E156" s="1"/>
      <c r="F156" s="1"/>
      <c r="G156" s="5"/>
      <c r="H156" s="1"/>
      <c r="I156" s="1"/>
      <c r="J156" s="5"/>
      <c r="K156" s="1"/>
      <c r="L156" s="1"/>
      <c r="M156" s="1"/>
      <c r="N156" s="1"/>
      <c r="O156" s="1"/>
      <c r="P156" s="1"/>
      <c r="Q156" s="1"/>
      <c r="R156" s="1"/>
      <c r="S156" s="1"/>
      <c r="T156" s="1"/>
      <c r="U156" s="1"/>
      <c r="V156" s="1"/>
      <c r="W156" s="1"/>
      <c r="X156" s="1"/>
      <c r="Y156" s="1"/>
      <c r="Z156" s="1"/>
    </row>
    <row r="157">
      <c r="A157" s="1"/>
      <c r="B157" s="1"/>
      <c r="C157" s="1"/>
      <c r="D157" s="1"/>
      <c r="E157" s="1"/>
      <c r="F157" s="1"/>
      <c r="G157" s="5"/>
      <c r="H157" s="1"/>
      <c r="I157" s="1"/>
      <c r="J157" s="5"/>
      <c r="K157" s="1"/>
      <c r="L157" s="1"/>
      <c r="M157" s="1"/>
      <c r="N157" s="1"/>
      <c r="O157" s="1"/>
      <c r="P157" s="1"/>
      <c r="Q157" s="1"/>
      <c r="R157" s="1"/>
      <c r="S157" s="1"/>
      <c r="T157" s="1"/>
      <c r="U157" s="1"/>
      <c r="V157" s="1"/>
      <c r="W157" s="1"/>
      <c r="X157" s="1"/>
      <c r="Y157" s="1"/>
      <c r="Z157" s="1"/>
    </row>
    <row r="158">
      <c r="A158" s="1"/>
      <c r="B158" s="1"/>
      <c r="C158" s="1"/>
      <c r="D158" s="1"/>
      <c r="E158" s="1"/>
      <c r="F158" s="1"/>
      <c r="G158" s="5"/>
      <c r="H158" s="1"/>
      <c r="I158" s="1"/>
      <c r="J158" s="5"/>
      <c r="K158" s="1"/>
      <c r="L158" s="1"/>
      <c r="M158" s="1"/>
      <c r="N158" s="1"/>
      <c r="O158" s="1"/>
      <c r="P158" s="1"/>
      <c r="Q158" s="1"/>
      <c r="R158" s="1"/>
      <c r="S158" s="1"/>
      <c r="T158" s="1"/>
      <c r="U158" s="1"/>
      <c r="V158" s="1"/>
      <c r="W158" s="1"/>
      <c r="X158" s="1"/>
      <c r="Y158" s="1"/>
      <c r="Z158" s="1"/>
    </row>
    <row r="159">
      <c r="A159" s="1"/>
      <c r="B159" s="1"/>
      <c r="C159" s="1"/>
      <c r="D159" s="1"/>
      <c r="E159" s="1"/>
      <c r="F159" s="1"/>
      <c r="G159" s="5"/>
      <c r="H159" s="1"/>
      <c r="I159" s="1"/>
      <c r="J159" s="5"/>
      <c r="K159" s="1"/>
      <c r="L159" s="1"/>
      <c r="M159" s="1"/>
      <c r="N159" s="1"/>
      <c r="O159" s="1"/>
      <c r="P159" s="1"/>
      <c r="Q159" s="1"/>
      <c r="R159" s="1"/>
      <c r="S159" s="1"/>
      <c r="T159" s="1"/>
      <c r="U159" s="1"/>
      <c r="V159" s="1"/>
      <c r="W159" s="1"/>
      <c r="X159" s="1"/>
      <c r="Y159" s="1"/>
      <c r="Z159" s="1"/>
    </row>
    <row r="160">
      <c r="A160" s="1"/>
      <c r="B160" s="1"/>
      <c r="C160" s="1"/>
      <c r="D160" s="1"/>
      <c r="E160" s="1"/>
      <c r="F160" s="1"/>
      <c r="G160" s="5"/>
      <c r="H160" s="1"/>
      <c r="I160" s="1"/>
      <c r="J160" s="5"/>
      <c r="K160" s="1"/>
      <c r="L160" s="1"/>
      <c r="M160" s="1"/>
      <c r="N160" s="1"/>
      <c r="O160" s="1"/>
      <c r="P160" s="1"/>
      <c r="Q160" s="1"/>
      <c r="R160" s="1"/>
      <c r="S160" s="1"/>
      <c r="T160" s="1"/>
      <c r="U160" s="1"/>
      <c r="V160" s="1"/>
      <c r="W160" s="1"/>
      <c r="X160" s="1"/>
      <c r="Y160" s="1"/>
      <c r="Z160" s="1"/>
    </row>
    <row r="161">
      <c r="A161" s="1"/>
      <c r="B161" s="1"/>
      <c r="C161" s="1"/>
      <c r="D161" s="1"/>
      <c r="E161" s="1"/>
      <c r="F161" s="1"/>
      <c r="G161" s="5"/>
      <c r="H161" s="1"/>
      <c r="I161" s="1"/>
      <c r="J161" s="5"/>
      <c r="K161" s="1"/>
      <c r="L161" s="1"/>
      <c r="M161" s="1"/>
      <c r="N161" s="1"/>
      <c r="O161" s="1"/>
      <c r="P161" s="1"/>
      <c r="Q161" s="1"/>
      <c r="R161" s="1"/>
      <c r="S161" s="1"/>
      <c r="T161" s="1"/>
      <c r="U161" s="1"/>
      <c r="V161" s="1"/>
      <c r="W161" s="1"/>
      <c r="X161" s="1"/>
      <c r="Y161" s="1"/>
      <c r="Z161" s="1"/>
    </row>
    <row r="162">
      <c r="A162" s="1"/>
      <c r="B162" s="1"/>
      <c r="C162" s="1"/>
      <c r="D162" s="1"/>
      <c r="E162" s="1"/>
      <c r="F162" s="1"/>
      <c r="G162" s="5"/>
      <c r="H162" s="1"/>
      <c r="I162" s="1"/>
      <c r="J162" s="5"/>
      <c r="K162" s="1"/>
      <c r="L162" s="1"/>
      <c r="M162" s="1"/>
      <c r="N162" s="1"/>
      <c r="O162" s="1"/>
      <c r="P162" s="1"/>
      <c r="Q162" s="1"/>
      <c r="R162" s="1"/>
      <c r="S162" s="1"/>
      <c r="T162" s="1"/>
      <c r="U162" s="1"/>
      <c r="V162" s="1"/>
      <c r="W162" s="1"/>
      <c r="X162" s="1"/>
      <c r="Y162" s="1"/>
      <c r="Z162" s="1"/>
    </row>
    <row r="163">
      <c r="A163" s="1"/>
      <c r="B163" s="1"/>
      <c r="C163" s="1"/>
      <c r="D163" s="1"/>
      <c r="E163" s="1"/>
      <c r="F163" s="1"/>
      <c r="G163" s="5"/>
      <c r="H163" s="1"/>
      <c r="I163" s="1"/>
      <c r="J163" s="5"/>
      <c r="K163" s="1"/>
      <c r="L163" s="1"/>
      <c r="M163" s="1"/>
      <c r="N163" s="1"/>
      <c r="O163" s="1"/>
      <c r="P163" s="1"/>
      <c r="Q163" s="1"/>
      <c r="R163" s="1"/>
      <c r="S163" s="1"/>
      <c r="T163" s="1"/>
      <c r="U163" s="1"/>
      <c r="V163" s="1"/>
      <c r="W163" s="1"/>
      <c r="X163" s="1"/>
      <c r="Y163" s="1"/>
      <c r="Z163" s="1"/>
    </row>
    <row r="164">
      <c r="A164" s="1"/>
      <c r="B164" s="1"/>
      <c r="C164" s="1"/>
      <c r="D164" s="1"/>
      <c r="E164" s="1"/>
      <c r="F164" s="1"/>
      <c r="G164" s="5"/>
      <c r="H164" s="1"/>
      <c r="I164" s="1"/>
      <c r="J164" s="5"/>
      <c r="K164" s="1"/>
      <c r="L164" s="1"/>
      <c r="M164" s="1"/>
      <c r="N164" s="1"/>
      <c r="O164" s="1"/>
      <c r="P164" s="1"/>
      <c r="Q164" s="1"/>
      <c r="R164" s="1"/>
      <c r="S164" s="1"/>
      <c r="T164" s="1"/>
      <c r="U164" s="1"/>
      <c r="V164" s="1"/>
      <c r="W164" s="1"/>
      <c r="X164" s="1"/>
      <c r="Y164" s="1"/>
      <c r="Z164" s="1"/>
    </row>
    <row r="165">
      <c r="A165" s="1"/>
      <c r="B165" s="1"/>
      <c r="C165" s="1"/>
      <c r="D165" s="1"/>
      <c r="E165" s="1"/>
      <c r="F165" s="1"/>
      <c r="G165" s="5"/>
      <c r="H165" s="1"/>
      <c r="I165" s="1"/>
      <c r="J165" s="5"/>
      <c r="K165" s="1"/>
      <c r="L165" s="1"/>
      <c r="M165" s="1"/>
      <c r="N165" s="1"/>
      <c r="O165" s="1"/>
      <c r="P165" s="1"/>
      <c r="Q165" s="1"/>
      <c r="R165" s="1"/>
      <c r="S165" s="1"/>
      <c r="T165" s="1"/>
      <c r="U165" s="1"/>
      <c r="V165" s="1"/>
      <c r="W165" s="1"/>
      <c r="X165" s="1"/>
      <c r="Y165" s="1"/>
      <c r="Z165" s="1"/>
    </row>
    <row r="166">
      <c r="A166" s="1"/>
      <c r="B166" s="1"/>
      <c r="C166" s="1"/>
      <c r="D166" s="1"/>
      <c r="E166" s="1"/>
      <c r="F166" s="1"/>
      <c r="G166" s="5"/>
      <c r="H166" s="1"/>
      <c r="I166" s="1"/>
      <c r="J166" s="5"/>
      <c r="K166" s="1"/>
      <c r="L166" s="1"/>
      <c r="M166" s="1"/>
      <c r="N166" s="1"/>
      <c r="O166" s="1"/>
      <c r="P166" s="1"/>
      <c r="Q166" s="1"/>
      <c r="R166" s="1"/>
      <c r="S166" s="1"/>
      <c r="T166" s="1"/>
      <c r="U166" s="1"/>
      <c r="V166" s="1"/>
      <c r="W166" s="1"/>
      <c r="X166" s="1"/>
      <c r="Y166" s="1"/>
      <c r="Z166" s="1"/>
    </row>
    <row r="167">
      <c r="A167" s="1"/>
      <c r="B167" s="1"/>
      <c r="C167" s="1"/>
      <c r="D167" s="1"/>
      <c r="E167" s="1"/>
      <c r="F167" s="1"/>
      <c r="G167" s="5"/>
      <c r="H167" s="1"/>
      <c r="I167" s="1"/>
      <c r="J167" s="5"/>
      <c r="K167" s="1"/>
      <c r="L167" s="1"/>
      <c r="M167" s="1"/>
      <c r="N167" s="1"/>
      <c r="O167" s="1"/>
      <c r="P167" s="1"/>
      <c r="Q167" s="1"/>
      <c r="R167" s="1"/>
      <c r="S167" s="1"/>
      <c r="T167" s="1"/>
      <c r="U167" s="1"/>
      <c r="V167" s="1"/>
      <c r="W167" s="1"/>
      <c r="X167" s="1"/>
      <c r="Y167" s="1"/>
      <c r="Z167" s="1"/>
    </row>
    <row r="168">
      <c r="A168" s="1"/>
      <c r="B168" s="1"/>
      <c r="C168" s="1"/>
      <c r="D168" s="1"/>
      <c r="E168" s="1"/>
      <c r="F168" s="1"/>
      <c r="G168" s="5"/>
      <c r="H168" s="1"/>
      <c r="I168" s="1"/>
      <c r="J168" s="5"/>
      <c r="K168" s="1"/>
      <c r="L168" s="1"/>
      <c r="M168" s="1"/>
      <c r="N168" s="1"/>
      <c r="O168" s="1"/>
      <c r="P168" s="1"/>
      <c r="Q168" s="1"/>
      <c r="R168" s="1"/>
      <c r="S168" s="1"/>
      <c r="T168" s="1"/>
      <c r="U168" s="1"/>
      <c r="V168" s="1"/>
      <c r="W168" s="1"/>
      <c r="X168" s="1"/>
      <c r="Y168" s="1"/>
      <c r="Z168" s="1"/>
    </row>
    <row r="169">
      <c r="A169" s="1"/>
      <c r="B169" s="1"/>
      <c r="C169" s="1"/>
      <c r="D169" s="1"/>
      <c r="E169" s="1"/>
      <c r="F169" s="1"/>
      <c r="G169" s="5"/>
      <c r="H169" s="1"/>
      <c r="I169" s="1"/>
      <c r="J169" s="5"/>
      <c r="K169" s="1"/>
      <c r="L169" s="1"/>
      <c r="M169" s="1"/>
      <c r="N169" s="1"/>
      <c r="O169" s="1"/>
      <c r="P169" s="1"/>
      <c r="Q169" s="1"/>
      <c r="R169" s="1"/>
      <c r="S169" s="1"/>
      <c r="T169" s="1"/>
      <c r="U169" s="1"/>
      <c r="V169" s="1"/>
      <c r="W169" s="1"/>
      <c r="X169" s="1"/>
      <c r="Y169" s="1"/>
      <c r="Z169" s="1"/>
    </row>
    <row r="170">
      <c r="A170" s="1"/>
      <c r="B170" s="1"/>
      <c r="C170" s="1"/>
      <c r="D170" s="1"/>
      <c r="E170" s="1"/>
      <c r="F170" s="1"/>
      <c r="G170" s="5"/>
      <c r="H170" s="1"/>
      <c r="I170" s="1"/>
      <c r="J170" s="5"/>
      <c r="K170" s="1"/>
      <c r="L170" s="1"/>
      <c r="M170" s="1"/>
      <c r="N170" s="1"/>
      <c r="O170" s="1"/>
      <c r="P170" s="1"/>
      <c r="Q170" s="1"/>
      <c r="R170" s="1"/>
      <c r="S170" s="1"/>
      <c r="T170" s="1"/>
      <c r="U170" s="1"/>
      <c r="V170" s="1"/>
      <c r="W170" s="1"/>
      <c r="X170" s="1"/>
      <c r="Y170" s="1"/>
      <c r="Z170" s="1"/>
    </row>
    <row r="171">
      <c r="A171" s="1"/>
      <c r="B171" s="1"/>
      <c r="C171" s="1"/>
      <c r="D171" s="1"/>
      <c r="E171" s="1"/>
      <c r="F171" s="1"/>
      <c r="G171" s="5"/>
      <c r="H171" s="1"/>
      <c r="I171" s="1"/>
      <c r="J171" s="5"/>
      <c r="K171" s="1"/>
      <c r="L171" s="1"/>
      <c r="M171" s="1"/>
      <c r="N171" s="1"/>
      <c r="O171" s="1"/>
      <c r="P171" s="1"/>
      <c r="Q171" s="1"/>
      <c r="R171" s="1"/>
      <c r="S171" s="1"/>
      <c r="T171" s="1"/>
      <c r="U171" s="1"/>
      <c r="V171" s="1"/>
      <c r="W171" s="1"/>
      <c r="X171" s="1"/>
      <c r="Y171" s="1"/>
      <c r="Z171" s="1"/>
    </row>
    <row r="172">
      <c r="A172" s="1"/>
      <c r="B172" s="1"/>
      <c r="C172" s="1"/>
      <c r="D172" s="1"/>
      <c r="E172" s="1"/>
      <c r="F172" s="1"/>
      <c r="G172" s="5"/>
      <c r="H172" s="1"/>
      <c r="I172" s="1"/>
      <c r="J172" s="5"/>
      <c r="K172" s="1"/>
      <c r="L172" s="1"/>
      <c r="M172" s="1"/>
      <c r="N172" s="1"/>
      <c r="O172" s="1"/>
      <c r="P172" s="1"/>
      <c r="Q172" s="1"/>
      <c r="R172" s="1"/>
      <c r="S172" s="1"/>
      <c r="T172" s="1"/>
      <c r="U172" s="1"/>
      <c r="V172" s="1"/>
      <c r="W172" s="1"/>
      <c r="X172" s="1"/>
      <c r="Y172" s="1"/>
      <c r="Z172" s="1"/>
    </row>
    <row r="173">
      <c r="A173" s="1"/>
      <c r="B173" s="1"/>
      <c r="C173" s="1"/>
      <c r="D173" s="1"/>
      <c r="E173" s="1"/>
      <c r="F173" s="1"/>
      <c r="G173" s="5"/>
      <c r="H173" s="1"/>
      <c r="I173" s="1"/>
      <c r="J173" s="5"/>
      <c r="K173" s="1"/>
      <c r="L173" s="1"/>
      <c r="M173" s="1"/>
      <c r="N173" s="1"/>
      <c r="O173" s="1"/>
      <c r="P173" s="1"/>
      <c r="Q173" s="1"/>
      <c r="R173" s="1"/>
      <c r="S173" s="1"/>
      <c r="T173" s="1"/>
      <c r="U173" s="1"/>
      <c r="V173" s="1"/>
      <c r="W173" s="1"/>
      <c r="X173" s="1"/>
      <c r="Y173" s="1"/>
      <c r="Z173" s="1"/>
    </row>
    <row r="174">
      <c r="A174" s="1"/>
      <c r="B174" s="1"/>
      <c r="C174" s="1"/>
      <c r="D174" s="1"/>
      <c r="E174" s="1"/>
      <c r="F174" s="1"/>
      <c r="G174" s="5"/>
      <c r="H174" s="1"/>
      <c r="I174" s="1"/>
      <c r="J174" s="5"/>
      <c r="K174" s="1"/>
      <c r="L174" s="1"/>
      <c r="M174" s="1"/>
      <c r="N174" s="1"/>
      <c r="O174" s="1"/>
      <c r="P174" s="1"/>
      <c r="Q174" s="1"/>
      <c r="R174" s="1"/>
      <c r="S174" s="1"/>
      <c r="T174" s="1"/>
      <c r="U174" s="1"/>
      <c r="V174" s="1"/>
      <c r="W174" s="1"/>
      <c r="X174" s="1"/>
      <c r="Y174" s="1"/>
      <c r="Z174" s="1"/>
    </row>
    <row r="175">
      <c r="A175" s="1"/>
      <c r="B175" s="1"/>
      <c r="C175" s="1"/>
      <c r="D175" s="1"/>
      <c r="E175" s="1"/>
      <c r="F175" s="1"/>
      <c r="G175" s="5"/>
      <c r="H175" s="1"/>
      <c r="I175" s="1"/>
      <c r="J175" s="5"/>
      <c r="K175" s="1"/>
      <c r="L175" s="1"/>
      <c r="M175" s="1"/>
      <c r="N175" s="1"/>
      <c r="O175" s="1"/>
      <c r="P175" s="1"/>
      <c r="Q175" s="1"/>
      <c r="R175" s="1"/>
      <c r="S175" s="1"/>
      <c r="T175" s="1"/>
      <c r="U175" s="1"/>
      <c r="V175" s="1"/>
      <c r="W175" s="1"/>
      <c r="X175" s="1"/>
      <c r="Y175" s="1"/>
      <c r="Z175" s="1"/>
    </row>
    <row r="176">
      <c r="A176" s="1"/>
      <c r="B176" s="1"/>
      <c r="C176" s="1"/>
      <c r="D176" s="1"/>
      <c r="E176" s="1"/>
      <c r="F176" s="1"/>
      <c r="G176" s="5"/>
      <c r="H176" s="1"/>
      <c r="I176" s="1"/>
      <c r="J176" s="5"/>
      <c r="K176" s="1"/>
      <c r="L176" s="1"/>
      <c r="M176" s="1"/>
      <c r="N176" s="1"/>
      <c r="O176" s="1"/>
      <c r="P176" s="1"/>
      <c r="Q176" s="1"/>
      <c r="R176" s="1"/>
      <c r="S176" s="1"/>
      <c r="T176" s="1"/>
      <c r="U176" s="1"/>
      <c r="V176" s="1"/>
      <c r="W176" s="1"/>
      <c r="X176" s="1"/>
      <c r="Y176" s="1"/>
      <c r="Z176" s="1"/>
    </row>
    <row r="177">
      <c r="A177" s="1"/>
      <c r="B177" s="1"/>
      <c r="C177" s="1"/>
      <c r="D177" s="1"/>
      <c r="E177" s="1"/>
      <c r="F177" s="1"/>
      <c r="G177" s="5"/>
      <c r="H177" s="1"/>
      <c r="I177" s="1"/>
      <c r="J177" s="5"/>
      <c r="K177" s="1"/>
      <c r="L177" s="1"/>
      <c r="M177" s="1"/>
      <c r="N177" s="1"/>
      <c r="O177" s="1"/>
      <c r="P177" s="1"/>
      <c r="Q177" s="1"/>
      <c r="R177" s="1"/>
      <c r="S177" s="1"/>
      <c r="T177" s="1"/>
      <c r="U177" s="1"/>
      <c r="V177" s="1"/>
      <c r="W177" s="1"/>
      <c r="X177" s="1"/>
      <c r="Y177" s="1"/>
      <c r="Z177" s="1"/>
    </row>
    <row r="178">
      <c r="A178" s="1"/>
      <c r="B178" s="1"/>
      <c r="C178" s="1"/>
      <c r="D178" s="1"/>
      <c r="E178" s="1"/>
      <c r="F178" s="1"/>
      <c r="G178" s="5"/>
      <c r="H178" s="1"/>
      <c r="I178" s="1"/>
      <c r="J178" s="5"/>
      <c r="K178" s="1"/>
      <c r="L178" s="1"/>
      <c r="M178" s="1"/>
      <c r="N178" s="1"/>
      <c r="O178" s="1"/>
      <c r="P178" s="1"/>
      <c r="Q178" s="1"/>
      <c r="R178" s="1"/>
      <c r="S178" s="1"/>
      <c r="T178" s="1"/>
      <c r="U178" s="1"/>
      <c r="V178" s="1"/>
      <c r="W178" s="1"/>
      <c r="X178" s="1"/>
      <c r="Y178" s="1"/>
      <c r="Z178" s="1"/>
    </row>
    <row r="179">
      <c r="A179" s="1"/>
      <c r="B179" s="1"/>
      <c r="C179" s="1"/>
      <c r="D179" s="1"/>
      <c r="E179" s="1"/>
      <c r="F179" s="1"/>
      <c r="G179" s="5"/>
      <c r="H179" s="1"/>
      <c r="I179" s="1"/>
      <c r="J179" s="5"/>
      <c r="K179" s="1"/>
      <c r="L179" s="1"/>
      <c r="M179" s="1"/>
      <c r="N179" s="1"/>
      <c r="O179" s="1"/>
      <c r="P179" s="1"/>
      <c r="Q179" s="1"/>
      <c r="R179" s="1"/>
      <c r="S179" s="1"/>
      <c r="T179" s="1"/>
      <c r="U179" s="1"/>
      <c r="V179" s="1"/>
      <c r="W179" s="1"/>
      <c r="X179" s="1"/>
      <c r="Y179" s="1"/>
      <c r="Z179" s="1"/>
    </row>
    <row r="180">
      <c r="A180" s="1"/>
      <c r="B180" s="1"/>
      <c r="C180" s="1"/>
      <c r="D180" s="1"/>
      <c r="E180" s="1"/>
      <c r="F180" s="1"/>
      <c r="G180" s="5"/>
      <c r="H180" s="1"/>
      <c r="I180" s="1"/>
      <c r="J180" s="5"/>
      <c r="K180" s="1"/>
      <c r="L180" s="1"/>
      <c r="M180" s="1"/>
      <c r="N180" s="1"/>
      <c r="O180" s="1"/>
      <c r="P180" s="1"/>
      <c r="Q180" s="1"/>
      <c r="R180" s="1"/>
      <c r="S180" s="1"/>
      <c r="T180" s="1"/>
      <c r="U180" s="1"/>
      <c r="V180" s="1"/>
      <c r="W180" s="1"/>
      <c r="X180" s="1"/>
      <c r="Y180" s="1"/>
      <c r="Z180" s="1"/>
    </row>
    <row r="181">
      <c r="A181" s="1"/>
      <c r="B181" s="1"/>
      <c r="C181" s="1"/>
      <c r="D181" s="1"/>
      <c r="E181" s="1"/>
      <c r="F181" s="1"/>
      <c r="G181" s="5"/>
      <c r="H181" s="1"/>
      <c r="I181" s="1"/>
      <c r="J181" s="5"/>
      <c r="K181" s="1"/>
      <c r="L181" s="1"/>
      <c r="M181" s="1"/>
      <c r="N181" s="1"/>
      <c r="O181" s="1"/>
      <c r="P181" s="1"/>
      <c r="Q181" s="1"/>
      <c r="R181" s="1"/>
      <c r="S181" s="1"/>
      <c r="T181" s="1"/>
      <c r="U181" s="1"/>
      <c r="V181" s="1"/>
      <c r="W181" s="1"/>
      <c r="X181" s="1"/>
      <c r="Y181" s="1"/>
      <c r="Z181" s="1"/>
    </row>
    <row r="182">
      <c r="A182" s="1"/>
      <c r="B182" s="1"/>
      <c r="C182" s="1"/>
      <c r="D182" s="1"/>
      <c r="E182" s="1"/>
      <c r="F182" s="1"/>
      <c r="G182" s="5"/>
      <c r="H182" s="1"/>
      <c r="I182" s="1"/>
      <c r="J182" s="5"/>
      <c r="K182" s="1"/>
      <c r="L182" s="1"/>
      <c r="M182" s="1"/>
      <c r="N182" s="1"/>
      <c r="O182" s="1"/>
      <c r="P182" s="1"/>
      <c r="Q182" s="1"/>
      <c r="R182" s="1"/>
      <c r="S182" s="1"/>
      <c r="T182" s="1"/>
      <c r="U182" s="1"/>
      <c r="V182" s="1"/>
      <c r="W182" s="1"/>
      <c r="X182" s="1"/>
      <c r="Y182" s="1"/>
      <c r="Z182" s="1"/>
    </row>
    <row r="183">
      <c r="A183" s="1"/>
      <c r="B183" s="1"/>
      <c r="C183" s="1"/>
      <c r="D183" s="1"/>
      <c r="E183" s="1"/>
      <c r="F183" s="1"/>
      <c r="G183" s="5"/>
      <c r="H183" s="1"/>
      <c r="I183" s="1"/>
      <c r="J183" s="5"/>
      <c r="K183" s="1"/>
      <c r="L183" s="1"/>
      <c r="M183" s="1"/>
      <c r="N183" s="1"/>
      <c r="O183" s="1"/>
      <c r="P183" s="1"/>
      <c r="Q183" s="1"/>
      <c r="R183" s="1"/>
      <c r="S183" s="1"/>
      <c r="T183" s="1"/>
      <c r="U183" s="1"/>
      <c r="V183" s="1"/>
      <c r="W183" s="1"/>
      <c r="X183" s="1"/>
      <c r="Y183" s="1"/>
      <c r="Z183" s="1"/>
    </row>
    <row r="184">
      <c r="A184" s="1"/>
      <c r="B184" s="1"/>
      <c r="C184" s="1"/>
      <c r="D184" s="1"/>
      <c r="E184" s="1"/>
      <c r="F184" s="1"/>
      <c r="G184" s="5"/>
      <c r="H184" s="1"/>
      <c r="I184" s="1"/>
      <c r="J184" s="5"/>
      <c r="K184" s="1"/>
      <c r="L184" s="1"/>
      <c r="M184" s="1"/>
      <c r="N184" s="1"/>
      <c r="O184" s="1"/>
      <c r="P184" s="1"/>
      <c r="Q184" s="1"/>
      <c r="R184" s="1"/>
      <c r="S184" s="1"/>
      <c r="T184" s="1"/>
      <c r="U184" s="1"/>
      <c r="V184" s="1"/>
      <c r="W184" s="1"/>
      <c r="X184" s="1"/>
      <c r="Y184" s="1"/>
      <c r="Z184" s="1"/>
    </row>
    <row r="185">
      <c r="A185" s="1"/>
      <c r="B185" s="1"/>
      <c r="C185" s="1"/>
      <c r="D185" s="1"/>
      <c r="E185" s="1"/>
      <c r="F185" s="1"/>
      <c r="G185" s="5"/>
      <c r="H185" s="1"/>
      <c r="I185" s="1"/>
      <c r="J185" s="5"/>
      <c r="K185" s="1"/>
      <c r="L185" s="1"/>
      <c r="M185" s="1"/>
      <c r="N185" s="1"/>
      <c r="O185" s="1"/>
      <c r="P185" s="1"/>
      <c r="Q185" s="1"/>
      <c r="R185" s="1"/>
      <c r="S185" s="1"/>
      <c r="T185" s="1"/>
      <c r="U185" s="1"/>
      <c r="V185" s="1"/>
      <c r="W185" s="1"/>
      <c r="X185" s="1"/>
      <c r="Y185" s="1"/>
      <c r="Z185" s="1"/>
    </row>
    <row r="186">
      <c r="A186" s="1"/>
      <c r="B186" s="1"/>
      <c r="C186" s="1"/>
      <c r="D186" s="1"/>
      <c r="E186" s="1"/>
      <c r="F186" s="1"/>
      <c r="G186" s="5"/>
      <c r="H186" s="1"/>
      <c r="I186" s="1"/>
      <c r="J186" s="5"/>
      <c r="K186" s="1"/>
      <c r="L186" s="1"/>
      <c r="M186" s="1"/>
      <c r="N186" s="1"/>
      <c r="O186" s="1"/>
      <c r="P186" s="1"/>
      <c r="Q186" s="1"/>
      <c r="R186" s="1"/>
      <c r="S186" s="1"/>
      <c r="T186" s="1"/>
      <c r="U186" s="1"/>
      <c r="V186" s="1"/>
      <c r="W186" s="1"/>
      <c r="X186" s="1"/>
      <c r="Y186" s="1"/>
      <c r="Z186" s="1"/>
    </row>
    <row r="187">
      <c r="A187" s="1"/>
      <c r="B187" s="1"/>
      <c r="C187" s="1"/>
      <c r="D187" s="1"/>
      <c r="E187" s="1"/>
      <c r="F187" s="1"/>
      <c r="G187" s="5"/>
      <c r="H187" s="1"/>
      <c r="I187" s="1"/>
      <c r="J187" s="5"/>
      <c r="K187" s="1"/>
      <c r="L187" s="1"/>
      <c r="M187" s="1"/>
      <c r="N187" s="1"/>
      <c r="O187" s="1"/>
      <c r="P187" s="1"/>
      <c r="Q187" s="1"/>
      <c r="R187" s="1"/>
      <c r="S187" s="1"/>
      <c r="T187" s="1"/>
      <c r="U187" s="1"/>
      <c r="V187" s="1"/>
      <c r="W187" s="1"/>
      <c r="X187" s="1"/>
      <c r="Y187" s="1"/>
      <c r="Z187" s="1"/>
    </row>
    <row r="188">
      <c r="A188" s="1"/>
      <c r="B188" s="1"/>
      <c r="C188" s="1"/>
      <c r="D188" s="1"/>
      <c r="E188" s="1"/>
      <c r="F188" s="1"/>
      <c r="G188" s="5"/>
      <c r="H188" s="1"/>
      <c r="I188" s="1"/>
      <c r="J188" s="5"/>
      <c r="K188" s="1"/>
      <c r="L188" s="1"/>
      <c r="M188" s="1"/>
      <c r="N188" s="1"/>
      <c r="O188" s="1"/>
      <c r="P188" s="1"/>
      <c r="Q188" s="1"/>
      <c r="R188" s="1"/>
      <c r="S188" s="1"/>
      <c r="T188" s="1"/>
      <c r="U188" s="1"/>
      <c r="V188" s="1"/>
      <c r="W188" s="1"/>
      <c r="X188" s="1"/>
      <c r="Y188" s="1"/>
      <c r="Z188" s="1"/>
    </row>
    <row r="189">
      <c r="A189" s="1"/>
      <c r="B189" s="1"/>
      <c r="C189" s="1"/>
      <c r="D189" s="1"/>
      <c r="E189" s="1"/>
      <c r="F189" s="1"/>
      <c r="G189" s="5"/>
      <c r="H189" s="1"/>
      <c r="I189" s="1"/>
      <c r="J189" s="5"/>
      <c r="K189" s="1"/>
      <c r="L189" s="1"/>
      <c r="M189" s="1"/>
      <c r="N189" s="1"/>
      <c r="O189" s="1"/>
      <c r="P189" s="1"/>
      <c r="Q189" s="1"/>
      <c r="R189" s="1"/>
      <c r="S189" s="1"/>
      <c r="T189" s="1"/>
      <c r="U189" s="1"/>
      <c r="V189" s="1"/>
      <c r="W189" s="1"/>
      <c r="X189" s="1"/>
      <c r="Y189" s="1"/>
      <c r="Z189" s="1"/>
    </row>
    <row r="190">
      <c r="A190" s="1"/>
      <c r="B190" s="1"/>
      <c r="C190" s="1"/>
      <c r="D190" s="1"/>
      <c r="E190" s="1"/>
      <c r="F190" s="1"/>
      <c r="G190" s="5"/>
      <c r="H190" s="1"/>
      <c r="I190" s="1"/>
      <c r="J190" s="5"/>
      <c r="K190" s="1"/>
      <c r="L190" s="1"/>
      <c r="M190" s="1"/>
      <c r="N190" s="1"/>
      <c r="O190" s="1"/>
      <c r="P190" s="1"/>
      <c r="Q190" s="1"/>
      <c r="R190" s="1"/>
      <c r="S190" s="1"/>
      <c r="T190" s="1"/>
      <c r="U190" s="1"/>
      <c r="V190" s="1"/>
      <c r="W190" s="1"/>
      <c r="X190" s="1"/>
      <c r="Y190" s="1"/>
      <c r="Z190" s="1"/>
    </row>
    <row r="191">
      <c r="A191" s="1"/>
      <c r="B191" s="1"/>
      <c r="C191" s="1"/>
      <c r="D191" s="1"/>
      <c r="E191" s="1"/>
      <c r="F191" s="1"/>
      <c r="G191" s="5"/>
      <c r="H191" s="1"/>
      <c r="I191" s="1"/>
      <c r="J191" s="5"/>
      <c r="K191" s="1"/>
      <c r="L191" s="1"/>
      <c r="M191" s="1"/>
      <c r="N191" s="1"/>
      <c r="O191" s="1"/>
      <c r="P191" s="1"/>
      <c r="Q191" s="1"/>
      <c r="R191" s="1"/>
      <c r="S191" s="1"/>
      <c r="T191" s="1"/>
      <c r="U191" s="1"/>
      <c r="V191" s="1"/>
      <c r="W191" s="1"/>
      <c r="X191" s="1"/>
      <c r="Y191" s="1"/>
      <c r="Z191" s="1"/>
    </row>
    <row r="192">
      <c r="A192" s="1"/>
      <c r="B192" s="1"/>
      <c r="C192" s="1"/>
      <c r="D192" s="1"/>
      <c r="E192" s="1"/>
      <c r="F192" s="1"/>
      <c r="G192" s="5"/>
      <c r="H192" s="1"/>
      <c r="I192" s="1"/>
      <c r="J192" s="5"/>
      <c r="K192" s="1"/>
      <c r="L192" s="1"/>
      <c r="M192" s="1"/>
      <c r="N192" s="1"/>
      <c r="O192" s="1"/>
      <c r="P192" s="1"/>
      <c r="Q192" s="1"/>
      <c r="R192" s="1"/>
      <c r="S192" s="1"/>
      <c r="T192" s="1"/>
      <c r="U192" s="1"/>
      <c r="V192" s="1"/>
      <c r="W192" s="1"/>
      <c r="X192" s="1"/>
      <c r="Y192" s="1"/>
      <c r="Z192" s="1"/>
    </row>
    <row r="193">
      <c r="A193" s="1"/>
      <c r="B193" s="1"/>
      <c r="C193" s="1"/>
      <c r="D193" s="1"/>
      <c r="E193" s="1"/>
      <c r="F193" s="1"/>
      <c r="G193" s="5"/>
      <c r="H193" s="1"/>
      <c r="I193" s="1"/>
      <c r="J193" s="5"/>
      <c r="K193" s="1"/>
      <c r="L193" s="1"/>
      <c r="M193" s="1"/>
      <c r="N193" s="1"/>
      <c r="O193" s="1"/>
      <c r="P193" s="1"/>
      <c r="Q193" s="1"/>
      <c r="R193" s="1"/>
      <c r="S193" s="1"/>
      <c r="T193" s="1"/>
      <c r="U193" s="1"/>
      <c r="V193" s="1"/>
      <c r="W193" s="1"/>
      <c r="X193" s="1"/>
      <c r="Y193" s="1"/>
      <c r="Z193" s="1"/>
    </row>
    <row r="194">
      <c r="A194" s="1"/>
      <c r="B194" s="1"/>
      <c r="C194" s="1"/>
      <c r="D194" s="1"/>
      <c r="E194" s="1"/>
      <c r="F194" s="1"/>
      <c r="G194" s="5"/>
      <c r="H194" s="1"/>
      <c r="I194" s="1"/>
      <c r="J194" s="5"/>
      <c r="K194" s="1"/>
      <c r="L194" s="1"/>
      <c r="M194" s="1"/>
      <c r="N194" s="1"/>
      <c r="O194" s="1"/>
      <c r="P194" s="1"/>
      <c r="Q194" s="1"/>
      <c r="R194" s="1"/>
      <c r="S194" s="1"/>
      <c r="T194" s="1"/>
      <c r="U194" s="1"/>
      <c r="V194" s="1"/>
      <c r="W194" s="1"/>
      <c r="X194" s="1"/>
      <c r="Y194" s="1"/>
      <c r="Z194" s="1"/>
    </row>
    <row r="195">
      <c r="A195" s="1"/>
      <c r="B195" s="1"/>
      <c r="C195" s="1"/>
      <c r="D195" s="1"/>
      <c r="E195" s="1"/>
      <c r="F195" s="1"/>
      <c r="G195" s="5"/>
      <c r="H195" s="1"/>
      <c r="I195" s="1"/>
      <c r="J195" s="5"/>
      <c r="K195" s="1"/>
      <c r="L195" s="1"/>
      <c r="M195" s="1"/>
      <c r="N195" s="1"/>
      <c r="O195" s="1"/>
      <c r="P195" s="1"/>
      <c r="Q195" s="1"/>
      <c r="R195" s="1"/>
      <c r="S195" s="1"/>
      <c r="T195" s="1"/>
      <c r="U195" s="1"/>
      <c r="V195" s="1"/>
      <c r="W195" s="1"/>
      <c r="X195" s="1"/>
      <c r="Y195" s="1"/>
      <c r="Z195" s="1"/>
    </row>
    <row r="196">
      <c r="A196" s="1"/>
      <c r="B196" s="1"/>
      <c r="C196" s="1"/>
      <c r="D196" s="1"/>
      <c r="E196" s="1"/>
      <c r="F196" s="1"/>
      <c r="G196" s="5"/>
      <c r="H196" s="1"/>
      <c r="I196" s="1"/>
      <c r="J196" s="5"/>
      <c r="K196" s="1"/>
      <c r="L196" s="1"/>
      <c r="M196" s="1"/>
      <c r="N196" s="1"/>
      <c r="O196" s="1"/>
      <c r="P196" s="1"/>
      <c r="Q196" s="1"/>
      <c r="R196" s="1"/>
      <c r="S196" s="1"/>
      <c r="T196" s="1"/>
      <c r="U196" s="1"/>
      <c r="V196" s="1"/>
      <c r="W196" s="1"/>
      <c r="X196" s="1"/>
      <c r="Y196" s="1"/>
      <c r="Z196" s="1"/>
    </row>
    <row r="197">
      <c r="A197" s="1"/>
      <c r="B197" s="1"/>
      <c r="C197" s="1"/>
      <c r="D197" s="1"/>
      <c r="E197" s="1"/>
      <c r="F197" s="1"/>
      <c r="G197" s="5"/>
      <c r="H197" s="1"/>
      <c r="I197" s="1"/>
      <c r="J197" s="5"/>
      <c r="K197" s="1"/>
      <c r="L197" s="1"/>
      <c r="M197" s="1"/>
      <c r="N197" s="1"/>
      <c r="O197" s="1"/>
      <c r="P197" s="1"/>
      <c r="Q197" s="1"/>
      <c r="R197" s="1"/>
      <c r="S197" s="1"/>
      <c r="T197" s="1"/>
      <c r="U197" s="1"/>
      <c r="V197" s="1"/>
      <c r="W197" s="1"/>
      <c r="X197" s="1"/>
      <c r="Y197" s="1"/>
      <c r="Z197" s="1"/>
    </row>
    <row r="198">
      <c r="A198" s="1"/>
      <c r="B198" s="1"/>
      <c r="C198" s="1"/>
      <c r="D198" s="1"/>
      <c r="E198" s="1"/>
      <c r="F198" s="1"/>
      <c r="G198" s="5"/>
      <c r="H198" s="1"/>
      <c r="I198" s="1"/>
      <c r="J198" s="5"/>
      <c r="K198" s="1"/>
      <c r="L198" s="1"/>
      <c r="M198" s="1"/>
      <c r="N198" s="1"/>
      <c r="O198" s="1"/>
      <c r="P198" s="1"/>
      <c r="Q198" s="1"/>
      <c r="R198" s="1"/>
      <c r="S198" s="1"/>
      <c r="T198" s="1"/>
      <c r="U198" s="1"/>
      <c r="V198" s="1"/>
      <c r="W198" s="1"/>
      <c r="X198" s="1"/>
      <c r="Y198" s="1"/>
      <c r="Z198" s="1"/>
    </row>
    <row r="199">
      <c r="A199" s="1"/>
      <c r="B199" s="1"/>
      <c r="C199" s="1"/>
      <c r="D199" s="1"/>
      <c r="E199" s="1"/>
      <c r="F199" s="1"/>
      <c r="G199" s="5"/>
      <c r="H199" s="1"/>
      <c r="I199" s="1"/>
      <c r="J199" s="5"/>
      <c r="K199" s="1"/>
      <c r="L199" s="1"/>
      <c r="M199" s="1"/>
      <c r="N199" s="1"/>
      <c r="O199" s="1"/>
      <c r="P199" s="1"/>
      <c r="Q199" s="1"/>
      <c r="R199" s="1"/>
      <c r="S199" s="1"/>
      <c r="T199" s="1"/>
      <c r="U199" s="1"/>
      <c r="V199" s="1"/>
      <c r="W199" s="1"/>
      <c r="X199" s="1"/>
      <c r="Y199" s="1"/>
      <c r="Z199" s="1"/>
    </row>
    <row r="200">
      <c r="A200" s="1"/>
      <c r="B200" s="1"/>
      <c r="C200" s="1"/>
      <c r="D200" s="1"/>
      <c r="E200" s="1"/>
      <c r="F200" s="1"/>
      <c r="G200" s="5"/>
      <c r="H200" s="1"/>
      <c r="I200" s="1"/>
      <c r="J200" s="5"/>
      <c r="K200" s="1"/>
      <c r="L200" s="1"/>
      <c r="M200" s="1"/>
      <c r="N200" s="1"/>
      <c r="O200" s="1"/>
      <c r="P200" s="1"/>
      <c r="Q200" s="1"/>
      <c r="R200" s="1"/>
      <c r="S200" s="1"/>
      <c r="T200" s="1"/>
      <c r="U200" s="1"/>
      <c r="V200" s="1"/>
      <c r="W200" s="1"/>
      <c r="X200" s="1"/>
      <c r="Y200" s="1"/>
      <c r="Z200" s="1"/>
    </row>
    <row r="201">
      <c r="A201" s="1"/>
      <c r="B201" s="1"/>
      <c r="C201" s="1"/>
      <c r="D201" s="1"/>
      <c r="E201" s="1"/>
      <c r="F201" s="1"/>
      <c r="G201" s="5"/>
      <c r="H201" s="1"/>
      <c r="I201" s="1"/>
      <c r="J201" s="5"/>
      <c r="K201" s="1"/>
      <c r="L201" s="1"/>
      <c r="M201" s="1"/>
      <c r="N201" s="1"/>
      <c r="O201" s="1"/>
      <c r="P201" s="1"/>
      <c r="Q201" s="1"/>
      <c r="R201" s="1"/>
      <c r="S201" s="1"/>
      <c r="T201" s="1"/>
      <c r="U201" s="1"/>
      <c r="V201" s="1"/>
      <c r="W201" s="1"/>
      <c r="X201" s="1"/>
      <c r="Y201" s="1"/>
      <c r="Z201" s="1"/>
    </row>
    <row r="202">
      <c r="A202" s="1"/>
      <c r="B202" s="1"/>
      <c r="C202" s="1"/>
      <c r="D202" s="1"/>
      <c r="E202" s="1"/>
      <c r="F202" s="1"/>
      <c r="G202" s="5"/>
      <c r="H202" s="1"/>
      <c r="I202" s="1"/>
      <c r="J202" s="5"/>
      <c r="K202" s="1"/>
      <c r="L202" s="1"/>
      <c r="M202" s="1"/>
      <c r="N202" s="1"/>
      <c r="O202" s="1"/>
      <c r="P202" s="1"/>
      <c r="Q202" s="1"/>
      <c r="R202" s="1"/>
      <c r="S202" s="1"/>
      <c r="T202" s="1"/>
      <c r="U202" s="1"/>
      <c r="V202" s="1"/>
      <c r="W202" s="1"/>
      <c r="X202" s="1"/>
      <c r="Y202" s="1"/>
      <c r="Z202" s="1"/>
    </row>
    <row r="203">
      <c r="A203" s="1"/>
      <c r="B203" s="1"/>
      <c r="C203" s="1"/>
      <c r="D203" s="1"/>
      <c r="E203" s="1"/>
      <c r="F203" s="1"/>
      <c r="G203" s="5"/>
      <c r="H203" s="1"/>
      <c r="I203" s="1"/>
      <c r="J203" s="5"/>
      <c r="K203" s="1"/>
      <c r="L203" s="1"/>
      <c r="M203" s="1"/>
      <c r="N203" s="1"/>
      <c r="O203" s="1"/>
      <c r="P203" s="1"/>
      <c r="Q203" s="1"/>
      <c r="R203" s="1"/>
      <c r="S203" s="1"/>
      <c r="T203" s="1"/>
      <c r="U203" s="1"/>
      <c r="V203" s="1"/>
      <c r="W203" s="1"/>
      <c r="X203" s="1"/>
      <c r="Y203" s="1"/>
      <c r="Z203" s="1"/>
    </row>
    <row r="204">
      <c r="A204" s="1"/>
      <c r="B204" s="1"/>
      <c r="C204" s="1"/>
      <c r="D204" s="1"/>
      <c r="E204" s="1"/>
      <c r="F204" s="1"/>
      <c r="G204" s="5"/>
      <c r="H204" s="1"/>
      <c r="I204" s="1"/>
      <c r="J204" s="5"/>
      <c r="K204" s="1"/>
      <c r="L204" s="1"/>
      <c r="M204" s="1"/>
      <c r="N204" s="1"/>
      <c r="O204" s="1"/>
      <c r="P204" s="1"/>
      <c r="Q204" s="1"/>
      <c r="R204" s="1"/>
      <c r="S204" s="1"/>
      <c r="T204" s="1"/>
      <c r="U204" s="1"/>
      <c r="V204" s="1"/>
      <c r="W204" s="1"/>
      <c r="X204" s="1"/>
      <c r="Y204" s="1"/>
      <c r="Z204" s="1"/>
    </row>
    <row r="205">
      <c r="A205" s="1"/>
      <c r="B205" s="1"/>
      <c r="C205" s="1"/>
      <c r="D205" s="1"/>
      <c r="E205" s="1"/>
      <c r="F205" s="1"/>
      <c r="G205" s="5"/>
      <c r="H205" s="1"/>
      <c r="I205" s="1"/>
      <c r="J205" s="5"/>
      <c r="K205" s="1"/>
      <c r="L205" s="1"/>
      <c r="M205" s="1"/>
      <c r="N205" s="1"/>
      <c r="O205" s="1"/>
      <c r="P205" s="1"/>
      <c r="Q205" s="1"/>
      <c r="R205" s="1"/>
      <c r="S205" s="1"/>
      <c r="T205" s="1"/>
      <c r="U205" s="1"/>
      <c r="V205" s="1"/>
      <c r="W205" s="1"/>
      <c r="X205" s="1"/>
      <c r="Y205" s="1"/>
      <c r="Z205" s="1"/>
    </row>
    <row r="206">
      <c r="A206" s="1"/>
      <c r="B206" s="1"/>
      <c r="C206" s="1"/>
      <c r="D206" s="1"/>
      <c r="E206" s="1"/>
      <c r="F206" s="1"/>
      <c r="G206" s="5"/>
      <c r="H206" s="1"/>
      <c r="I206" s="1"/>
      <c r="J206" s="5"/>
      <c r="K206" s="1"/>
      <c r="L206" s="1"/>
      <c r="M206" s="1"/>
      <c r="N206" s="1"/>
      <c r="O206" s="1"/>
      <c r="P206" s="1"/>
      <c r="Q206" s="1"/>
      <c r="R206" s="1"/>
      <c r="S206" s="1"/>
      <c r="T206" s="1"/>
      <c r="U206" s="1"/>
      <c r="V206" s="1"/>
      <c r="W206" s="1"/>
      <c r="X206" s="1"/>
      <c r="Y206" s="1"/>
      <c r="Z206" s="1"/>
    </row>
    <row r="207">
      <c r="A207" s="1"/>
      <c r="B207" s="1"/>
      <c r="C207" s="1"/>
      <c r="D207" s="1"/>
      <c r="E207" s="1"/>
      <c r="F207" s="1"/>
      <c r="G207" s="5"/>
      <c r="H207" s="1"/>
      <c r="I207" s="1"/>
      <c r="J207" s="5"/>
      <c r="K207" s="1"/>
      <c r="L207" s="1"/>
      <c r="M207" s="1"/>
      <c r="N207" s="1"/>
      <c r="O207" s="1"/>
      <c r="P207" s="1"/>
      <c r="Q207" s="1"/>
      <c r="R207" s="1"/>
      <c r="S207" s="1"/>
      <c r="T207" s="1"/>
      <c r="U207" s="1"/>
      <c r="V207" s="1"/>
      <c r="W207" s="1"/>
      <c r="X207" s="1"/>
      <c r="Y207" s="1"/>
      <c r="Z207" s="1"/>
    </row>
    <row r="208">
      <c r="A208" s="1"/>
      <c r="B208" s="1"/>
      <c r="C208" s="1"/>
      <c r="D208" s="1"/>
      <c r="E208" s="1"/>
      <c r="F208" s="1"/>
      <c r="G208" s="5"/>
      <c r="H208" s="1"/>
      <c r="I208" s="1"/>
      <c r="J208" s="5"/>
      <c r="K208" s="1"/>
      <c r="L208" s="1"/>
      <c r="M208" s="1"/>
      <c r="N208" s="1"/>
      <c r="O208" s="1"/>
      <c r="P208" s="1"/>
      <c r="Q208" s="1"/>
      <c r="R208" s="1"/>
      <c r="S208" s="1"/>
      <c r="T208" s="1"/>
      <c r="U208" s="1"/>
      <c r="V208" s="1"/>
      <c r="W208" s="1"/>
      <c r="X208" s="1"/>
      <c r="Y208" s="1"/>
      <c r="Z208" s="1"/>
    </row>
    <row r="209">
      <c r="A209" s="1"/>
      <c r="B209" s="1"/>
      <c r="C209" s="1"/>
      <c r="D209" s="1"/>
      <c r="E209" s="1"/>
      <c r="F209" s="1"/>
      <c r="G209" s="5"/>
      <c r="H209" s="1"/>
      <c r="I209" s="1"/>
      <c r="J209" s="5"/>
      <c r="K209" s="1"/>
      <c r="L209" s="1"/>
      <c r="M209" s="1"/>
      <c r="N209" s="1"/>
      <c r="O209" s="1"/>
      <c r="P209" s="1"/>
      <c r="Q209" s="1"/>
      <c r="R209" s="1"/>
      <c r="S209" s="1"/>
      <c r="T209" s="1"/>
      <c r="U209" s="1"/>
      <c r="V209" s="1"/>
      <c r="W209" s="1"/>
      <c r="X209" s="1"/>
      <c r="Y209" s="1"/>
      <c r="Z209" s="1"/>
    </row>
    <row r="210">
      <c r="A210" s="1"/>
      <c r="B210" s="1"/>
      <c r="C210" s="1"/>
      <c r="D210" s="1"/>
      <c r="E210" s="1"/>
      <c r="F210" s="1"/>
      <c r="G210" s="5"/>
      <c r="H210" s="1"/>
      <c r="I210" s="1"/>
      <c r="J210" s="5"/>
      <c r="K210" s="1"/>
      <c r="L210" s="1"/>
      <c r="M210" s="1"/>
      <c r="N210" s="1"/>
      <c r="O210" s="1"/>
      <c r="P210" s="1"/>
      <c r="Q210" s="1"/>
      <c r="R210" s="1"/>
      <c r="S210" s="1"/>
      <c r="T210" s="1"/>
      <c r="U210" s="1"/>
      <c r="V210" s="1"/>
      <c r="W210" s="1"/>
      <c r="X210" s="1"/>
      <c r="Y210" s="1"/>
      <c r="Z210" s="1"/>
    </row>
    <row r="211">
      <c r="A211" s="1"/>
      <c r="B211" s="1"/>
      <c r="C211" s="1"/>
      <c r="D211" s="1"/>
      <c r="E211" s="1"/>
      <c r="F211" s="1"/>
      <c r="G211" s="5"/>
      <c r="H211" s="1"/>
      <c r="I211" s="1"/>
      <c r="J211" s="5"/>
      <c r="K211" s="1"/>
      <c r="L211" s="1"/>
      <c r="M211" s="1"/>
      <c r="N211" s="1"/>
      <c r="O211" s="1"/>
      <c r="P211" s="1"/>
      <c r="Q211" s="1"/>
      <c r="R211" s="1"/>
      <c r="S211" s="1"/>
      <c r="T211" s="1"/>
      <c r="U211" s="1"/>
      <c r="V211" s="1"/>
      <c r="W211" s="1"/>
      <c r="X211" s="1"/>
      <c r="Y211" s="1"/>
      <c r="Z211" s="1"/>
    </row>
    <row r="212">
      <c r="A212" s="1"/>
      <c r="B212" s="1"/>
      <c r="C212" s="1"/>
      <c r="D212" s="1"/>
      <c r="E212" s="1"/>
      <c r="F212" s="1"/>
      <c r="G212" s="5"/>
      <c r="H212" s="1"/>
      <c r="I212" s="1"/>
      <c r="J212" s="5"/>
      <c r="K212" s="1"/>
      <c r="L212" s="1"/>
      <c r="M212" s="1"/>
      <c r="N212" s="1"/>
      <c r="O212" s="1"/>
      <c r="P212" s="1"/>
      <c r="Q212" s="1"/>
      <c r="R212" s="1"/>
      <c r="S212" s="1"/>
      <c r="T212" s="1"/>
      <c r="U212" s="1"/>
      <c r="V212" s="1"/>
      <c r="W212" s="1"/>
      <c r="X212" s="1"/>
      <c r="Y212" s="1"/>
      <c r="Z212" s="1"/>
    </row>
    <row r="213">
      <c r="A213" s="1"/>
      <c r="B213" s="1"/>
      <c r="C213" s="1"/>
      <c r="D213" s="1"/>
      <c r="E213" s="1"/>
      <c r="F213" s="1"/>
      <c r="G213" s="5"/>
      <c r="H213" s="1"/>
      <c r="I213" s="1"/>
      <c r="J213" s="5"/>
      <c r="K213" s="1"/>
      <c r="L213" s="1"/>
      <c r="M213" s="1"/>
      <c r="N213" s="1"/>
      <c r="O213" s="1"/>
      <c r="P213" s="1"/>
      <c r="Q213" s="1"/>
      <c r="R213" s="1"/>
      <c r="S213" s="1"/>
      <c r="T213" s="1"/>
      <c r="U213" s="1"/>
      <c r="V213" s="1"/>
      <c r="W213" s="1"/>
      <c r="X213" s="1"/>
      <c r="Y213" s="1"/>
      <c r="Z213" s="1"/>
    </row>
    <row r="214">
      <c r="A214" s="1"/>
      <c r="B214" s="1"/>
      <c r="C214" s="1"/>
      <c r="D214" s="1"/>
      <c r="E214" s="1"/>
      <c r="F214" s="1"/>
      <c r="G214" s="5"/>
      <c r="H214" s="1"/>
      <c r="I214" s="1"/>
      <c r="J214" s="5"/>
      <c r="K214" s="1"/>
      <c r="L214" s="1"/>
      <c r="M214" s="1"/>
      <c r="N214" s="1"/>
      <c r="O214" s="1"/>
      <c r="P214" s="1"/>
      <c r="Q214" s="1"/>
      <c r="R214" s="1"/>
      <c r="S214" s="1"/>
      <c r="T214" s="1"/>
      <c r="U214" s="1"/>
      <c r="V214" s="1"/>
      <c r="W214" s="1"/>
      <c r="X214" s="1"/>
      <c r="Y214" s="1"/>
      <c r="Z214" s="1"/>
    </row>
    <row r="215">
      <c r="A215" s="1"/>
      <c r="B215" s="1"/>
      <c r="C215" s="1"/>
      <c r="D215" s="1"/>
      <c r="E215" s="1"/>
      <c r="F215" s="1"/>
      <c r="G215" s="5"/>
      <c r="H215" s="1"/>
      <c r="I215" s="1"/>
      <c r="J215" s="5"/>
      <c r="K215" s="1"/>
      <c r="L215" s="1"/>
      <c r="M215" s="1"/>
      <c r="N215" s="1"/>
      <c r="O215" s="1"/>
      <c r="P215" s="1"/>
      <c r="Q215" s="1"/>
      <c r="R215" s="1"/>
      <c r="S215" s="1"/>
      <c r="T215" s="1"/>
      <c r="U215" s="1"/>
      <c r="V215" s="1"/>
      <c r="W215" s="1"/>
      <c r="X215" s="1"/>
      <c r="Y215" s="1"/>
      <c r="Z215" s="1"/>
    </row>
    <row r="216">
      <c r="A216" s="1"/>
      <c r="B216" s="1"/>
      <c r="C216" s="1"/>
      <c r="D216" s="1"/>
      <c r="E216" s="1"/>
      <c r="F216" s="1"/>
      <c r="G216" s="5"/>
      <c r="H216" s="1"/>
      <c r="I216" s="1"/>
      <c r="J216" s="5"/>
      <c r="K216" s="1"/>
      <c r="L216" s="1"/>
      <c r="M216" s="1"/>
      <c r="N216" s="1"/>
      <c r="O216" s="1"/>
      <c r="P216" s="1"/>
      <c r="Q216" s="1"/>
      <c r="R216" s="1"/>
      <c r="S216" s="1"/>
      <c r="T216" s="1"/>
      <c r="U216" s="1"/>
      <c r="V216" s="1"/>
      <c r="W216" s="1"/>
      <c r="X216" s="1"/>
      <c r="Y216" s="1"/>
      <c r="Z216" s="1"/>
    </row>
    <row r="217">
      <c r="A217" s="1"/>
      <c r="B217" s="1"/>
      <c r="C217" s="1"/>
      <c r="D217" s="1"/>
      <c r="E217" s="1"/>
      <c r="F217" s="1"/>
      <c r="G217" s="5"/>
      <c r="H217" s="1"/>
      <c r="I217" s="1"/>
      <c r="J217" s="5"/>
      <c r="K217" s="1"/>
      <c r="L217" s="1"/>
      <c r="M217" s="1"/>
      <c r="N217" s="1"/>
      <c r="O217" s="1"/>
      <c r="P217" s="1"/>
      <c r="Q217" s="1"/>
      <c r="R217" s="1"/>
      <c r="S217" s="1"/>
      <c r="T217" s="1"/>
      <c r="U217" s="1"/>
      <c r="V217" s="1"/>
      <c r="W217" s="1"/>
      <c r="X217" s="1"/>
      <c r="Y217" s="1"/>
      <c r="Z217" s="1"/>
    </row>
    <row r="218">
      <c r="A218" s="1"/>
      <c r="B218" s="1"/>
      <c r="C218" s="1"/>
      <c r="D218" s="1"/>
      <c r="E218" s="1"/>
      <c r="F218" s="1"/>
      <c r="G218" s="5"/>
      <c r="H218" s="1"/>
      <c r="I218" s="1"/>
      <c r="J218" s="5"/>
      <c r="K218" s="1"/>
      <c r="L218" s="1"/>
      <c r="M218" s="1"/>
      <c r="N218" s="1"/>
      <c r="O218" s="1"/>
      <c r="P218" s="1"/>
      <c r="Q218" s="1"/>
      <c r="R218" s="1"/>
      <c r="S218" s="1"/>
      <c r="T218" s="1"/>
      <c r="U218" s="1"/>
      <c r="V218" s="1"/>
      <c r="W218" s="1"/>
      <c r="X218" s="1"/>
      <c r="Y218" s="1"/>
      <c r="Z218" s="1"/>
    </row>
    <row r="219">
      <c r="A219" s="1"/>
      <c r="B219" s="1"/>
      <c r="C219" s="1"/>
      <c r="D219" s="1"/>
      <c r="E219" s="1"/>
      <c r="F219" s="1"/>
      <c r="G219" s="5"/>
      <c r="H219" s="1"/>
      <c r="I219" s="1"/>
      <c r="J219" s="5"/>
      <c r="K219" s="1"/>
      <c r="L219" s="1"/>
      <c r="M219" s="1"/>
      <c r="N219" s="1"/>
      <c r="O219" s="1"/>
      <c r="P219" s="1"/>
      <c r="Q219" s="1"/>
      <c r="R219" s="1"/>
      <c r="S219" s="1"/>
      <c r="T219" s="1"/>
      <c r="U219" s="1"/>
      <c r="V219" s="1"/>
      <c r="W219" s="1"/>
      <c r="X219" s="1"/>
      <c r="Y219" s="1"/>
      <c r="Z219" s="1"/>
    </row>
    <row r="220">
      <c r="A220" s="1"/>
      <c r="B220" s="1"/>
      <c r="C220" s="1"/>
      <c r="D220" s="1"/>
      <c r="E220" s="1"/>
      <c r="F220" s="1"/>
      <c r="G220" s="5"/>
      <c r="H220" s="1"/>
      <c r="I220" s="1"/>
      <c r="J220" s="5"/>
      <c r="K220" s="1"/>
      <c r="L220" s="1"/>
      <c r="M220" s="1"/>
      <c r="N220" s="1"/>
      <c r="O220" s="1"/>
      <c r="P220" s="1"/>
      <c r="Q220" s="1"/>
      <c r="R220" s="1"/>
      <c r="S220" s="1"/>
      <c r="T220" s="1"/>
      <c r="U220" s="1"/>
      <c r="V220" s="1"/>
      <c r="W220" s="1"/>
      <c r="X220" s="1"/>
      <c r="Y220" s="1"/>
      <c r="Z220" s="1"/>
    </row>
    <row r="221">
      <c r="A221" s="1"/>
      <c r="B221" s="1"/>
      <c r="C221" s="1"/>
      <c r="D221" s="1"/>
      <c r="E221" s="1"/>
      <c r="F221" s="1"/>
      <c r="G221" s="5"/>
      <c r="H221" s="1"/>
      <c r="I221" s="1"/>
      <c r="J221" s="5"/>
      <c r="K221" s="1"/>
      <c r="L221" s="1"/>
      <c r="M221" s="1"/>
      <c r="N221" s="1"/>
      <c r="O221" s="1"/>
      <c r="P221" s="1"/>
      <c r="Q221" s="1"/>
      <c r="R221" s="1"/>
      <c r="S221" s="1"/>
      <c r="T221" s="1"/>
      <c r="U221" s="1"/>
      <c r="V221" s="1"/>
      <c r="W221" s="1"/>
      <c r="X221" s="1"/>
      <c r="Y221" s="1"/>
      <c r="Z221" s="1"/>
    </row>
    <row r="222">
      <c r="A222" s="1"/>
      <c r="B222" s="1"/>
      <c r="C222" s="1"/>
      <c r="D222" s="1"/>
      <c r="E222" s="1"/>
      <c r="F222" s="1"/>
      <c r="G222" s="5"/>
      <c r="H222" s="1"/>
      <c r="I222" s="1"/>
      <c r="J222" s="5"/>
      <c r="K222" s="1"/>
      <c r="L222" s="1"/>
      <c r="M222" s="1"/>
      <c r="N222" s="1"/>
      <c r="O222" s="1"/>
      <c r="P222" s="1"/>
      <c r="Q222" s="1"/>
      <c r="R222" s="1"/>
      <c r="S222" s="1"/>
      <c r="T222" s="1"/>
      <c r="U222" s="1"/>
      <c r="V222" s="1"/>
      <c r="W222" s="1"/>
      <c r="X222" s="1"/>
      <c r="Y222" s="1"/>
      <c r="Z222" s="1"/>
    </row>
    <row r="223">
      <c r="A223" s="1"/>
      <c r="B223" s="1"/>
      <c r="C223" s="1"/>
      <c r="D223" s="1"/>
      <c r="E223" s="1"/>
      <c r="F223" s="1"/>
      <c r="G223" s="5"/>
      <c r="H223" s="1"/>
      <c r="I223" s="1"/>
      <c r="J223" s="5"/>
      <c r="K223" s="1"/>
      <c r="L223" s="1"/>
      <c r="M223" s="1"/>
      <c r="N223" s="1"/>
      <c r="O223" s="1"/>
      <c r="P223" s="1"/>
      <c r="Q223" s="1"/>
      <c r="R223" s="1"/>
      <c r="S223" s="1"/>
      <c r="T223" s="1"/>
      <c r="U223" s="1"/>
      <c r="V223" s="1"/>
      <c r="W223" s="1"/>
      <c r="X223" s="1"/>
      <c r="Y223" s="1"/>
      <c r="Z223" s="1"/>
    </row>
    <row r="224">
      <c r="A224" s="1"/>
      <c r="B224" s="1"/>
      <c r="C224" s="1"/>
      <c r="D224" s="1"/>
      <c r="E224" s="1"/>
      <c r="F224" s="1"/>
      <c r="G224" s="5"/>
      <c r="H224" s="1"/>
      <c r="I224" s="1"/>
      <c r="J224" s="5"/>
      <c r="K224" s="1"/>
      <c r="L224" s="1"/>
      <c r="M224" s="1"/>
      <c r="N224" s="1"/>
      <c r="O224" s="1"/>
      <c r="P224" s="1"/>
      <c r="Q224" s="1"/>
      <c r="R224" s="1"/>
      <c r="S224" s="1"/>
      <c r="T224" s="1"/>
      <c r="U224" s="1"/>
      <c r="V224" s="1"/>
      <c r="W224" s="1"/>
      <c r="X224" s="1"/>
      <c r="Y224" s="1"/>
      <c r="Z224" s="1"/>
    </row>
    <row r="225">
      <c r="A225" s="1"/>
      <c r="B225" s="1"/>
      <c r="C225" s="1"/>
      <c r="D225" s="1"/>
      <c r="E225" s="1"/>
      <c r="F225" s="1"/>
      <c r="G225" s="5"/>
      <c r="H225" s="1"/>
      <c r="I225" s="1"/>
      <c r="J225" s="5"/>
      <c r="K225" s="1"/>
      <c r="L225" s="1"/>
      <c r="M225" s="1"/>
      <c r="N225" s="1"/>
      <c r="O225" s="1"/>
      <c r="P225" s="1"/>
      <c r="Q225" s="1"/>
      <c r="R225" s="1"/>
      <c r="S225" s="1"/>
      <c r="T225" s="1"/>
      <c r="U225" s="1"/>
      <c r="V225" s="1"/>
      <c r="W225" s="1"/>
      <c r="X225" s="1"/>
      <c r="Y225" s="1"/>
      <c r="Z225" s="1"/>
    </row>
    <row r="226">
      <c r="A226" s="1"/>
      <c r="B226" s="1"/>
      <c r="C226" s="1"/>
      <c r="D226" s="1"/>
      <c r="E226" s="1"/>
      <c r="F226" s="1"/>
      <c r="G226" s="5"/>
      <c r="H226" s="1"/>
      <c r="I226" s="1"/>
      <c r="J226" s="5"/>
      <c r="K226" s="1"/>
      <c r="L226" s="1"/>
      <c r="M226" s="1"/>
      <c r="N226" s="1"/>
      <c r="O226" s="1"/>
      <c r="P226" s="1"/>
      <c r="Q226" s="1"/>
      <c r="R226" s="1"/>
      <c r="S226" s="1"/>
      <c r="T226" s="1"/>
      <c r="U226" s="1"/>
      <c r="V226" s="1"/>
      <c r="W226" s="1"/>
      <c r="X226" s="1"/>
      <c r="Y226" s="1"/>
      <c r="Z226" s="1"/>
    </row>
    <row r="227">
      <c r="A227" s="1"/>
      <c r="B227" s="1"/>
      <c r="C227" s="1"/>
      <c r="D227" s="1"/>
      <c r="E227" s="1"/>
      <c r="F227" s="1"/>
      <c r="G227" s="5"/>
      <c r="H227" s="1"/>
      <c r="I227" s="1"/>
      <c r="J227" s="5"/>
      <c r="K227" s="1"/>
      <c r="L227" s="1"/>
      <c r="M227" s="1"/>
      <c r="N227" s="1"/>
      <c r="O227" s="1"/>
      <c r="P227" s="1"/>
      <c r="Q227" s="1"/>
      <c r="R227" s="1"/>
      <c r="S227" s="1"/>
      <c r="T227" s="1"/>
      <c r="U227" s="1"/>
      <c r="V227" s="1"/>
      <c r="W227" s="1"/>
      <c r="X227" s="1"/>
      <c r="Y227" s="1"/>
      <c r="Z227" s="1"/>
    </row>
    <row r="228">
      <c r="A228" s="1"/>
      <c r="B228" s="1"/>
      <c r="C228" s="1"/>
      <c r="D228" s="1"/>
      <c r="E228" s="1"/>
      <c r="F228" s="1"/>
      <c r="G228" s="5"/>
      <c r="H228" s="1"/>
      <c r="I228" s="1"/>
      <c r="J228" s="5"/>
      <c r="K228" s="1"/>
      <c r="L228" s="1"/>
      <c r="M228" s="1"/>
      <c r="N228" s="1"/>
      <c r="O228" s="1"/>
      <c r="P228" s="1"/>
      <c r="Q228" s="1"/>
      <c r="R228" s="1"/>
      <c r="S228" s="1"/>
      <c r="T228" s="1"/>
      <c r="U228" s="1"/>
      <c r="V228" s="1"/>
      <c r="W228" s="1"/>
      <c r="X228" s="1"/>
      <c r="Y228" s="1"/>
      <c r="Z228" s="1"/>
    </row>
    <row r="229">
      <c r="A229" s="1"/>
      <c r="B229" s="1"/>
      <c r="C229" s="1"/>
      <c r="D229" s="1"/>
      <c r="E229" s="1"/>
      <c r="F229" s="1"/>
      <c r="G229" s="5"/>
      <c r="H229" s="1"/>
      <c r="I229" s="1"/>
      <c r="J229" s="5"/>
      <c r="K229" s="1"/>
      <c r="L229" s="1"/>
      <c r="M229" s="1"/>
      <c r="N229" s="1"/>
      <c r="O229" s="1"/>
      <c r="P229" s="1"/>
      <c r="Q229" s="1"/>
      <c r="R229" s="1"/>
      <c r="S229" s="1"/>
      <c r="T229" s="1"/>
      <c r="U229" s="1"/>
      <c r="V229" s="1"/>
      <c r="W229" s="1"/>
      <c r="X229" s="1"/>
      <c r="Y229" s="1"/>
      <c r="Z229" s="1"/>
    </row>
    <row r="230">
      <c r="A230" s="1"/>
      <c r="B230" s="1"/>
      <c r="C230" s="1"/>
      <c r="D230" s="1"/>
      <c r="E230" s="1"/>
      <c r="F230" s="1"/>
      <c r="G230" s="5"/>
      <c r="H230" s="1"/>
      <c r="I230" s="1"/>
      <c r="J230" s="5"/>
      <c r="K230" s="1"/>
      <c r="L230" s="1"/>
      <c r="M230" s="1"/>
      <c r="N230" s="1"/>
      <c r="O230" s="1"/>
      <c r="P230" s="1"/>
      <c r="Q230" s="1"/>
      <c r="R230" s="1"/>
      <c r="S230" s="1"/>
      <c r="T230" s="1"/>
      <c r="U230" s="1"/>
      <c r="V230" s="1"/>
      <c r="W230" s="1"/>
      <c r="X230" s="1"/>
      <c r="Y230" s="1"/>
      <c r="Z230" s="1"/>
    </row>
    <row r="231">
      <c r="A231" s="1"/>
      <c r="B231" s="1"/>
      <c r="C231" s="1"/>
      <c r="D231" s="1"/>
      <c r="E231" s="1"/>
      <c r="F231" s="1"/>
      <c r="G231" s="5"/>
      <c r="H231" s="1"/>
      <c r="I231" s="1"/>
      <c r="J231" s="5"/>
      <c r="K231" s="1"/>
      <c r="L231" s="1"/>
      <c r="M231" s="1"/>
      <c r="N231" s="1"/>
      <c r="O231" s="1"/>
      <c r="P231" s="1"/>
      <c r="Q231" s="1"/>
      <c r="R231" s="1"/>
      <c r="S231" s="1"/>
      <c r="T231" s="1"/>
      <c r="U231" s="1"/>
      <c r="V231" s="1"/>
      <c r="W231" s="1"/>
      <c r="X231" s="1"/>
      <c r="Y231" s="1"/>
      <c r="Z231" s="1"/>
    </row>
    <row r="232">
      <c r="A232" s="1"/>
      <c r="B232" s="1"/>
      <c r="C232" s="1"/>
      <c r="D232" s="1"/>
      <c r="E232" s="1"/>
      <c r="F232" s="1"/>
      <c r="G232" s="5"/>
      <c r="H232" s="1"/>
      <c r="I232" s="1"/>
      <c r="J232" s="5"/>
      <c r="K232" s="1"/>
      <c r="L232" s="1"/>
      <c r="M232" s="1"/>
      <c r="N232" s="1"/>
      <c r="O232" s="1"/>
      <c r="P232" s="1"/>
      <c r="Q232" s="1"/>
      <c r="R232" s="1"/>
      <c r="S232" s="1"/>
      <c r="T232" s="1"/>
      <c r="U232" s="1"/>
      <c r="V232" s="1"/>
      <c r="W232" s="1"/>
      <c r="X232" s="1"/>
      <c r="Y232" s="1"/>
      <c r="Z232" s="1"/>
    </row>
    <row r="233">
      <c r="A233" s="1"/>
      <c r="B233" s="1"/>
      <c r="C233" s="1"/>
      <c r="D233" s="1"/>
      <c r="E233" s="1"/>
      <c r="F233" s="1"/>
      <c r="G233" s="5"/>
      <c r="H233" s="1"/>
      <c r="I233" s="1"/>
      <c r="J233" s="5"/>
      <c r="K233" s="1"/>
      <c r="L233" s="1"/>
      <c r="M233" s="1"/>
      <c r="N233" s="1"/>
      <c r="O233" s="1"/>
      <c r="P233" s="1"/>
      <c r="Q233" s="1"/>
      <c r="R233" s="1"/>
      <c r="S233" s="1"/>
      <c r="T233" s="1"/>
      <c r="U233" s="1"/>
      <c r="V233" s="1"/>
      <c r="W233" s="1"/>
      <c r="X233" s="1"/>
      <c r="Y233" s="1"/>
      <c r="Z233" s="1"/>
    </row>
    <row r="234">
      <c r="A234" s="1"/>
      <c r="B234" s="1"/>
      <c r="C234" s="1"/>
      <c r="D234" s="1"/>
      <c r="E234" s="1"/>
      <c r="F234" s="1"/>
      <c r="G234" s="5"/>
      <c r="H234" s="1"/>
      <c r="I234" s="1"/>
      <c r="J234" s="5"/>
      <c r="K234" s="1"/>
      <c r="L234" s="1"/>
      <c r="M234" s="1"/>
      <c r="N234" s="1"/>
      <c r="O234" s="1"/>
      <c r="P234" s="1"/>
      <c r="Q234" s="1"/>
      <c r="R234" s="1"/>
      <c r="S234" s="1"/>
      <c r="T234" s="1"/>
      <c r="U234" s="1"/>
      <c r="V234" s="1"/>
      <c r="W234" s="1"/>
      <c r="X234" s="1"/>
      <c r="Y234" s="1"/>
      <c r="Z234" s="1"/>
    </row>
    <row r="235">
      <c r="A235" s="1"/>
      <c r="B235" s="1"/>
      <c r="C235" s="1"/>
      <c r="D235" s="1"/>
      <c r="E235" s="1"/>
      <c r="F235" s="1"/>
      <c r="G235" s="5"/>
      <c r="H235" s="1"/>
      <c r="I235" s="1"/>
      <c r="J235" s="5"/>
      <c r="K235" s="1"/>
      <c r="L235" s="1"/>
      <c r="M235" s="1"/>
      <c r="N235" s="1"/>
      <c r="O235" s="1"/>
      <c r="P235" s="1"/>
      <c r="Q235" s="1"/>
      <c r="R235" s="1"/>
      <c r="S235" s="1"/>
      <c r="T235" s="1"/>
      <c r="U235" s="1"/>
      <c r="V235" s="1"/>
      <c r="W235" s="1"/>
      <c r="X235" s="1"/>
      <c r="Y235" s="1"/>
      <c r="Z235" s="1"/>
    </row>
    <row r="236">
      <c r="A236" s="1"/>
      <c r="B236" s="1"/>
      <c r="C236" s="1"/>
      <c r="D236" s="1"/>
      <c r="E236" s="1"/>
      <c r="F236" s="1"/>
      <c r="G236" s="5"/>
      <c r="H236" s="1"/>
      <c r="I236" s="1"/>
      <c r="J236" s="5"/>
      <c r="K236" s="1"/>
      <c r="L236" s="1"/>
      <c r="M236" s="1"/>
      <c r="N236" s="1"/>
      <c r="O236" s="1"/>
      <c r="P236" s="1"/>
      <c r="Q236" s="1"/>
      <c r="R236" s="1"/>
      <c r="S236" s="1"/>
      <c r="T236" s="1"/>
      <c r="U236" s="1"/>
      <c r="V236" s="1"/>
      <c r="W236" s="1"/>
      <c r="X236" s="1"/>
      <c r="Y236" s="1"/>
      <c r="Z236" s="1"/>
    </row>
    <row r="237">
      <c r="A237" s="1"/>
      <c r="B237" s="1"/>
      <c r="C237" s="1"/>
      <c r="D237" s="1"/>
      <c r="E237" s="1"/>
      <c r="F237" s="1"/>
      <c r="G237" s="5"/>
      <c r="H237" s="1"/>
      <c r="I237" s="1"/>
      <c r="J237" s="5"/>
      <c r="K237" s="1"/>
      <c r="L237" s="1"/>
      <c r="M237" s="1"/>
      <c r="N237" s="1"/>
      <c r="O237" s="1"/>
      <c r="P237" s="1"/>
      <c r="Q237" s="1"/>
      <c r="R237" s="1"/>
      <c r="S237" s="1"/>
      <c r="T237" s="1"/>
      <c r="U237" s="1"/>
      <c r="V237" s="1"/>
      <c r="W237" s="1"/>
      <c r="X237" s="1"/>
      <c r="Y237" s="1"/>
      <c r="Z237" s="1"/>
    </row>
    <row r="238">
      <c r="A238" s="1"/>
      <c r="B238" s="1"/>
      <c r="C238" s="1"/>
      <c r="D238" s="1"/>
      <c r="E238" s="1"/>
      <c r="F238" s="1"/>
      <c r="G238" s="5"/>
      <c r="H238" s="1"/>
      <c r="I238" s="1"/>
      <c r="J238" s="5"/>
      <c r="K238" s="1"/>
      <c r="L238" s="1"/>
      <c r="M238" s="1"/>
      <c r="N238" s="1"/>
      <c r="O238" s="1"/>
      <c r="P238" s="1"/>
      <c r="Q238" s="1"/>
      <c r="R238" s="1"/>
      <c r="S238" s="1"/>
      <c r="T238" s="1"/>
      <c r="U238" s="1"/>
      <c r="V238" s="1"/>
      <c r="W238" s="1"/>
      <c r="X238" s="1"/>
      <c r="Y238" s="1"/>
      <c r="Z238" s="1"/>
    </row>
    <row r="239">
      <c r="A239" s="1"/>
      <c r="B239" s="1"/>
      <c r="C239" s="1"/>
      <c r="D239" s="1"/>
      <c r="E239" s="1"/>
      <c r="F239" s="1"/>
      <c r="G239" s="5"/>
      <c r="H239" s="1"/>
      <c r="I239" s="1"/>
      <c r="J239" s="5"/>
      <c r="K239" s="1"/>
      <c r="L239" s="1"/>
      <c r="M239" s="1"/>
      <c r="N239" s="1"/>
      <c r="O239" s="1"/>
      <c r="P239" s="1"/>
      <c r="Q239" s="1"/>
      <c r="R239" s="1"/>
      <c r="S239" s="1"/>
      <c r="T239" s="1"/>
      <c r="U239" s="1"/>
      <c r="V239" s="1"/>
      <c r="W239" s="1"/>
      <c r="X239" s="1"/>
      <c r="Y239" s="1"/>
      <c r="Z239" s="1"/>
    </row>
    <row r="240">
      <c r="A240" s="1"/>
      <c r="B240" s="1"/>
      <c r="C240" s="1"/>
      <c r="D240" s="1"/>
      <c r="E240" s="1"/>
      <c r="F240" s="1"/>
      <c r="G240" s="5"/>
      <c r="H240" s="1"/>
      <c r="I240" s="1"/>
      <c r="J240" s="5"/>
      <c r="K240" s="1"/>
      <c r="L240" s="1"/>
      <c r="M240" s="1"/>
      <c r="N240" s="1"/>
      <c r="O240" s="1"/>
      <c r="P240" s="1"/>
      <c r="Q240" s="1"/>
      <c r="R240" s="1"/>
      <c r="S240" s="1"/>
      <c r="T240" s="1"/>
      <c r="U240" s="1"/>
      <c r="V240" s="1"/>
      <c r="W240" s="1"/>
      <c r="X240" s="1"/>
      <c r="Y240" s="1"/>
      <c r="Z240" s="1"/>
    </row>
    <row r="241">
      <c r="A241" s="1"/>
      <c r="B241" s="1"/>
      <c r="C241" s="1"/>
      <c r="D241" s="1"/>
      <c r="E241" s="1"/>
      <c r="F241" s="1"/>
      <c r="G241" s="5"/>
      <c r="H241" s="1"/>
      <c r="I241" s="1"/>
      <c r="J241" s="5"/>
      <c r="K241" s="1"/>
      <c r="L241" s="1"/>
      <c r="M241" s="1"/>
      <c r="N241" s="1"/>
      <c r="O241" s="1"/>
      <c r="P241" s="1"/>
      <c r="Q241" s="1"/>
      <c r="R241" s="1"/>
      <c r="S241" s="1"/>
      <c r="T241" s="1"/>
      <c r="U241" s="1"/>
      <c r="V241" s="1"/>
      <c r="W241" s="1"/>
      <c r="X241" s="1"/>
      <c r="Y241" s="1"/>
      <c r="Z241" s="1"/>
    </row>
    <row r="242">
      <c r="A242" s="1"/>
      <c r="B242" s="1"/>
      <c r="C242" s="1"/>
      <c r="D242" s="1"/>
      <c r="E242" s="1"/>
      <c r="F242" s="1"/>
      <c r="G242" s="5"/>
      <c r="H242" s="1"/>
      <c r="I242" s="1"/>
      <c r="J242" s="5"/>
      <c r="K242" s="1"/>
      <c r="L242" s="1"/>
      <c r="M242" s="1"/>
      <c r="N242" s="1"/>
      <c r="O242" s="1"/>
      <c r="P242" s="1"/>
      <c r="Q242" s="1"/>
      <c r="R242" s="1"/>
      <c r="S242" s="1"/>
      <c r="T242" s="1"/>
      <c r="U242" s="1"/>
      <c r="V242" s="1"/>
      <c r="W242" s="1"/>
      <c r="X242" s="1"/>
      <c r="Y242" s="1"/>
      <c r="Z242" s="1"/>
    </row>
    <row r="243">
      <c r="A243" s="1"/>
      <c r="B243" s="1"/>
      <c r="C243" s="1"/>
      <c r="D243" s="1"/>
      <c r="E243" s="1"/>
      <c r="F243" s="1"/>
      <c r="G243" s="5"/>
      <c r="H243" s="1"/>
      <c r="I243" s="1"/>
      <c r="J243" s="5"/>
      <c r="K243" s="1"/>
      <c r="L243" s="1"/>
      <c r="M243" s="1"/>
      <c r="N243" s="1"/>
      <c r="O243" s="1"/>
      <c r="P243" s="1"/>
      <c r="Q243" s="1"/>
      <c r="R243" s="1"/>
      <c r="S243" s="1"/>
      <c r="T243" s="1"/>
      <c r="U243" s="1"/>
      <c r="V243" s="1"/>
      <c r="W243" s="1"/>
      <c r="X243" s="1"/>
      <c r="Y243" s="1"/>
      <c r="Z243" s="1"/>
    </row>
    <row r="244">
      <c r="A244" s="1"/>
      <c r="B244" s="1"/>
      <c r="C244" s="1"/>
      <c r="D244" s="1"/>
      <c r="E244" s="1"/>
      <c r="F244" s="1"/>
      <c r="G244" s="5"/>
      <c r="H244" s="1"/>
      <c r="I244" s="1"/>
      <c r="J244" s="5"/>
      <c r="K244" s="1"/>
      <c r="L244" s="1"/>
      <c r="M244" s="1"/>
      <c r="N244" s="1"/>
      <c r="O244" s="1"/>
      <c r="P244" s="1"/>
      <c r="Q244" s="1"/>
      <c r="R244" s="1"/>
      <c r="S244" s="1"/>
      <c r="T244" s="1"/>
      <c r="U244" s="1"/>
      <c r="V244" s="1"/>
      <c r="W244" s="1"/>
      <c r="X244" s="1"/>
      <c r="Y244" s="1"/>
      <c r="Z244" s="1"/>
    </row>
    <row r="245">
      <c r="A245" s="1"/>
      <c r="B245" s="1"/>
      <c r="C245" s="1"/>
      <c r="D245" s="1"/>
      <c r="E245" s="1"/>
      <c r="F245" s="1"/>
      <c r="G245" s="5"/>
      <c r="H245" s="1"/>
      <c r="I245" s="1"/>
      <c r="J245" s="5"/>
      <c r="K245" s="1"/>
      <c r="L245" s="1"/>
      <c r="M245" s="1"/>
      <c r="N245" s="1"/>
      <c r="O245" s="1"/>
      <c r="P245" s="1"/>
      <c r="Q245" s="1"/>
      <c r="R245" s="1"/>
      <c r="S245" s="1"/>
      <c r="T245" s="1"/>
      <c r="U245" s="1"/>
      <c r="V245" s="1"/>
      <c r="W245" s="1"/>
      <c r="X245" s="1"/>
      <c r="Y245" s="1"/>
      <c r="Z245" s="1"/>
    </row>
    <row r="246">
      <c r="A246" s="1"/>
      <c r="B246" s="1"/>
      <c r="C246" s="1"/>
      <c r="D246" s="1"/>
      <c r="E246" s="1"/>
      <c r="F246" s="1"/>
      <c r="G246" s="5"/>
      <c r="H246" s="1"/>
      <c r="I246" s="1"/>
      <c r="J246" s="5"/>
      <c r="K246" s="1"/>
      <c r="L246" s="1"/>
      <c r="M246" s="1"/>
      <c r="N246" s="1"/>
      <c r="O246" s="1"/>
      <c r="P246" s="1"/>
      <c r="Q246" s="1"/>
      <c r="R246" s="1"/>
      <c r="S246" s="1"/>
      <c r="T246" s="1"/>
      <c r="U246" s="1"/>
      <c r="V246" s="1"/>
      <c r="W246" s="1"/>
      <c r="X246" s="1"/>
      <c r="Y246" s="1"/>
      <c r="Z246" s="1"/>
    </row>
    <row r="247">
      <c r="A247" s="1"/>
      <c r="B247" s="1"/>
      <c r="C247" s="1"/>
      <c r="D247" s="1"/>
      <c r="E247" s="1"/>
      <c r="F247" s="1"/>
      <c r="G247" s="5"/>
      <c r="H247" s="1"/>
      <c r="I247" s="1"/>
      <c r="J247" s="5"/>
      <c r="K247" s="1"/>
      <c r="L247" s="1"/>
      <c r="M247" s="1"/>
      <c r="N247" s="1"/>
      <c r="O247" s="1"/>
      <c r="P247" s="1"/>
      <c r="Q247" s="1"/>
      <c r="R247" s="1"/>
      <c r="S247" s="1"/>
      <c r="T247" s="1"/>
      <c r="U247" s="1"/>
      <c r="V247" s="1"/>
      <c r="W247" s="1"/>
      <c r="X247" s="1"/>
      <c r="Y247" s="1"/>
      <c r="Z247" s="1"/>
    </row>
    <row r="248">
      <c r="A248" s="1"/>
      <c r="B248" s="1"/>
      <c r="C248" s="1"/>
      <c r="D248" s="1"/>
      <c r="E248" s="1"/>
      <c r="F248" s="1"/>
      <c r="G248" s="5"/>
      <c r="H248" s="1"/>
      <c r="I248" s="1"/>
      <c r="J248" s="5"/>
      <c r="K248" s="1"/>
      <c r="L248" s="1"/>
      <c r="M248" s="1"/>
      <c r="N248" s="1"/>
      <c r="O248" s="1"/>
      <c r="P248" s="1"/>
      <c r="Q248" s="1"/>
      <c r="R248" s="1"/>
      <c r="S248" s="1"/>
      <c r="T248" s="1"/>
      <c r="U248" s="1"/>
      <c r="V248" s="1"/>
      <c r="W248" s="1"/>
      <c r="X248" s="1"/>
      <c r="Y248" s="1"/>
      <c r="Z248" s="1"/>
    </row>
    <row r="249">
      <c r="A249" s="1"/>
      <c r="B249" s="1"/>
      <c r="C249" s="1"/>
      <c r="D249" s="1"/>
      <c r="E249" s="1"/>
      <c r="F249" s="1"/>
      <c r="G249" s="5"/>
      <c r="H249" s="1"/>
      <c r="I249" s="1"/>
      <c r="J249" s="5"/>
      <c r="K249" s="1"/>
      <c r="L249" s="1"/>
      <c r="M249" s="1"/>
      <c r="N249" s="1"/>
      <c r="O249" s="1"/>
      <c r="P249" s="1"/>
      <c r="Q249" s="1"/>
      <c r="R249" s="1"/>
      <c r="S249" s="1"/>
      <c r="T249" s="1"/>
      <c r="U249" s="1"/>
      <c r="V249" s="1"/>
      <c r="W249" s="1"/>
      <c r="X249" s="1"/>
      <c r="Y249" s="1"/>
      <c r="Z249" s="1"/>
    </row>
    <row r="250">
      <c r="A250" s="1"/>
      <c r="B250" s="1"/>
      <c r="C250" s="1"/>
      <c r="D250" s="1"/>
      <c r="E250" s="1"/>
      <c r="F250" s="1"/>
      <c r="G250" s="5"/>
      <c r="H250" s="1"/>
      <c r="I250" s="1"/>
      <c r="J250" s="5"/>
      <c r="K250" s="1"/>
      <c r="L250" s="1"/>
      <c r="M250" s="1"/>
      <c r="N250" s="1"/>
      <c r="O250" s="1"/>
      <c r="P250" s="1"/>
      <c r="Q250" s="1"/>
      <c r="R250" s="1"/>
      <c r="S250" s="1"/>
      <c r="T250" s="1"/>
      <c r="U250" s="1"/>
      <c r="V250" s="1"/>
      <c r="W250" s="1"/>
      <c r="X250" s="1"/>
      <c r="Y250" s="1"/>
      <c r="Z250" s="1"/>
    </row>
    <row r="251">
      <c r="A251" s="1"/>
      <c r="B251" s="1"/>
      <c r="C251" s="1"/>
      <c r="D251" s="1"/>
      <c r="E251" s="1"/>
      <c r="F251" s="1"/>
      <c r="G251" s="5"/>
      <c r="H251" s="1"/>
      <c r="I251" s="1"/>
      <c r="J251" s="5"/>
      <c r="K251" s="1"/>
      <c r="L251" s="1"/>
      <c r="M251" s="1"/>
      <c r="N251" s="1"/>
      <c r="O251" s="1"/>
      <c r="P251" s="1"/>
      <c r="Q251" s="1"/>
      <c r="R251" s="1"/>
      <c r="S251" s="1"/>
      <c r="T251" s="1"/>
      <c r="U251" s="1"/>
      <c r="V251" s="1"/>
      <c r="W251" s="1"/>
      <c r="X251" s="1"/>
      <c r="Y251" s="1"/>
      <c r="Z251" s="1"/>
    </row>
    <row r="252">
      <c r="A252" s="1"/>
      <c r="B252" s="1"/>
      <c r="C252" s="1"/>
      <c r="D252" s="1"/>
      <c r="E252" s="1"/>
      <c r="F252" s="1"/>
      <c r="G252" s="5"/>
      <c r="H252" s="1"/>
      <c r="I252" s="1"/>
      <c r="J252" s="5"/>
      <c r="K252" s="1"/>
      <c r="L252" s="1"/>
      <c r="M252" s="1"/>
      <c r="N252" s="1"/>
      <c r="O252" s="1"/>
      <c r="P252" s="1"/>
      <c r="Q252" s="1"/>
      <c r="R252" s="1"/>
      <c r="S252" s="1"/>
      <c r="T252" s="1"/>
      <c r="U252" s="1"/>
      <c r="V252" s="1"/>
      <c r="W252" s="1"/>
      <c r="X252" s="1"/>
      <c r="Y252" s="1"/>
      <c r="Z252" s="1"/>
    </row>
    <row r="253">
      <c r="A253" s="1"/>
      <c r="B253" s="1"/>
      <c r="C253" s="1"/>
      <c r="D253" s="1"/>
      <c r="E253" s="1"/>
      <c r="F253" s="1"/>
      <c r="G253" s="5"/>
      <c r="H253" s="1"/>
      <c r="I253" s="1"/>
      <c r="J253" s="5"/>
      <c r="K253" s="1"/>
      <c r="L253" s="1"/>
      <c r="M253" s="1"/>
      <c r="N253" s="1"/>
      <c r="O253" s="1"/>
      <c r="P253" s="1"/>
      <c r="Q253" s="1"/>
      <c r="R253" s="1"/>
      <c r="S253" s="1"/>
      <c r="T253" s="1"/>
      <c r="U253" s="1"/>
      <c r="V253" s="1"/>
      <c r="W253" s="1"/>
      <c r="X253" s="1"/>
      <c r="Y253" s="1"/>
      <c r="Z253" s="1"/>
    </row>
    <row r="254">
      <c r="A254" s="1"/>
      <c r="B254" s="1"/>
      <c r="C254" s="1"/>
      <c r="D254" s="1"/>
      <c r="E254" s="1"/>
      <c r="F254" s="1"/>
      <c r="G254" s="5"/>
      <c r="H254" s="1"/>
      <c r="I254" s="1"/>
      <c r="J254" s="5"/>
      <c r="K254" s="1"/>
      <c r="L254" s="1"/>
      <c r="M254" s="1"/>
      <c r="N254" s="1"/>
      <c r="O254" s="1"/>
      <c r="P254" s="1"/>
      <c r="Q254" s="1"/>
      <c r="R254" s="1"/>
      <c r="S254" s="1"/>
      <c r="T254" s="1"/>
      <c r="U254" s="1"/>
      <c r="V254" s="1"/>
      <c r="W254" s="1"/>
      <c r="X254" s="1"/>
      <c r="Y254" s="1"/>
      <c r="Z254" s="1"/>
    </row>
    <row r="255">
      <c r="A255" s="53"/>
      <c r="B255" s="53"/>
      <c r="C255" s="53"/>
      <c r="D255" s="53"/>
      <c r="E255" s="53"/>
      <c r="F255" s="53"/>
      <c r="G255" s="54"/>
      <c r="H255" s="53"/>
      <c r="I255" s="53"/>
      <c r="J255" s="54"/>
      <c r="K255" s="53"/>
      <c r="L255" s="53"/>
      <c r="M255" s="53"/>
      <c r="N255" s="53"/>
      <c r="O255" s="53"/>
      <c r="P255" s="53"/>
      <c r="Q255" s="53"/>
      <c r="R255" s="53"/>
      <c r="S255" s="53"/>
      <c r="T255" s="53"/>
      <c r="U255" s="53"/>
      <c r="V255" s="53"/>
      <c r="W255" s="53"/>
      <c r="X255" s="53"/>
      <c r="Y255" s="53"/>
      <c r="Z255" s="53"/>
    </row>
    <row r="256">
      <c r="A256" s="53"/>
      <c r="B256" s="53"/>
      <c r="C256" s="53"/>
      <c r="D256" s="53"/>
      <c r="E256" s="53"/>
      <c r="F256" s="53"/>
      <c r="G256" s="54"/>
      <c r="H256" s="53"/>
      <c r="I256" s="53"/>
      <c r="J256" s="54"/>
      <c r="K256" s="53"/>
      <c r="L256" s="53"/>
      <c r="M256" s="53"/>
      <c r="N256" s="53"/>
      <c r="O256" s="53"/>
      <c r="P256" s="53"/>
      <c r="Q256" s="53"/>
      <c r="R256" s="53"/>
      <c r="S256" s="53"/>
      <c r="T256" s="53"/>
      <c r="U256" s="53"/>
      <c r="V256" s="53"/>
      <c r="W256" s="53"/>
      <c r="X256" s="53"/>
      <c r="Y256" s="53"/>
      <c r="Z256" s="53"/>
    </row>
    <row r="257">
      <c r="A257" s="53"/>
      <c r="B257" s="53"/>
      <c r="C257" s="53"/>
      <c r="D257" s="53"/>
      <c r="E257" s="53"/>
      <c r="F257" s="53"/>
      <c r="G257" s="54"/>
      <c r="H257" s="53"/>
      <c r="I257" s="53"/>
      <c r="J257" s="54"/>
      <c r="K257" s="53"/>
      <c r="L257" s="53"/>
      <c r="M257" s="53"/>
      <c r="N257" s="53"/>
      <c r="O257" s="53"/>
      <c r="P257" s="53"/>
      <c r="Q257" s="53"/>
      <c r="R257" s="53"/>
      <c r="S257" s="53"/>
      <c r="T257" s="53"/>
      <c r="U257" s="53"/>
      <c r="V257" s="53"/>
      <c r="W257" s="53"/>
      <c r="X257" s="53"/>
      <c r="Y257" s="53"/>
      <c r="Z257" s="53"/>
    </row>
    <row r="258">
      <c r="A258" s="53"/>
      <c r="B258" s="53"/>
      <c r="C258" s="53"/>
      <c r="D258" s="53"/>
      <c r="E258" s="53"/>
      <c r="F258" s="53"/>
      <c r="G258" s="54"/>
      <c r="H258" s="53"/>
      <c r="I258" s="53"/>
      <c r="J258" s="54"/>
      <c r="K258" s="53"/>
      <c r="L258" s="53"/>
      <c r="M258" s="53"/>
      <c r="N258" s="53"/>
      <c r="O258" s="53"/>
      <c r="P258" s="53"/>
      <c r="Q258" s="53"/>
      <c r="R258" s="53"/>
      <c r="S258" s="53"/>
      <c r="T258" s="53"/>
      <c r="U258" s="53"/>
      <c r="V258" s="53"/>
      <c r="W258" s="53"/>
      <c r="X258" s="53"/>
      <c r="Y258" s="53"/>
      <c r="Z258" s="53"/>
    </row>
    <row r="259">
      <c r="A259" s="53"/>
      <c r="B259" s="53"/>
      <c r="C259" s="53"/>
      <c r="D259" s="53"/>
      <c r="E259" s="53"/>
      <c r="F259" s="53"/>
      <c r="G259" s="54"/>
      <c r="H259" s="53"/>
      <c r="I259" s="53"/>
      <c r="J259" s="54"/>
      <c r="K259" s="53"/>
      <c r="L259" s="53"/>
      <c r="M259" s="53"/>
      <c r="N259" s="53"/>
      <c r="O259" s="53"/>
      <c r="P259" s="53"/>
      <c r="Q259" s="53"/>
      <c r="R259" s="53"/>
      <c r="S259" s="53"/>
      <c r="T259" s="53"/>
      <c r="U259" s="53"/>
      <c r="V259" s="53"/>
      <c r="W259" s="53"/>
      <c r="X259" s="53"/>
      <c r="Y259" s="53"/>
      <c r="Z259" s="53"/>
    </row>
    <row r="260">
      <c r="A260" s="53"/>
      <c r="B260" s="53"/>
      <c r="C260" s="53"/>
      <c r="D260" s="53"/>
      <c r="E260" s="53"/>
      <c r="F260" s="53"/>
      <c r="G260" s="54"/>
      <c r="H260" s="53"/>
      <c r="I260" s="53"/>
      <c r="J260" s="54"/>
      <c r="K260" s="53"/>
      <c r="L260" s="53"/>
      <c r="M260" s="53"/>
      <c r="N260" s="53"/>
      <c r="O260" s="53"/>
      <c r="P260" s="53"/>
      <c r="Q260" s="53"/>
      <c r="R260" s="53"/>
      <c r="S260" s="53"/>
      <c r="T260" s="53"/>
      <c r="U260" s="53"/>
      <c r="V260" s="53"/>
      <c r="W260" s="53"/>
      <c r="X260" s="53"/>
      <c r="Y260" s="53"/>
      <c r="Z260" s="53"/>
    </row>
    <row r="261">
      <c r="A261" s="53"/>
      <c r="B261" s="53"/>
      <c r="C261" s="53"/>
      <c r="D261" s="53"/>
      <c r="E261" s="53"/>
      <c r="F261" s="53"/>
      <c r="G261" s="54"/>
      <c r="H261" s="53"/>
      <c r="I261" s="53"/>
      <c r="J261" s="54"/>
      <c r="K261" s="53"/>
      <c r="L261" s="53"/>
      <c r="M261" s="53"/>
      <c r="N261" s="53"/>
      <c r="O261" s="53"/>
      <c r="P261" s="53"/>
      <c r="Q261" s="53"/>
      <c r="R261" s="53"/>
      <c r="S261" s="53"/>
      <c r="T261" s="53"/>
      <c r="U261" s="53"/>
      <c r="V261" s="53"/>
      <c r="W261" s="53"/>
      <c r="X261" s="53"/>
      <c r="Y261" s="53"/>
      <c r="Z261" s="53"/>
    </row>
    <row r="262">
      <c r="A262" s="53"/>
      <c r="B262" s="53"/>
      <c r="C262" s="53"/>
      <c r="D262" s="53"/>
      <c r="E262" s="53"/>
      <c r="F262" s="53"/>
      <c r="G262" s="54"/>
      <c r="H262" s="53"/>
      <c r="I262" s="53"/>
      <c r="J262" s="54"/>
      <c r="K262" s="53"/>
      <c r="L262" s="53"/>
      <c r="M262" s="53"/>
      <c r="N262" s="53"/>
      <c r="O262" s="53"/>
      <c r="P262" s="53"/>
      <c r="Q262" s="53"/>
      <c r="R262" s="53"/>
      <c r="S262" s="53"/>
      <c r="T262" s="53"/>
      <c r="U262" s="53"/>
      <c r="V262" s="53"/>
      <c r="W262" s="53"/>
      <c r="X262" s="53"/>
      <c r="Y262" s="53"/>
      <c r="Z262" s="53"/>
    </row>
    <row r="263">
      <c r="A263" s="53"/>
      <c r="B263" s="53"/>
      <c r="C263" s="53"/>
      <c r="D263" s="53"/>
      <c r="E263" s="53"/>
      <c r="F263" s="53"/>
      <c r="G263" s="54"/>
      <c r="H263" s="53"/>
      <c r="I263" s="53"/>
      <c r="J263" s="54"/>
      <c r="K263" s="53"/>
      <c r="L263" s="53"/>
      <c r="M263" s="53"/>
      <c r="N263" s="53"/>
      <c r="O263" s="53"/>
      <c r="P263" s="53"/>
      <c r="Q263" s="53"/>
      <c r="R263" s="53"/>
      <c r="S263" s="53"/>
      <c r="T263" s="53"/>
      <c r="U263" s="53"/>
      <c r="V263" s="53"/>
      <c r="W263" s="53"/>
      <c r="X263" s="53"/>
      <c r="Y263" s="53"/>
      <c r="Z263" s="53"/>
    </row>
    <row r="264">
      <c r="A264" s="53"/>
      <c r="B264" s="53"/>
      <c r="C264" s="53"/>
      <c r="D264" s="53"/>
      <c r="E264" s="53"/>
      <c r="F264" s="53"/>
      <c r="G264" s="54"/>
      <c r="H264" s="53"/>
      <c r="I264" s="53"/>
      <c r="J264" s="54"/>
      <c r="K264" s="53"/>
      <c r="L264" s="53"/>
      <c r="M264" s="53"/>
      <c r="N264" s="53"/>
      <c r="O264" s="53"/>
      <c r="P264" s="53"/>
      <c r="Q264" s="53"/>
      <c r="R264" s="53"/>
      <c r="S264" s="53"/>
      <c r="T264" s="53"/>
      <c r="U264" s="53"/>
      <c r="V264" s="53"/>
      <c r="W264" s="53"/>
      <c r="X264" s="53"/>
      <c r="Y264" s="53"/>
      <c r="Z264" s="53"/>
    </row>
    <row r="265">
      <c r="A265" s="53"/>
      <c r="B265" s="53"/>
      <c r="C265" s="53"/>
      <c r="D265" s="53"/>
      <c r="E265" s="53"/>
      <c r="F265" s="53"/>
      <c r="G265" s="54"/>
      <c r="H265" s="53"/>
      <c r="I265" s="53"/>
      <c r="J265" s="54"/>
      <c r="K265" s="53"/>
      <c r="L265" s="53"/>
      <c r="M265" s="53"/>
      <c r="N265" s="53"/>
      <c r="O265" s="53"/>
      <c r="P265" s="53"/>
      <c r="Q265" s="53"/>
      <c r="R265" s="53"/>
      <c r="S265" s="53"/>
      <c r="T265" s="53"/>
      <c r="U265" s="53"/>
      <c r="V265" s="53"/>
      <c r="W265" s="53"/>
      <c r="X265" s="53"/>
      <c r="Y265" s="53"/>
      <c r="Z265" s="53"/>
    </row>
    <row r="266">
      <c r="A266" s="53"/>
      <c r="B266" s="53"/>
      <c r="C266" s="53"/>
      <c r="D266" s="53"/>
      <c r="E266" s="53"/>
      <c r="F266" s="53"/>
      <c r="G266" s="54"/>
      <c r="H266" s="53"/>
      <c r="I266" s="53"/>
      <c r="J266" s="54"/>
      <c r="K266" s="53"/>
      <c r="L266" s="53"/>
      <c r="M266" s="53"/>
      <c r="N266" s="53"/>
      <c r="O266" s="53"/>
      <c r="P266" s="53"/>
      <c r="Q266" s="53"/>
      <c r="R266" s="53"/>
      <c r="S266" s="53"/>
      <c r="T266" s="53"/>
      <c r="U266" s="53"/>
      <c r="V266" s="53"/>
      <c r="W266" s="53"/>
      <c r="X266" s="53"/>
      <c r="Y266" s="53"/>
      <c r="Z266" s="53"/>
    </row>
    <row r="267">
      <c r="A267" s="53"/>
      <c r="B267" s="53"/>
      <c r="C267" s="53"/>
      <c r="D267" s="53"/>
      <c r="E267" s="53"/>
      <c r="F267" s="53"/>
      <c r="G267" s="54"/>
      <c r="H267" s="53"/>
      <c r="I267" s="53"/>
      <c r="J267" s="54"/>
      <c r="K267" s="53"/>
      <c r="L267" s="53"/>
      <c r="M267" s="53"/>
      <c r="N267" s="53"/>
      <c r="O267" s="53"/>
      <c r="P267" s="53"/>
      <c r="Q267" s="53"/>
      <c r="R267" s="53"/>
      <c r="S267" s="53"/>
      <c r="T267" s="53"/>
      <c r="U267" s="53"/>
      <c r="V267" s="53"/>
      <c r="W267" s="53"/>
      <c r="X267" s="53"/>
      <c r="Y267" s="53"/>
      <c r="Z267" s="53"/>
    </row>
    <row r="268">
      <c r="A268" s="53"/>
      <c r="B268" s="53"/>
      <c r="C268" s="53"/>
      <c r="D268" s="53"/>
      <c r="E268" s="53"/>
      <c r="F268" s="53"/>
      <c r="G268" s="54"/>
      <c r="H268" s="53"/>
      <c r="I268" s="53"/>
      <c r="J268" s="54"/>
      <c r="K268" s="53"/>
      <c r="L268" s="53"/>
      <c r="M268" s="53"/>
      <c r="N268" s="53"/>
      <c r="O268" s="53"/>
      <c r="P268" s="53"/>
      <c r="Q268" s="53"/>
      <c r="R268" s="53"/>
      <c r="S268" s="53"/>
      <c r="T268" s="53"/>
      <c r="U268" s="53"/>
      <c r="V268" s="53"/>
      <c r="W268" s="53"/>
      <c r="X268" s="53"/>
      <c r="Y268" s="53"/>
      <c r="Z268" s="53"/>
    </row>
    <row r="269">
      <c r="A269" s="53"/>
      <c r="B269" s="53"/>
      <c r="C269" s="53"/>
      <c r="D269" s="53"/>
      <c r="E269" s="53"/>
      <c r="F269" s="53"/>
      <c r="G269" s="54"/>
      <c r="H269" s="53"/>
      <c r="I269" s="53"/>
      <c r="J269" s="54"/>
      <c r="K269" s="53"/>
      <c r="L269" s="53"/>
      <c r="M269" s="53"/>
      <c r="N269" s="53"/>
      <c r="O269" s="53"/>
      <c r="P269" s="53"/>
      <c r="Q269" s="53"/>
      <c r="R269" s="53"/>
      <c r="S269" s="53"/>
      <c r="T269" s="53"/>
      <c r="U269" s="53"/>
      <c r="V269" s="53"/>
      <c r="W269" s="53"/>
      <c r="X269" s="53"/>
      <c r="Y269" s="53"/>
      <c r="Z269" s="53"/>
    </row>
    <row r="270">
      <c r="A270" s="53"/>
      <c r="B270" s="53"/>
      <c r="C270" s="53"/>
      <c r="D270" s="53"/>
      <c r="E270" s="53"/>
      <c r="F270" s="53"/>
      <c r="G270" s="54"/>
      <c r="H270" s="53"/>
      <c r="I270" s="53"/>
      <c r="J270" s="54"/>
      <c r="K270" s="53"/>
      <c r="L270" s="53"/>
      <c r="M270" s="53"/>
      <c r="N270" s="53"/>
      <c r="O270" s="53"/>
      <c r="P270" s="53"/>
      <c r="Q270" s="53"/>
      <c r="R270" s="53"/>
      <c r="S270" s="53"/>
      <c r="T270" s="53"/>
      <c r="U270" s="53"/>
      <c r="V270" s="53"/>
      <c r="W270" s="53"/>
      <c r="X270" s="53"/>
      <c r="Y270" s="53"/>
      <c r="Z270" s="53"/>
    </row>
    <row r="271">
      <c r="A271" s="53"/>
      <c r="B271" s="53"/>
      <c r="C271" s="53"/>
      <c r="D271" s="53"/>
      <c r="E271" s="53"/>
      <c r="F271" s="53"/>
      <c r="G271" s="54"/>
      <c r="H271" s="53"/>
      <c r="I271" s="53"/>
      <c r="J271" s="54"/>
      <c r="K271" s="53"/>
      <c r="L271" s="53"/>
      <c r="M271" s="53"/>
      <c r="N271" s="53"/>
      <c r="O271" s="53"/>
      <c r="P271" s="53"/>
      <c r="Q271" s="53"/>
      <c r="R271" s="53"/>
      <c r="S271" s="53"/>
      <c r="T271" s="53"/>
      <c r="U271" s="53"/>
      <c r="V271" s="53"/>
      <c r="W271" s="53"/>
      <c r="X271" s="53"/>
      <c r="Y271" s="53"/>
      <c r="Z271" s="53"/>
    </row>
    <row r="272">
      <c r="A272" s="53"/>
      <c r="B272" s="53"/>
      <c r="C272" s="53"/>
      <c r="D272" s="53"/>
      <c r="E272" s="53"/>
      <c r="F272" s="53"/>
      <c r="G272" s="54"/>
      <c r="H272" s="53"/>
      <c r="I272" s="53"/>
      <c r="J272" s="54"/>
      <c r="K272" s="53"/>
      <c r="L272" s="53"/>
      <c r="M272" s="53"/>
      <c r="N272" s="53"/>
      <c r="O272" s="53"/>
      <c r="P272" s="53"/>
      <c r="Q272" s="53"/>
      <c r="R272" s="53"/>
      <c r="S272" s="53"/>
      <c r="T272" s="53"/>
      <c r="U272" s="53"/>
      <c r="V272" s="53"/>
      <c r="W272" s="53"/>
      <c r="X272" s="53"/>
      <c r="Y272" s="53"/>
      <c r="Z272" s="53"/>
    </row>
    <row r="273">
      <c r="A273" s="53"/>
      <c r="B273" s="53"/>
      <c r="C273" s="53"/>
      <c r="D273" s="53"/>
      <c r="E273" s="53"/>
      <c r="F273" s="53"/>
      <c r="G273" s="54"/>
      <c r="H273" s="53"/>
      <c r="I273" s="53"/>
      <c r="J273" s="54"/>
      <c r="K273" s="53"/>
      <c r="L273" s="53"/>
      <c r="M273" s="53"/>
      <c r="N273" s="53"/>
      <c r="O273" s="53"/>
      <c r="P273" s="53"/>
      <c r="Q273" s="53"/>
      <c r="R273" s="53"/>
      <c r="S273" s="53"/>
      <c r="T273" s="53"/>
      <c r="U273" s="53"/>
      <c r="V273" s="53"/>
      <c r="W273" s="53"/>
      <c r="X273" s="53"/>
      <c r="Y273" s="53"/>
      <c r="Z273" s="53"/>
    </row>
    <row r="274">
      <c r="A274" s="53"/>
      <c r="B274" s="53"/>
      <c r="C274" s="53"/>
      <c r="D274" s="53"/>
      <c r="E274" s="53"/>
      <c r="F274" s="53"/>
      <c r="G274" s="54"/>
      <c r="H274" s="53"/>
      <c r="I274" s="53"/>
      <c r="J274" s="54"/>
      <c r="K274" s="53"/>
      <c r="L274" s="53"/>
      <c r="M274" s="53"/>
      <c r="N274" s="53"/>
      <c r="O274" s="53"/>
      <c r="P274" s="53"/>
      <c r="Q274" s="53"/>
      <c r="R274" s="53"/>
      <c r="S274" s="53"/>
      <c r="T274" s="53"/>
      <c r="U274" s="53"/>
      <c r="V274" s="53"/>
      <c r="W274" s="53"/>
      <c r="X274" s="53"/>
      <c r="Y274" s="53"/>
      <c r="Z274" s="53"/>
    </row>
    <row r="275">
      <c r="A275" s="53"/>
      <c r="B275" s="53"/>
      <c r="C275" s="53"/>
      <c r="D275" s="53"/>
      <c r="E275" s="53"/>
      <c r="F275" s="53"/>
      <c r="G275" s="54"/>
      <c r="H275" s="53"/>
      <c r="I275" s="53"/>
      <c r="J275" s="54"/>
      <c r="K275" s="53"/>
      <c r="L275" s="53"/>
      <c r="M275" s="53"/>
      <c r="N275" s="53"/>
      <c r="O275" s="53"/>
      <c r="P275" s="53"/>
      <c r="Q275" s="53"/>
      <c r="R275" s="53"/>
      <c r="S275" s="53"/>
      <c r="T275" s="53"/>
      <c r="U275" s="53"/>
      <c r="V275" s="53"/>
      <c r="W275" s="53"/>
      <c r="X275" s="53"/>
      <c r="Y275" s="53"/>
      <c r="Z275" s="53"/>
    </row>
    <row r="276">
      <c r="A276" s="53"/>
      <c r="B276" s="53"/>
      <c r="C276" s="53"/>
      <c r="D276" s="53"/>
      <c r="E276" s="53"/>
      <c r="F276" s="53"/>
      <c r="G276" s="54"/>
      <c r="H276" s="53"/>
      <c r="I276" s="53"/>
      <c r="J276" s="54"/>
      <c r="K276" s="53"/>
      <c r="L276" s="53"/>
      <c r="M276" s="53"/>
      <c r="N276" s="53"/>
      <c r="O276" s="53"/>
      <c r="P276" s="53"/>
      <c r="Q276" s="53"/>
      <c r="R276" s="53"/>
      <c r="S276" s="53"/>
      <c r="T276" s="53"/>
      <c r="U276" s="53"/>
      <c r="V276" s="53"/>
      <c r="W276" s="53"/>
      <c r="X276" s="53"/>
      <c r="Y276" s="53"/>
      <c r="Z276" s="53"/>
    </row>
    <row r="277">
      <c r="A277" s="53"/>
      <c r="B277" s="53"/>
      <c r="C277" s="53"/>
      <c r="D277" s="53"/>
      <c r="E277" s="53"/>
      <c r="F277" s="53"/>
      <c r="G277" s="54"/>
      <c r="H277" s="53"/>
      <c r="I277" s="53"/>
      <c r="J277" s="54"/>
      <c r="K277" s="53"/>
      <c r="L277" s="53"/>
      <c r="M277" s="53"/>
      <c r="N277" s="53"/>
      <c r="O277" s="53"/>
      <c r="P277" s="53"/>
      <c r="Q277" s="53"/>
      <c r="R277" s="53"/>
      <c r="S277" s="53"/>
      <c r="T277" s="53"/>
      <c r="U277" s="53"/>
      <c r="V277" s="53"/>
      <c r="W277" s="53"/>
      <c r="X277" s="53"/>
      <c r="Y277" s="53"/>
      <c r="Z277" s="53"/>
    </row>
    <row r="278">
      <c r="A278" s="53"/>
      <c r="B278" s="53"/>
      <c r="C278" s="53"/>
      <c r="D278" s="53"/>
      <c r="E278" s="53"/>
      <c r="F278" s="53"/>
      <c r="G278" s="54"/>
      <c r="H278" s="53"/>
      <c r="I278" s="53"/>
      <c r="J278" s="54"/>
      <c r="K278" s="53"/>
      <c r="L278" s="53"/>
      <c r="M278" s="53"/>
      <c r="N278" s="53"/>
      <c r="O278" s="53"/>
      <c r="P278" s="53"/>
      <c r="Q278" s="53"/>
      <c r="R278" s="53"/>
      <c r="S278" s="53"/>
      <c r="T278" s="53"/>
      <c r="U278" s="53"/>
      <c r="V278" s="53"/>
      <c r="W278" s="53"/>
      <c r="X278" s="53"/>
      <c r="Y278" s="53"/>
      <c r="Z278" s="53"/>
    </row>
    <row r="279">
      <c r="A279" s="53"/>
      <c r="B279" s="53"/>
      <c r="C279" s="53"/>
      <c r="D279" s="53"/>
      <c r="E279" s="53"/>
      <c r="F279" s="53"/>
      <c r="G279" s="54"/>
      <c r="H279" s="53"/>
      <c r="I279" s="53"/>
      <c r="J279" s="54"/>
      <c r="K279" s="53"/>
      <c r="L279" s="53"/>
      <c r="M279" s="53"/>
      <c r="N279" s="53"/>
      <c r="O279" s="53"/>
      <c r="P279" s="53"/>
      <c r="Q279" s="53"/>
      <c r="R279" s="53"/>
      <c r="S279" s="53"/>
      <c r="T279" s="53"/>
      <c r="U279" s="53"/>
      <c r="V279" s="53"/>
      <c r="W279" s="53"/>
      <c r="X279" s="53"/>
      <c r="Y279" s="53"/>
      <c r="Z279" s="53"/>
    </row>
    <row r="280">
      <c r="A280" s="53"/>
      <c r="B280" s="53"/>
      <c r="C280" s="53"/>
      <c r="D280" s="53"/>
      <c r="E280" s="53"/>
      <c r="F280" s="53"/>
      <c r="G280" s="54"/>
      <c r="H280" s="53"/>
      <c r="I280" s="53"/>
      <c r="J280" s="54"/>
      <c r="K280" s="53"/>
      <c r="L280" s="53"/>
      <c r="M280" s="53"/>
      <c r="N280" s="53"/>
      <c r="O280" s="53"/>
      <c r="P280" s="53"/>
      <c r="Q280" s="53"/>
      <c r="R280" s="53"/>
      <c r="S280" s="53"/>
      <c r="T280" s="53"/>
      <c r="U280" s="53"/>
      <c r="V280" s="53"/>
      <c r="W280" s="53"/>
      <c r="X280" s="53"/>
      <c r="Y280" s="53"/>
      <c r="Z280" s="53"/>
    </row>
    <row r="281">
      <c r="A281" s="53"/>
      <c r="B281" s="53"/>
      <c r="C281" s="53"/>
      <c r="D281" s="53"/>
      <c r="E281" s="53"/>
      <c r="F281" s="53"/>
      <c r="G281" s="54"/>
      <c r="H281" s="53"/>
      <c r="I281" s="53"/>
      <c r="J281" s="54"/>
      <c r="K281" s="53"/>
      <c r="L281" s="53"/>
      <c r="M281" s="53"/>
      <c r="N281" s="53"/>
      <c r="O281" s="53"/>
      <c r="P281" s="53"/>
      <c r="Q281" s="53"/>
      <c r="R281" s="53"/>
      <c r="S281" s="53"/>
      <c r="T281" s="53"/>
      <c r="U281" s="53"/>
      <c r="V281" s="53"/>
      <c r="W281" s="53"/>
      <c r="X281" s="53"/>
      <c r="Y281" s="53"/>
      <c r="Z281" s="53"/>
    </row>
    <row r="282">
      <c r="A282" s="53"/>
      <c r="B282" s="53"/>
      <c r="C282" s="53"/>
      <c r="D282" s="53"/>
      <c r="E282" s="53"/>
      <c r="F282" s="53"/>
      <c r="G282" s="54"/>
      <c r="H282" s="53"/>
      <c r="I282" s="53"/>
      <c r="J282" s="54"/>
      <c r="K282" s="53"/>
      <c r="L282" s="53"/>
      <c r="M282" s="53"/>
      <c r="N282" s="53"/>
      <c r="O282" s="53"/>
      <c r="P282" s="53"/>
      <c r="Q282" s="53"/>
      <c r="R282" s="53"/>
      <c r="S282" s="53"/>
      <c r="T282" s="53"/>
      <c r="U282" s="53"/>
      <c r="V282" s="53"/>
      <c r="W282" s="53"/>
      <c r="X282" s="53"/>
      <c r="Y282" s="53"/>
      <c r="Z282" s="53"/>
    </row>
    <row r="283">
      <c r="A283" s="53"/>
      <c r="B283" s="53"/>
      <c r="C283" s="53"/>
      <c r="D283" s="53"/>
      <c r="E283" s="53"/>
      <c r="F283" s="53"/>
      <c r="G283" s="54"/>
      <c r="H283" s="53"/>
      <c r="I283" s="53"/>
      <c r="J283" s="54"/>
      <c r="K283" s="53"/>
      <c r="L283" s="53"/>
      <c r="M283" s="53"/>
      <c r="N283" s="53"/>
      <c r="O283" s="53"/>
      <c r="P283" s="53"/>
      <c r="Q283" s="53"/>
      <c r="R283" s="53"/>
      <c r="S283" s="53"/>
      <c r="T283" s="53"/>
      <c r="U283" s="53"/>
      <c r="V283" s="53"/>
      <c r="W283" s="53"/>
      <c r="X283" s="53"/>
      <c r="Y283" s="53"/>
      <c r="Z283" s="53"/>
    </row>
    <row r="284">
      <c r="A284" s="53"/>
      <c r="B284" s="53"/>
      <c r="C284" s="53"/>
      <c r="D284" s="53"/>
      <c r="E284" s="53"/>
      <c r="F284" s="53"/>
      <c r="G284" s="54"/>
      <c r="H284" s="53"/>
      <c r="I284" s="53"/>
      <c r="J284" s="54"/>
      <c r="K284" s="53"/>
      <c r="L284" s="53"/>
      <c r="M284" s="53"/>
      <c r="N284" s="53"/>
      <c r="O284" s="53"/>
      <c r="P284" s="53"/>
      <c r="Q284" s="53"/>
      <c r="R284" s="53"/>
      <c r="S284" s="53"/>
      <c r="T284" s="53"/>
      <c r="U284" s="53"/>
      <c r="V284" s="53"/>
      <c r="W284" s="53"/>
      <c r="X284" s="53"/>
      <c r="Y284" s="53"/>
      <c r="Z284" s="53"/>
    </row>
    <row r="285">
      <c r="A285" s="53"/>
      <c r="B285" s="53"/>
      <c r="C285" s="53"/>
      <c r="D285" s="53"/>
      <c r="E285" s="53"/>
      <c r="F285" s="53"/>
      <c r="G285" s="54"/>
      <c r="H285" s="53"/>
      <c r="I285" s="53"/>
      <c r="J285" s="54"/>
      <c r="K285" s="53"/>
      <c r="L285" s="53"/>
      <c r="M285" s="53"/>
      <c r="N285" s="53"/>
      <c r="O285" s="53"/>
      <c r="P285" s="53"/>
      <c r="Q285" s="53"/>
      <c r="R285" s="53"/>
      <c r="S285" s="53"/>
      <c r="T285" s="53"/>
      <c r="U285" s="53"/>
      <c r="V285" s="53"/>
      <c r="W285" s="53"/>
      <c r="X285" s="53"/>
      <c r="Y285" s="53"/>
      <c r="Z285" s="53"/>
    </row>
    <row r="286">
      <c r="A286" s="53"/>
      <c r="B286" s="53"/>
      <c r="C286" s="53"/>
      <c r="D286" s="53"/>
      <c r="E286" s="53"/>
      <c r="F286" s="53"/>
      <c r="G286" s="54"/>
      <c r="H286" s="53"/>
      <c r="I286" s="53"/>
      <c r="J286" s="54"/>
      <c r="K286" s="53"/>
      <c r="L286" s="53"/>
      <c r="M286" s="53"/>
      <c r="N286" s="53"/>
      <c r="O286" s="53"/>
      <c r="P286" s="53"/>
      <c r="Q286" s="53"/>
      <c r="R286" s="53"/>
      <c r="S286" s="53"/>
      <c r="T286" s="53"/>
      <c r="U286" s="53"/>
      <c r="V286" s="53"/>
      <c r="W286" s="53"/>
      <c r="X286" s="53"/>
      <c r="Y286" s="53"/>
      <c r="Z286" s="53"/>
    </row>
    <row r="287">
      <c r="A287" s="53"/>
      <c r="B287" s="53"/>
      <c r="C287" s="53"/>
      <c r="D287" s="53"/>
      <c r="E287" s="53"/>
      <c r="F287" s="53"/>
      <c r="G287" s="54"/>
      <c r="H287" s="53"/>
      <c r="I287" s="53"/>
      <c r="J287" s="54"/>
      <c r="K287" s="53"/>
      <c r="L287" s="53"/>
      <c r="M287" s="53"/>
      <c r="N287" s="53"/>
      <c r="O287" s="53"/>
      <c r="P287" s="53"/>
      <c r="Q287" s="53"/>
      <c r="R287" s="53"/>
      <c r="S287" s="53"/>
      <c r="T287" s="53"/>
      <c r="U287" s="53"/>
      <c r="V287" s="53"/>
      <c r="W287" s="53"/>
      <c r="X287" s="53"/>
      <c r="Y287" s="53"/>
      <c r="Z287" s="53"/>
    </row>
    <row r="288">
      <c r="A288" s="53"/>
      <c r="B288" s="53"/>
      <c r="C288" s="53"/>
      <c r="D288" s="53"/>
      <c r="E288" s="53"/>
      <c r="F288" s="53"/>
      <c r="G288" s="54"/>
      <c r="H288" s="53"/>
      <c r="I288" s="53"/>
      <c r="J288" s="54"/>
      <c r="K288" s="53"/>
      <c r="L288" s="53"/>
      <c r="M288" s="53"/>
      <c r="N288" s="53"/>
      <c r="O288" s="53"/>
      <c r="P288" s="53"/>
      <c r="Q288" s="53"/>
      <c r="R288" s="53"/>
      <c r="S288" s="53"/>
      <c r="T288" s="53"/>
      <c r="U288" s="53"/>
      <c r="V288" s="53"/>
      <c r="W288" s="53"/>
      <c r="X288" s="53"/>
      <c r="Y288" s="53"/>
      <c r="Z288" s="53"/>
    </row>
    <row r="289">
      <c r="A289" s="53"/>
      <c r="B289" s="53"/>
      <c r="C289" s="53"/>
      <c r="D289" s="53"/>
      <c r="E289" s="53"/>
      <c r="F289" s="53"/>
      <c r="G289" s="54"/>
      <c r="H289" s="53"/>
      <c r="I289" s="53"/>
      <c r="J289" s="54"/>
      <c r="K289" s="53"/>
      <c r="L289" s="53"/>
      <c r="M289" s="53"/>
      <c r="N289" s="53"/>
      <c r="O289" s="53"/>
      <c r="P289" s="53"/>
      <c r="Q289" s="53"/>
      <c r="R289" s="53"/>
      <c r="S289" s="53"/>
      <c r="T289" s="53"/>
      <c r="U289" s="53"/>
      <c r="V289" s="53"/>
      <c r="W289" s="53"/>
      <c r="X289" s="53"/>
      <c r="Y289" s="53"/>
      <c r="Z289" s="53"/>
    </row>
    <row r="290">
      <c r="A290" s="53"/>
      <c r="B290" s="53"/>
      <c r="C290" s="53"/>
      <c r="D290" s="53"/>
      <c r="E290" s="53"/>
      <c r="F290" s="53"/>
      <c r="G290" s="54"/>
      <c r="H290" s="53"/>
      <c r="I290" s="53"/>
      <c r="J290" s="54"/>
      <c r="K290" s="53"/>
      <c r="L290" s="53"/>
      <c r="M290" s="53"/>
      <c r="N290" s="53"/>
      <c r="O290" s="53"/>
      <c r="P290" s="53"/>
      <c r="Q290" s="53"/>
      <c r="R290" s="53"/>
      <c r="S290" s="53"/>
      <c r="T290" s="53"/>
      <c r="U290" s="53"/>
      <c r="V290" s="53"/>
      <c r="W290" s="53"/>
      <c r="X290" s="53"/>
      <c r="Y290" s="53"/>
      <c r="Z290" s="53"/>
    </row>
    <row r="291">
      <c r="A291" s="53"/>
      <c r="B291" s="53"/>
      <c r="C291" s="53"/>
      <c r="D291" s="53"/>
      <c r="E291" s="53"/>
      <c r="F291" s="53"/>
      <c r="G291" s="54"/>
      <c r="H291" s="53"/>
      <c r="I291" s="53"/>
      <c r="J291" s="54"/>
      <c r="K291" s="53"/>
      <c r="L291" s="53"/>
      <c r="M291" s="53"/>
      <c r="N291" s="53"/>
      <c r="O291" s="53"/>
      <c r="P291" s="53"/>
      <c r="Q291" s="53"/>
      <c r="R291" s="53"/>
      <c r="S291" s="53"/>
      <c r="T291" s="53"/>
      <c r="U291" s="53"/>
      <c r="V291" s="53"/>
      <c r="W291" s="53"/>
      <c r="X291" s="53"/>
      <c r="Y291" s="53"/>
      <c r="Z291" s="53"/>
    </row>
    <row r="292">
      <c r="A292" s="53"/>
      <c r="B292" s="53"/>
      <c r="C292" s="53"/>
      <c r="D292" s="53"/>
      <c r="E292" s="53"/>
      <c r="F292" s="53"/>
      <c r="G292" s="54"/>
      <c r="H292" s="53"/>
      <c r="I292" s="53"/>
      <c r="J292" s="54"/>
      <c r="K292" s="53"/>
      <c r="L292" s="53"/>
      <c r="M292" s="53"/>
      <c r="N292" s="53"/>
      <c r="O292" s="53"/>
      <c r="P292" s="53"/>
      <c r="Q292" s="53"/>
      <c r="R292" s="53"/>
      <c r="S292" s="53"/>
      <c r="T292" s="53"/>
      <c r="U292" s="53"/>
      <c r="V292" s="53"/>
      <c r="W292" s="53"/>
      <c r="X292" s="53"/>
      <c r="Y292" s="53"/>
      <c r="Z292" s="53"/>
    </row>
    <row r="293">
      <c r="A293" s="53"/>
      <c r="B293" s="53"/>
      <c r="C293" s="53"/>
      <c r="D293" s="53"/>
      <c r="E293" s="53"/>
      <c r="F293" s="53"/>
      <c r="G293" s="54"/>
      <c r="H293" s="53"/>
      <c r="I293" s="53"/>
      <c r="J293" s="54"/>
      <c r="K293" s="53"/>
      <c r="L293" s="53"/>
      <c r="M293" s="53"/>
      <c r="N293" s="53"/>
      <c r="O293" s="53"/>
      <c r="P293" s="53"/>
      <c r="Q293" s="53"/>
      <c r="R293" s="53"/>
      <c r="S293" s="53"/>
      <c r="T293" s="53"/>
      <c r="U293" s="53"/>
      <c r="V293" s="53"/>
      <c r="W293" s="53"/>
      <c r="X293" s="53"/>
      <c r="Y293" s="53"/>
      <c r="Z293" s="53"/>
    </row>
    <row r="294">
      <c r="A294" s="53"/>
      <c r="B294" s="53"/>
      <c r="C294" s="53"/>
      <c r="D294" s="53"/>
      <c r="E294" s="53"/>
      <c r="F294" s="53"/>
      <c r="G294" s="54"/>
      <c r="H294" s="53"/>
      <c r="I294" s="53"/>
      <c r="J294" s="54"/>
      <c r="K294" s="53"/>
      <c r="L294" s="53"/>
      <c r="M294" s="53"/>
      <c r="N294" s="53"/>
      <c r="O294" s="53"/>
      <c r="P294" s="53"/>
      <c r="Q294" s="53"/>
      <c r="R294" s="53"/>
      <c r="S294" s="53"/>
      <c r="T294" s="53"/>
      <c r="U294" s="53"/>
      <c r="V294" s="53"/>
      <c r="W294" s="53"/>
      <c r="X294" s="53"/>
      <c r="Y294" s="53"/>
      <c r="Z294" s="53"/>
    </row>
    <row r="295">
      <c r="A295" s="53"/>
      <c r="B295" s="53"/>
      <c r="C295" s="53"/>
      <c r="D295" s="53"/>
      <c r="E295" s="53"/>
      <c r="F295" s="53"/>
      <c r="G295" s="54"/>
      <c r="H295" s="53"/>
      <c r="I295" s="53"/>
      <c r="J295" s="54"/>
      <c r="K295" s="53"/>
      <c r="L295" s="53"/>
      <c r="M295" s="53"/>
      <c r="N295" s="53"/>
      <c r="O295" s="53"/>
      <c r="P295" s="53"/>
      <c r="Q295" s="53"/>
      <c r="R295" s="53"/>
      <c r="S295" s="53"/>
      <c r="T295" s="53"/>
      <c r="U295" s="53"/>
      <c r="V295" s="53"/>
      <c r="W295" s="53"/>
      <c r="X295" s="53"/>
      <c r="Y295" s="53"/>
      <c r="Z295" s="53"/>
    </row>
    <row r="296">
      <c r="A296" s="53"/>
      <c r="B296" s="53"/>
      <c r="C296" s="53"/>
      <c r="D296" s="53"/>
      <c r="E296" s="53"/>
      <c r="F296" s="53"/>
      <c r="G296" s="54"/>
      <c r="H296" s="53"/>
      <c r="I296" s="53"/>
      <c r="J296" s="54"/>
      <c r="K296" s="53"/>
      <c r="L296" s="53"/>
      <c r="M296" s="53"/>
      <c r="N296" s="53"/>
      <c r="O296" s="53"/>
      <c r="P296" s="53"/>
      <c r="Q296" s="53"/>
      <c r="R296" s="53"/>
      <c r="S296" s="53"/>
      <c r="T296" s="53"/>
      <c r="U296" s="53"/>
      <c r="V296" s="53"/>
      <c r="W296" s="53"/>
      <c r="X296" s="53"/>
      <c r="Y296" s="53"/>
      <c r="Z296" s="53"/>
    </row>
    <row r="297">
      <c r="A297" s="53"/>
      <c r="B297" s="53"/>
      <c r="C297" s="53"/>
      <c r="D297" s="53"/>
      <c r="E297" s="53"/>
      <c r="F297" s="53"/>
      <c r="G297" s="54"/>
      <c r="H297" s="53"/>
      <c r="I297" s="53"/>
      <c r="J297" s="54"/>
      <c r="K297" s="53"/>
      <c r="L297" s="53"/>
      <c r="M297" s="53"/>
      <c r="N297" s="53"/>
      <c r="O297" s="53"/>
      <c r="P297" s="53"/>
      <c r="Q297" s="53"/>
      <c r="R297" s="53"/>
      <c r="S297" s="53"/>
      <c r="T297" s="53"/>
      <c r="U297" s="53"/>
      <c r="V297" s="53"/>
      <c r="W297" s="53"/>
      <c r="X297" s="53"/>
      <c r="Y297" s="53"/>
      <c r="Z297" s="53"/>
    </row>
    <row r="298">
      <c r="A298" s="53"/>
      <c r="B298" s="53"/>
      <c r="C298" s="53"/>
      <c r="D298" s="53"/>
      <c r="E298" s="53"/>
      <c r="F298" s="53"/>
      <c r="G298" s="54"/>
      <c r="H298" s="53"/>
      <c r="I298" s="53"/>
      <c r="J298" s="54"/>
      <c r="K298" s="53"/>
      <c r="L298" s="53"/>
      <c r="M298" s="53"/>
      <c r="N298" s="53"/>
      <c r="O298" s="53"/>
      <c r="P298" s="53"/>
      <c r="Q298" s="53"/>
      <c r="R298" s="53"/>
      <c r="S298" s="53"/>
      <c r="T298" s="53"/>
      <c r="U298" s="53"/>
      <c r="V298" s="53"/>
      <c r="W298" s="53"/>
      <c r="X298" s="53"/>
      <c r="Y298" s="53"/>
      <c r="Z298" s="53"/>
    </row>
    <row r="299">
      <c r="A299" s="53"/>
      <c r="B299" s="53"/>
      <c r="C299" s="53"/>
      <c r="D299" s="53"/>
      <c r="E299" s="53"/>
      <c r="F299" s="53"/>
      <c r="G299" s="54"/>
      <c r="H299" s="53"/>
      <c r="I299" s="53"/>
      <c r="J299" s="54"/>
      <c r="K299" s="53"/>
      <c r="L299" s="53"/>
      <c r="M299" s="53"/>
      <c r="N299" s="53"/>
      <c r="O299" s="53"/>
      <c r="P299" s="53"/>
      <c r="Q299" s="53"/>
      <c r="R299" s="53"/>
      <c r="S299" s="53"/>
      <c r="T299" s="53"/>
      <c r="U299" s="53"/>
      <c r="V299" s="53"/>
      <c r="W299" s="53"/>
      <c r="X299" s="53"/>
      <c r="Y299" s="53"/>
      <c r="Z299" s="53"/>
    </row>
    <row r="300">
      <c r="A300" s="53"/>
      <c r="B300" s="53"/>
      <c r="C300" s="53"/>
      <c r="D300" s="53"/>
      <c r="E300" s="53"/>
      <c r="F300" s="53"/>
      <c r="G300" s="54"/>
      <c r="H300" s="53"/>
      <c r="I300" s="53"/>
      <c r="J300" s="54"/>
      <c r="K300" s="53"/>
      <c r="L300" s="53"/>
      <c r="M300" s="53"/>
      <c r="N300" s="53"/>
      <c r="O300" s="53"/>
      <c r="P300" s="53"/>
      <c r="Q300" s="53"/>
      <c r="R300" s="53"/>
      <c r="S300" s="53"/>
      <c r="T300" s="53"/>
      <c r="U300" s="53"/>
      <c r="V300" s="53"/>
      <c r="W300" s="53"/>
      <c r="X300" s="53"/>
      <c r="Y300" s="53"/>
      <c r="Z300" s="53"/>
    </row>
    <row r="301">
      <c r="A301" s="53"/>
      <c r="B301" s="53"/>
      <c r="C301" s="53"/>
      <c r="D301" s="53"/>
      <c r="E301" s="53"/>
      <c r="F301" s="53"/>
      <c r="G301" s="54"/>
      <c r="H301" s="53"/>
      <c r="I301" s="53"/>
      <c r="J301" s="54"/>
      <c r="K301" s="53"/>
      <c r="L301" s="53"/>
      <c r="M301" s="53"/>
      <c r="N301" s="53"/>
      <c r="O301" s="53"/>
      <c r="P301" s="53"/>
      <c r="Q301" s="53"/>
      <c r="R301" s="53"/>
      <c r="S301" s="53"/>
      <c r="T301" s="53"/>
      <c r="U301" s="53"/>
      <c r="V301" s="53"/>
      <c r="W301" s="53"/>
      <c r="X301" s="53"/>
      <c r="Y301" s="53"/>
      <c r="Z301" s="53"/>
    </row>
    <row r="302">
      <c r="A302" s="53"/>
      <c r="B302" s="53"/>
      <c r="C302" s="53"/>
      <c r="D302" s="53"/>
      <c r="E302" s="53"/>
      <c r="F302" s="53"/>
      <c r="G302" s="54"/>
      <c r="H302" s="53"/>
      <c r="I302" s="53"/>
      <c r="J302" s="54"/>
      <c r="K302" s="53"/>
      <c r="L302" s="53"/>
      <c r="M302" s="53"/>
      <c r="N302" s="53"/>
      <c r="O302" s="53"/>
      <c r="P302" s="53"/>
      <c r="Q302" s="53"/>
      <c r="R302" s="53"/>
      <c r="S302" s="53"/>
      <c r="T302" s="53"/>
      <c r="U302" s="53"/>
      <c r="V302" s="53"/>
      <c r="W302" s="53"/>
      <c r="X302" s="53"/>
      <c r="Y302" s="53"/>
      <c r="Z302" s="53"/>
    </row>
    <row r="303">
      <c r="A303" s="53"/>
      <c r="B303" s="53"/>
      <c r="C303" s="53"/>
      <c r="D303" s="53"/>
      <c r="E303" s="53"/>
      <c r="F303" s="53"/>
      <c r="G303" s="54"/>
      <c r="H303" s="53"/>
      <c r="I303" s="53"/>
      <c r="J303" s="54"/>
      <c r="K303" s="53"/>
      <c r="L303" s="53"/>
      <c r="M303" s="53"/>
      <c r="N303" s="53"/>
      <c r="O303" s="53"/>
      <c r="P303" s="53"/>
      <c r="Q303" s="53"/>
      <c r="R303" s="53"/>
      <c r="S303" s="53"/>
      <c r="T303" s="53"/>
      <c r="U303" s="53"/>
      <c r="V303" s="53"/>
      <c r="W303" s="53"/>
      <c r="X303" s="53"/>
      <c r="Y303" s="53"/>
      <c r="Z303" s="53"/>
    </row>
    <row r="304">
      <c r="A304" s="53"/>
      <c r="B304" s="53"/>
      <c r="C304" s="53"/>
      <c r="D304" s="53"/>
      <c r="E304" s="53"/>
      <c r="F304" s="53"/>
      <c r="G304" s="54"/>
      <c r="H304" s="53"/>
      <c r="I304" s="53"/>
      <c r="J304" s="54"/>
      <c r="K304" s="53"/>
      <c r="L304" s="53"/>
      <c r="M304" s="53"/>
      <c r="N304" s="53"/>
      <c r="O304" s="53"/>
      <c r="P304" s="53"/>
      <c r="Q304" s="53"/>
      <c r="R304" s="53"/>
      <c r="S304" s="53"/>
      <c r="T304" s="53"/>
      <c r="U304" s="53"/>
      <c r="V304" s="53"/>
      <c r="W304" s="53"/>
      <c r="X304" s="53"/>
      <c r="Y304" s="53"/>
      <c r="Z304" s="53"/>
    </row>
    <row r="305">
      <c r="A305" s="53"/>
      <c r="B305" s="53"/>
      <c r="C305" s="53"/>
      <c r="D305" s="53"/>
      <c r="E305" s="53"/>
      <c r="F305" s="53"/>
      <c r="G305" s="54"/>
      <c r="H305" s="53"/>
      <c r="I305" s="53"/>
      <c r="J305" s="54"/>
      <c r="K305" s="53"/>
      <c r="L305" s="53"/>
      <c r="M305" s="53"/>
      <c r="N305" s="53"/>
      <c r="O305" s="53"/>
      <c r="P305" s="53"/>
      <c r="Q305" s="53"/>
      <c r="R305" s="53"/>
      <c r="S305" s="53"/>
      <c r="T305" s="53"/>
      <c r="U305" s="53"/>
      <c r="V305" s="53"/>
      <c r="W305" s="53"/>
      <c r="X305" s="53"/>
      <c r="Y305" s="53"/>
      <c r="Z305" s="53"/>
    </row>
    <row r="306">
      <c r="A306" s="53"/>
      <c r="B306" s="53"/>
      <c r="C306" s="53"/>
      <c r="D306" s="53"/>
      <c r="E306" s="53"/>
      <c r="F306" s="53"/>
      <c r="G306" s="54"/>
      <c r="H306" s="53"/>
      <c r="I306" s="53"/>
      <c r="J306" s="54"/>
      <c r="K306" s="53"/>
      <c r="L306" s="53"/>
      <c r="M306" s="53"/>
      <c r="N306" s="53"/>
      <c r="O306" s="53"/>
      <c r="P306" s="53"/>
      <c r="Q306" s="53"/>
      <c r="R306" s="53"/>
      <c r="S306" s="53"/>
      <c r="T306" s="53"/>
      <c r="U306" s="53"/>
      <c r="V306" s="53"/>
      <c r="W306" s="53"/>
      <c r="X306" s="53"/>
      <c r="Y306" s="53"/>
      <c r="Z306" s="53"/>
    </row>
    <row r="307">
      <c r="A307" s="53"/>
      <c r="B307" s="53"/>
      <c r="C307" s="53"/>
      <c r="D307" s="53"/>
      <c r="E307" s="53"/>
      <c r="F307" s="53"/>
      <c r="G307" s="54"/>
      <c r="H307" s="53"/>
      <c r="I307" s="53"/>
      <c r="J307" s="54"/>
      <c r="K307" s="53"/>
      <c r="L307" s="53"/>
      <c r="M307" s="53"/>
      <c r="N307" s="53"/>
      <c r="O307" s="53"/>
      <c r="P307" s="53"/>
      <c r="Q307" s="53"/>
      <c r="R307" s="53"/>
      <c r="S307" s="53"/>
      <c r="T307" s="53"/>
      <c r="U307" s="53"/>
      <c r="V307" s="53"/>
      <c r="W307" s="53"/>
      <c r="X307" s="53"/>
      <c r="Y307" s="53"/>
      <c r="Z307" s="53"/>
    </row>
    <row r="308">
      <c r="A308" s="53"/>
      <c r="B308" s="53"/>
      <c r="C308" s="53"/>
      <c r="D308" s="53"/>
      <c r="E308" s="53"/>
      <c r="F308" s="53"/>
      <c r="G308" s="54"/>
      <c r="H308" s="53"/>
      <c r="I308" s="53"/>
      <c r="J308" s="54"/>
      <c r="K308" s="53"/>
      <c r="L308" s="53"/>
      <c r="M308" s="53"/>
      <c r="N308" s="53"/>
      <c r="O308" s="53"/>
      <c r="P308" s="53"/>
      <c r="Q308" s="53"/>
      <c r="R308" s="53"/>
      <c r="S308" s="53"/>
      <c r="T308" s="53"/>
      <c r="U308" s="53"/>
      <c r="V308" s="53"/>
      <c r="W308" s="53"/>
      <c r="X308" s="53"/>
      <c r="Y308" s="53"/>
      <c r="Z308" s="53"/>
    </row>
    <row r="309">
      <c r="A309" s="53"/>
      <c r="B309" s="53"/>
      <c r="C309" s="53"/>
      <c r="D309" s="53"/>
      <c r="E309" s="53"/>
      <c r="F309" s="53"/>
      <c r="G309" s="54"/>
      <c r="H309" s="53"/>
      <c r="I309" s="53"/>
      <c r="J309" s="54"/>
      <c r="K309" s="53"/>
      <c r="L309" s="53"/>
      <c r="M309" s="53"/>
      <c r="N309" s="53"/>
      <c r="O309" s="53"/>
      <c r="P309" s="53"/>
      <c r="Q309" s="53"/>
      <c r="R309" s="53"/>
      <c r="S309" s="53"/>
      <c r="T309" s="53"/>
      <c r="U309" s="53"/>
      <c r="V309" s="53"/>
      <c r="W309" s="53"/>
      <c r="X309" s="53"/>
      <c r="Y309" s="53"/>
      <c r="Z309" s="53"/>
    </row>
    <row r="310">
      <c r="A310" s="53"/>
      <c r="B310" s="53"/>
      <c r="C310" s="53"/>
      <c r="D310" s="53"/>
      <c r="E310" s="53"/>
      <c r="F310" s="53"/>
      <c r="G310" s="54"/>
      <c r="H310" s="53"/>
      <c r="I310" s="53"/>
      <c r="J310" s="54"/>
      <c r="K310" s="53"/>
      <c r="L310" s="53"/>
      <c r="M310" s="53"/>
      <c r="N310" s="53"/>
      <c r="O310" s="53"/>
      <c r="P310" s="53"/>
      <c r="Q310" s="53"/>
      <c r="R310" s="53"/>
      <c r="S310" s="53"/>
      <c r="T310" s="53"/>
      <c r="U310" s="53"/>
      <c r="V310" s="53"/>
      <c r="W310" s="53"/>
      <c r="X310" s="53"/>
      <c r="Y310" s="53"/>
      <c r="Z310" s="53"/>
    </row>
    <row r="311">
      <c r="A311" s="53"/>
      <c r="B311" s="53"/>
      <c r="C311" s="53"/>
      <c r="D311" s="53"/>
      <c r="E311" s="53"/>
      <c r="F311" s="53"/>
      <c r="G311" s="54"/>
      <c r="H311" s="53"/>
      <c r="I311" s="53"/>
      <c r="J311" s="54"/>
      <c r="K311" s="53"/>
      <c r="L311" s="53"/>
      <c r="M311" s="53"/>
      <c r="N311" s="53"/>
      <c r="O311" s="53"/>
      <c r="P311" s="53"/>
      <c r="Q311" s="53"/>
      <c r="R311" s="53"/>
      <c r="S311" s="53"/>
      <c r="T311" s="53"/>
      <c r="U311" s="53"/>
      <c r="V311" s="53"/>
      <c r="W311" s="53"/>
      <c r="X311" s="53"/>
      <c r="Y311" s="53"/>
      <c r="Z311" s="53"/>
    </row>
    <row r="312">
      <c r="A312" s="53"/>
      <c r="B312" s="53"/>
      <c r="C312" s="53"/>
      <c r="D312" s="53"/>
      <c r="E312" s="53"/>
      <c r="F312" s="53"/>
      <c r="G312" s="54"/>
      <c r="H312" s="53"/>
      <c r="I312" s="53"/>
      <c r="J312" s="54"/>
      <c r="K312" s="53"/>
      <c r="L312" s="53"/>
      <c r="M312" s="53"/>
      <c r="N312" s="53"/>
      <c r="O312" s="53"/>
      <c r="P312" s="53"/>
      <c r="Q312" s="53"/>
      <c r="R312" s="53"/>
      <c r="S312" s="53"/>
      <c r="T312" s="53"/>
      <c r="U312" s="53"/>
      <c r="V312" s="53"/>
      <c r="W312" s="53"/>
      <c r="X312" s="53"/>
      <c r="Y312" s="53"/>
      <c r="Z312" s="53"/>
    </row>
    <row r="313">
      <c r="A313" s="53"/>
      <c r="B313" s="53"/>
      <c r="C313" s="53"/>
      <c r="D313" s="53"/>
      <c r="E313" s="53"/>
      <c r="F313" s="53"/>
      <c r="G313" s="54"/>
      <c r="H313" s="53"/>
      <c r="I313" s="53"/>
      <c r="J313" s="54"/>
      <c r="K313" s="53"/>
      <c r="L313" s="53"/>
      <c r="M313" s="53"/>
      <c r="N313" s="53"/>
      <c r="O313" s="53"/>
      <c r="P313" s="53"/>
      <c r="Q313" s="53"/>
      <c r="R313" s="53"/>
      <c r="S313" s="53"/>
      <c r="T313" s="53"/>
      <c r="U313" s="53"/>
      <c r="V313" s="53"/>
      <c r="W313" s="53"/>
      <c r="X313" s="53"/>
      <c r="Y313" s="53"/>
      <c r="Z313" s="53"/>
    </row>
    <row r="314">
      <c r="A314" s="53"/>
      <c r="B314" s="53"/>
      <c r="C314" s="53"/>
      <c r="D314" s="53"/>
      <c r="E314" s="53"/>
      <c r="F314" s="53"/>
      <c r="G314" s="54"/>
      <c r="H314" s="53"/>
      <c r="I314" s="53"/>
      <c r="J314" s="54"/>
      <c r="K314" s="53"/>
      <c r="L314" s="53"/>
      <c r="M314" s="53"/>
      <c r="N314" s="53"/>
      <c r="O314" s="53"/>
      <c r="P314" s="53"/>
      <c r="Q314" s="53"/>
      <c r="R314" s="53"/>
      <c r="S314" s="53"/>
      <c r="T314" s="53"/>
      <c r="U314" s="53"/>
      <c r="V314" s="53"/>
      <c r="W314" s="53"/>
      <c r="X314" s="53"/>
      <c r="Y314" s="53"/>
      <c r="Z314" s="53"/>
    </row>
    <row r="315">
      <c r="A315" s="53"/>
      <c r="B315" s="53"/>
      <c r="C315" s="53"/>
      <c r="D315" s="53"/>
      <c r="E315" s="53"/>
      <c r="F315" s="53"/>
      <c r="G315" s="54"/>
      <c r="H315" s="53"/>
      <c r="I315" s="53"/>
      <c r="J315" s="54"/>
      <c r="K315" s="53"/>
      <c r="L315" s="53"/>
      <c r="M315" s="53"/>
      <c r="N315" s="53"/>
      <c r="O315" s="53"/>
      <c r="P315" s="53"/>
      <c r="Q315" s="53"/>
      <c r="R315" s="53"/>
      <c r="S315" s="53"/>
      <c r="T315" s="53"/>
      <c r="U315" s="53"/>
      <c r="V315" s="53"/>
      <c r="W315" s="53"/>
      <c r="X315" s="53"/>
      <c r="Y315" s="53"/>
      <c r="Z315" s="53"/>
    </row>
    <row r="316">
      <c r="A316" s="53"/>
      <c r="B316" s="53"/>
      <c r="C316" s="53"/>
      <c r="D316" s="53"/>
      <c r="E316" s="53"/>
      <c r="F316" s="53"/>
      <c r="G316" s="54"/>
      <c r="H316" s="53"/>
      <c r="I316" s="53"/>
      <c r="J316" s="54"/>
      <c r="K316" s="53"/>
      <c r="L316" s="53"/>
      <c r="M316" s="53"/>
      <c r="N316" s="53"/>
      <c r="O316" s="53"/>
      <c r="P316" s="53"/>
      <c r="Q316" s="53"/>
      <c r="R316" s="53"/>
      <c r="S316" s="53"/>
      <c r="T316" s="53"/>
      <c r="U316" s="53"/>
      <c r="V316" s="53"/>
      <c r="W316" s="53"/>
      <c r="X316" s="53"/>
      <c r="Y316" s="53"/>
      <c r="Z316" s="53"/>
    </row>
    <row r="317">
      <c r="A317" s="53"/>
      <c r="B317" s="53"/>
      <c r="C317" s="53"/>
      <c r="D317" s="53"/>
      <c r="E317" s="53"/>
      <c r="F317" s="53"/>
      <c r="G317" s="54"/>
      <c r="H317" s="53"/>
      <c r="I317" s="53"/>
      <c r="J317" s="54"/>
      <c r="K317" s="53"/>
      <c r="L317" s="53"/>
      <c r="M317" s="53"/>
      <c r="N317" s="53"/>
      <c r="O317" s="53"/>
      <c r="P317" s="53"/>
      <c r="Q317" s="53"/>
      <c r="R317" s="53"/>
      <c r="S317" s="53"/>
      <c r="T317" s="53"/>
      <c r="U317" s="53"/>
      <c r="V317" s="53"/>
      <c r="W317" s="53"/>
      <c r="X317" s="53"/>
      <c r="Y317" s="53"/>
      <c r="Z317" s="53"/>
    </row>
    <row r="318">
      <c r="A318" s="53"/>
      <c r="B318" s="53"/>
      <c r="C318" s="53"/>
      <c r="D318" s="53"/>
      <c r="E318" s="53"/>
      <c r="F318" s="53"/>
      <c r="G318" s="54"/>
      <c r="H318" s="53"/>
      <c r="I318" s="53"/>
      <c r="J318" s="54"/>
      <c r="K318" s="53"/>
      <c r="L318" s="53"/>
      <c r="M318" s="53"/>
      <c r="N318" s="53"/>
      <c r="O318" s="53"/>
      <c r="P318" s="53"/>
      <c r="Q318" s="53"/>
      <c r="R318" s="53"/>
      <c r="S318" s="53"/>
      <c r="T318" s="53"/>
      <c r="U318" s="53"/>
      <c r="V318" s="53"/>
      <c r="W318" s="53"/>
      <c r="X318" s="53"/>
      <c r="Y318" s="53"/>
      <c r="Z318" s="53"/>
    </row>
    <row r="319">
      <c r="A319" s="53"/>
      <c r="B319" s="53"/>
      <c r="C319" s="53"/>
      <c r="D319" s="53"/>
      <c r="E319" s="53"/>
      <c r="F319" s="53"/>
      <c r="G319" s="54"/>
      <c r="H319" s="53"/>
      <c r="I319" s="53"/>
      <c r="J319" s="54"/>
      <c r="K319" s="53"/>
      <c r="L319" s="53"/>
      <c r="M319" s="53"/>
      <c r="N319" s="53"/>
      <c r="O319" s="53"/>
      <c r="P319" s="53"/>
      <c r="Q319" s="53"/>
      <c r="R319" s="53"/>
      <c r="S319" s="53"/>
      <c r="T319" s="53"/>
      <c r="U319" s="53"/>
      <c r="V319" s="53"/>
      <c r="W319" s="53"/>
      <c r="X319" s="53"/>
      <c r="Y319" s="53"/>
      <c r="Z319" s="53"/>
    </row>
    <row r="320">
      <c r="A320" s="53"/>
      <c r="B320" s="53"/>
      <c r="C320" s="53"/>
      <c r="D320" s="53"/>
      <c r="E320" s="53"/>
      <c r="F320" s="53"/>
      <c r="G320" s="54"/>
      <c r="H320" s="53"/>
      <c r="I320" s="53"/>
      <c r="J320" s="54"/>
      <c r="K320" s="53"/>
      <c r="L320" s="53"/>
      <c r="M320" s="53"/>
      <c r="N320" s="53"/>
      <c r="O320" s="53"/>
      <c r="P320" s="53"/>
      <c r="Q320" s="53"/>
      <c r="R320" s="53"/>
      <c r="S320" s="53"/>
      <c r="T320" s="53"/>
      <c r="U320" s="53"/>
      <c r="V320" s="53"/>
      <c r="W320" s="53"/>
      <c r="X320" s="53"/>
      <c r="Y320" s="53"/>
      <c r="Z320" s="53"/>
    </row>
    <row r="321">
      <c r="A321" s="53"/>
      <c r="B321" s="53"/>
      <c r="C321" s="53"/>
      <c r="D321" s="53"/>
      <c r="E321" s="53"/>
      <c r="F321" s="53"/>
      <c r="G321" s="54"/>
      <c r="H321" s="53"/>
      <c r="I321" s="53"/>
      <c r="J321" s="54"/>
      <c r="K321" s="53"/>
      <c r="L321" s="53"/>
      <c r="M321" s="53"/>
      <c r="N321" s="53"/>
      <c r="O321" s="53"/>
      <c r="P321" s="53"/>
      <c r="Q321" s="53"/>
      <c r="R321" s="53"/>
      <c r="S321" s="53"/>
      <c r="T321" s="53"/>
      <c r="U321" s="53"/>
      <c r="V321" s="53"/>
      <c r="W321" s="53"/>
      <c r="X321" s="53"/>
      <c r="Y321" s="53"/>
      <c r="Z321" s="53"/>
    </row>
    <row r="322">
      <c r="A322" s="53"/>
      <c r="B322" s="53"/>
      <c r="C322" s="53"/>
      <c r="D322" s="53"/>
      <c r="E322" s="53"/>
      <c r="F322" s="53"/>
      <c r="G322" s="54"/>
      <c r="H322" s="53"/>
      <c r="I322" s="53"/>
      <c r="J322" s="54"/>
      <c r="K322" s="53"/>
      <c r="L322" s="53"/>
      <c r="M322" s="53"/>
      <c r="N322" s="53"/>
      <c r="O322" s="53"/>
      <c r="P322" s="53"/>
      <c r="Q322" s="53"/>
      <c r="R322" s="53"/>
      <c r="S322" s="53"/>
      <c r="T322" s="53"/>
      <c r="U322" s="53"/>
      <c r="V322" s="53"/>
      <c r="W322" s="53"/>
      <c r="X322" s="53"/>
      <c r="Y322" s="53"/>
      <c r="Z322" s="53"/>
    </row>
    <row r="323">
      <c r="A323" s="53"/>
      <c r="B323" s="53"/>
      <c r="C323" s="53"/>
      <c r="D323" s="53"/>
      <c r="E323" s="53"/>
      <c r="F323" s="53"/>
      <c r="G323" s="54"/>
      <c r="H323" s="53"/>
      <c r="I323" s="53"/>
      <c r="J323" s="54"/>
      <c r="K323" s="53"/>
      <c r="L323" s="53"/>
      <c r="M323" s="53"/>
      <c r="N323" s="53"/>
      <c r="O323" s="53"/>
      <c r="P323" s="53"/>
      <c r="Q323" s="53"/>
      <c r="R323" s="53"/>
      <c r="S323" s="53"/>
      <c r="T323" s="53"/>
      <c r="U323" s="53"/>
      <c r="V323" s="53"/>
      <c r="W323" s="53"/>
      <c r="X323" s="53"/>
      <c r="Y323" s="53"/>
      <c r="Z323" s="53"/>
    </row>
    <row r="324">
      <c r="A324" s="53"/>
      <c r="B324" s="53"/>
      <c r="C324" s="53"/>
      <c r="D324" s="53"/>
      <c r="E324" s="53"/>
      <c r="F324" s="53"/>
      <c r="G324" s="54"/>
      <c r="H324" s="53"/>
      <c r="I324" s="53"/>
      <c r="J324" s="54"/>
      <c r="K324" s="53"/>
      <c r="L324" s="53"/>
      <c r="M324" s="53"/>
      <c r="N324" s="53"/>
      <c r="O324" s="53"/>
      <c r="P324" s="53"/>
      <c r="Q324" s="53"/>
      <c r="R324" s="53"/>
      <c r="S324" s="53"/>
      <c r="T324" s="53"/>
      <c r="U324" s="53"/>
      <c r="V324" s="53"/>
      <c r="W324" s="53"/>
      <c r="X324" s="53"/>
      <c r="Y324" s="53"/>
      <c r="Z324" s="53"/>
    </row>
    <row r="325">
      <c r="A325" s="53"/>
      <c r="B325" s="53"/>
      <c r="C325" s="53"/>
      <c r="D325" s="53"/>
      <c r="E325" s="53"/>
      <c r="F325" s="53"/>
      <c r="G325" s="54"/>
      <c r="H325" s="53"/>
      <c r="I325" s="53"/>
      <c r="J325" s="54"/>
      <c r="K325" s="53"/>
      <c r="L325" s="53"/>
      <c r="M325" s="53"/>
      <c r="N325" s="53"/>
      <c r="O325" s="53"/>
      <c r="P325" s="53"/>
      <c r="Q325" s="53"/>
      <c r="R325" s="53"/>
      <c r="S325" s="53"/>
      <c r="T325" s="53"/>
      <c r="U325" s="53"/>
      <c r="V325" s="53"/>
      <c r="W325" s="53"/>
      <c r="X325" s="53"/>
      <c r="Y325" s="53"/>
      <c r="Z325" s="53"/>
    </row>
    <row r="326">
      <c r="A326" s="53"/>
      <c r="B326" s="53"/>
      <c r="C326" s="53"/>
      <c r="D326" s="53"/>
      <c r="E326" s="53"/>
      <c r="F326" s="53"/>
      <c r="G326" s="54"/>
      <c r="H326" s="53"/>
      <c r="I326" s="53"/>
      <c r="J326" s="54"/>
      <c r="K326" s="53"/>
      <c r="L326" s="53"/>
      <c r="M326" s="53"/>
      <c r="N326" s="53"/>
      <c r="O326" s="53"/>
      <c r="P326" s="53"/>
      <c r="Q326" s="53"/>
      <c r="R326" s="53"/>
      <c r="S326" s="53"/>
      <c r="T326" s="53"/>
      <c r="U326" s="53"/>
      <c r="V326" s="53"/>
      <c r="W326" s="53"/>
      <c r="X326" s="53"/>
      <c r="Y326" s="53"/>
      <c r="Z326" s="53"/>
    </row>
    <row r="327">
      <c r="A327" s="53"/>
      <c r="B327" s="53"/>
      <c r="C327" s="53"/>
      <c r="D327" s="53"/>
      <c r="E327" s="53"/>
      <c r="F327" s="53"/>
      <c r="G327" s="54"/>
      <c r="H327" s="53"/>
      <c r="I327" s="53"/>
      <c r="J327" s="54"/>
      <c r="K327" s="53"/>
      <c r="L327" s="53"/>
      <c r="M327" s="53"/>
      <c r="N327" s="53"/>
      <c r="O327" s="53"/>
      <c r="P327" s="53"/>
      <c r="Q327" s="53"/>
      <c r="R327" s="53"/>
      <c r="S327" s="53"/>
      <c r="T327" s="53"/>
      <c r="U327" s="53"/>
      <c r="V327" s="53"/>
      <c r="W327" s="53"/>
      <c r="X327" s="53"/>
      <c r="Y327" s="53"/>
      <c r="Z327" s="53"/>
    </row>
    <row r="328">
      <c r="A328" s="53"/>
      <c r="B328" s="53"/>
      <c r="C328" s="53"/>
      <c r="D328" s="53"/>
      <c r="E328" s="53"/>
      <c r="F328" s="53"/>
      <c r="G328" s="54"/>
      <c r="H328" s="53"/>
      <c r="I328" s="53"/>
      <c r="J328" s="54"/>
      <c r="K328" s="53"/>
      <c r="L328" s="53"/>
      <c r="M328" s="53"/>
      <c r="N328" s="53"/>
      <c r="O328" s="53"/>
      <c r="P328" s="53"/>
      <c r="Q328" s="53"/>
      <c r="R328" s="53"/>
      <c r="S328" s="53"/>
      <c r="T328" s="53"/>
      <c r="U328" s="53"/>
      <c r="V328" s="53"/>
      <c r="W328" s="53"/>
      <c r="X328" s="53"/>
      <c r="Y328" s="53"/>
      <c r="Z328" s="53"/>
    </row>
    <row r="329">
      <c r="A329" s="53"/>
      <c r="B329" s="53"/>
      <c r="C329" s="53"/>
      <c r="D329" s="53"/>
      <c r="E329" s="53"/>
      <c r="F329" s="53"/>
      <c r="G329" s="54"/>
      <c r="H329" s="53"/>
      <c r="I329" s="53"/>
      <c r="J329" s="54"/>
      <c r="K329" s="53"/>
      <c r="L329" s="53"/>
      <c r="M329" s="53"/>
      <c r="N329" s="53"/>
      <c r="O329" s="53"/>
      <c r="P329" s="53"/>
      <c r="Q329" s="53"/>
      <c r="R329" s="53"/>
      <c r="S329" s="53"/>
      <c r="T329" s="53"/>
      <c r="U329" s="53"/>
      <c r="V329" s="53"/>
      <c r="W329" s="53"/>
      <c r="X329" s="53"/>
      <c r="Y329" s="53"/>
      <c r="Z329" s="53"/>
    </row>
    <row r="330">
      <c r="A330" s="53"/>
      <c r="B330" s="53"/>
      <c r="C330" s="53"/>
      <c r="D330" s="53"/>
      <c r="E330" s="53"/>
      <c r="F330" s="53"/>
      <c r="G330" s="54"/>
      <c r="H330" s="53"/>
      <c r="I330" s="53"/>
      <c r="J330" s="54"/>
      <c r="K330" s="53"/>
      <c r="L330" s="53"/>
      <c r="M330" s="53"/>
      <c r="N330" s="53"/>
      <c r="O330" s="53"/>
      <c r="P330" s="53"/>
      <c r="Q330" s="53"/>
      <c r="R330" s="53"/>
      <c r="S330" s="53"/>
      <c r="T330" s="53"/>
      <c r="U330" s="53"/>
      <c r="V330" s="53"/>
      <c r="W330" s="53"/>
      <c r="X330" s="53"/>
      <c r="Y330" s="53"/>
      <c r="Z330" s="53"/>
    </row>
    <row r="331">
      <c r="A331" s="53"/>
      <c r="B331" s="53"/>
      <c r="C331" s="53"/>
      <c r="D331" s="53"/>
      <c r="E331" s="53"/>
      <c r="F331" s="53"/>
      <c r="G331" s="54"/>
      <c r="H331" s="53"/>
      <c r="I331" s="53"/>
      <c r="J331" s="54"/>
      <c r="K331" s="53"/>
      <c r="L331" s="53"/>
      <c r="M331" s="53"/>
      <c r="N331" s="53"/>
      <c r="O331" s="53"/>
      <c r="P331" s="53"/>
      <c r="Q331" s="53"/>
      <c r="R331" s="53"/>
      <c r="S331" s="53"/>
      <c r="T331" s="53"/>
      <c r="U331" s="53"/>
      <c r="V331" s="53"/>
      <c r="W331" s="53"/>
      <c r="X331" s="53"/>
      <c r="Y331" s="53"/>
      <c r="Z331" s="53"/>
    </row>
    <row r="332">
      <c r="A332" s="53"/>
      <c r="B332" s="53"/>
      <c r="C332" s="53"/>
      <c r="D332" s="53"/>
      <c r="E332" s="53"/>
      <c r="F332" s="53"/>
      <c r="G332" s="54"/>
      <c r="H332" s="53"/>
      <c r="I332" s="53"/>
      <c r="J332" s="54"/>
      <c r="K332" s="53"/>
      <c r="L332" s="53"/>
      <c r="M332" s="53"/>
      <c r="N332" s="53"/>
      <c r="O332" s="53"/>
      <c r="P332" s="53"/>
      <c r="Q332" s="53"/>
      <c r="R332" s="53"/>
      <c r="S332" s="53"/>
      <c r="T332" s="53"/>
      <c r="U332" s="53"/>
      <c r="V332" s="53"/>
      <c r="W332" s="53"/>
      <c r="X332" s="53"/>
      <c r="Y332" s="53"/>
      <c r="Z332" s="53"/>
    </row>
    <row r="333">
      <c r="A333" s="53"/>
      <c r="B333" s="53"/>
      <c r="C333" s="53"/>
      <c r="D333" s="53"/>
      <c r="E333" s="53"/>
      <c r="F333" s="53"/>
      <c r="G333" s="54"/>
      <c r="H333" s="53"/>
      <c r="I333" s="53"/>
      <c r="J333" s="54"/>
      <c r="K333" s="53"/>
      <c r="L333" s="53"/>
      <c r="M333" s="53"/>
      <c r="N333" s="53"/>
      <c r="O333" s="53"/>
      <c r="P333" s="53"/>
      <c r="Q333" s="53"/>
      <c r="R333" s="53"/>
      <c r="S333" s="53"/>
      <c r="T333" s="53"/>
      <c r="U333" s="53"/>
      <c r="V333" s="53"/>
      <c r="W333" s="53"/>
      <c r="X333" s="53"/>
      <c r="Y333" s="53"/>
      <c r="Z333" s="53"/>
    </row>
    <row r="334">
      <c r="A334" s="53"/>
      <c r="B334" s="53"/>
      <c r="C334" s="53"/>
      <c r="D334" s="53"/>
      <c r="E334" s="53"/>
      <c r="F334" s="53"/>
      <c r="G334" s="54"/>
      <c r="H334" s="53"/>
      <c r="I334" s="53"/>
      <c r="J334" s="54"/>
      <c r="K334" s="53"/>
      <c r="L334" s="53"/>
      <c r="M334" s="53"/>
      <c r="N334" s="53"/>
      <c r="O334" s="53"/>
      <c r="P334" s="53"/>
      <c r="Q334" s="53"/>
      <c r="R334" s="53"/>
      <c r="S334" s="53"/>
      <c r="T334" s="53"/>
      <c r="U334" s="53"/>
      <c r="V334" s="53"/>
      <c r="W334" s="53"/>
      <c r="X334" s="53"/>
      <c r="Y334" s="53"/>
      <c r="Z334" s="53"/>
    </row>
    <row r="335">
      <c r="A335" s="53"/>
      <c r="B335" s="53"/>
      <c r="C335" s="53"/>
      <c r="D335" s="53"/>
      <c r="E335" s="53"/>
      <c r="F335" s="53"/>
      <c r="G335" s="54"/>
      <c r="H335" s="53"/>
      <c r="I335" s="53"/>
      <c r="J335" s="54"/>
      <c r="K335" s="53"/>
      <c r="L335" s="53"/>
      <c r="M335" s="53"/>
      <c r="N335" s="53"/>
      <c r="O335" s="53"/>
      <c r="P335" s="53"/>
      <c r="Q335" s="53"/>
      <c r="R335" s="53"/>
      <c r="S335" s="53"/>
      <c r="T335" s="53"/>
      <c r="U335" s="53"/>
      <c r="V335" s="53"/>
      <c r="W335" s="53"/>
      <c r="X335" s="53"/>
      <c r="Y335" s="53"/>
      <c r="Z335" s="53"/>
    </row>
    <row r="336">
      <c r="A336" s="53"/>
      <c r="B336" s="53"/>
      <c r="C336" s="53"/>
      <c r="D336" s="53"/>
      <c r="E336" s="53"/>
      <c r="F336" s="53"/>
      <c r="G336" s="54"/>
      <c r="H336" s="53"/>
      <c r="I336" s="53"/>
      <c r="J336" s="54"/>
      <c r="K336" s="53"/>
      <c r="L336" s="53"/>
      <c r="M336" s="53"/>
      <c r="N336" s="53"/>
      <c r="O336" s="53"/>
      <c r="P336" s="53"/>
      <c r="Q336" s="53"/>
      <c r="R336" s="53"/>
      <c r="S336" s="53"/>
      <c r="T336" s="53"/>
      <c r="U336" s="53"/>
      <c r="V336" s="53"/>
      <c r="W336" s="53"/>
      <c r="X336" s="53"/>
      <c r="Y336" s="53"/>
      <c r="Z336" s="53"/>
    </row>
    <row r="337">
      <c r="A337" s="53"/>
      <c r="B337" s="53"/>
      <c r="C337" s="53"/>
      <c r="D337" s="53"/>
      <c r="E337" s="53"/>
      <c r="F337" s="53"/>
      <c r="G337" s="54"/>
      <c r="H337" s="53"/>
      <c r="I337" s="53"/>
      <c r="J337" s="54"/>
      <c r="K337" s="53"/>
      <c r="L337" s="53"/>
      <c r="M337" s="53"/>
      <c r="N337" s="53"/>
      <c r="O337" s="53"/>
      <c r="P337" s="53"/>
      <c r="Q337" s="53"/>
      <c r="R337" s="53"/>
      <c r="S337" s="53"/>
      <c r="T337" s="53"/>
      <c r="U337" s="53"/>
      <c r="V337" s="53"/>
      <c r="W337" s="53"/>
      <c r="X337" s="53"/>
      <c r="Y337" s="53"/>
      <c r="Z337" s="53"/>
    </row>
    <row r="338">
      <c r="A338" s="53"/>
      <c r="B338" s="53"/>
      <c r="C338" s="53"/>
      <c r="D338" s="53"/>
      <c r="E338" s="53"/>
      <c r="F338" s="53"/>
      <c r="G338" s="54"/>
      <c r="H338" s="53"/>
      <c r="I338" s="53"/>
      <c r="J338" s="54"/>
      <c r="K338" s="53"/>
      <c r="L338" s="53"/>
      <c r="M338" s="53"/>
      <c r="N338" s="53"/>
      <c r="O338" s="53"/>
      <c r="P338" s="53"/>
      <c r="Q338" s="53"/>
      <c r="R338" s="53"/>
      <c r="S338" s="53"/>
      <c r="T338" s="53"/>
      <c r="U338" s="53"/>
      <c r="V338" s="53"/>
      <c r="W338" s="53"/>
      <c r="X338" s="53"/>
      <c r="Y338" s="53"/>
      <c r="Z338" s="53"/>
    </row>
    <row r="339">
      <c r="A339" s="53"/>
      <c r="B339" s="53"/>
      <c r="C339" s="53"/>
      <c r="D339" s="53"/>
      <c r="E339" s="53"/>
      <c r="F339" s="53"/>
      <c r="G339" s="54"/>
      <c r="H339" s="53"/>
      <c r="I339" s="53"/>
      <c r="J339" s="54"/>
      <c r="K339" s="53"/>
      <c r="L339" s="53"/>
      <c r="M339" s="53"/>
      <c r="N339" s="53"/>
      <c r="O339" s="53"/>
      <c r="P339" s="53"/>
      <c r="Q339" s="53"/>
      <c r="R339" s="53"/>
      <c r="S339" s="53"/>
      <c r="T339" s="53"/>
      <c r="U339" s="53"/>
      <c r="V339" s="53"/>
      <c r="W339" s="53"/>
      <c r="X339" s="53"/>
      <c r="Y339" s="53"/>
      <c r="Z339" s="53"/>
    </row>
    <row r="340">
      <c r="A340" s="53"/>
      <c r="B340" s="53"/>
      <c r="C340" s="53"/>
      <c r="D340" s="53"/>
      <c r="E340" s="53"/>
      <c r="F340" s="53"/>
      <c r="G340" s="54"/>
      <c r="H340" s="53"/>
      <c r="I340" s="53"/>
      <c r="J340" s="54"/>
      <c r="K340" s="53"/>
      <c r="L340" s="53"/>
      <c r="M340" s="53"/>
      <c r="N340" s="53"/>
      <c r="O340" s="53"/>
      <c r="P340" s="53"/>
      <c r="Q340" s="53"/>
      <c r="R340" s="53"/>
      <c r="S340" s="53"/>
      <c r="T340" s="53"/>
      <c r="U340" s="53"/>
      <c r="V340" s="53"/>
      <c r="W340" s="53"/>
      <c r="X340" s="53"/>
      <c r="Y340" s="53"/>
      <c r="Z340" s="53"/>
    </row>
    <row r="341">
      <c r="A341" s="53"/>
      <c r="B341" s="53"/>
      <c r="C341" s="53"/>
      <c r="D341" s="53"/>
      <c r="E341" s="53"/>
      <c r="F341" s="53"/>
      <c r="G341" s="54"/>
      <c r="H341" s="53"/>
      <c r="I341" s="53"/>
      <c r="J341" s="54"/>
      <c r="K341" s="53"/>
      <c r="L341" s="53"/>
      <c r="M341" s="53"/>
      <c r="N341" s="53"/>
      <c r="O341" s="53"/>
      <c r="P341" s="53"/>
      <c r="Q341" s="53"/>
      <c r="R341" s="53"/>
      <c r="S341" s="53"/>
      <c r="T341" s="53"/>
      <c r="U341" s="53"/>
      <c r="V341" s="53"/>
      <c r="W341" s="53"/>
      <c r="X341" s="53"/>
      <c r="Y341" s="53"/>
      <c r="Z341" s="53"/>
    </row>
    <row r="342">
      <c r="A342" s="53"/>
      <c r="B342" s="53"/>
      <c r="C342" s="53"/>
      <c r="D342" s="53"/>
      <c r="E342" s="53"/>
      <c r="F342" s="53"/>
      <c r="G342" s="54"/>
      <c r="H342" s="53"/>
      <c r="I342" s="53"/>
      <c r="J342" s="54"/>
      <c r="K342" s="53"/>
      <c r="L342" s="53"/>
      <c r="M342" s="53"/>
      <c r="N342" s="53"/>
      <c r="O342" s="53"/>
      <c r="P342" s="53"/>
      <c r="Q342" s="53"/>
      <c r="R342" s="53"/>
      <c r="S342" s="53"/>
      <c r="T342" s="53"/>
      <c r="U342" s="53"/>
      <c r="V342" s="53"/>
      <c r="W342" s="53"/>
      <c r="X342" s="53"/>
      <c r="Y342" s="53"/>
      <c r="Z342" s="53"/>
    </row>
    <row r="343">
      <c r="A343" s="53"/>
      <c r="B343" s="53"/>
      <c r="C343" s="53"/>
      <c r="D343" s="53"/>
      <c r="E343" s="53"/>
      <c r="F343" s="53"/>
      <c r="G343" s="54"/>
      <c r="H343" s="53"/>
      <c r="I343" s="53"/>
      <c r="J343" s="54"/>
      <c r="K343" s="53"/>
      <c r="L343" s="53"/>
      <c r="M343" s="53"/>
      <c r="N343" s="53"/>
      <c r="O343" s="53"/>
      <c r="P343" s="53"/>
      <c r="Q343" s="53"/>
      <c r="R343" s="53"/>
      <c r="S343" s="53"/>
      <c r="T343" s="53"/>
      <c r="U343" s="53"/>
      <c r="V343" s="53"/>
      <c r="W343" s="53"/>
      <c r="X343" s="53"/>
      <c r="Y343" s="53"/>
      <c r="Z343" s="53"/>
    </row>
    <row r="344">
      <c r="A344" s="53"/>
      <c r="B344" s="53"/>
      <c r="C344" s="53"/>
      <c r="D344" s="53"/>
      <c r="E344" s="53"/>
      <c r="F344" s="53"/>
      <c r="G344" s="54"/>
      <c r="H344" s="53"/>
      <c r="I344" s="53"/>
      <c r="J344" s="54"/>
      <c r="K344" s="53"/>
      <c r="L344" s="53"/>
      <c r="M344" s="53"/>
      <c r="N344" s="53"/>
      <c r="O344" s="53"/>
      <c r="P344" s="53"/>
      <c r="Q344" s="53"/>
      <c r="R344" s="53"/>
      <c r="S344" s="53"/>
      <c r="T344" s="53"/>
      <c r="U344" s="53"/>
      <c r="V344" s="53"/>
      <c r="W344" s="53"/>
      <c r="X344" s="53"/>
      <c r="Y344" s="53"/>
      <c r="Z344" s="53"/>
    </row>
    <row r="345">
      <c r="A345" s="53"/>
      <c r="B345" s="53"/>
      <c r="C345" s="53"/>
      <c r="D345" s="53"/>
      <c r="E345" s="53"/>
      <c r="F345" s="53"/>
      <c r="G345" s="54"/>
      <c r="H345" s="53"/>
      <c r="I345" s="53"/>
      <c r="J345" s="54"/>
      <c r="K345" s="53"/>
      <c r="L345" s="53"/>
      <c r="M345" s="53"/>
      <c r="N345" s="53"/>
      <c r="O345" s="53"/>
      <c r="P345" s="53"/>
      <c r="Q345" s="53"/>
      <c r="R345" s="53"/>
      <c r="S345" s="53"/>
      <c r="T345" s="53"/>
      <c r="U345" s="53"/>
      <c r="V345" s="53"/>
      <c r="W345" s="53"/>
      <c r="X345" s="53"/>
      <c r="Y345" s="53"/>
      <c r="Z345" s="53"/>
    </row>
    <row r="346">
      <c r="A346" s="53"/>
      <c r="B346" s="53"/>
      <c r="C346" s="53"/>
      <c r="D346" s="53"/>
      <c r="E346" s="53"/>
      <c r="F346" s="53"/>
      <c r="G346" s="54"/>
      <c r="H346" s="53"/>
      <c r="I346" s="53"/>
      <c r="J346" s="54"/>
      <c r="K346" s="53"/>
      <c r="L346" s="53"/>
      <c r="M346" s="53"/>
      <c r="N346" s="53"/>
      <c r="O346" s="53"/>
      <c r="P346" s="53"/>
      <c r="Q346" s="53"/>
      <c r="R346" s="53"/>
      <c r="S346" s="53"/>
      <c r="T346" s="53"/>
      <c r="U346" s="53"/>
      <c r="V346" s="53"/>
      <c r="W346" s="53"/>
      <c r="X346" s="53"/>
      <c r="Y346" s="53"/>
      <c r="Z346" s="53"/>
    </row>
    <row r="347">
      <c r="A347" s="53"/>
      <c r="B347" s="53"/>
      <c r="C347" s="53"/>
      <c r="D347" s="53"/>
      <c r="E347" s="53"/>
      <c r="F347" s="53"/>
      <c r="G347" s="54"/>
      <c r="H347" s="53"/>
      <c r="I347" s="53"/>
      <c r="J347" s="54"/>
      <c r="K347" s="53"/>
      <c r="L347" s="53"/>
      <c r="M347" s="53"/>
      <c r="N347" s="53"/>
      <c r="O347" s="53"/>
      <c r="P347" s="53"/>
      <c r="Q347" s="53"/>
      <c r="R347" s="53"/>
      <c r="S347" s="53"/>
      <c r="T347" s="53"/>
      <c r="U347" s="53"/>
      <c r="V347" s="53"/>
      <c r="W347" s="53"/>
      <c r="X347" s="53"/>
      <c r="Y347" s="53"/>
      <c r="Z347" s="53"/>
    </row>
    <row r="348">
      <c r="A348" s="53"/>
      <c r="B348" s="53"/>
      <c r="C348" s="53"/>
      <c r="D348" s="53"/>
      <c r="E348" s="53"/>
      <c r="F348" s="53"/>
      <c r="G348" s="54"/>
      <c r="H348" s="53"/>
      <c r="I348" s="53"/>
      <c r="J348" s="54"/>
      <c r="K348" s="53"/>
      <c r="L348" s="53"/>
      <c r="M348" s="53"/>
      <c r="N348" s="53"/>
      <c r="O348" s="53"/>
      <c r="P348" s="53"/>
      <c r="Q348" s="53"/>
      <c r="R348" s="53"/>
      <c r="S348" s="53"/>
      <c r="T348" s="53"/>
      <c r="U348" s="53"/>
      <c r="V348" s="53"/>
      <c r="W348" s="53"/>
      <c r="X348" s="53"/>
      <c r="Y348" s="53"/>
      <c r="Z348" s="53"/>
    </row>
    <row r="349">
      <c r="A349" s="53"/>
      <c r="B349" s="53"/>
      <c r="C349" s="53"/>
      <c r="D349" s="53"/>
      <c r="E349" s="53"/>
      <c r="F349" s="53"/>
      <c r="G349" s="54"/>
      <c r="H349" s="53"/>
      <c r="I349" s="53"/>
      <c r="J349" s="54"/>
      <c r="K349" s="53"/>
      <c r="L349" s="53"/>
      <c r="M349" s="53"/>
      <c r="N349" s="53"/>
      <c r="O349" s="53"/>
      <c r="P349" s="53"/>
      <c r="Q349" s="53"/>
      <c r="R349" s="53"/>
      <c r="S349" s="53"/>
      <c r="T349" s="53"/>
      <c r="U349" s="53"/>
      <c r="V349" s="53"/>
      <c r="W349" s="53"/>
      <c r="X349" s="53"/>
      <c r="Y349" s="53"/>
      <c r="Z349" s="53"/>
    </row>
    <row r="350">
      <c r="A350" s="53"/>
      <c r="B350" s="53"/>
      <c r="C350" s="53"/>
      <c r="D350" s="53"/>
      <c r="E350" s="53"/>
      <c r="F350" s="53"/>
      <c r="G350" s="54"/>
      <c r="H350" s="53"/>
      <c r="I350" s="53"/>
      <c r="J350" s="54"/>
      <c r="K350" s="53"/>
      <c r="L350" s="53"/>
      <c r="M350" s="53"/>
      <c r="N350" s="53"/>
      <c r="O350" s="53"/>
      <c r="P350" s="53"/>
      <c r="Q350" s="53"/>
      <c r="R350" s="53"/>
      <c r="S350" s="53"/>
      <c r="T350" s="53"/>
      <c r="U350" s="53"/>
      <c r="V350" s="53"/>
      <c r="W350" s="53"/>
      <c r="X350" s="53"/>
      <c r="Y350" s="53"/>
      <c r="Z350" s="53"/>
    </row>
    <row r="351">
      <c r="A351" s="53"/>
      <c r="B351" s="53"/>
      <c r="C351" s="53"/>
      <c r="D351" s="53"/>
      <c r="E351" s="53"/>
      <c r="F351" s="53"/>
      <c r="G351" s="54"/>
      <c r="H351" s="53"/>
      <c r="I351" s="53"/>
      <c r="J351" s="54"/>
      <c r="K351" s="53"/>
      <c r="L351" s="53"/>
      <c r="M351" s="53"/>
      <c r="N351" s="53"/>
      <c r="O351" s="53"/>
      <c r="P351" s="53"/>
      <c r="Q351" s="53"/>
      <c r="R351" s="53"/>
      <c r="S351" s="53"/>
      <c r="T351" s="53"/>
      <c r="U351" s="53"/>
      <c r="V351" s="53"/>
      <c r="W351" s="53"/>
      <c r="X351" s="53"/>
      <c r="Y351" s="53"/>
      <c r="Z351" s="53"/>
    </row>
    <row r="352">
      <c r="A352" s="53"/>
      <c r="B352" s="53"/>
      <c r="C352" s="53"/>
      <c r="D352" s="53"/>
      <c r="E352" s="53"/>
      <c r="F352" s="53"/>
      <c r="G352" s="54"/>
      <c r="H352" s="53"/>
      <c r="I352" s="53"/>
      <c r="J352" s="54"/>
      <c r="K352" s="53"/>
      <c r="L352" s="53"/>
      <c r="M352" s="53"/>
      <c r="N352" s="53"/>
      <c r="O352" s="53"/>
      <c r="P352" s="53"/>
      <c r="Q352" s="53"/>
      <c r="R352" s="53"/>
      <c r="S352" s="53"/>
      <c r="T352" s="53"/>
      <c r="U352" s="53"/>
      <c r="V352" s="53"/>
      <c r="W352" s="53"/>
      <c r="X352" s="53"/>
      <c r="Y352" s="53"/>
      <c r="Z352" s="53"/>
    </row>
    <row r="353">
      <c r="A353" s="53"/>
      <c r="B353" s="53"/>
      <c r="C353" s="53"/>
      <c r="D353" s="53"/>
      <c r="E353" s="53"/>
      <c r="F353" s="53"/>
      <c r="G353" s="54"/>
      <c r="H353" s="53"/>
      <c r="I353" s="53"/>
      <c r="J353" s="54"/>
      <c r="K353" s="53"/>
      <c r="L353" s="53"/>
      <c r="M353" s="53"/>
      <c r="N353" s="53"/>
      <c r="O353" s="53"/>
      <c r="P353" s="53"/>
      <c r="Q353" s="53"/>
      <c r="R353" s="53"/>
      <c r="S353" s="53"/>
      <c r="T353" s="53"/>
      <c r="U353" s="53"/>
      <c r="V353" s="53"/>
      <c r="W353" s="53"/>
      <c r="X353" s="53"/>
      <c r="Y353" s="53"/>
      <c r="Z353" s="53"/>
    </row>
    <row r="354">
      <c r="A354" s="53"/>
      <c r="B354" s="53"/>
      <c r="C354" s="53"/>
      <c r="D354" s="53"/>
      <c r="E354" s="53"/>
      <c r="F354" s="53"/>
      <c r="G354" s="54"/>
      <c r="H354" s="53"/>
      <c r="I354" s="53"/>
      <c r="J354" s="54"/>
      <c r="K354" s="53"/>
      <c r="L354" s="53"/>
      <c r="M354" s="53"/>
      <c r="N354" s="53"/>
      <c r="O354" s="53"/>
      <c r="P354" s="53"/>
      <c r="Q354" s="53"/>
      <c r="R354" s="53"/>
      <c r="S354" s="53"/>
      <c r="T354" s="53"/>
      <c r="U354" s="53"/>
      <c r="V354" s="53"/>
      <c r="W354" s="53"/>
      <c r="X354" s="53"/>
      <c r="Y354" s="53"/>
      <c r="Z354" s="53"/>
    </row>
    <row r="355">
      <c r="A355" s="53"/>
      <c r="B355" s="53"/>
      <c r="C355" s="53"/>
      <c r="D355" s="53"/>
      <c r="E355" s="53"/>
      <c r="F355" s="53"/>
      <c r="G355" s="54"/>
      <c r="H355" s="53"/>
      <c r="I355" s="53"/>
      <c r="J355" s="54"/>
      <c r="K355" s="53"/>
      <c r="L355" s="53"/>
      <c r="M355" s="53"/>
      <c r="N355" s="53"/>
      <c r="O355" s="53"/>
      <c r="P355" s="53"/>
      <c r="Q355" s="53"/>
      <c r="R355" s="53"/>
      <c r="S355" s="53"/>
      <c r="T355" s="53"/>
      <c r="U355" s="53"/>
      <c r="V355" s="53"/>
      <c r="W355" s="53"/>
      <c r="X355" s="53"/>
      <c r="Y355" s="53"/>
      <c r="Z355" s="53"/>
    </row>
    <row r="356">
      <c r="A356" s="53"/>
      <c r="B356" s="53"/>
      <c r="C356" s="53"/>
      <c r="D356" s="53"/>
      <c r="E356" s="53"/>
      <c r="F356" s="53"/>
      <c r="G356" s="54"/>
      <c r="H356" s="53"/>
      <c r="I356" s="53"/>
      <c r="J356" s="54"/>
      <c r="K356" s="53"/>
      <c r="L356" s="53"/>
      <c r="M356" s="53"/>
      <c r="N356" s="53"/>
      <c r="O356" s="53"/>
      <c r="P356" s="53"/>
      <c r="Q356" s="53"/>
      <c r="R356" s="53"/>
      <c r="S356" s="53"/>
      <c r="T356" s="53"/>
      <c r="U356" s="53"/>
      <c r="V356" s="53"/>
      <c r="W356" s="53"/>
      <c r="X356" s="53"/>
      <c r="Y356" s="53"/>
      <c r="Z356" s="53"/>
    </row>
    <row r="357">
      <c r="A357" s="53"/>
      <c r="B357" s="53"/>
      <c r="C357" s="53"/>
      <c r="D357" s="53"/>
      <c r="E357" s="53"/>
      <c r="F357" s="53"/>
      <c r="G357" s="54"/>
      <c r="H357" s="53"/>
      <c r="I357" s="53"/>
      <c r="J357" s="54"/>
      <c r="K357" s="53"/>
      <c r="L357" s="53"/>
      <c r="M357" s="53"/>
      <c r="N357" s="53"/>
      <c r="O357" s="53"/>
      <c r="P357" s="53"/>
      <c r="Q357" s="53"/>
      <c r="R357" s="53"/>
      <c r="S357" s="53"/>
      <c r="T357" s="53"/>
      <c r="U357" s="53"/>
      <c r="V357" s="53"/>
      <c r="W357" s="53"/>
      <c r="X357" s="53"/>
      <c r="Y357" s="53"/>
      <c r="Z357" s="53"/>
    </row>
    <row r="358">
      <c r="A358" s="53"/>
      <c r="B358" s="53"/>
      <c r="C358" s="53"/>
      <c r="D358" s="53"/>
      <c r="E358" s="53"/>
      <c r="F358" s="53"/>
      <c r="G358" s="54"/>
      <c r="H358" s="53"/>
      <c r="I358" s="53"/>
      <c r="J358" s="54"/>
      <c r="K358" s="53"/>
      <c r="L358" s="53"/>
      <c r="M358" s="53"/>
      <c r="N358" s="53"/>
      <c r="O358" s="53"/>
      <c r="P358" s="53"/>
      <c r="Q358" s="53"/>
      <c r="R358" s="53"/>
      <c r="S358" s="53"/>
      <c r="T358" s="53"/>
      <c r="U358" s="53"/>
      <c r="V358" s="53"/>
      <c r="W358" s="53"/>
      <c r="X358" s="53"/>
      <c r="Y358" s="53"/>
      <c r="Z358" s="53"/>
    </row>
    <row r="359">
      <c r="A359" s="53"/>
      <c r="B359" s="53"/>
      <c r="C359" s="53"/>
      <c r="D359" s="53"/>
      <c r="E359" s="53"/>
      <c r="F359" s="53"/>
      <c r="G359" s="54"/>
      <c r="H359" s="53"/>
      <c r="I359" s="53"/>
      <c r="J359" s="54"/>
      <c r="K359" s="53"/>
      <c r="L359" s="53"/>
      <c r="M359" s="53"/>
      <c r="N359" s="53"/>
      <c r="O359" s="53"/>
      <c r="P359" s="53"/>
      <c r="Q359" s="53"/>
      <c r="R359" s="53"/>
      <c r="S359" s="53"/>
      <c r="T359" s="53"/>
      <c r="U359" s="53"/>
      <c r="V359" s="53"/>
      <c r="W359" s="53"/>
      <c r="X359" s="53"/>
      <c r="Y359" s="53"/>
      <c r="Z359" s="53"/>
    </row>
    <row r="360">
      <c r="A360" s="53"/>
      <c r="B360" s="53"/>
      <c r="C360" s="53"/>
      <c r="D360" s="53"/>
      <c r="E360" s="53"/>
      <c r="F360" s="53"/>
      <c r="G360" s="54"/>
      <c r="H360" s="53"/>
      <c r="I360" s="53"/>
      <c r="J360" s="54"/>
      <c r="K360" s="53"/>
      <c r="L360" s="53"/>
      <c r="M360" s="53"/>
      <c r="N360" s="53"/>
      <c r="O360" s="53"/>
      <c r="P360" s="53"/>
      <c r="Q360" s="53"/>
      <c r="R360" s="53"/>
      <c r="S360" s="53"/>
      <c r="T360" s="53"/>
      <c r="U360" s="53"/>
      <c r="V360" s="53"/>
      <c r="W360" s="53"/>
      <c r="X360" s="53"/>
      <c r="Y360" s="53"/>
      <c r="Z360" s="53"/>
    </row>
    <row r="361">
      <c r="A361" s="53"/>
      <c r="B361" s="53"/>
      <c r="C361" s="53"/>
      <c r="D361" s="53"/>
      <c r="E361" s="53"/>
      <c r="F361" s="53"/>
      <c r="G361" s="54"/>
      <c r="H361" s="53"/>
      <c r="I361" s="53"/>
      <c r="J361" s="54"/>
      <c r="K361" s="53"/>
      <c r="L361" s="53"/>
      <c r="M361" s="53"/>
      <c r="N361" s="53"/>
      <c r="O361" s="53"/>
      <c r="P361" s="53"/>
      <c r="Q361" s="53"/>
      <c r="R361" s="53"/>
      <c r="S361" s="53"/>
      <c r="T361" s="53"/>
      <c r="U361" s="53"/>
      <c r="V361" s="53"/>
      <c r="W361" s="53"/>
      <c r="X361" s="53"/>
      <c r="Y361" s="53"/>
      <c r="Z361" s="53"/>
    </row>
    <row r="362">
      <c r="A362" s="53"/>
      <c r="B362" s="53"/>
      <c r="C362" s="53"/>
      <c r="D362" s="53"/>
      <c r="E362" s="53"/>
      <c r="F362" s="53"/>
      <c r="G362" s="54"/>
      <c r="H362" s="53"/>
      <c r="I362" s="53"/>
      <c r="J362" s="54"/>
      <c r="K362" s="53"/>
      <c r="L362" s="53"/>
      <c r="M362" s="53"/>
      <c r="N362" s="53"/>
      <c r="O362" s="53"/>
      <c r="P362" s="53"/>
      <c r="Q362" s="53"/>
      <c r="R362" s="53"/>
      <c r="S362" s="53"/>
      <c r="T362" s="53"/>
      <c r="U362" s="53"/>
      <c r="V362" s="53"/>
      <c r="W362" s="53"/>
      <c r="X362" s="53"/>
      <c r="Y362" s="53"/>
      <c r="Z362" s="53"/>
    </row>
    <row r="363">
      <c r="A363" s="53"/>
      <c r="B363" s="53"/>
      <c r="C363" s="53"/>
      <c r="D363" s="53"/>
      <c r="E363" s="53"/>
      <c r="F363" s="53"/>
      <c r="G363" s="54"/>
      <c r="H363" s="53"/>
      <c r="I363" s="53"/>
      <c r="J363" s="54"/>
      <c r="K363" s="53"/>
      <c r="L363" s="53"/>
      <c r="M363" s="53"/>
      <c r="N363" s="53"/>
      <c r="O363" s="53"/>
      <c r="P363" s="53"/>
      <c r="Q363" s="53"/>
      <c r="R363" s="53"/>
      <c r="S363" s="53"/>
      <c r="T363" s="53"/>
      <c r="U363" s="53"/>
      <c r="V363" s="53"/>
      <c r="W363" s="53"/>
      <c r="X363" s="53"/>
      <c r="Y363" s="53"/>
      <c r="Z363" s="53"/>
    </row>
    <row r="364">
      <c r="A364" s="53"/>
      <c r="B364" s="53"/>
      <c r="C364" s="53"/>
      <c r="D364" s="53"/>
      <c r="E364" s="53"/>
      <c r="F364" s="53"/>
      <c r="G364" s="54"/>
      <c r="H364" s="53"/>
      <c r="I364" s="53"/>
      <c r="J364" s="54"/>
      <c r="K364" s="53"/>
      <c r="L364" s="53"/>
      <c r="M364" s="53"/>
      <c r="N364" s="53"/>
      <c r="O364" s="53"/>
      <c r="P364" s="53"/>
      <c r="Q364" s="53"/>
      <c r="R364" s="53"/>
      <c r="S364" s="53"/>
      <c r="T364" s="53"/>
      <c r="U364" s="53"/>
      <c r="V364" s="53"/>
      <c r="W364" s="53"/>
      <c r="X364" s="53"/>
      <c r="Y364" s="53"/>
      <c r="Z364" s="53"/>
    </row>
    <row r="365">
      <c r="A365" s="53"/>
      <c r="B365" s="53"/>
      <c r="C365" s="53"/>
      <c r="D365" s="53"/>
      <c r="E365" s="53"/>
      <c r="F365" s="53"/>
      <c r="G365" s="54"/>
      <c r="H365" s="53"/>
      <c r="I365" s="53"/>
      <c r="J365" s="54"/>
      <c r="K365" s="53"/>
      <c r="L365" s="53"/>
      <c r="M365" s="53"/>
      <c r="N365" s="53"/>
      <c r="O365" s="53"/>
      <c r="P365" s="53"/>
      <c r="Q365" s="53"/>
      <c r="R365" s="53"/>
      <c r="S365" s="53"/>
      <c r="T365" s="53"/>
      <c r="U365" s="53"/>
      <c r="V365" s="53"/>
      <c r="W365" s="53"/>
      <c r="X365" s="53"/>
      <c r="Y365" s="53"/>
      <c r="Z365" s="53"/>
    </row>
    <row r="366">
      <c r="A366" s="53"/>
      <c r="B366" s="53"/>
      <c r="C366" s="53"/>
      <c r="D366" s="53"/>
      <c r="E366" s="53"/>
      <c r="F366" s="53"/>
      <c r="G366" s="54"/>
      <c r="H366" s="53"/>
      <c r="I366" s="53"/>
      <c r="J366" s="54"/>
      <c r="K366" s="53"/>
      <c r="L366" s="53"/>
      <c r="M366" s="53"/>
      <c r="N366" s="53"/>
      <c r="O366" s="53"/>
      <c r="P366" s="53"/>
      <c r="Q366" s="53"/>
      <c r="R366" s="53"/>
      <c r="S366" s="53"/>
      <c r="T366" s="53"/>
      <c r="U366" s="53"/>
      <c r="V366" s="53"/>
      <c r="W366" s="53"/>
      <c r="X366" s="53"/>
      <c r="Y366" s="53"/>
      <c r="Z366" s="53"/>
    </row>
    <row r="367">
      <c r="A367" s="53"/>
      <c r="B367" s="53"/>
      <c r="C367" s="53"/>
      <c r="D367" s="53"/>
      <c r="E367" s="53"/>
      <c r="F367" s="53"/>
      <c r="G367" s="54"/>
      <c r="H367" s="53"/>
      <c r="I367" s="53"/>
      <c r="J367" s="54"/>
      <c r="K367" s="53"/>
      <c r="L367" s="53"/>
      <c r="M367" s="53"/>
      <c r="N367" s="53"/>
      <c r="O367" s="53"/>
      <c r="P367" s="53"/>
      <c r="Q367" s="53"/>
      <c r="R367" s="53"/>
      <c r="S367" s="53"/>
      <c r="T367" s="53"/>
      <c r="U367" s="53"/>
      <c r="V367" s="53"/>
      <c r="W367" s="53"/>
      <c r="X367" s="53"/>
      <c r="Y367" s="53"/>
      <c r="Z367" s="53"/>
    </row>
    <row r="368">
      <c r="A368" s="53"/>
      <c r="B368" s="53"/>
      <c r="C368" s="53"/>
      <c r="D368" s="53"/>
      <c r="E368" s="53"/>
      <c r="F368" s="53"/>
      <c r="G368" s="54"/>
      <c r="H368" s="53"/>
      <c r="I368" s="53"/>
      <c r="J368" s="54"/>
      <c r="K368" s="53"/>
      <c r="L368" s="53"/>
      <c r="M368" s="53"/>
      <c r="N368" s="53"/>
      <c r="O368" s="53"/>
      <c r="P368" s="53"/>
      <c r="Q368" s="53"/>
      <c r="R368" s="53"/>
      <c r="S368" s="53"/>
      <c r="T368" s="53"/>
      <c r="U368" s="53"/>
      <c r="V368" s="53"/>
      <c r="W368" s="53"/>
      <c r="X368" s="53"/>
      <c r="Y368" s="53"/>
      <c r="Z368" s="53"/>
    </row>
    <row r="369">
      <c r="A369" s="53"/>
      <c r="B369" s="53"/>
      <c r="C369" s="53"/>
      <c r="D369" s="53"/>
      <c r="E369" s="53"/>
      <c r="F369" s="53"/>
      <c r="G369" s="54"/>
      <c r="H369" s="53"/>
      <c r="I369" s="53"/>
      <c r="J369" s="54"/>
      <c r="K369" s="53"/>
      <c r="L369" s="53"/>
      <c r="M369" s="53"/>
      <c r="N369" s="53"/>
      <c r="O369" s="53"/>
      <c r="P369" s="53"/>
      <c r="Q369" s="53"/>
      <c r="R369" s="53"/>
      <c r="S369" s="53"/>
      <c r="T369" s="53"/>
      <c r="U369" s="53"/>
      <c r="V369" s="53"/>
      <c r="W369" s="53"/>
      <c r="X369" s="53"/>
      <c r="Y369" s="53"/>
      <c r="Z369" s="53"/>
    </row>
    <row r="370">
      <c r="A370" s="53"/>
      <c r="B370" s="53"/>
      <c r="C370" s="53"/>
      <c r="D370" s="53"/>
      <c r="E370" s="53"/>
      <c r="F370" s="53"/>
      <c r="G370" s="54"/>
      <c r="H370" s="53"/>
      <c r="I370" s="53"/>
      <c r="J370" s="54"/>
      <c r="K370" s="53"/>
      <c r="L370" s="53"/>
      <c r="M370" s="53"/>
      <c r="N370" s="53"/>
      <c r="O370" s="53"/>
      <c r="P370" s="53"/>
      <c r="Q370" s="53"/>
      <c r="R370" s="53"/>
      <c r="S370" s="53"/>
      <c r="T370" s="53"/>
      <c r="U370" s="53"/>
      <c r="V370" s="53"/>
      <c r="W370" s="53"/>
      <c r="X370" s="53"/>
      <c r="Y370" s="53"/>
      <c r="Z370" s="53"/>
    </row>
    <row r="371">
      <c r="A371" s="53"/>
      <c r="B371" s="53"/>
      <c r="C371" s="53"/>
      <c r="D371" s="53"/>
      <c r="E371" s="53"/>
      <c r="F371" s="53"/>
      <c r="G371" s="54"/>
      <c r="H371" s="53"/>
      <c r="I371" s="53"/>
      <c r="J371" s="54"/>
      <c r="K371" s="53"/>
      <c r="L371" s="53"/>
      <c r="M371" s="53"/>
      <c r="N371" s="53"/>
      <c r="O371" s="53"/>
      <c r="P371" s="53"/>
      <c r="Q371" s="53"/>
      <c r="R371" s="53"/>
      <c r="S371" s="53"/>
      <c r="T371" s="53"/>
      <c r="U371" s="53"/>
      <c r="V371" s="53"/>
      <c r="W371" s="53"/>
      <c r="X371" s="53"/>
      <c r="Y371" s="53"/>
      <c r="Z371" s="53"/>
    </row>
    <row r="372">
      <c r="A372" s="53"/>
      <c r="B372" s="53"/>
      <c r="C372" s="53"/>
      <c r="D372" s="53"/>
      <c r="E372" s="53"/>
      <c r="F372" s="53"/>
      <c r="G372" s="54"/>
      <c r="H372" s="53"/>
      <c r="I372" s="53"/>
      <c r="J372" s="54"/>
      <c r="K372" s="53"/>
      <c r="L372" s="53"/>
      <c r="M372" s="53"/>
      <c r="N372" s="53"/>
      <c r="O372" s="53"/>
      <c r="P372" s="53"/>
      <c r="Q372" s="53"/>
      <c r="R372" s="53"/>
      <c r="S372" s="53"/>
      <c r="T372" s="53"/>
      <c r="U372" s="53"/>
      <c r="V372" s="53"/>
      <c r="W372" s="53"/>
      <c r="X372" s="53"/>
      <c r="Y372" s="53"/>
      <c r="Z372" s="53"/>
    </row>
    <row r="373">
      <c r="A373" s="53"/>
      <c r="B373" s="53"/>
      <c r="C373" s="53"/>
      <c r="D373" s="53"/>
      <c r="E373" s="53"/>
      <c r="F373" s="53"/>
      <c r="G373" s="54"/>
      <c r="H373" s="53"/>
      <c r="I373" s="53"/>
      <c r="J373" s="54"/>
      <c r="K373" s="53"/>
      <c r="L373" s="53"/>
      <c r="M373" s="53"/>
      <c r="N373" s="53"/>
      <c r="O373" s="53"/>
      <c r="P373" s="53"/>
      <c r="Q373" s="53"/>
      <c r="R373" s="53"/>
      <c r="S373" s="53"/>
      <c r="T373" s="53"/>
      <c r="U373" s="53"/>
      <c r="V373" s="53"/>
      <c r="W373" s="53"/>
      <c r="X373" s="53"/>
      <c r="Y373" s="53"/>
      <c r="Z373" s="53"/>
    </row>
    <row r="374">
      <c r="A374" s="53"/>
      <c r="B374" s="53"/>
      <c r="C374" s="53"/>
      <c r="D374" s="53"/>
      <c r="E374" s="53"/>
      <c r="F374" s="53"/>
      <c r="G374" s="54"/>
      <c r="H374" s="53"/>
      <c r="I374" s="53"/>
      <c r="J374" s="54"/>
      <c r="K374" s="53"/>
      <c r="L374" s="53"/>
      <c r="M374" s="53"/>
      <c r="N374" s="53"/>
      <c r="O374" s="53"/>
      <c r="P374" s="53"/>
      <c r="Q374" s="53"/>
      <c r="R374" s="53"/>
      <c r="S374" s="53"/>
      <c r="T374" s="53"/>
      <c r="U374" s="53"/>
      <c r="V374" s="53"/>
      <c r="W374" s="53"/>
      <c r="X374" s="53"/>
      <c r="Y374" s="53"/>
      <c r="Z374" s="53"/>
    </row>
    <row r="375">
      <c r="A375" s="53"/>
      <c r="B375" s="53"/>
      <c r="C375" s="53"/>
      <c r="D375" s="53"/>
      <c r="E375" s="53"/>
      <c r="F375" s="53"/>
      <c r="G375" s="54"/>
      <c r="H375" s="53"/>
      <c r="I375" s="53"/>
      <c r="J375" s="54"/>
      <c r="K375" s="53"/>
      <c r="L375" s="53"/>
      <c r="M375" s="53"/>
      <c r="N375" s="53"/>
      <c r="O375" s="53"/>
      <c r="P375" s="53"/>
      <c r="Q375" s="53"/>
      <c r="R375" s="53"/>
      <c r="S375" s="53"/>
      <c r="T375" s="53"/>
      <c r="U375" s="53"/>
      <c r="V375" s="53"/>
      <c r="W375" s="53"/>
      <c r="X375" s="53"/>
      <c r="Y375" s="53"/>
      <c r="Z375" s="53"/>
    </row>
    <row r="376">
      <c r="A376" s="53"/>
      <c r="B376" s="53"/>
      <c r="C376" s="53"/>
      <c r="D376" s="53"/>
      <c r="E376" s="53"/>
      <c r="F376" s="53"/>
      <c r="G376" s="54"/>
      <c r="H376" s="53"/>
      <c r="I376" s="53"/>
      <c r="J376" s="54"/>
      <c r="K376" s="53"/>
      <c r="L376" s="53"/>
      <c r="M376" s="53"/>
      <c r="N376" s="53"/>
      <c r="O376" s="53"/>
      <c r="P376" s="53"/>
      <c r="Q376" s="53"/>
      <c r="R376" s="53"/>
      <c r="S376" s="53"/>
      <c r="T376" s="53"/>
      <c r="U376" s="53"/>
      <c r="V376" s="53"/>
      <c r="W376" s="53"/>
      <c r="X376" s="53"/>
      <c r="Y376" s="53"/>
      <c r="Z376" s="53"/>
    </row>
    <row r="377">
      <c r="A377" s="53"/>
      <c r="B377" s="53"/>
      <c r="C377" s="53"/>
      <c r="D377" s="53"/>
      <c r="E377" s="53"/>
      <c r="F377" s="53"/>
      <c r="G377" s="54"/>
      <c r="H377" s="53"/>
      <c r="I377" s="53"/>
      <c r="J377" s="54"/>
      <c r="K377" s="53"/>
      <c r="L377" s="53"/>
      <c r="M377" s="53"/>
      <c r="N377" s="53"/>
      <c r="O377" s="53"/>
      <c r="P377" s="53"/>
      <c r="Q377" s="53"/>
      <c r="R377" s="53"/>
      <c r="S377" s="53"/>
      <c r="T377" s="53"/>
      <c r="U377" s="53"/>
      <c r="V377" s="53"/>
      <c r="W377" s="53"/>
      <c r="X377" s="53"/>
      <c r="Y377" s="53"/>
      <c r="Z377" s="53"/>
    </row>
    <row r="378">
      <c r="A378" s="53"/>
      <c r="B378" s="53"/>
      <c r="C378" s="53"/>
      <c r="D378" s="53"/>
      <c r="E378" s="53"/>
      <c r="F378" s="53"/>
      <c r="G378" s="54"/>
      <c r="H378" s="53"/>
      <c r="I378" s="53"/>
      <c r="J378" s="54"/>
      <c r="K378" s="53"/>
      <c r="L378" s="53"/>
      <c r="M378" s="53"/>
      <c r="N378" s="53"/>
      <c r="O378" s="53"/>
      <c r="P378" s="53"/>
      <c r="Q378" s="53"/>
      <c r="R378" s="53"/>
      <c r="S378" s="53"/>
      <c r="T378" s="53"/>
      <c r="U378" s="53"/>
      <c r="V378" s="53"/>
      <c r="W378" s="53"/>
      <c r="X378" s="53"/>
      <c r="Y378" s="53"/>
      <c r="Z378" s="53"/>
    </row>
    <row r="379">
      <c r="A379" s="53"/>
      <c r="B379" s="53"/>
      <c r="C379" s="53"/>
      <c r="D379" s="53"/>
      <c r="E379" s="53"/>
      <c r="F379" s="53"/>
      <c r="G379" s="54"/>
      <c r="H379" s="53"/>
      <c r="I379" s="53"/>
      <c r="J379" s="54"/>
      <c r="K379" s="53"/>
      <c r="L379" s="53"/>
      <c r="M379" s="53"/>
      <c r="N379" s="53"/>
      <c r="O379" s="53"/>
      <c r="P379" s="53"/>
      <c r="Q379" s="53"/>
      <c r="R379" s="53"/>
      <c r="S379" s="53"/>
      <c r="T379" s="53"/>
      <c r="U379" s="53"/>
      <c r="V379" s="53"/>
      <c r="W379" s="53"/>
      <c r="X379" s="53"/>
      <c r="Y379" s="53"/>
      <c r="Z379" s="53"/>
    </row>
    <row r="380">
      <c r="A380" s="53"/>
      <c r="B380" s="53"/>
      <c r="C380" s="53"/>
      <c r="D380" s="53"/>
      <c r="E380" s="53"/>
      <c r="F380" s="53"/>
      <c r="G380" s="54"/>
      <c r="H380" s="53"/>
      <c r="I380" s="53"/>
      <c r="J380" s="54"/>
      <c r="K380" s="53"/>
      <c r="L380" s="53"/>
      <c r="M380" s="53"/>
      <c r="N380" s="53"/>
      <c r="O380" s="53"/>
      <c r="P380" s="53"/>
      <c r="Q380" s="53"/>
      <c r="R380" s="53"/>
      <c r="S380" s="53"/>
      <c r="T380" s="53"/>
      <c r="U380" s="53"/>
      <c r="V380" s="53"/>
      <c r="W380" s="53"/>
      <c r="X380" s="53"/>
      <c r="Y380" s="53"/>
      <c r="Z380" s="53"/>
    </row>
    <row r="381">
      <c r="A381" s="53"/>
      <c r="B381" s="53"/>
      <c r="C381" s="53"/>
      <c r="D381" s="53"/>
      <c r="E381" s="53"/>
      <c r="F381" s="53"/>
      <c r="G381" s="54"/>
      <c r="H381" s="53"/>
      <c r="I381" s="53"/>
      <c r="J381" s="54"/>
      <c r="K381" s="53"/>
      <c r="L381" s="53"/>
      <c r="M381" s="53"/>
      <c r="N381" s="53"/>
      <c r="O381" s="53"/>
      <c r="P381" s="53"/>
      <c r="Q381" s="53"/>
      <c r="R381" s="53"/>
      <c r="S381" s="53"/>
      <c r="T381" s="53"/>
      <c r="U381" s="53"/>
      <c r="V381" s="53"/>
      <c r="W381" s="53"/>
      <c r="X381" s="53"/>
      <c r="Y381" s="53"/>
      <c r="Z381" s="53"/>
    </row>
    <row r="382">
      <c r="A382" s="53"/>
      <c r="B382" s="53"/>
      <c r="C382" s="53"/>
      <c r="D382" s="53"/>
      <c r="E382" s="53"/>
      <c r="F382" s="53"/>
      <c r="G382" s="54"/>
      <c r="H382" s="53"/>
      <c r="I382" s="53"/>
      <c r="J382" s="54"/>
      <c r="K382" s="53"/>
      <c r="L382" s="53"/>
      <c r="M382" s="53"/>
      <c r="N382" s="53"/>
      <c r="O382" s="53"/>
      <c r="P382" s="53"/>
      <c r="Q382" s="53"/>
      <c r="R382" s="53"/>
      <c r="S382" s="53"/>
      <c r="T382" s="53"/>
      <c r="U382" s="53"/>
      <c r="V382" s="53"/>
      <c r="W382" s="53"/>
      <c r="X382" s="53"/>
      <c r="Y382" s="53"/>
      <c r="Z382" s="53"/>
    </row>
    <row r="383">
      <c r="A383" s="53"/>
      <c r="B383" s="53"/>
      <c r="C383" s="53"/>
      <c r="D383" s="53"/>
      <c r="E383" s="53"/>
      <c r="F383" s="53"/>
      <c r="G383" s="54"/>
      <c r="H383" s="53"/>
      <c r="I383" s="53"/>
      <c r="J383" s="54"/>
      <c r="K383" s="53"/>
      <c r="L383" s="53"/>
      <c r="M383" s="53"/>
      <c r="N383" s="53"/>
      <c r="O383" s="53"/>
      <c r="P383" s="53"/>
      <c r="Q383" s="53"/>
      <c r="R383" s="53"/>
      <c r="S383" s="53"/>
      <c r="T383" s="53"/>
      <c r="U383" s="53"/>
      <c r="V383" s="53"/>
      <c r="W383" s="53"/>
      <c r="X383" s="53"/>
      <c r="Y383" s="53"/>
      <c r="Z383" s="53"/>
    </row>
    <row r="384">
      <c r="A384" s="53"/>
      <c r="B384" s="53"/>
      <c r="C384" s="53"/>
      <c r="D384" s="53"/>
      <c r="E384" s="53"/>
      <c r="F384" s="53"/>
      <c r="G384" s="54"/>
      <c r="H384" s="53"/>
      <c r="I384" s="53"/>
      <c r="J384" s="54"/>
      <c r="K384" s="53"/>
      <c r="L384" s="53"/>
      <c r="M384" s="53"/>
      <c r="N384" s="53"/>
      <c r="O384" s="53"/>
      <c r="P384" s="53"/>
      <c r="Q384" s="53"/>
      <c r="R384" s="53"/>
      <c r="S384" s="53"/>
      <c r="T384" s="53"/>
      <c r="U384" s="53"/>
      <c r="V384" s="53"/>
      <c r="W384" s="53"/>
      <c r="X384" s="53"/>
      <c r="Y384" s="53"/>
      <c r="Z384" s="53"/>
    </row>
    <row r="385">
      <c r="A385" s="53"/>
      <c r="B385" s="53"/>
      <c r="C385" s="53"/>
      <c r="D385" s="53"/>
      <c r="E385" s="53"/>
      <c r="F385" s="53"/>
      <c r="G385" s="54"/>
      <c r="H385" s="53"/>
      <c r="I385" s="53"/>
      <c r="J385" s="54"/>
      <c r="K385" s="53"/>
      <c r="L385" s="53"/>
      <c r="M385" s="53"/>
      <c r="N385" s="53"/>
      <c r="O385" s="53"/>
      <c r="P385" s="53"/>
      <c r="Q385" s="53"/>
      <c r="R385" s="53"/>
      <c r="S385" s="53"/>
      <c r="T385" s="53"/>
      <c r="U385" s="53"/>
      <c r="V385" s="53"/>
      <c r="W385" s="53"/>
      <c r="X385" s="53"/>
      <c r="Y385" s="53"/>
      <c r="Z385" s="53"/>
    </row>
    <row r="386">
      <c r="A386" s="53"/>
      <c r="B386" s="53"/>
      <c r="C386" s="53"/>
      <c r="D386" s="53"/>
      <c r="E386" s="53"/>
      <c r="F386" s="53"/>
      <c r="G386" s="54"/>
      <c r="H386" s="53"/>
      <c r="I386" s="53"/>
      <c r="J386" s="54"/>
      <c r="K386" s="53"/>
      <c r="L386" s="53"/>
      <c r="M386" s="53"/>
      <c r="N386" s="53"/>
      <c r="O386" s="53"/>
      <c r="P386" s="53"/>
      <c r="Q386" s="53"/>
      <c r="R386" s="53"/>
      <c r="S386" s="53"/>
      <c r="T386" s="53"/>
      <c r="U386" s="53"/>
      <c r="V386" s="53"/>
      <c r="W386" s="53"/>
      <c r="X386" s="53"/>
      <c r="Y386" s="53"/>
      <c r="Z386" s="53"/>
    </row>
    <row r="387">
      <c r="A387" s="53"/>
      <c r="B387" s="53"/>
      <c r="C387" s="53"/>
      <c r="D387" s="53"/>
      <c r="E387" s="53"/>
      <c r="F387" s="53"/>
      <c r="G387" s="54"/>
      <c r="H387" s="53"/>
      <c r="I387" s="53"/>
      <c r="J387" s="54"/>
      <c r="K387" s="53"/>
      <c r="L387" s="53"/>
      <c r="M387" s="53"/>
      <c r="N387" s="53"/>
      <c r="O387" s="53"/>
      <c r="P387" s="53"/>
      <c r="Q387" s="53"/>
      <c r="R387" s="53"/>
      <c r="S387" s="53"/>
      <c r="T387" s="53"/>
      <c r="U387" s="53"/>
      <c r="V387" s="53"/>
      <c r="W387" s="53"/>
      <c r="X387" s="53"/>
      <c r="Y387" s="53"/>
      <c r="Z387" s="53"/>
    </row>
    <row r="388">
      <c r="A388" s="53"/>
      <c r="B388" s="53"/>
      <c r="C388" s="53"/>
      <c r="D388" s="53"/>
      <c r="E388" s="53"/>
      <c r="F388" s="53"/>
      <c r="G388" s="54"/>
      <c r="H388" s="53"/>
      <c r="I388" s="53"/>
      <c r="J388" s="54"/>
      <c r="K388" s="53"/>
      <c r="L388" s="53"/>
      <c r="M388" s="53"/>
      <c r="N388" s="53"/>
      <c r="O388" s="53"/>
      <c r="P388" s="53"/>
      <c r="Q388" s="53"/>
      <c r="R388" s="53"/>
      <c r="S388" s="53"/>
      <c r="T388" s="53"/>
      <c r="U388" s="53"/>
      <c r="V388" s="53"/>
      <c r="W388" s="53"/>
      <c r="X388" s="53"/>
      <c r="Y388" s="53"/>
      <c r="Z388" s="53"/>
    </row>
    <row r="389">
      <c r="A389" s="53"/>
      <c r="B389" s="53"/>
      <c r="C389" s="53"/>
      <c r="D389" s="53"/>
      <c r="E389" s="53"/>
      <c r="F389" s="53"/>
      <c r="G389" s="54"/>
      <c r="H389" s="53"/>
      <c r="I389" s="53"/>
      <c r="J389" s="54"/>
      <c r="K389" s="53"/>
      <c r="L389" s="53"/>
      <c r="M389" s="53"/>
      <c r="N389" s="53"/>
      <c r="O389" s="53"/>
      <c r="P389" s="53"/>
      <c r="Q389" s="53"/>
      <c r="R389" s="53"/>
      <c r="S389" s="53"/>
      <c r="T389" s="53"/>
      <c r="U389" s="53"/>
      <c r="V389" s="53"/>
      <c r="W389" s="53"/>
      <c r="X389" s="53"/>
      <c r="Y389" s="53"/>
      <c r="Z389" s="53"/>
    </row>
    <row r="390">
      <c r="A390" s="53"/>
      <c r="B390" s="53"/>
      <c r="C390" s="53"/>
      <c r="D390" s="53"/>
      <c r="E390" s="53"/>
      <c r="F390" s="53"/>
      <c r="G390" s="54"/>
      <c r="H390" s="53"/>
      <c r="I390" s="53"/>
      <c r="J390" s="54"/>
      <c r="K390" s="53"/>
      <c r="L390" s="53"/>
      <c r="M390" s="53"/>
      <c r="N390" s="53"/>
      <c r="O390" s="53"/>
      <c r="P390" s="53"/>
      <c r="Q390" s="53"/>
      <c r="R390" s="53"/>
      <c r="S390" s="53"/>
      <c r="T390" s="53"/>
      <c r="U390" s="53"/>
      <c r="V390" s="53"/>
      <c r="W390" s="53"/>
      <c r="X390" s="53"/>
      <c r="Y390" s="53"/>
      <c r="Z390" s="53"/>
    </row>
    <row r="391">
      <c r="A391" s="53"/>
      <c r="B391" s="53"/>
      <c r="C391" s="53"/>
      <c r="D391" s="53"/>
      <c r="E391" s="53"/>
      <c r="F391" s="53"/>
      <c r="G391" s="54"/>
      <c r="H391" s="53"/>
      <c r="I391" s="53"/>
      <c r="J391" s="54"/>
      <c r="K391" s="53"/>
      <c r="L391" s="53"/>
      <c r="M391" s="53"/>
      <c r="N391" s="53"/>
      <c r="O391" s="53"/>
      <c r="P391" s="53"/>
      <c r="Q391" s="53"/>
      <c r="R391" s="53"/>
      <c r="S391" s="53"/>
      <c r="T391" s="53"/>
      <c r="U391" s="53"/>
      <c r="V391" s="53"/>
      <c r="W391" s="53"/>
      <c r="X391" s="53"/>
      <c r="Y391" s="53"/>
      <c r="Z391" s="53"/>
    </row>
    <row r="392">
      <c r="A392" s="53"/>
      <c r="B392" s="53"/>
      <c r="C392" s="53"/>
      <c r="D392" s="53"/>
      <c r="E392" s="53"/>
      <c r="F392" s="53"/>
      <c r="G392" s="54"/>
      <c r="H392" s="53"/>
      <c r="I392" s="53"/>
      <c r="J392" s="54"/>
      <c r="K392" s="53"/>
      <c r="L392" s="53"/>
      <c r="M392" s="53"/>
      <c r="N392" s="53"/>
      <c r="O392" s="53"/>
      <c r="P392" s="53"/>
      <c r="Q392" s="53"/>
      <c r="R392" s="53"/>
      <c r="S392" s="53"/>
      <c r="T392" s="53"/>
      <c r="U392" s="53"/>
      <c r="V392" s="53"/>
      <c r="W392" s="53"/>
      <c r="X392" s="53"/>
      <c r="Y392" s="53"/>
      <c r="Z392" s="53"/>
    </row>
    <row r="393">
      <c r="A393" s="53"/>
      <c r="B393" s="53"/>
      <c r="C393" s="53"/>
      <c r="D393" s="53"/>
      <c r="E393" s="53"/>
      <c r="F393" s="53"/>
      <c r="G393" s="54"/>
      <c r="H393" s="53"/>
      <c r="I393" s="53"/>
      <c r="J393" s="54"/>
      <c r="K393" s="53"/>
      <c r="L393" s="53"/>
      <c r="M393" s="53"/>
      <c r="N393" s="53"/>
      <c r="O393" s="53"/>
      <c r="P393" s="53"/>
      <c r="Q393" s="53"/>
      <c r="R393" s="53"/>
      <c r="S393" s="53"/>
      <c r="T393" s="53"/>
      <c r="U393" s="53"/>
      <c r="V393" s="53"/>
      <c r="W393" s="53"/>
      <c r="X393" s="53"/>
      <c r="Y393" s="53"/>
      <c r="Z393" s="53"/>
    </row>
    <row r="394">
      <c r="A394" s="53"/>
      <c r="B394" s="53"/>
      <c r="C394" s="53"/>
      <c r="D394" s="53"/>
      <c r="E394" s="53"/>
      <c r="F394" s="53"/>
      <c r="G394" s="54"/>
      <c r="H394" s="53"/>
      <c r="I394" s="53"/>
      <c r="J394" s="54"/>
      <c r="K394" s="53"/>
      <c r="L394" s="53"/>
      <c r="M394" s="53"/>
      <c r="N394" s="53"/>
      <c r="O394" s="53"/>
      <c r="P394" s="53"/>
      <c r="Q394" s="53"/>
      <c r="R394" s="53"/>
      <c r="S394" s="53"/>
      <c r="T394" s="53"/>
      <c r="U394" s="53"/>
      <c r="V394" s="53"/>
      <c r="W394" s="53"/>
      <c r="X394" s="53"/>
      <c r="Y394" s="53"/>
      <c r="Z394" s="53"/>
    </row>
    <row r="395">
      <c r="A395" s="53"/>
      <c r="B395" s="53"/>
      <c r="C395" s="53"/>
      <c r="D395" s="53"/>
      <c r="E395" s="53"/>
      <c r="F395" s="53"/>
      <c r="G395" s="54"/>
      <c r="H395" s="53"/>
      <c r="I395" s="53"/>
      <c r="J395" s="54"/>
      <c r="K395" s="53"/>
      <c r="L395" s="53"/>
      <c r="M395" s="53"/>
      <c r="N395" s="53"/>
      <c r="O395" s="53"/>
      <c r="P395" s="53"/>
      <c r="Q395" s="53"/>
      <c r="R395" s="53"/>
      <c r="S395" s="53"/>
      <c r="T395" s="53"/>
      <c r="U395" s="53"/>
      <c r="V395" s="53"/>
      <c r="W395" s="53"/>
      <c r="X395" s="53"/>
      <c r="Y395" s="53"/>
      <c r="Z395" s="53"/>
    </row>
    <row r="396">
      <c r="A396" s="53"/>
      <c r="B396" s="53"/>
      <c r="C396" s="53"/>
      <c r="D396" s="53"/>
      <c r="E396" s="53"/>
      <c r="F396" s="53"/>
      <c r="G396" s="54"/>
      <c r="H396" s="53"/>
      <c r="I396" s="53"/>
      <c r="J396" s="54"/>
      <c r="K396" s="53"/>
      <c r="L396" s="53"/>
      <c r="M396" s="53"/>
      <c r="N396" s="53"/>
      <c r="O396" s="53"/>
      <c r="P396" s="53"/>
      <c r="Q396" s="53"/>
      <c r="R396" s="53"/>
      <c r="S396" s="53"/>
      <c r="T396" s="53"/>
      <c r="U396" s="53"/>
      <c r="V396" s="53"/>
      <c r="W396" s="53"/>
      <c r="X396" s="53"/>
      <c r="Y396" s="53"/>
      <c r="Z396" s="53"/>
    </row>
    <row r="397">
      <c r="A397" s="53"/>
      <c r="B397" s="53"/>
      <c r="C397" s="53"/>
      <c r="D397" s="53"/>
      <c r="E397" s="53"/>
      <c r="F397" s="53"/>
      <c r="G397" s="54"/>
      <c r="H397" s="53"/>
      <c r="I397" s="53"/>
      <c r="J397" s="54"/>
      <c r="K397" s="53"/>
      <c r="L397" s="53"/>
      <c r="M397" s="53"/>
      <c r="N397" s="53"/>
      <c r="O397" s="53"/>
      <c r="P397" s="53"/>
      <c r="Q397" s="53"/>
      <c r="R397" s="53"/>
      <c r="S397" s="53"/>
      <c r="T397" s="53"/>
      <c r="U397" s="53"/>
      <c r="V397" s="53"/>
      <c r="W397" s="53"/>
      <c r="X397" s="53"/>
      <c r="Y397" s="53"/>
      <c r="Z397" s="53"/>
    </row>
    <row r="398">
      <c r="A398" s="53"/>
      <c r="B398" s="53"/>
      <c r="C398" s="53"/>
      <c r="D398" s="53"/>
      <c r="E398" s="53"/>
      <c r="F398" s="53"/>
      <c r="G398" s="54"/>
      <c r="H398" s="53"/>
      <c r="I398" s="53"/>
      <c r="J398" s="54"/>
      <c r="K398" s="53"/>
      <c r="L398" s="53"/>
      <c r="M398" s="53"/>
      <c r="N398" s="53"/>
      <c r="O398" s="53"/>
      <c r="P398" s="53"/>
      <c r="Q398" s="53"/>
      <c r="R398" s="53"/>
      <c r="S398" s="53"/>
      <c r="T398" s="53"/>
      <c r="U398" s="53"/>
      <c r="V398" s="53"/>
      <c r="W398" s="53"/>
      <c r="X398" s="53"/>
      <c r="Y398" s="53"/>
      <c r="Z398" s="53"/>
    </row>
    <row r="399">
      <c r="A399" s="53"/>
      <c r="B399" s="53"/>
      <c r="C399" s="53"/>
      <c r="D399" s="53"/>
      <c r="E399" s="53"/>
      <c r="F399" s="53"/>
      <c r="G399" s="54"/>
      <c r="H399" s="53"/>
      <c r="I399" s="53"/>
      <c r="J399" s="54"/>
      <c r="K399" s="53"/>
      <c r="L399" s="53"/>
      <c r="M399" s="53"/>
      <c r="N399" s="53"/>
      <c r="O399" s="53"/>
      <c r="P399" s="53"/>
      <c r="Q399" s="53"/>
      <c r="R399" s="53"/>
      <c r="S399" s="53"/>
      <c r="T399" s="53"/>
      <c r="U399" s="53"/>
      <c r="V399" s="53"/>
      <c r="W399" s="53"/>
      <c r="X399" s="53"/>
      <c r="Y399" s="53"/>
      <c r="Z399" s="53"/>
    </row>
    <row r="400">
      <c r="A400" s="53"/>
      <c r="B400" s="53"/>
      <c r="C400" s="53"/>
      <c r="D400" s="53"/>
      <c r="E400" s="53"/>
      <c r="F400" s="53"/>
      <c r="G400" s="54"/>
      <c r="H400" s="53"/>
      <c r="I400" s="53"/>
      <c r="J400" s="54"/>
      <c r="K400" s="53"/>
      <c r="L400" s="53"/>
      <c r="M400" s="53"/>
      <c r="N400" s="53"/>
      <c r="O400" s="53"/>
      <c r="P400" s="53"/>
      <c r="Q400" s="53"/>
      <c r="R400" s="53"/>
      <c r="S400" s="53"/>
      <c r="T400" s="53"/>
      <c r="U400" s="53"/>
      <c r="V400" s="53"/>
      <c r="W400" s="53"/>
      <c r="X400" s="53"/>
      <c r="Y400" s="53"/>
      <c r="Z400" s="53"/>
    </row>
    <row r="401">
      <c r="A401" s="53"/>
      <c r="B401" s="53"/>
      <c r="C401" s="53"/>
      <c r="D401" s="53"/>
      <c r="E401" s="53"/>
      <c r="F401" s="53"/>
      <c r="G401" s="54"/>
      <c r="H401" s="53"/>
      <c r="I401" s="53"/>
      <c r="J401" s="54"/>
      <c r="K401" s="53"/>
      <c r="L401" s="53"/>
      <c r="M401" s="53"/>
      <c r="N401" s="53"/>
      <c r="O401" s="53"/>
      <c r="P401" s="53"/>
      <c r="Q401" s="53"/>
      <c r="R401" s="53"/>
      <c r="S401" s="53"/>
      <c r="T401" s="53"/>
      <c r="U401" s="53"/>
      <c r="V401" s="53"/>
      <c r="W401" s="53"/>
      <c r="X401" s="53"/>
      <c r="Y401" s="53"/>
      <c r="Z401" s="53"/>
    </row>
    <row r="402">
      <c r="A402" s="53"/>
      <c r="B402" s="53"/>
      <c r="C402" s="53"/>
      <c r="D402" s="53"/>
      <c r="E402" s="53"/>
      <c r="F402" s="53"/>
      <c r="G402" s="54"/>
      <c r="H402" s="53"/>
      <c r="I402" s="53"/>
      <c r="J402" s="54"/>
      <c r="K402" s="53"/>
      <c r="L402" s="53"/>
      <c r="M402" s="53"/>
      <c r="N402" s="53"/>
      <c r="O402" s="53"/>
      <c r="P402" s="53"/>
      <c r="Q402" s="53"/>
      <c r="R402" s="53"/>
      <c r="S402" s="53"/>
      <c r="T402" s="53"/>
      <c r="U402" s="53"/>
      <c r="V402" s="53"/>
      <c r="W402" s="53"/>
      <c r="X402" s="53"/>
      <c r="Y402" s="53"/>
      <c r="Z402" s="53"/>
    </row>
    <row r="403">
      <c r="A403" s="53"/>
      <c r="B403" s="53"/>
      <c r="C403" s="53"/>
      <c r="D403" s="53"/>
      <c r="E403" s="53"/>
      <c r="F403" s="53"/>
      <c r="G403" s="54"/>
      <c r="H403" s="53"/>
      <c r="I403" s="53"/>
      <c r="J403" s="54"/>
      <c r="K403" s="53"/>
      <c r="L403" s="53"/>
      <c r="M403" s="53"/>
      <c r="N403" s="53"/>
      <c r="O403" s="53"/>
      <c r="P403" s="53"/>
      <c r="Q403" s="53"/>
      <c r="R403" s="53"/>
      <c r="S403" s="53"/>
      <c r="T403" s="53"/>
      <c r="U403" s="53"/>
      <c r="V403" s="53"/>
      <c r="W403" s="53"/>
      <c r="X403" s="53"/>
      <c r="Y403" s="53"/>
      <c r="Z403" s="53"/>
    </row>
    <row r="404">
      <c r="A404" s="53"/>
      <c r="B404" s="53"/>
      <c r="C404" s="53"/>
      <c r="D404" s="53"/>
      <c r="E404" s="53"/>
      <c r="F404" s="53"/>
      <c r="G404" s="54"/>
      <c r="H404" s="53"/>
      <c r="I404" s="53"/>
      <c r="J404" s="54"/>
      <c r="K404" s="53"/>
      <c r="L404" s="53"/>
      <c r="M404" s="53"/>
      <c r="N404" s="53"/>
      <c r="O404" s="53"/>
      <c r="P404" s="53"/>
      <c r="Q404" s="53"/>
      <c r="R404" s="53"/>
      <c r="S404" s="53"/>
      <c r="T404" s="53"/>
      <c r="U404" s="53"/>
      <c r="V404" s="53"/>
      <c r="W404" s="53"/>
      <c r="X404" s="53"/>
      <c r="Y404" s="53"/>
      <c r="Z404" s="53"/>
    </row>
    <row r="405">
      <c r="A405" s="53"/>
      <c r="B405" s="53"/>
      <c r="C405" s="53"/>
      <c r="D405" s="53"/>
      <c r="E405" s="53"/>
      <c r="F405" s="53"/>
      <c r="G405" s="54"/>
      <c r="H405" s="53"/>
      <c r="I405" s="53"/>
      <c r="J405" s="54"/>
      <c r="K405" s="53"/>
      <c r="L405" s="53"/>
      <c r="M405" s="53"/>
      <c r="N405" s="53"/>
      <c r="O405" s="53"/>
      <c r="P405" s="53"/>
      <c r="Q405" s="53"/>
      <c r="R405" s="53"/>
      <c r="S405" s="53"/>
      <c r="T405" s="53"/>
      <c r="U405" s="53"/>
      <c r="V405" s="53"/>
      <c r="W405" s="53"/>
      <c r="X405" s="53"/>
      <c r="Y405" s="53"/>
      <c r="Z405" s="53"/>
    </row>
    <row r="406">
      <c r="A406" s="53"/>
      <c r="B406" s="53"/>
      <c r="C406" s="53"/>
      <c r="D406" s="53"/>
      <c r="E406" s="53"/>
      <c r="F406" s="53"/>
      <c r="G406" s="54"/>
      <c r="H406" s="53"/>
      <c r="I406" s="53"/>
      <c r="J406" s="54"/>
      <c r="K406" s="53"/>
      <c r="L406" s="53"/>
      <c r="M406" s="53"/>
      <c r="N406" s="53"/>
      <c r="O406" s="53"/>
      <c r="P406" s="53"/>
      <c r="Q406" s="53"/>
      <c r="R406" s="53"/>
      <c r="S406" s="53"/>
      <c r="T406" s="53"/>
      <c r="U406" s="53"/>
      <c r="V406" s="53"/>
      <c r="W406" s="53"/>
      <c r="X406" s="53"/>
      <c r="Y406" s="53"/>
      <c r="Z406" s="53"/>
    </row>
    <row r="407">
      <c r="A407" s="53"/>
      <c r="B407" s="53"/>
      <c r="C407" s="53"/>
      <c r="D407" s="53"/>
      <c r="E407" s="53"/>
      <c r="F407" s="53"/>
      <c r="G407" s="54"/>
      <c r="H407" s="53"/>
      <c r="I407" s="53"/>
      <c r="J407" s="54"/>
      <c r="K407" s="53"/>
      <c r="L407" s="53"/>
      <c r="M407" s="53"/>
      <c r="N407" s="53"/>
      <c r="O407" s="53"/>
      <c r="P407" s="53"/>
      <c r="Q407" s="53"/>
      <c r="R407" s="53"/>
      <c r="S407" s="53"/>
      <c r="T407" s="53"/>
      <c r="U407" s="53"/>
      <c r="V407" s="53"/>
      <c r="W407" s="53"/>
      <c r="X407" s="53"/>
      <c r="Y407" s="53"/>
      <c r="Z407" s="53"/>
    </row>
    <row r="408">
      <c r="A408" s="53"/>
      <c r="B408" s="53"/>
      <c r="C408" s="53"/>
      <c r="D408" s="53"/>
      <c r="E408" s="53"/>
      <c r="F408" s="53"/>
      <c r="G408" s="54"/>
      <c r="H408" s="53"/>
      <c r="I408" s="53"/>
      <c r="J408" s="54"/>
      <c r="K408" s="53"/>
      <c r="L408" s="53"/>
      <c r="M408" s="53"/>
      <c r="N408" s="53"/>
      <c r="O408" s="53"/>
      <c r="P408" s="53"/>
      <c r="Q408" s="53"/>
      <c r="R408" s="53"/>
      <c r="S408" s="53"/>
      <c r="T408" s="53"/>
      <c r="U408" s="53"/>
      <c r="V408" s="53"/>
      <c r="W408" s="53"/>
      <c r="X408" s="53"/>
      <c r="Y408" s="53"/>
      <c r="Z408" s="53"/>
    </row>
    <row r="409">
      <c r="A409" s="53"/>
      <c r="B409" s="53"/>
      <c r="C409" s="53"/>
      <c r="D409" s="53"/>
      <c r="E409" s="53"/>
      <c r="F409" s="53"/>
      <c r="G409" s="54"/>
      <c r="H409" s="53"/>
      <c r="I409" s="53"/>
      <c r="J409" s="54"/>
      <c r="K409" s="53"/>
      <c r="L409" s="53"/>
      <c r="M409" s="53"/>
      <c r="N409" s="53"/>
      <c r="O409" s="53"/>
      <c r="P409" s="53"/>
      <c r="Q409" s="53"/>
      <c r="R409" s="53"/>
      <c r="S409" s="53"/>
      <c r="T409" s="53"/>
      <c r="U409" s="53"/>
      <c r="V409" s="53"/>
      <c r="W409" s="53"/>
      <c r="X409" s="53"/>
      <c r="Y409" s="53"/>
      <c r="Z409" s="53"/>
    </row>
    <row r="410">
      <c r="A410" s="53"/>
      <c r="B410" s="53"/>
      <c r="C410" s="53"/>
      <c r="D410" s="53"/>
      <c r="E410" s="53"/>
      <c r="F410" s="53"/>
      <c r="G410" s="54"/>
      <c r="H410" s="53"/>
      <c r="I410" s="53"/>
      <c r="J410" s="54"/>
      <c r="K410" s="53"/>
      <c r="L410" s="53"/>
      <c r="M410" s="53"/>
      <c r="N410" s="53"/>
      <c r="O410" s="53"/>
      <c r="P410" s="53"/>
      <c r="Q410" s="53"/>
      <c r="R410" s="53"/>
      <c r="S410" s="53"/>
      <c r="T410" s="53"/>
      <c r="U410" s="53"/>
      <c r="V410" s="53"/>
      <c r="W410" s="53"/>
      <c r="X410" s="53"/>
      <c r="Y410" s="53"/>
      <c r="Z410" s="53"/>
    </row>
    <row r="411">
      <c r="A411" s="53"/>
      <c r="B411" s="53"/>
      <c r="C411" s="53"/>
      <c r="D411" s="53"/>
      <c r="E411" s="53"/>
      <c r="F411" s="53"/>
      <c r="G411" s="54"/>
      <c r="H411" s="53"/>
      <c r="I411" s="53"/>
      <c r="J411" s="54"/>
      <c r="K411" s="53"/>
      <c r="L411" s="53"/>
      <c r="M411" s="53"/>
      <c r="N411" s="53"/>
      <c r="O411" s="53"/>
      <c r="P411" s="53"/>
      <c r="Q411" s="53"/>
      <c r="R411" s="53"/>
      <c r="S411" s="53"/>
      <c r="T411" s="53"/>
      <c r="U411" s="53"/>
      <c r="V411" s="53"/>
      <c r="W411" s="53"/>
      <c r="X411" s="53"/>
      <c r="Y411" s="53"/>
      <c r="Z411" s="53"/>
    </row>
    <row r="412">
      <c r="A412" s="53"/>
      <c r="B412" s="53"/>
      <c r="C412" s="53"/>
      <c r="D412" s="53"/>
      <c r="E412" s="53"/>
      <c r="F412" s="53"/>
      <c r="G412" s="54"/>
      <c r="H412" s="53"/>
      <c r="I412" s="53"/>
      <c r="J412" s="54"/>
      <c r="K412" s="53"/>
      <c r="L412" s="53"/>
      <c r="M412" s="53"/>
      <c r="N412" s="53"/>
      <c r="O412" s="53"/>
      <c r="P412" s="53"/>
      <c r="Q412" s="53"/>
      <c r="R412" s="53"/>
      <c r="S412" s="53"/>
      <c r="T412" s="53"/>
      <c r="U412" s="53"/>
      <c r="V412" s="53"/>
      <c r="W412" s="53"/>
      <c r="X412" s="53"/>
      <c r="Y412" s="53"/>
      <c r="Z412" s="53"/>
    </row>
    <row r="413">
      <c r="A413" s="53"/>
      <c r="B413" s="53"/>
      <c r="C413" s="53"/>
      <c r="D413" s="53"/>
      <c r="E413" s="53"/>
      <c r="F413" s="53"/>
      <c r="G413" s="54"/>
      <c r="H413" s="53"/>
      <c r="I413" s="53"/>
      <c r="J413" s="54"/>
      <c r="K413" s="53"/>
      <c r="L413" s="53"/>
      <c r="M413" s="53"/>
      <c r="N413" s="53"/>
      <c r="O413" s="53"/>
      <c r="P413" s="53"/>
      <c r="Q413" s="53"/>
      <c r="R413" s="53"/>
      <c r="S413" s="53"/>
      <c r="T413" s="53"/>
      <c r="U413" s="53"/>
      <c r="V413" s="53"/>
      <c r="W413" s="53"/>
      <c r="X413" s="53"/>
      <c r="Y413" s="53"/>
      <c r="Z413" s="53"/>
    </row>
    <row r="414">
      <c r="A414" s="53"/>
      <c r="B414" s="53"/>
      <c r="C414" s="53"/>
      <c r="D414" s="53"/>
      <c r="E414" s="53"/>
      <c r="F414" s="53"/>
      <c r="G414" s="54"/>
      <c r="H414" s="53"/>
      <c r="I414" s="53"/>
      <c r="J414" s="54"/>
      <c r="K414" s="53"/>
      <c r="L414" s="53"/>
      <c r="M414" s="53"/>
      <c r="N414" s="53"/>
      <c r="O414" s="53"/>
      <c r="P414" s="53"/>
      <c r="Q414" s="53"/>
      <c r="R414" s="53"/>
      <c r="S414" s="53"/>
      <c r="T414" s="53"/>
      <c r="U414" s="53"/>
      <c r="V414" s="53"/>
      <c r="W414" s="53"/>
      <c r="X414" s="53"/>
      <c r="Y414" s="53"/>
      <c r="Z414" s="53"/>
    </row>
    <row r="415">
      <c r="A415" s="53"/>
      <c r="B415" s="53"/>
      <c r="C415" s="53"/>
      <c r="D415" s="53"/>
      <c r="E415" s="53"/>
      <c r="F415" s="53"/>
      <c r="G415" s="54"/>
      <c r="H415" s="53"/>
      <c r="I415" s="53"/>
      <c r="J415" s="54"/>
      <c r="K415" s="53"/>
      <c r="L415" s="53"/>
      <c r="M415" s="53"/>
      <c r="N415" s="53"/>
      <c r="O415" s="53"/>
      <c r="P415" s="53"/>
      <c r="Q415" s="53"/>
      <c r="R415" s="53"/>
      <c r="S415" s="53"/>
      <c r="T415" s="53"/>
      <c r="U415" s="53"/>
      <c r="V415" s="53"/>
      <c r="W415" s="53"/>
      <c r="X415" s="53"/>
      <c r="Y415" s="53"/>
      <c r="Z415" s="53"/>
    </row>
    <row r="416">
      <c r="A416" s="53"/>
      <c r="B416" s="53"/>
      <c r="C416" s="53"/>
      <c r="D416" s="53"/>
      <c r="E416" s="53"/>
      <c r="F416" s="53"/>
      <c r="G416" s="54"/>
      <c r="H416" s="53"/>
      <c r="I416" s="53"/>
      <c r="J416" s="54"/>
      <c r="K416" s="53"/>
      <c r="L416" s="53"/>
      <c r="M416" s="53"/>
      <c r="N416" s="53"/>
      <c r="O416" s="53"/>
      <c r="P416" s="53"/>
      <c r="Q416" s="53"/>
      <c r="R416" s="53"/>
      <c r="S416" s="53"/>
      <c r="T416" s="53"/>
      <c r="U416" s="53"/>
      <c r="V416" s="53"/>
      <c r="W416" s="53"/>
      <c r="X416" s="53"/>
      <c r="Y416" s="53"/>
      <c r="Z416" s="53"/>
    </row>
    <row r="417">
      <c r="A417" s="53"/>
      <c r="B417" s="53"/>
      <c r="C417" s="53"/>
      <c r="D417" s="53"/>
      <c r="E417" s="53"/>
      <c r="F417" s="53"/>
      <c r="G417" s="54"/>
      <c r="H417" s="53"/>
      <c r="I417" s="53"/>
      <c r="J417" s="54"/>
      <c r="K417" s="53"/>
      <c r="L417" s="53"/>
      <c r="M417" s="53"/>
      <c r="N417" s="53"/>
      <c r="O417" s="53"/>
      <c r="P417" s="53"/>
      <c r="Q417" s="53"/>
      <c r="R417" s="53"/>
      <c r="S417" s="53"/>
      <c r="T417" s="53"/>
      <c r="U417" s="53"/>
      <c r="V417" s="53"/>
      <c r="W417" s="53"/>
      <c r="X417" s="53"/>
      <c r="Y417" s="53"/>
      <c r="Z417" s="53"/>
    </row>
    <row r="418">
      <c r="A418" s="53"/>
      <c r="B418" s="53"/>
      <c r="C418" s="53"/>
      <c r="D418" s="53"/>
      <c r="E418" s="53"/>
      <c r="F418" s="53"/>
      <c r="G418" s="54"/>
      <c r="H418" s="53"/>
      <c r="I418" s="53"/>
      <c r="J418" s="54"/>
      <c r="K418" s="53"/>
      <c r="L418" s="53"/>
      <c r="M418" s="53"/>
      <c r="N418" s="53"/>
      <c r="O418" s="53"/>
      <c r="P418" s="53"/>
      <c r="Q418" s="53"/>
      <c r="R418" s="53"/>
      <c r="S418" s="53"/>
      <c r="T418" s="53"/>
      <c r="U418" s="53"/>
      <c r="V418" s="53"/>
      <c r="W418" s="53"/>
      <c r="X418" s="53"/>
      <c r="Y418" s="53"/>
      <c r="Z418" s="53"/>
    </row>
    <row r="419">
      <c r="A419" s="53"/>
      <c r="B419" s="53"/>
      <c r="C419" s="53"/>
      <c r="D419" s="53"/>
      <c r="E419" s="53"/>
      <c r="F419" s="53"/>
      <c r="G419" s="54"/>
      <c r="H419" s="53"/>
      <c r="I419" s="53"/>
      <c r="J419" s="54"/>
      <c r="K419" s="53"/>
      <c r="L419" s="53"/>
      <c r="M419" s="53"/>
      <c r="N419" s="53"/>
      <c r="O419" s="53"/>
      <c r="P419" s="53"/>
      <c r="Q419" s="53"/>
      <c r="R419" s="53"/>
      <c r="S419" s="53"/>
      <c r="T419" s="53"/>
      <c r="U419" s="53"/>
      <c r="V419" s="53"/>
      <c r="W419" s="53"/>
      <c r="X419" s="53"/>
      <c r="Y419" s="53"/>
      <c r="Z419" s="53"/>
    </row>
    <row r="420">
      <c r="A420" s="53"/>
      <c r="B420" s="53"/>
      <c r="C420" s="53"/>
      <c r="D420" s="53"/>
      <c r="E420" s="53"/>
      <c r="F420" s="53"/>
      <c r="G420" s="54"/>
      <c r="H420" s="53"/>
      <c r="I420" s="53"/>
      <c r="J420" s="54"/>
      <c r="K420" s="53"/>
      <c r="L420" s="53"/>
      <c r="M420" s="53"/>
      <c r="N420" s="53"/>
      <c r="O420" s="53"/>
      <c r="P420" s="53"/>
      <c r="Q420" s="53"/>
      <c r="R420" s="53"/>
      <c r="S420" s="53"/>
      <c r="T420" s="53"/>
      <c r="U420" s="53"/>
      <c r="V420" s="53"/>
      <c r="W420" s="53"/>
      <c r="X420" s="53"/>
      <c r="Y420" s="53"/>
      <c r="Z420" s="53"/>
    </row>
    <row r="421">
      <c r="A421" s="53"/>
      <c r="B421" s="53"/>
      <c r="C421" s="53"/>
      <c r="D421" s="53"/>
      <c r="E421" s="53"/>
      <c r="F421" s="53"/>
      <c r="G421" s="54"/>
      <c r="H421" s="53"/>
      <c r="I421" s="53"/>
      <c r="J421" s="54"/>
      <c r="K421" s="53"/>
      <c r="L421" s="53"/>
      <c r="M421" s="53"/>
      <c r="N421" s="53"/>
      <c r="O421" s="53"/>
      <c r="P421" s="53"/>
      <c r="Q421" s="53"/>
      <c r="R421" s="53"/>
      <c r="S421" s="53"/>
      <c r="T421" s="53"/>
      <c r="U421" s="53"/>
      <c r="V421" s="53"/>
      <c r="W421" s="53"/>
      <c r="X421" s="53"/>
      <c r="Y421" s="53"/>
      <c r="Z421" s="53"/>
    </row>
    <row r="422">
      <c r="A422" s="53"/>
      <c r="B422" s="53"/>
      <c r="C422" s="53"/>
      <c r="D422" s="53"/>
      <c r="E422" s="53"/>
      <c r="F422" s="53"/>
      <c r="G422" s="54"/>
      <c r="H422" s="53"/>
      <c r="I422" s="53"/>
      <c r="J422" s="54"/>
      <c r="K422" s="53"/>
      <c r="L422" s="53"/>
      <c r="M422" s="53"/>
      <c r="N422" s="53"/>
      <c r="O422" s="53"/>
      <c r="P422" s="53"/>
      <c r="Q422" s="53"/>
      <c r="R422" s="53"/>
      <c r="S422" s="53"/>
      <c r="T422" s="53"/>
      <c r="U422" s="53"/>
      <c r="V422" s="53"/>
      <c r="W422" s="53"/>
      <c r="X422" s="53"/>
      <c r="Y422" s="53"/>
      <c r="Z422" s="53"/>
    </row>
    <row r="423">
      <c r="A423" s="53"/>
      <c r="B423" s="53"/>
      <c r="C423" s="53"/>
      <c r="D423" s="53"/>
      <c r="E423" s="53"/>
      <c r="F423" s="53"/>
      <c r="G423" s="54"/>
      <c r="H423" s="53"/>
      <c r="I423" s="53"/>
      <c r="J423" s="54"/>
      <c r="K423" s="53"/>
      <c r="L423" s="53"/>
      <c r="M423" s="53"/>
      <c r="N423" s="53"/>
      <c r="O423" s="53"/>
      <c r="P423" s="53"/>
      <c r="Q423" s="53"/>
      <c r="R423" s="53"/>
      <c r="S423" s="53"/>
      <c r="T423" s="53"/>
      <c r="U423" s="53"/>
      <c r="V423" s="53"/>
      <c r="W423" s="53"/>
      <c r="X423" s="53"/>
      <c r="Y423" s="53"/>
      <c r="Z423" s="53"/>
    </row>
    <row r="424">
      <c r="A424" s="53"/>
      <c r="B424" s="53"/>
      <c r="C424" s="53"/>
      <c r="D424" s="53"/>
      <c r="E424" s="53"/>
      <c r="F424" s="53"/>
      <c r="G424" s="54"/>
      <c r="H424" s="53"/>
      <c r="I424" s="53"/>
      <c r="J424" s="54"/>
      <c r="K424" s="53"/>
      <c r="L424" s="53"/>
      <c r="M424" s="53"/>
      <c r="N424" s="53"/>
      <c r="O424" s="53"/>
      <c r="P424" s="53"/>
      <c r="Q424" s="53"/>
      <c r="R424" s="53"/>
      <c r="S424" s="53"/>
      <c r="T424" s="53"/>
      <c r="U424" s="53"/>
      <c r="V424" s="53"/>
      <c r="W424" s="53"/>
      <c r="X424" s="53"/>
      <c r="Y424" s="53"/>
      <c r="Z424" s="53"/>
    </row>
    <row r="425">
      <c r="A425" s="53"/>
      <c r="B425" s="53"/>
      <c r="C425" s="53"/>
      <c r="D425" s="53"/>
      <c r="E425" s="53"/>
      <c r="F425" s="53"/>
      <c r="G425" s="54"/>
      <c r="H425" s="53"/>
      <c r="I425" s="53"/>
      <c r="J425" s="54"/>
      <c r="K425" s="53"/>
      <c r="L425" s="53"/>
      <c r="M425" s="53"/>
      <c r="N425" s="53"/>
      <c r="O425" s="53"/>
      <c r="P425" s="53"/>
      <c r="Q425" s="53"/>
      <c r="R425" s="53"/>
      <c r="S425" s="53"/>
      <c r="T425" s="53"/>
      <c r="U425" s="53"/>
      <c r="V425" s="53"/>
      <c r="W425" s="53"/>
      <c r="X425" s="53"/>
      <c r="Y425" s="53"/>
      <c r="Z425" s="53"/>
    </row>
    <row r="426">
      <c r="A426" s="53"/>
      <c r="B426" s="53"/>
      <c r="C426" s="53"/>
      <c r="D426" s="53"/>
      <c r="E426" s="53"/>
      <c r="F426" s="53"/>
      <c r="G426" s="54"/>
      <c r="H426" s="53"/>
      <c r="I426" s="53"/>
      <c r="J426" s="54"/>
      <c r="K426" s="53"/>
      <c r="L426" s="53"/>
      <c r="M426" s="53"/>
      <c r="N426" s="53"/>
      <c r="O426" s="53"/>
      <c r="P426" s="53"/>
      <c r="Q426" s="53"/>
      <c r="R426" s="53"/>
      <c r="S426" s="53"/>
      <c r="T426" s="53"/>
      <c r="U426" s="53"/>
      <c r="V426" s="53"/>
      <c r="W426" s="53"/>
      <c r="X426" s="53"/>
      <c r="Y426" s="53"/>
      <c r="Z426" s="53"/>
    </row>
    <row r="427">
      <c r="A427" s="53"/>
      <c r="B427" s="53"/>
      <c r="C427" s="53"/>
      <c r="D427" s="53"/>
      <c r="E427" s="53"/>
      <c r="F427" s="53"/>
      <c r="G427" s="54"/>
      <c r="H427" s="53"/>
      <c r="I427" s="53"/>
      <c r="J427" s="54"/>
      <c r="K427" s="53"/>
      <c r="L427" s="53"/>
      <c r="M427" s="53"/>
      <c r="N427" s="53"/>
      <c r="O427" s="53"/>
      <c r="P427" s="53"/>
      <c r="Q427" s="53"/>
      <c r="R427" s="53"/>
      <c r="S427" s="53"/>
      <c r="T427" s="53"/>
      <c r="U427" s="53"/>
      <c r="V427" s="53"/>
      <c r="W427" s="53"/>
      <c r="X427" s="53"/>
      <c r="Y427" s="53"/>
      <c r="Z427" s="53"/>
    </row>
    <row r="428">
      <c r="A428" s="53"/>
      <c r="B428" s="53"/>
      <c r="C428" s="53"/>
      <c r="D428" s="53"/>
      <c r="E428" s="53"/>
      <c r="F428" s="53"/>
      <c r="G428" s="54"/>
      <c r="H428" s="53"/>
      <c r="I428" s="53"/>
      <c r="J428" s="54"/>
      <c r="K428" s="53"/>
      <c r="L428" s="53"/>
      <c r="M428" s="53"/>
      <c r="N428" s="53"/>
      <c r="O428" s="53"/>
      <c r="P428" s="53"/>
      <c r="Q428" s="53"/>
      <c r="R428" s="53"/>
      <c r="S428" s="53"/>
      <c r="T428" s="53"/>
      <c r="U428" s="53"/>
      <c r="V428" s="53"/>
      <c r="W428" s="53"/>
      <c r="X428" s="53"/>
      <c r="Y428" s="53"/>
      <c r="Z428" s="53"/>
    </row>
    <row r="429">
      <c r="A429" s="53"/>
      <c r="B429" s="53"/>
      <c r="C429" s="53"/>
      <c r="D429" s="53"/>
      <c r="E429" s="53"/>
      <c r="F429" s="53"/>
      <c r="G429" s="54"/>
      <c r="H429" s="53"/>
      <c r="I429" s="53"/>
      <c r="J429" s="54"/>
      <c r="K429" s="53"/>
      <c r="L429" s="53"/>
      <c r="M429" s="53"/>
      <c r="N429" s="53"/>
      <c r="O429" s="53"/>
      <c r="P429" s="53"/>
      <c r="Q429" s="53"/>
      <c r="R429" s="53"/>
      <c r="S429" s="53"/>
      <c r="T429" s="53"/>
      <c r="U429" s="53"/>
      <c r="V429" s="53"/>
      <c r="W429" s="53"/>
      <c r="X429" s="53"/>
      <c r="Y429" s="53"/>
      <c r="Z429" s="53"/>
    </row>
    <row r="430">
      <c r="A430" s="53"/>
      <c r="B430" s="53"/>
      <c r="C430" s="53"/>
      <c r="D430" s="53"/>
      <c r="E430" s="53"/>
      <c r="F430" s="53"/>
      <c r="G430" s="54"/>
      <c r="H430" s="53"/>
      <c r="I430" s="53"/>
      <c r="J430" s="54"/>
      <c r="K430" s="53"/>
      <c r="L430" s="53"/>
      <c r="M430" s="53"/>
      <c r="N430" s="53"/>
      <c r="O430" s="53"/>
      <c r="P430" s="53"/>
      <c r="Q430" s="53"/>
      <c r="R430" s="53"/>
      <c r="S430" s="53"/>
      <c r="T430" s="53"/>
      <c r="U430" s="53"/>
      <c r="V430" s="53"/>
      <c r="W430" s="53"/>
      <c r="X430" s="53"/>
      <c r="Y430" s="53"/>
      <c r="Z430" s="53"/>
    </row>
    <row r="431">
      <c r="A431" s="53"/>
      <c r="B431" s="53"/>
      <c r="C431" s="53"/>
      <c r="D431" s="53"/>
      <c r="E431" s="53"/>
      <c r="F431" s="53"/>
      <c r="G431" s="54"/>
      <c r="H431" s="53"/>
      <c r="I431" s="53"/>
      <c r="J431" s="54"/>
      <c r="K431" s="53"/>
      <c r="L431" s="53"/>
      <c r="M431" s="53"/>
      <c r="N431" s="53"/>
      <c r="O431" s="53"/>
      <c r="P431" s="53"/>
      <c r="Q431" s="53"/>
      <c r="R431" s="53"/>
      <c r="S431" s="53"/>
      <c r="T431" s="53"/>
      <c r="U431" s="53"/>
      <c r="V431" s="53"/>
      <c r="W431" s="53"/>
      <c r="X431" s="53"/>
      <c r="Y431" s="53"/>
      <c r="Z431" s="53"/>
    </row>
    <row r="432">
      <c r="A432" s="53"/>
      <c r="B432" s="53"/>
      <c r="C432" s="53"/>
      <c r="D432" s="53"/>
      <c r="E432" s="53"/>
      <c r="F432" s="53"/>
      <c r="G432" s="54"/>
      <c r="H432" s="53"/>
      <c r="I432" s="53"/>
      <c r="J432" s="54"/>
      <c r="K432" s="53"/>
      <c r="L432" s="53"/>
      <c r="M432" s="53"/>
      <c r="N432" s="53"/>
      <c r="O432" s="53"/>
      <c r="P432" s="53"/>
      <c r="Q432" s="53"/>
      <c r="R432" s="53"/>
      <c r="S432" s="53"/>
      <c r="T432" s="53"/>
      <c r="U432" s="53"/>
      <c r="V432" s="53"/>
      <c r="W432" s="53"/>
      <c r="X432" s="53"/>
      <c r="Y432" s="53"/>
      <c r="Z432" s="53"/>
    </row>
    <row r="433">
      <c r="A433" s="53"/>
      <c r="B433" s="53"/>
      <c r="C433" s="53"/>
      <c r="D433" s="53"/>
      <c r="E433" s="53"/>
      <c r="F433" s="53"/>
      <c r="G433" s="54"/>
      <c r="H433" s="53"/>
      <c r="I433" s="53"/>
      <c r="J433" s="54"/>
      <c r="K433" s="53"/>
      <c r="L433" s="53"/>
      <c r="M433" s="53"/>
      <c r="N433" s="53"/>
      <c r="O433" s="53"/>
      <c r="P433" s="53"/>
      <c r="Q433" s="53"/>
      <c r="R433" s="53"/>
      <c r="S433" s="53"/>
      <c r="T433" s="53"/>
      <c r="U433" s="53"/>
      <c r="V433" s="53"/>
      <c r="W433" s="53"/>
      <c r="X433" s="53"/>
      <c r="Y433" s="53"/>
      <c r="Z433" s="53"/>
    </row>
    <row r="434">
      <c r="A434" s="53"/>
      <c r="B434" s="53"/>
      <c r="C434" s="53"/>
      <c r="D434" s="53"/>
      <c r="E434" s="53"/>
      <c r="F434" s="53"/>
      <c r="G434" s="54"/>
      <c r="H434" s="53"/>
      <c r="I434" s="53"/>
      <c r="J434" s="54"/>
      <c r="K434" s="53"/>
      <c r="L434" s="53"/>
      <c r="M434" s="53"/>
      <c r="N434" s="53"/>
      <c r="O434" s="53"/>
      <c r="P434" s="53"/>
      <c r="Q434" s="53"/>
      <c r="R434" s="53"/>
      <c r="S434" s="53"/>
      <c r="T434" s="53"/>
      <c r="U434" s="53"/>
      <c r="V434" s="53"/>
      <c r="W434" s="53"/>
      <c r="X434" s="53"/>
      <c r="Y434" s="53"/>
      <c r="Z434" s="53"/>
    </row>
    <row r="435">
      <c r="A435" s="53"/>
      <c r="B435" s="53"/>
      <c r="C435" s="53"/>
      <c r="D435" s="53"/>
      <c r="E435" s="53"/>
      <c r="F435" s="53"/>
      <c r="G435" s="54"/>
      <c r="H435" s="53"/>
      <c r="I435" s="53"/>
      <c r="J435" s="54"/>
      <c r="K435" s="53"/>
      <c r="L435" s="53"/>
      <c r="M435" s="53"/>
      <c r="N435" s="53"/>
      <c r="O435" s="53"/>
      <c r="P435" s="53"/>
      <c r="Q435" s="53"/>
      <c r="R435" s="53"/>
      <c r="S435" s="53"/>
      <c r="T435" s="53"/>
      <c r="U435" s="53"/>
      <c r="V435" s="53"/>
      <c r="W435" s="53"/>
      <c r="X435" s="53"/>
      <c r="Y435" s="53"/>
      <c r="Z435" s="53"/>
    </row>
    <row r="436">
      <c r="A436" s="53"/>
      <c r="B436" s="53"/>
      <c r="C436" s="53"/>
      <c r="D436" s="53"/>
      <c r="E436" s="53"/>
      <c r="F436" s="53"/>
      <c r="G436" s="54"/>
      <c r="H436" s="53"/>
      <c r="I436" s="53"/>
      <c r="J436" s="54"/>
      <c r="K436" s="53"/>
      <c r="L436" s="53"/>
      <c r="M436" s="53"/>
      <c r="N436" s="53"/>
      <c r="O436" s="53"/>
      <c r="P436" s="53"/>
      <c r="Q436" s="53"/>
      <c r="R436" s="53"/>
      <c r="S436" s="53"/>
      <c r="T436" s="53"/>
      <c r="U436" s="53"/>
      <c r="V436" s="53"/>
      <c r="W436" s="53"/>
      <c r="X436" s="53"/>
      <c r="Y436" s="53"/>
      <c r="Z436" s="53"/>
    </row>
    <row r="437">
      <c r="A437" s="53"/>
      <c r="B437" s="53"/>
      <c r="C437" s="53"/>
      <c r="D437" s="53"/>
      <c r="E437" s="53"/>
      <c r="F437" s="53"/>
      <c r="G437" s="54"/>
      <c r="H437" s="53"/>
      <c r="I437" s="53"/>
      <c r="J437" s="54"/>
      <c r="K437" s="53"/>
      <c r="L437" s="53"/>
      <c r="M437" s="53"/>
      <c r="N437" s="53"/>
      <c r="O437" s="53"/>
      <c r="P437" s="53"/>
      <c r="Q437" s="53"/>
      <c r="R437" s="53"/>
      <c r="S437" s="53"/>
      <c r="T437" s="53"/>
      <c r="U437" s="53"/>
      <c r="V437" s="53"/>
      <c r="W437" s="53"/>
      <c r="X437" s="53"/>
      <c r="Y437" s="53"/>
      <c r="Z437" s="53"/>
    </row>
    <row r="438">
      <c r="A438" s="53"/>
      <c r="B438" s="53"/>
      <c r="C438" s="53"/>
      <c r="D438" s="53"/>
      <c r="E438" s="53"/>
      <c r="F438" s="53"/>
      <c r="G438" s="54"/>
      <c r="H438" s="53"/>
      <c r="I438" s="53"/>
      <c r="J438" s="54"/>
      <c r="K438" s="53"/>
      <c r="L438" s="53"/>
      <c r="M438" s="53"/>
      <c r="N438" s="53"/>
      <c r="O438" s="53"/>
      <c r="P438" s="53"/>
      <c r="Q438" s="53"/>
      <c r="R438" s="53"/>
      <c r="S438" s="53"/>
      <c r="T438" s="53"/>
      <c r="U438" s="53"/>
      <c r="V438" s="53"/>
      <c r="W438" s="53"/>
      <c r="X438" s="53"/>
      <c r="Y438" s="53"/>
      <c r="Z438" s="53"/>
    </row>
    <row r="439">
      <c r="A439" s="53"/>
      <c r="B439" s="53"/>
      <c r="C439" s="53"/>
      <c r="D439" s="53"/>
      <c r="E439" s="53"/>
      <c r="F439" s="53"/>
      <c r="G439" s="54"/>
      <c r="H439" s="53"/>
      <c r="I439" s="53"/>
      <c r="J439" s="54"/>
      <c r="K439" s="53"/>
      <c r="L439" s="53"/>
      <c r="M439" s="53"/>
      <c r="N439" s="53"/>
      <c r="O439" s="53"/>
      <c r="P439" s="53"/>
      <c r="Q439" s="53"/>
      <c r="R439" s="53"/>
      <c r="S439" s="53"/>
      <c r="T439" s="53"/>
      <c r="U439" s="53"/>
      <c r="V439" s="53"/>
      <c r="W439" s="53"/>
      <c r="X439" s="53"/>
      <c r="Y439" s="53"/>
      <c r="Z439" s="53"/>
    </row>
    <row r="440">
      <c r="A440" s="53"/>
      <c r="B440" s="53"/>
      <c r="C440" s="53"/>
      <c r="D440" s="53"/>
      <c r="E440" s="53"/>
      <c r="F440" s="53"/>
      <c r="G440" s="54"/>
      <c r="H440" s="53"/>
      <c r="I440" s="53"/>
      <c r="J440" s="54"/>
      <c r="K440" s="53"/>
      <c r="L440" s="53"/>
      <c r="M440" s="53"/>
      <c r="N440" s="53"/>
      <c r="O440" s="53"/>
      <c r="P440" s="53"/>
      <c r="Q440" s="53"/>
      <c r="R440" s="53"/>
      <c r="S440" s="53"/>
      <c r="T440" s="53"/>
      <c r="U440" s="53"/>
      <c r="V440" s="53"/>
      <c r="W440" s="53"/>
      <c r="X440" s="53"/>
      <c r="Y440" s="53"/>
      <c r="Z440" s="53"/>
    </row>
    <row r="441">
      <c r="A441" s="53"/>
      <c r="B441" s="53"/>
      <c r="C441" s="53"/>
      <c r="D441" s="53"/>
      <c r="E441" s="53"/>
      <c r="F441" s="53"/>
      <c r="G441" s="54"/>
      <c r="H441" s="53"/>
      <c r="I441" s="53"/>
      <c r="J441" s="54"/>
      <c r="K441" s="53"/>
      <c r="L441" s="53"/>
      <c r="M441" s="53"/>
      <c r="N441" s="53"/>
      <c r="O441" s="53"/>
      <c r="P441" s="53"/>
      <c r="Q441" s="53"/>
      <c r="R441" s="53"/>
      <c r="S441" s="53"/>
      <c r="T441" s="53"/>
      <c r="U441" s="53"/>
      <c r="V441" s="53"/>
      <c r="W441" s="53"/>
      <c r="X441" s="53"/>
      <c r="Y441" s="53"/>
      <c r="Z441" s="53"/>
    </row>
    <row r="442">
      <c r="A442" s="53"/>
      <c r="B442" s="53"/>
      <c r="C442" s="53"/>
      <c r="D442" s="53"/>
      <c r="E442" s="53"/>
      <c r="F442" s="53"/>
      <c r="G442" s="54"/>
      <c r="H442" s="53"/>
      <c r="I442" s="53"/>
      <c r="J442" s="54"/>
      <c r="K442" s="53"/>
      <c r="L442" s="53"/>
      <c r="M442" s="53"/>
      <c r="N442" s="53"/>
      <c r="O442" s="53"/>
      <c r="P442" s="53"/>
      <c r="Q442" s="53"/>
      <c r="R442" s="53"/>
      <c r="S442" s="53"/>
      <c r="T442" s="53"/>
      <c r="U442" s="53"/>
      <c r="V442" s="53"/>
      <c r="W442" s="53"/>
      <c r="X442" s="53"/>
      <c r="Y442" s="53"/>
      <c r="Z442" s="53"/>
    </row>
    <row r="443">
      <c r="A443" s="53"/>
      <c r="B443" s="53"/>
      <c r="C443" s="53"/>
      <c r="D443" s="53"/>
      <c r="E443" s="53"/>
      <c r="F443" s="53"/>
      <c r="G443" s="54"/>
      <c r="H443" s="53"/>
      <c r="I443" s="53"/>
      <c r="J443" s="54"/>
      <c r="K443" s="53"/>
      <c r="L443" s="53"/>
      <c r="M443" s="53"/>
      <c r="N443" s="53"/>
      <c r="O443" s="53"/>
      <c r="P443" s="53"/>
      <c r="Q443" s="53"/>
      <c r="R443" s="53"/>
      <c r="S443" s="53"/>
      <c r="T443" s="53"/>
      <c r="U443" s="53"/>
      <c r="V443" s="53"/>
      <c r="W443" s="53"/>
      <c r="X443" s="53"/>
      <c r="Y443" s="53"/>
      <c r="Z443" s="53"/>
    </row>
    <row r="444">
      <c r="A444" s="53"/>
      <c r="B444" s="53"/>
      <c r="C444" s="53"/>
      <c r="D444" s="53"/>
      <c r="E444" s="53"/>
      <c r="F444" s="53"/>
      <c r="G444" s="54"/>
      <c r="H444" s="53"/>
      <c r="I444" s="53"/>
      <c r="J444" s="54"/>
      <c r="K444" s="53"/>
      <c r="L444" s="53"/>
      <c r="M444" s="53"/>
      <c r="N444" s="53"/>
      <c r="O444" s="53"/>
      <c r="P444" s="53"/>
      <c r="Q444" s="53"/>
      <c r="R444" s="53"/>
      <c r="S444" s="53"/>
      <c r="T444" s="53"/>
      <c r="U444" s="53"/>
      <c r="V444" s="53"/>
      <c r="W444" s="53"/>
      <c r="X444" s="53"/>
      <c r="Y444" s="53"/>
      <c r="Z444" s="53"/>
    </row>
    <row r="445">
      <c r="A445" s="53"/>
      <c r="B445" s="53"/>
      <c r="C445" s="53"/>
      <c r="D445" s="53"/>
      <c r="E445" s="53"/>
      <c r="F445" s="53"/>
      <c r="G445" s="54"/>
      <c r="H445" s="53"/>
      <c r="I445" s="53"/>
      <c r="J445" s="54"/>
      <c r="K445" s="53"/>
      <c r="L445" s="53"/>
      <c r="M445" s="53"/>
      <c r="N445" s="53"/>
      <c r="O445" s="53"/>
      <c r="P445" s="53"/>
      <c r="Q445" s="53"/>
      <c r="R445" s="53"/>
      <c r="S445" s="53"/>
      <c r="T445" s="53"/>
      <c r="U445" s="53"/>
      <c r="V445" s="53"/>
      <c r="W445" s="53"/>
      <c r="X445" s="53"/>
      <c r="Y445" s="53"/>
      <c r="Z445" s="53"/>
    </row>
    <row r="446">
      <c r="A446" s="53"/>
      <c r="B446" s="53"/>
      <c r="C446" s="53"/>
      <c r="D446" s="53"/>
      <c r="E446" s="53"/>
      <c r="F446" s="53"/>
      <c r="G446" s="54"/>
      <c r="H446" s="53"/>
      <c r="I446" s="53"/>
      <c r="J446" s="54"/>
      <c r="K446" s="53"/>
      <c r="L446" s="53"/>
      <c r="M446" s="53"/>
      <c r="N446" s="53"/>
      <c r="O446" s="53"/>
      <c r="P446" s="53"/>
      <c r="Q446" s="53"/>
      <c r="R446" s="53"/>
      <c r="S446" s="53"/>
      <c r="T446" s="53"/>
      <c r="U446" s="53"/>
      <c r="V446" s="53"/>
      <c r="W446" s="53"/>
      <c r="X446" s="53"/>
      <c r="Y446" s="53"/>
      <c r="Z446" s="53"/>
    </row>
    <row r="447">
      <c r="A447" s="53"/>
      <c r="B447" s="53"/>
      <c r="C447" s="53"/>
      <c r="D447" s="53"/>
      <c r="E447" s="53"/>
      <c r="F447" s="53"/>
      <c r="G447" s="54"/>
      <c r="H447" s="53"/>
      <c r="I447" s="53"/>
      <c r="J447" s="54"/>
      <c r="K447" s="53"/>
      <c r="L447" s="53"/>
      <c r="M447" s="53"/>
      <c r="N447" s="53"/>
      <c r="O447" s="53"/>
      <c r="P447" s="53"/>
      <c r="Q447" s="53"/>
      <c r="R447" s="53"/>
      <c r="S447" s="53"/>
      <c r="T447" s="53"/>
      <c r="U447" s="53"/>
      <c r="V447" s="53"/>
      <c r="W447" s="53"/>
      <c r="X447" s="53"/>
      <c r="Y447" s="53"/>
      <c r="Z447" s="53"/>
    </row>
    <row r="448">
      <c r="A448" s="53"/>
      <c r="B448" s="53"/>
      <c r="C448" s="53"/>
      <c r="D448" s="53"/>
      <c r="E448" s="53"/>
      <c r="F448" s="53"/>
      <c r="G448" s="54"/>
      <c r="H448" s="53"/>
      <c r="I448" s="53"/>
      <c r="J448" s="54"/>
      <c r="K448" s="53"/>
      <c r="L448" s="53"/>
      <c r="M448" s="53"/>
      <c r="N448" s="53"/>
      <c r="O448" s="53"/>
      <c r="P448" s="53"/>
      <c r="Q448" s="53"/>
      <c r="R448" s="53"/>
      <c r="S448" s="53"/>
      <c r="T448" s="53"/>
      <c r="U448" s="53"/>
      <c r="V448" s="53"/>
      <c r="W448" s="53"/>
      <c r="X448" s="53"/>
      <c r="Y448" s="53"/>
      <c r="Z448" s="53"/>
    </row>
    <row r="449">
      <c r="A449" s="53"/>
      <c r="B449" s="53"/>
      <c r="C449" s="53"/>
      <c r="D449" s="53"/>
      <c r="E449" s="53"/>
      <c r="F449" s="53"/>
      <c r="G449" s="54"/>
      <c r="H449" s="53"/>
      <c r="I449" s="53"/>
      <c r="J449" s="54"/>
      <c r="K449" s="53"/>
      <c r="L449" s="53"/>
      <c r="M449" s="53"/>
      <c r="N449" s="53"/>
      <c r="O449" s="53"/>
      <c r="P449" s="53"/>
      <c r="Q449" s="53"/>
      <c r="R449" s="53"/>
      <c r="S449" s="53"/>
      <c r="T449" s="53"/>
      <c r="U449" s="53"/>
      <c r="V449" s="53"/>
      <c r="W449" s="53"/>
      <c r="X449" s="53"/>
      <c r="Y449" s="53"/>
      <c r="Z449" s="53"/>
    </row>
    <row r="450">
      <c r="A450" s="53"/>
      <c r="B450" s="53"/>
      <c r="C450" s="53"/>
      <c r="D450" s="53"/>
      <c r="E450" s="53"/>
      <c r="F450" s="53"/>
      <c r="G450" s="54"/>
      <c r="H450" s="53"/>
      <c r="I450" s="53"/>
      <c r="J450" s="54"/>
      <c r="K450" s="53"/>
      <c r="L450" s="53"/>
      <c r="M450" s="53"/>
      <c r="N450" s="53"/>
      <c r="O450" s="53"/>
      <c r="P450" s="53"/>
      <c r="Q450" s="53"/>
      <c r="R450" s="53"/>
      <c r="S450" s="53"/>
      <c r="T450" s="53"/>
      <c r="U450" s="53"/>
      <c r="V450" s="53"/>
      <c r="W450" s="53"/>
      <c r="X450" s="53"/>
      <c r="Y450" s="53"/>
      <c r="Z450" s="53"/>
    </row>
    <row r="451">
      <c r="A451" s="53"/>
      <c r="B451" s="53"/>
      <c r="C451" s="53"/>
      <c r="D451" s="53"/>
      <c r="E451" s="53"/>
      <c r="F451" s="53"/>
      <c r="G451" s="54"/>
      <c r="H451" s="53"/>
      <c r="I451" s="53"/>
      <c r="J451" s="54"/>
      <c r="K451" s="53"/>
      <c r="L451" s="53"/>
      <c r="M451" s="53"/>
      <c r="N451" s="53"/>
      <c r="O451" s="53"/>
      <c r="P451" s="53"/>
      <c r="Q451" s="53"/>
      <c r="R451" s="53"/>
      <c r="S451" s="53"/>
      <c r="T451" s="53"/>
      <c r="U451" s="53"/>
      <c r="V451" s="53"/>
      <c r="W451" s="53"/>
      <c r="X451" s="53"/>
      <c r="Y451" s="53"/>
      <c r="Z451" s="53"/>
    </row>
    <row r="452">
      <c r="A452" s="53"/>
      <c r="B452" s="53"/>
      <c r="C452" s="53"/>
      <c r="D452" s="53"/>
      <c r="E452" s="53"/>
      <c r="F452" s="53"/>
      <c r="G452" s="54"/>
      <c r="H452" s="53"/>
      <c r="I452" s="53"/>
      <c r="J452" s="54"/>
      <c r="K452" s="53"/>
      <c r="L452" s="53"/>
      <c r="M452" s="53"/>
      <c r="N452" s="53"/>
      <c r="O452" s="53"/>
      <c r="P452" s="53"/>
      <c r="Q452" s="53"/>
      <c r="R452" s="53"/>
      <c r="S452" s="53"/>
      <c r="T452" s="53"/>
      <c r="U452" s="53"/>
      <c r="V452" s="53"/>
      <c r="W452" s="53"/>
      <c r="X452" s="53"/>
      <c r="Y452" s="53"/>
      <c r="Z452" s="53"/>
    </row>
    <row r="453">
      <c r="A453" s="53"/>
      <c r="B453" s="53"/>
      <c r="C453" s="53"/>
      <c r="D453" s="53"/>
      <c r="E453" s="53"/>
      <c r="F453" s="53"/>
      <c r="G453" s="54"/>
      <c r="H453" s="53"/>
      <c r="I453" s="53"/>
      <c r="J453" s="54"/>
      <c r="K453" s="53"/>
      <c r="L453" s="53"/>
      <c r="M453" s="53"/>
      <c r="N453" s="53"/>
      <c r="O453" s="53"/>
      <c r="P453" s="53"/>
      <c r="Q453" s="53"/>
      <c r="R453" s="53"/>
      <c r="S453" s="53"/>
      <c r="T453" s="53"/>
      <c r="U453" s="53"/>
      <c r="V453" s="53"/>
      <c r="W453" s="53"/>
      <c r="X453" s="53"/>
      <c r="Y453" s="53"/>
      <c r="Z453" s="53"/>
    </row>
    <row r="454">
      <c r="A454" s="53"/>
      <c r="B454" s="53"/>
      <c r="C454" s="53"/>
      <c r="D454" s="53"/>
      <c r="E454" s="53"/>
      <c r="F454" s="53"/>
      <c r="G454" s="54"/>
      <c r="H454" s="53"/>
      <c r="I454" s="53"/>
      <c r="J454" s="54"/>
      <c r="K454" s="53"/>
      <c r="L454" s="53"/>
      <c r="M454" s="53"/>
      <c r="N454" s="53"/>
      <c r="O454" s="53"/>
      <c r="P454" s="53"/>
      <c r="Q454" s="53"/>
      <c r="R454" s="53"/>
      <c r="S454" s="53"/>
      <c r="T454" s="53"/>
      <c r="U454" s="53"/>
      <c r="V454" s="53"/>
      <c r="W454" s="53"/>
      <c r="X454" s="53"/>
      <c r="Y454" s="53"/>
      <c r="Z454" s="53"/>
    </row>
    <row r="455">
      <c r="A455" s="53"/>
      <c r="B455" s="53"/>
      <c r="C455" s="53"/>
      <c r="D455" s="53"/>
      <c r="E455" s="53"/>
      <c r="F455" s="53"/>
      <c r="G455" s="54"/>
      <c r="H455" s="53"/>
      <c r="I455" s="53"/>
      <c r="J455" s="54"/>
      <c r="K455" s="53"/>
      <c r="L455" s="53"/>
      <c r="M455" s="53"/>
      <c r="N455" s="53"/>
      <c r="O455" s="53"/>
      <c r="P455" s="53"/>
      <c r="Q455" s="53"/>
      <c r="R455" s="53"/>
      <c r="S455" s="53"/>
      <c r="T455" s="53"/>
      <c r="U455" s="53"/>
      <c r="V455" s="53"/>
      <c r="W455" s="53"/>
      <c r="X455" s="53"/>
      <c r="Y455" s="53"/>
      <c r="Z455" s="53"/>
    </row>
    <row r="456">
      <c r="A456" s="53"/>
      <c r="B456" s="53"/>
      <c r="C456" s="53"/>
      <c r="D456" s="53"/>
      <c r="E456" s="53"/>
      <c r="F456" s="53"/>
      <c r="G456" s="54"/>
      <c r="H456" s="53"/>
      <c r="I456" s="53"/>
      <c r="J456" s="54"/>
      <c r="K456" s="53"/>
      <c r="L456" s="53"/>
      <c r="M456" s="53"/>
      <c r="N456" s="53"/>
      <c r="O456" s="53"/>
      <c r="P456" s="53"/>
      <c r="Q456" s="53"/>
      <c r="R456" s="53"/>
      <c r="S456" s="53"/>
      <c r="T456" s="53"/>
      <c r="U456" s="53"/>
      <c r="V456" s="53"/>
      <c r="W456" s="53"/>
      <c r="X456" s="53"/>
      <c r="Y456" s="53"/>
      <c r="Z456" s="53"/>
    </row>
    <row r="457">
      <c r="A457" s="53"/>
      <c r="B457" s="53"/>
      <c r="C457" s="53"/>
      <c r="D457" s="53"/>
      <c r="E457" s="53"/>
      <c r="F457" s="53"/>
      <c r="G457" s="54"/>
      <c r="H457" s="53"/>
      <c r="I457" s="53"/>
      <c r="J457" s="54"/>
      <c r="K457" s="53"/>
      <c r="L457" s="53"/>
      <c r="M457" s="53"/>
      <c r="N457" s="53"/>
      <c r="O457" s="53"/>
      <c r="P457" s="53"/>
      <c r="Q457" s="53"/>
      <c r="R457" s="53"/>
      <c r="S457" s="53"/>
      <c r="T457" s="53"/>
      <c r="U457" s="53"/>
      <c r="V457" s="53"/>
      <c r="W457" s="53"/>
      <c r="X457" s="53"/>
      <c r="Y457" s="53"/>
      <c r="Z457" s="53"/>
    </row>
    <row r="458">
      <c r="A458" s="53"/>
      <c r="B458" s="53"/>
      <c r="C458" s="53"/>
      <c r="D458" s="53"/>
      <c r="E458" s="53"/>
      <c r="F458" s="53"/>
      <c r="G458" s="54"/>
      <c r="H458" s="53"/>
      <c r="I458" s="53"/>
      <c r="J458" s="54"/>
      <c r="K458" s="53"/>
      <c r="L458" s="53"/>
      <c r="M458" s="53"/>
      <c r="N458" s="53"/>
      <c r="O458" s="53"/>
      <c r="P458" s="53"/>
      <c r="Q458" s="53"/>
      <c r="R458" s="53"/>
      <c r="S458" s="53"/>
      <c r="T458" s="53"/>
      <c r="U458" s="53"/>
      <c r="V458" s="53"/>
      <c r="W458" s="53"/>
      <c r="X458" s="53"/>
      <c r="Y458" s="53"/>
      <c r="Z458" s="53"/>
    </row>
    <row r="459">
      <c r="A459" s="53"/>
      <c r="B459" s="53"/>
      <c r="C459" s="53"/>
      <c r="D459" s="53"/>
      <c r="E459" s="53"/>
      <c r="F459" s="53"/>
      <c r="G459" s="54"/>
      <c r="H459" s="53"/>
      <c r="I459" s="53"/>
      <c r="J459" s="54"/>
      <c r="K459" s="53"/>
      <c r="L459" s="53"/>
      <c r="M459" s="53"/>
      <c r="N459" s="53"/>
      <c r="O459" s="53"/>
      <c r="P459" s="53"/>
      <c r="Q459" s="53"/>
      <c r="R459" s="53"/>
      <c r="S459" s="53"/>
      <c r="T459" s="53"/>
      <c r="U459" s="53"/>
      <c r="V459" s="53"/>
      <c r="W459" s="53"/>
      <c r="X459" s="53"/>
      <c r="Y459" s="53"/>
      <c r="Z459" s="53"/>
    </row>
    <row r="460">
      <c r="A460" s="53"/>
      <c r="B460" s="53"/>
      <c r="C460" s="53"/>
      <c r="D460" s="53"/>
      <c r="E460" s="53"/>
      <c r="F460" s="53"/>
      <c r="G460" s="54"/>
      <c r="H460" s="53"/>
      <c r="I460" s="53"/>
      <c r="J460" s="54"/>
      <c r="K460" s="53"/>
      <c r="L460" s="53"/>
      <c r="M460" s="53"/>
      <c r="N460" s="53"/>
      <c r="O460" s="53"/>
      <c r="P460" s="53"/>
      <c r="Q460" s="53"/>
      <c r="R460" s="53"/>
      <c r="S460" s="53"/>
      <c r="T460" s="53"/>
      <c r="U460" s="53"/>
      <c r="V460" s="53"/>
      <c r="W460" s="53"/>
      <c r="X460" s="53"/>
      <c r="Y460" s="53"/>
      <c r="Z460" s="53"/>
    </row>
    <row r="461">
      <c r="A461" s="53"/>
      <c r="B461" s="53"/>
      <c r="C461" s="53"/>
      <c r="D461" s="53"/>
      <c r="E461" s="53"/>
      <c r="F461" s="53"/>
      <c r="G461" s="54"/>
      <c r="H461" s="53"/>
      <c r="I461" s="53"/>
      <c r="J461" s="54"/>
      <c r="K461" s="53"/>
      <c r="L461" s="53"/>
      <c r="M461" s="53"/>
      <c r="N461" s="53"/>
      <c r="O461" s="53"/>
      <c r="P461" s="53"/>
      <c r="Q461" s="53"/>
      <c r="R461" s="53"/>
      <c r="S461" s="53"/>
      <c r="T461" s="53"/>
      <c r="U461" s="53"/>
      <c r="V461" s="53"/>
      <c r="W461" s="53"/>
      <c r="X461" s="53"/>
      <c r="Y461" s="53"/>
      <c r="Z461" s="53"/>
    </row>
    <row r="462">
      <c r="A462" s="53"/>
      <c r="B462" s="53"/>
      <c r="C462" s="53"/>
      <c r="D462" s="53"/>
      <c r="E462" s="53"/>
      <c r="F462" s="53"/>
      <c r="G462" s="54"/>
      <c r="H462" s="53"/>
      <c r="I462" s="53"/>
      <c r="J462" s="54"/>
      <c r="K462" s="53"/>
      <c r="L462" s="53"/>
      <c r="M462" s="53"/>
      <c r="N462" s="53"/>
      <c r="O462" s="53"/>
      <c r="P462" s="53"/>
      <c r="Q462" s="53"/>
      <c r="R462" s="53"/>
      <c r="S462" s="53"/>
      <c r="T462" s="53"/>
      <c r="U462" s="53"/>
      <c r="V462" s="53"/>
      <c r="W462" s="53"/>
      <c r="X462" s="53"/>
      <c r="Y462" s="53"/>
      <c r="Z462" s="53"/>
    </row>
    <row r="463">
      <c r="A463" s="53"/>
      <c r="B463" s="53"/>
      <c r="C463" s="53"/>
      <c r="D463" s="53"/>
      <c r="E463" s="53"/>
      <c r="F463" s="53"/>
      <c r="G463" s="54"/>
      <c r="H463" s="53"/>
      <c r="I463" s="53"/>
      <c r="J463" s="54"/>
      <c r="K463" s="53"/>
      <c r="L463" s="53"/>
      <c r="M463" s="53"/>
      <c r="N463" s="53"/>
      <c r="O463" s="53"/>
      <c r="P463" s="53"/>
      <c r="Q463" s="53"/>
      <c r="R463" s="53"/>
      <c r="S463" s="53"/>
      <c r="T463" s="53"/>
      <c r="U463" s="53"/>
      <c r="V463" s="53"/>
      <c r="W463" s="53"/>
      <c r="X463" s="53"/>
      <c r="Y463" s="53"/>
      <c r="Z463" s="53"/>
    </row>
    <row r="464">
      <c r="A464" s="53"/>
      <c r="B464" s="53"/>
      <c r="C464" s="53"/>
      <c r="D464" s="53"/>
      <c r="E464" s="53"/>
      <c r="F464" s="53"/>
      <c r="G464" s="54"/>
      <c r="H464" s="53"/>
      <c r="I464" s="53"/>
      <c r="J464" s="54"/>
      <c r="K464" s="53"/>
      <c r="L464" s="53"/>
      <c r="M464" s="53"/>
      <c r="N464" s="53"/>
      <c r="O464" s="53"/>
      <c r="P464" s="53"/>
      <c r="Q464" s="53"/>
      <c r="R464" s="53"/>
      <c r="S464" s="53"/>
      <c r="T464" s="53"/>
      <c r="U464" s="53"/>
      <c r="V464" s="53"/>
      <c r="W464" s="53"/>
      <c r="X464" s="53"/>
      <c r="Y464" s="53"/>
      <c r="Z464" s="53"/>
    </row>
    <row r="465">
      <c r="A465" s="53"/>
      <c r="B465" s="53"/>
      <c r="C465" s="53"/>
      <c r="D465" s="53"/>
      <c r="E465" s="53"/>
      <c r="F465" s="53"/>
      <c r="G465" s="54"/>
      <c r="H465" s="53"/>
      <c r="I465" s="53"/>
      <c r="J465" s="54"/>
      <c r="K465" s="53"/>
      <c r="L465" s="53"/>
      <c r="M465" s="53"/>
      <c r="N465" s="53"/>
      <c r="O465" s="53"/>
      <c r="P465" s="53"/>
      <c r="Q465" s="53"/>
      <c r="R465" s="53"/>
      <c r="S465" s="53"/>
      <c r="T465" s="53"/>
      <c r="U465" s="53"/>
      <c r="V465" s="53"/>
      <c r="W465" s="53"/>
      <c r="X465" s="53"/>
      <c r="Y465" s="53"/>
      <c r="Z465" s="53"/>
    </row>
    <row r="466">
      <c r="A466" s="53"/>
      <c r="B466" s="53"/>
      <c r="C466" s="53"/>
      <c r="D466" s="53"/>
      <c r="E466" s="53"/>
      <c r="F466" s="53"/>
      <c r="G466" s="54"/>
      <c r="H466" s="53"/>
      <c r="I466" s="53"/>
      <c r="J466" s="54"/>
      <c r="K466" s="53"/>
      <c r="L466" s="53"/>
      <c r="M466" s="53"/>
      <c r="N466" s="53"/>
      <c r="O466" s="53"/>
      <c r="P466" s="53"/>
      <c r="Q466" s="53"/>
      <c r="R466" s="53"/>
      <c r="S466" s="53"/>
      <c r="T466" s="53"/>
      <c r="U466" s="53"/>
      <c r="V466" s="53"/>
      <c r="W466" s="53"/>
      <c r="X466" s="53"/>
      <c r="Y466" s="53"/>
      <c r="Z466" s="53"/>
    </row>
    <row r="467">
      <c r="A467" s="53"/>
      <c r="B467" s="53"/>
      <c r="C467" s="53"/>
      <c r="D467" s="53"/>
      <c r="E467" s="53"/>
      <c r="F467" s="53"/>
      <c r="G467" s="54"/>
      <c r="H467" s="53"/>
      <c r="I467" s="53"/>
      <c r="J467" s="54"/>
      <c r="K467" s="53"/>
      <c r="L467" s="53"/>
      <c r="M467" s="53"/>
      <c r="N467" s="53"/>
      <c r="O467" s="53"/>
      <c r="P467" s="53"/>
      <c r="Q467" s="53"/>
      <c r="R467" s="53"/>
      <c r="S467" s="53"/>
      <c r="T467" s="53"/>
      <c r="U467" s="53"/>
      <c r="V467" s="53"/>
      <c r="W467" s="53"/>
      <c r="X467" s="53"/>
      <c r="Y467" s="53"/>
      <c r="Z467" s="53"/>
    </row>
    <row r="468">
      <c r="A468" s="53"/>
      <c r="B468" s="53"/>
      <c r="C468" s="53"/>
      <c r="D468" s="53"/>
      <c r="E468" s="53"/>
      <c r="F468" s="53"/>
      <c r="G468" s="54"/>
      <c r="H468" s="53"/>
      <c r="I468" s="53"/>
      <c r="J468" s="54"/>
      <c r="K468" s="53"/>
      <c r="L468" s="53"/>
      <c r="M468" s="53"/>
      <c r="N468" s="53"/>
      <c r="O468" s="53"/>
      <c r="P468" s="53"/>
      <c r="Q468" s="53"/>
      <c r="R468" s="53"/>
      <c r="S468" s="53"/>
      <c r="T468" s="53"/>
      <c r="U468" s="53"/>
      <c r="V468" s="53"/>
      <c r="W468" s="53"/>
      <c r="X468" s="53"/>
      <c r="Y468" s="53"/>
      <c r="Z468" s="53"/>
    </row>
    <row r="469">
      <c r="A469" s="53"/>
      <c r="B469" s="53"/>
      <c r="C469" s="53"/>
      <c r="D469" s="53"/>
      <c r="E469" s="53"/>
      <c r="F469" s="53"/>
      <c r="G469" s="54"/>
      <c r="H469" s="53"/>
      <c r="I469" s="53"/>
      <c r="J469" s="54"/>
      <c r="K469" s="53"/>
      <c r="L469" s="53"/>
      <c r="M469" s="53"/>
      <c r="N469" s="53"/>
      <c r="O469" s="53"/>
      <c r="P469" s="53"/>
      <c r="Q469" s="53"/>
      <c r="R469" s="53"/>
      <c r="S469" s="53"/>
      <c r="T469" s="53"/>
      <c r="U469" s="53"/>
      <c r="V469" s="53"/>
      <c r="W469" s="53"/>
      <c r="X469" s="53"/>
      <c r="Y469" s="53"/>
      <c r="Z469" s="53"/>
    </row>
    <row r="470">
      <c r="A470" s="53"/>
      <c r="B470" s="53"/>
      <c r="C470" s="53"/>
      <c r="D470" s="53"/>
      <c r="E470" s="53"/>
      <c r="F470" s="53"/>
      <c r="G470" s="54"/>
      <c r="H470" s="53"/>
      <c r="I470" s="53"/>
      <c r="J470" s="54"/>
      <c r="K470" s="53"/>
      <c r="L470" s="53"/>
      <c r="M470" s="53"/>
      <c r="N470" s="53"/>
      <c r="O470" s="53"/>
      <c r="P470" s="53"/>
      <c r="Q470" s="53"/>
      <c r="R470" s="53"/>
      <c r="S470" s="53"/>
      <c r="T470" s="53"/>
      <c r="U470" s="53"/>
      <c r="V470" s="53"/>
      <c r="W470" s="53"/>
      <c r="X470" s="53"/>
      <c r="Y470" s="53"/>
      <c r="Z470" s="53"/>
    </row>
    <row r="471">
      <c r="A471" s="53"/>
      <c r="B471" s="53"/>
      <c r="C471" s="53"/>
      <c r="D471" s="53"/>
      <c r="E471" s="53"/>
      <c r="F471" s="53"/>
      <c r="G471" s="54"/>
      <c r="H471" s="53"/>
      <c r="I471" s="53"/>
      <c r="J471" s="54"/>
      <c r="K471" s="53"/>
      <c r="L471" s="53"/>
      <c r="M471" s="53"/>
      <c r="N471" s="53"/>
      <c r="O471" s="53"/>
      <c r="P471" s="53"/>
      <c r="Q471" s="53"/>
      <c r="R471" s="53"/>
      <c r="S471" s="53"/>
      <c r="T471" s="53"/>
      <c r="U471" s="53"/>
      <c r="V471" s="53"/>
      <c r="W471" s="53"/>
      <c r="X471" s="53"/>
      <c r="Y471" s="53"/>
      <c r="Z471" s="53"/>
    </row>
    <row r="472">
      <c r="A472" s="53"/>
      <c r="B472" s="53"/>
      <c r="C472" s="53"/>
      <c r="D472" s="53"/>
      <c r="E472" s="53"/>
      <c r="F472" s="53"/>
      <c r="G472" s="54"/>
      <c r="H472" s="53"/>
      <c r="I472" s="53"/>
      <c r="J472" s="54"/>
      <c r="K472" s="53"/>
      <c r="L472" s="53"/>
      <c r="M472" s="53"/>
      <c r="N472" s="53"/>
      <c r="O472" s="53"/>
      <c r="P472" s="53"/>
      <c r="Q472" s="53"/>
      <c r="R472" s="53"/>
      <c r="S472" s="53"/>
      <c r="T472" s="53"/>
      <c r="U472" s="53"/>
      <c r="V472" s="53"/>
      <c r="W472" s="53"/>
      <c r="X472" s="53"/>
      <c r="Y472" s="53"/>
      <c r="Z472" s="53"/>
    </row>
    <row r="473">
      <c r="A473" s="53"/>
      <c r="B473" s="53"/>
      <c r="C473" s="53"/>
      <c r="D473" s="53"/>
      <c r="E473" s="53"/>
      <c r="F473" s="53"/>
      <c r="G473" s="54"/>
      <c r="H473" s="53"/>
      <c r="I473" s="53"/>
      <c r="J473" s="54"/>
      <c r="K473" s="53"/>
      <c r="L473" s="53"/>
      <c r="M473" s="53"/>
      <c r="N473" s="53"/>
      <c r="O473" s="53"/>
      <c r="P473" s="53"/>
      <c r="Q473" s="53"/>
      <c r="R473" s="53"/>
      <c r="S473" s="53"/>
      <c r="T473" s="53"/>
      <c r="U473" s="53"/>
      <c r="V473" s="53"/>
      <c r="W473" s="53"/>
      <c r="X473" s="53"/>
      <c r="Y473" s="53"/>
      <c r="Z473" s="53"/>
    </row>
    <row r="474">
      <c r="A474" s="53"/>
      <c r="B474" s="53"/>
      <c r="C474" s="53"/>
      <c r="D474" s="53"/>
      <c r="E474" s="53"/>
      <c r="F474" s="53"/>
      <c r="G474" s="54"/>
      <c r="H474" s="53"/>
      <c r="I474" s="53"/>
      <c r="J474" s="54"/>
      <c r="K474" s="53"/>
      <c r="L474" s="53"/>
      <c r="M474" s="53"/>
      <c r="N474" s="53"/>
      <c r="O474" s="53"/>
      <c r="P474" s="53"/>
      <c r="Q474" s="53"/>
      <c r="R474" s="53"/>
      <c r="S474" s="53"/>
      <c r="T474" s="53"/>
      <c r="U474" s="53"/>
      <c r="V474" s="53"/>
      <c r="W474" s="53"/>
      <c r="X474" s="53"/>
      <c r="Y474" s="53"/>
      <c r="Z474" s="53"/>
    </row>
    <row r="475">
      <c r="A475" s="53"/>
      <c r="B475" s="53"/>
      <c r="C475" s="53"/>
      <c r="D475" s="53"/>
      <c r="E475" s="53"/>
      <c r="F475" s="53"/>
      <c r="G475" s="54"/>
      <c r="H475" s="53"/>
      <c r="I475" s="53"/>
      <c r="J475" s="54"/>
      <c r="K475" s="53"/>
      <c r="L475" s="53"/>
      <c r="M475" s="53"/>
      <c r="N475" s="53"/>
      <c r="O475" s="53"/>
      <c r="P475" s="53"/>
      <c r="Q475" s="53"/>
      <c r="R475" s="53"/>
      <c r="S475" s="53"/>
      <c r="T475" s="53"/>
      <c r="U475" s="53"/>
      <c r="V475" s="53"/>
      <c r="W475" s="53"/>
      <c r="X475" s="53"/>
      <c r="Y475" s="53"/>
      <c r="Z475" s="53"/>
    </row>
    <row r="476">
      <c r="A476" s="53"/>
      <c r="B476" s="53"/>
      <c r="C476" s="53"/>
      <c r="D476" s="53"/>
      <c r="E476" s="53"/>
      <c r="F476" s="53"/>
      <c r="G476" s="54"/>
      <c r="H476" s="53"/>
      <c r="I476" s="53"/>
      <c r="J476" s="54"/>
      <c r="K476" s="53"/>
      <c r="L476" s="53"/>
      <c r="M476" s="53"/>
      <c r="N476" s="53"/>
      <c r="O476" s="53"/>
      <c r="P476" s="53"/>
      <c r="Q476" s="53"/>
      <c r="R476" s="53"/>
      <c r="S476" s="53"/>
      <c r="T476" s="53"/>
      <c r="U476" s="53"/>
      <c r="V476" s="53"/>
      <c r="W476" s="53"/>
      <c r="X476" s="53"/>
      <c r="Y476" s="53"/>
      <c r="Z476" s="53"/>
    </row>
    <row r="477">
      <c r="A477" s="53"/>
      <c r="B477" s="53"/>
      <c r="C477" s="53"/>
      <c r="D477" s="53"/>
      <c r="E477" s="53"/>
      <c r="F477" s="53"/>
      <c r="G477" s="54"/>
      <c r="H477" s="53"/>
      <c r="I477" s="53"/>
      <c r="J477" s="54"/>
      <c r="K477" s="53"/>
      <c r="L477" s="53"/>
      <c r="M477" s="53"/>
      <c r="N477" s="53"/>
      <c r="O477" s="53"/>
      <c r="P477" s="53"/>
      <c r="Q477" s="53"/>
      <c r="R477" s="53"/>
      <c r="S477" s="53"/>
      <c r="T477" s="53"/>
      <c r="U477" s="53"/>
      <c r="V477" s="53"/>
      <c r="W477" s="53"/>
      <c r="X477" s="53"/>
      <c r="Y477" s="53"/>
      <c r="Z477" s="53"/>
    </row>
    <row r="478">
      <c r="A478" s="53"/>
      <c r="B478" s="53"/>
      <c r="C478" s="53"/>
      <c r="D478" s="53"/>
      <c r="E478" s="53"/>
      <c r="F478" s="53"/>
      <c r="G478" s="54"/>
      <c r="H478" s="53"/>
      <c r="I478" s="53"/>
      <c r="J478" s="54"/>
      <c r="K478" s="53"/>
      <c r="L478" s="53"/>
      <c r="M478" s="53"/>
      <c r="N478" s="53"/>
      <c r="O478" s="53"/>
      <c r="P478" s="53"/>
      <c r="Q478" s="53"/>
      <c r="R478" s="53"/>
      <c r="S478" s="53"/>
      <c r="T478" s="53"/>
      <c r="U478" s="53"/>
      <c r="V478" s="53"/>
      <c r="W478" s="53"/>
      <c r="X478" s="53"/>
      <c r="Y478" s="53"/>
      <c r="Z478" s="53"/>
    </row>
    <row r="479">
      <c r="A479" s="53"/>
      <c r="B479" s="53"/>
      <c r="C479" s="53"/>
      <c r="D479" s="53"/>
      <c r="E479" s="53"/>
      <c r="F479" s="53"/>
      <c r="G479" s="54"/>
      <c r="H479" s="53"/>
      <c r="I479" s="53"/>
      <c r="J479" s="54"/>
      <c r="K479" s="53"/>
      <c r="L479" s="53"/>
      <c r="M479" s="53"/>
      <c r="N479" s="53"/>
      <c r="O479" s="53"/>
      <c r="P479" s="53"/>
      <c r="Q479" s="53"/>
      <c r="R479" s="53"/>
      <c r="S479" s="53"/>
      <c r="T479" s="53"/>
      <c r="U479" s="53"/>
      <c r="V479" s="53"/>
      <c r="W479" s="53"/>
      <c r="X479" s="53"/>
      <c r="Y479" s="53"/>
      <c r="Z479" s="53"/>
    </row>
    <row r="480">
      <c r="A480" s="53"/>
      <c r="B480" s="53"/>
      <c r="C480" s="53"/>
      <c r="D480" s="53"/>
      <c r="E480" s="53"/>
      <c r="F480" s="53"/>
      <c r="G480" s="54"/>
      <c r="H480" s="53"/>
      <c r="I480" s="53"/>
      <c r="J480" s="54"/>
      <c r="K480" s="53"/>
      <c r="L480" s="53"/>
      <c r="M480" s="53"/>
      <c r="N480" s="53"/>
      <c r="O480" s="53"/>
      <c r="P480" s="53"/>
      <c r="Q480" s="53"/>
      <c r="R480" s="53"/>
      <c r="S480" s="53"/>
      <c r="T480" s="53"/>
      <c r="U480" s="53"/>
      <c r="V480" s="53"/>
      <c r="W480" s="53"/>
      <c r="X480" s="53"/>
      <c r="Y480" s="53"/>
      <c r="Z480" s="53"/>
    </row>
    <row r="481">
      <c r="A481" s="53"/>
      <c r="B481" s="53"/>
      <c r="C481" s="53"/>
      <c r="D481" s="53"/>
      <c r="E481" s="53"/>
      <c r="F481" s="53"/>
      <c r="G481" s="54"/>
      <c r="H481" s="53"/>
      <c r="I481" s="53"/>
      <c r="J481" s="54"/>
      <c r="K481" s="53"/>
      <c r="L481" s="53"/>
      <c r="M481" s="53"/>
      <c r="N481" s="53"/>
      <c r="O481" s="53"/>
      <c r="P481" s="53"/>
      <c r="Q481" s="53"/>
      <c r="R481" s="53"/>
      <c r="S481" s="53"/>
      <c r="T481" s="53"/>
      <c r="U481" s="53"/>
      <c r="V481" s="53"/>
      <c r="W481" s="53"/>
      <c r="X481" s="53"/>
      <c r="Y481" s="53"/>
      <c r="Z481" s="53"/>
    </row>
    <row r="482">
      <c r="A482" s="53"/>
      <c r="B482" s="53"/>
      <c r="C482" s="53"/>
      <c r="D482" s="53"/>
      <c r="E482" s="53"/>
      <c r="F482" s="53"/>
      <c r="G482" s="54"/>
      <c r="H482" s="53"/>
      <c r="I482" s="53"/>
      <c r="J482" s="54"/>
      <c r="K482" s="53"/>
      <c r="L482" s="53"/>
      <c r="M482" s="53"/>
      <c r="N482" s="53"/>
      <c r="O482" s="53"/>
      <c r="P482" s="53"/>
      <c r="Q482" s="53"/>
      <c r="R482" s="53"/>
      <c r="S482" s="53"/>
      <c r="T482" s="53"/>
      <c r="U482" s="53"/>
      <c r="V482" s="53"/>
      <c r="W482" s="53"/>
      <c r="X482" s="53"/>
      <c r="Y482" s="53"/>
      <c r="Z482" s="53"/>
    </row>
    <row r="483">
      <c r="A483" s="53"/>
      <c r="B483" s="53"/>
      <c r="C483" s="53"/>
      <c r="D483" s="53"/>
      <c r="E483" s="53"/>
      <c r="F483" s="53"/>
      <c r="G483" s="54"/>
      <c r="H483" s="53"/>
      <c r="I483" s="53"/>
      <c r="J483" s="54"/>
      <c r="K483" s="53"/>
      <c r="L483" s="53"/>
      <c r="M483" s="53"/>
      <c r="N483" s="53"/>
      <c r="O483" s="53"/>
      <c r="P483" s="53"/>
      <c r="Q483" s="53"/>
      <c r="R483" s="53"/>
      <c r="S483" s="53"/>
      <c r="T483" s="53"/>
      <c r="U483" s="53"/>
      <c r="V483" s="53"/>
      <c r="W483" s="53"/>
      <c r="X483" s="53"/>
      <c r="Y483" s="53"/>
      <c r="Z483" s="53"/>
    </row>
    <row r="484">
      <c r="A484" s="53"/>
      <c r="B484" s="53"/>
      <c r="C484" s="53"/>
      <c r="D484" s="53"/>
      <c r="E484" s="53"/>
      <c r="F484" s="53"/>
      <c r="G484" s="54"/>
      <c r="H484" s="53"/>
      <c r="I484" s="53"/>
      <c r="J484" s="54"/>
      <c r="K484" s="53"/>
      <c r="L484" s="53"/>
      <c r="M484" s="53"/>
      <c r="N484" s="53"/>
      <c r="O484" s="53"/>
      <c r="P484" s="53"/>
      <c r="Q484" s="53"/>
      <c r="R484" s="53"/>
      <c r="S484" s="53"/>
      <c r="T484" s="53"/>
      <c r="U484" s="53"/>
      <c r="V484" s="53"/>
      <c r="W484" s="53"/>
      <c r="X484" s="53"/>
      <c r="Y484" s="53"/>
      <c r="Z484" s="53"/>
    </row>
    <row r="485">
      <c r="A485" s="53"/>
      <c r="B485" s="53"/>
      <c r="C485" s="53"/>
      <c r="D485" s="53"/>
      <c r="E485" s="53"/>
      <c r="F485" s="53"/>
      <c r="G485" s="54"/>
      <c r="H485" s="53"/>
      <c r="I485" s="53"/>
      <c r="J485" s="54"/>
      <c r="K485" s="53"/>
      <c r="L485" s="53"/>
      <c r="M485" s="53"/>
      <c r="N485" s="53"/>
      <c r="O485" s="53"/>
      <c r="P485" s="53"/>
      <c r="Q485" s="53"/>
      <c r="R485" s="53"/>
      <c r="S485" s="53"/>
      <c r="T485" s="53"/>
      <c r="U485" s="53"/>
      <c r="V485" s="53"/>
      <c r="W485" s="53"/>
      <c r="X485" s="53"/>
      <c r="Y485" s="53"/>
      <c r="Z485" s="53"/>
    </row>
    <row r="486">
      <c r="A486" s="53"/>
      <c r="B486" s="53"/>
      <c r="C486" s="53"/>
      <c r="D486" s="53"/>
      <c r="E486" s="53"/>
      <c r="F486" s="53"/>
      <c r="G486" s="54"/>
      <c r="H486" s="53"/>
      <c r="I486" s="53"/>
      <c r="J486" s="54"/>
      <c r="K486" s="53"/>
      <c r="L486" s="53"/>
      <c r="M486" s="53"/>
      <c r="N486" s="53"/>
      <c r="O486" s="53"/>
      <c r="P486" s="53"/>
      <c r="Q486" s="53"/>
      <c r="R486" s="53"/>
      <c r="S486" s="53"/>
      <c r="T486" s="53"/>
      <c r="U486" s="53"/>
      <c r="V486" s="53"/>
      <c r="W486" s="53"/>
      <c r="X486" s="53"/>
      <c r="Y486" s="53"/>
      <c r="Z486" s="53"/>
    </row>
    <row r="487">
      <c r="A487" s="53"/>
      <c r="B487" s="53"/>
      <c r="C487" s="53"/>
      <c r="D487" s="53"/>
      <c r="E487" s="53"/>
      <c r="F487" s="53"/>
      <c r="G487" s="54"/>
      <c r="H487" s="53"/>
      <c r="I487" s="53"/>
      <c r="J487" s="54"/>
      <c r="K487" s="53"/>
      <c r="L487" s="53"/>
      <c r="M487" s="53"/>
      <c r="N487" s="53"/>
      <c r="O487" s="53"/>
      <c r="P487" s="53"/>
      <c r="Q487" s="53"/>
      <c r="R487" s="53"/>
      <c r="S487" s="53"/>
      <c r="T487" s="53"/>
      <c r="U487" s="53"/>
      <c r="V487" s="53"/>
      <c r="W487" s="53"/>
      <c r="X487" s="53"/>
      <c r="Y487" s="53"/>
      <c r="Z487" s="53"/>
    </row>
    <row r="488">
      <c r="A488" s="53"/>
      <c r="B488" s="53"/>
      <c r="C488" s="53"/>
      <c r="D488" s="53"/>
      <c r="E488" s="53"/>
      <c r="F488" s="53"/>
      <c r="G488" s="54"/>
      <c r="H488" s="53"/>
      <c r="I488" s="53"/>
      <c r="J488" s="54"/>
      <c r="K488" s="53"/>
      <c r="L488" s="53"/>
      <c r="M488" s="53"/>
      <c r="N488" s="53"/>
      <c r="O488" s="53"/>
      <c r="P488" s="53"/>
      <c r="Q488" s="53"/>
      <c r="R488" s="53"/>
      <c r="S488" s="53"/>
      <c r="T488" s="53"/>
      <c r="U488" s="53"/>
      <c r="V488" s="53"/>
      <c r="W488" s="53"/>
      <c r="X488" s="53"/>
      <c r="Y488" s="53"/>
      <c r="Z488" s="53"/>
    </row>
    <row r="489">
      <c r="A489" s="53"/>
      <c r="B489" s="53"/>
      <c r="C489" s="53"/>
      <c r="D489" s="53"/>
      <c r="E489" s="53"/>
      <c r="F489" s="53"/>
      <c r="G489" s="54"/>
      <c r="H489" s="53"/>
      <c r="I489" s="53"/>
      <c r="J489" s="54"/>
      <c r="K489" s="53"/>
      <c r="L489" s="53"/>
      <c r="M489" s="53"/>
      <c r="N489" s="53"/>
      <c r="O489" s="53"/>
      <c r="P489" s="53"/>
      <c r="Q489" s="53"/>
      <c r="R489" s="53"/>
      <c r="S489" s="53"/>
      <c r="T489" s="53"/>
      <c r="U489" s="53"/>
      <c r="V489" s="53"/>
      <c r="W489" s="53"/>
      <c r="X489" s="53"/>
      <c r="Y489" s="53"/>
      <c r="Z489" s="53"/>
    </row>
    <row r="490">
      <c r="A490" s="53"/>
      <c r="B490" s="53"/>
      <c r="C490" s="53"/>
      <c r="D490" s="53"/>
      <c r="E490" s="53"/>
      <c r="F490" s="53"/>
      <c r="G490" s="54"/>
      <c r="H490" s="53"/>
      <c r="I490" s="53"/>
      <c r="J490" s="54"/>
      <c r="K490" s="53"/>
      <c r="L490" s="53"/>
      <c r="M490" s="53"/>
      <c r="N490" s="53"/>
      <c r="O490" s="53"/>
      <c r="P490" s="53"/>
      <c r="Q490" s="53"/>
      <c r="R490" s="53"/>
      <c r="S490" s="53"/>
      <c r="T490" s="53"/>
      <c r="U490" s="53"/>
      <c r="V490" s="53"/>
      <c r="W490" s="53"/>
      <c r="X490" s="53"/>
      <c r="Y490" s="53"/>
      <c r="Z490" s="53"/>
    </row>
    <row r="491">
      <c r="A491" s="53"/>
      <c r="B491" s="53"/>
      <c r="C491" s="53"/>
      <c r="D491" s="53"/>
      <c r="E491" s="53"/>
      <c r="F491" s="53"/>
      <c r="G491" s="54"/>
      <c r="H491" s="53"/>
      <c r="I491" s="53"/>
      <c r="J491" s="54"/>
      <c r="K491" s="53"/>
      <c r="L491" s="53"/>
      <c r="M491" s="53"/>
      <c r="N491" s="53"/>
      <c r="O491" s="53"/>
      <c r="P491" s="53"/>
      <c r="Q491" s="53"/>
      <c r="R491" s="53"/>
      <c r="S491" s="53"/>
      <c r="T491" s="53"/>
      <c r="U491" s="53"/>
      <c r="V491" s="53"/>
      <c r="W491" s="53"/>
      <c r="X491" s="53"/>
      <c r="Y491" s="53"/>
      <c r="Z491" s="53"/>
    </row>
    <row r="492">
      <c r="A492" s="53"/>
      <c r="B492" s="53"/>
      <c r="C492" s="53"/>
      <c r="D492" s="53"/>
      <c r="E492" s="53"/>
      <c r="F492" s="53"/>
      <c r="G492" s="54"/>
      <c r="H492" s="53"/>
      <c r="I492" s="53"/>
      <c r="J492" s="54"/>
      <c r="K492" s="53"/>
      <c r="L492" s="53"/>
      <c r="M492" s="53"/>
      <c r="N492" s="53"/>
      <c r="O492" s="53"/>
      <c r="P492" s="53"/>
      <c r="Q492" s="53"/>
      <c r="R492" s="53"/>
      <c r="S492" s="53"/>
      <c r="T492" s="53"/>
      <c r="U492" s="53"/>
      <c r="V492" s="53"/>
      <c r="W492" s="53"/>
      <c r="X492" s="53"/>
      <c r="Y492" s="53"/>
      <c r="Z492" s="53"/>
    </row>
    <row r="493">
      <c r="A493" s="53"/>
      <c r="B493" s="53"/>
      <c r="C493" s="53"/>
      <c r="D493" s="53"/>
      <c r="E493" s="53"/>
      <c r="F493" s="53"/>
      <c r="G493" s="54"/>
      <c r="H493" s="53"/>
      <c r="I493" s="53"/>
      <c r="J493" s="54"/>
      <c r="K493" s="53"/>
      <c r="L493" s="53"/>
      <c r="M493" s="53"/>
      <c r="N493" s="53"/>
      <c r="O493" s="53"/>
      <c r="P493" s="53"/>
      <c r="Q493" s="53"/>
      <c r="R493" s="53"/>
      <c r="S493" s="53"/>
      <c r="T493" s="53"/>
      <c r="U493" s="53"/>
      <c r="V493" s="53"/>
      <c r="W493" s="53"/>
      <c r="X493" s="53"/>
      <c r="Y493" s="53"/>
      <c r="Z493" s="53"/>
    </row>
    <row r="494">
      <c r="A494" s="53"/>
      <c r="B494" s="53"/>
      <c r="C494" s="53"/>
      <c r="D494" s="53"/>
      <c r="E494" s="53"/>
      <c r="F494" s="53"/>
      <c r="G494" s="54"/>
      <c r="H494" s="53"/>
      <c r="I494" s="53"/>
      <c r="J494" s="54"/>
      <c r="K494" s="53"/>
      <c r="L494" s="53"/>
      <c r="M494" s="53"/>
      <c r="N494" s="53"/>
      <c r="O494" s="53"/>
      <c r="P494" s="53"/>
      <c r="Q494" s="53"/>
      <c r="R494" s="53"/>
      <c r="S494" s="53"/>
      <c r="T494" s="53"/>
      <c r="U494" s="53"/>
      <c r="V494" s="53"/>
      <c r="W494" s="53"/>
      <c r="X494" s="53"/>
      <c r="Y494" s="53"/>
      <c r="Z494" s="53"/>
    </row>
    <row r="495">
      <c r="A495" s="53"/>
      <c r="B495" s="53"/>
      <c r="C495" s="53"/>
      <c r="D495" s="53"/>
      <c r="E495" s="53"/>
      <c r="F495" s="53"/>
      <c r="G495" s="54"/>
      <c r="H495" s="53"/>
      <c r="I495" s="53"/>
      <c r="J495" s="54"/>
      <c r="K495" s="53"/>
      <c r="L495" s="53"/>
      <c r="M495" s="53"/>
      <c r="N495" s="53"/>
      <c r="O495" s="53"/>
      <c r="P495" s="53"/>
      <c r="Q495" s="53"/>
      <c r="R495" s="53"/>
      <c r="S495" s="53"/>
      <c r="T495" s="53"/>
      <c r="U495" s="53"/>
      <c r="V495" s="53"/>
      <c r="W495" s="53"/>
      <c r="X495" s="53"/>
      <c r="Y495" s="53"/>
      <c r="Z495" s="53"/>
    </row>
    <row r="496">
      <c r="A496" s="53"/>
      <c r="B496" s="53"/>
      <c r="C496" s="53"/>
      <c r="D496" s="53"/>
      <c r="E496" s="53"/>
      <c r="F496" s="53"/>
      <c r="G496" s="54"/>
      <c r="H496" s="53"/>
      <c r="I496" s="53"/>
      <c r="J496" s="54"/>
      <c r="K496" s="53"/>
      <c r="L496" s="53"/>
      <c r="M496" s="53"/>
      <c r="N496" s="53"/>
      <c r="O496" s="53"/>
      <c r="P496" s="53"/>
      <c r="Q496" s="53"/>
      <c r="R496" s="53"/>
      <c r="S496" s="53"/>
      <c r="T496" s="53"/>
      <c r="U496" s="53"/>
      <c r="V496" s="53"/>
      <c r="W496" s="53"/>
      <c r="X496" s="53"/>
      <c r="Y496" s="53"/>
      <c r="Z496" s="53"/>
    </row>
    <row r="497">
      <c r="A497" s="53"/>
      <c r="B497" s="53"/>
      <c r="C497" s="53"/>
      <c r="D497" s="53"/>
      <c r="E497" s="53"/>
      <c r="F497" s="53"/>
      <c r="G497" s="54"/>
      <c r="H497" s="53"/>
      <c r="I497" s="53"/>
      <c r="J497" s="54"/>
      <c r="K497" s="53"/>
      <c r="L497" s="53"/>
      <c r="M497" s="53"/>
      <c r="N497" s="53"/>
      <c r="O497" s="53"/>
      <c r="P497" s="53"/>
      <c r="Q497" s="53"/>
      <c r="R497" s="53"/>
      <c r="S497" s="53"/>
      <c r="T497" s="53"/>
      <c r="U497" s="53"/>
      <c r="V497" s="53"/>
      <c r="W497" s="53"/>
      <c r="X497" s="53"/>
      <c r="Y497" s="53"/>
      <c r="Z497" s="53"/>
    </row>
    <row r="498">
      <c r="A498" s="53"/>
      <c r="B498" s="53"/>
      <c r="C498" s="53"/>
      <c r="D498" s="53"/>
      <c r="E498" s="53"/>
      <c r="F498" s="53"/>
      <c r="G498" s="54"/>
      <c r="H498" s="53"/>
      <c r="I498" s="53"/>
      <c r="J498" s="54"/>
      <c r="K498" s="53"/>
      <c r="L498" s="53"/>
      <c r="M498" s="53"/>
      <c r="N498" s="53"/>
      <c r="O498" s="53"/>
      <c r="P498" s="53"/>
      <c r="Q498" s="53"/>
      <c r="R498" s="53"/>
      <c r="S498" s="53"/>
      <c r="T498" s="53"/>
      <c r="U498" s="53"/>
      <c r="V498" s="53"/>
      <c r="W498" s="53"/>
      <c r="X498" s="53"/>
      <c r="Y498" s="53"/>
      <c r="Z498" s="53"/>
    </row>
    <row r="499">
      <c r="A499" s="53"/>
      <c r="B499" s="53"/>
      <c r="C499" s="53"/>
      <c r="D499" s="53"/>
      <c r="E499" s="53"/>
      <c r="F499" s="53"/>
      <c r="G499" s="54"/>
      <c r="H499" s="53"/>
      <c r="I499" s="53"/>
      <c r="J499" s="54"/>
      <c r="K499" s="53"/>
      <c r="L499" s="53"/>
      <c r="M499" s="53"/>
      <c r="N499" s="53"/>
      <c r="O499" s="53"/>
      <c r="P499" s="53"/>
      <c r="Q499" s="53"/>
      <c r="R499" s="53"/>
      <c r="S499" s="53"/>
      <c r="T499" s="53"/>
      <c r="U499" s="53"/>
      <c r="V499" s="53"/>
      <c r="W499" s="53"/>
      <c r="X499" s="53"/>
      <c r="Y499" s="53"/>
      <c r="Z499" s="53"/>
    </row>
    <row r="500">
      <c r="A500" s="53"/>
      <c r="B500" s="53"/>
      <c r="C500" s="53"/>
      <c r="D500" s="53"/>
      <c r="E500" s="53"/>
      <c r="F500" s="53"/>
      <c r="G500" s="54"/>
      <c r="H500" s="53"/>
      <c r="I500" s="53"/>
      <c r="J500" s="54"/>
      <c r="K500" s="53"/>
      <c r="L500" s="53"/>
      <c r="M500" s="53"/>
      <c r="N500" s="53"/>
      <c r="O500" s="53"/>
      <c r="P500" s="53"/>
      <c r="Q500" s="53"/>
      <c r="R500" s="53"/>
      <c r="S500" s="53"/>
      <c r="T500" s="53"/>
      <c r="U500" s="53"/>
      <c r="V500" s="53"/>
      <c r="W500" s="53"/>
      <c r="X500" s="53"/>
      <c r="Y500" s="53"/>
      <c r="Z500" s="53"/>
    </row>
    <row r="501">
      <c r="A501" s="53"/>
      <c r="B501" s="53"/>
      <c r="C501" s="53"/>
      <c r="D501" s="53"/>
      <c r="E501" s="53"/>
      <c r="F501" s="53"/>
      <c r="G501" s="54"/>
      <c r="H501" s="53"/>
      <c r="I501" s="53"/>
      <c r="J501" s="54"/>
      <c r="K501" s="53"/>
      <c r="L501" s="53"/>
      <c r="M501" s="53"/>
      <c r="N501" s="53"/>
      <c r="O501" s="53"/>
      <c r="P501" s="53"/>
      <c r="Q501" s="53"/>
      <c r="R501" s="53"/>
      <c r="S501" s="53"/>
      <c r="T501" s="53"/>
      <c r="U501" s="53"/>
      <c r="V501" s="53"/>
      <c r="W501" s="53"/>
      <c r="X501" s="53"/>
      <c r="Y501" s="53"/>
      <c r="Z501" s="53"/>
    </row>
    <row r="502">
      <c r="A502" s="53"/>
      <c r="B502" s="53"/>
      <c r="C502" s="53"/>
      <c r="D502" s="53"/>
      <c r="E502" s="53"/>
      <c r="F502" s="53"/>
      <c r="G502" s="54"/>
      <c r="H502" s="53"/>
      <c r="I502" s="53"/>
      <c r="J502" s="54"/>
      <c r="K502" s="53"/>
      <c r="L502" s="53"/>
      <c r="M502" s="53"/>
      <c r="N502" s="53"/>
      <c r="O502" s="53"/>
      <c r="P502" s="53"/>
      <c r="Q502" s="53"/>
      <c r="R502" s="53"/>
      <c r="S502" s="53"/>
      <c r="T502" s="53"/>
      <c r="U502" s="53"/>
      <c r="V502" s="53"/>
      <c r="W502" s="53"/>
      <c r="X502" s="53"/>
      <c r="Y502" s="53"/>
      <c r="Z502" s="53"/>
    </row>
    <row r="503">
      <c r="A503" s="53"/>
      <c r="B503" s="53"/>
      <c r="C503" s="53"/>
      <c r="D503" s="53"/>
      <c r="E503" s="53"/>
      <c r="F503" s="53"/>
      <c r="G503" s="54"/>
      <c r="H503" s="53"/>
      <c r="I503" s="53"/>
      <c r="J503" s="54"/>
      <c r="K503" s="53"/>
      <c r="L503" s="53"/>
      <c r="M503" s="53"/>
      <c r="N503" s="53"/>
      <c r="O503" s="53"/>
      <c r="P503" s="53"/>
      <c r="Q503" s="53"/>
      <c r="R503" s="53"/>
      <c r="S503" s="53"/>
      <c r="T503" s="53"/>
      <c r="U503" s="53"/>
      <c r="V503" s="53"/>
      <c r="W503" s="53"/>
      <c r="X503" s="53"/>
      <c r="Y503" s="53"/>
      <c r="Z503" s="53"/>
    </row>
    <row r="504">
      <c r="A504" s="53"/>
      <c r="B504" s="53"/>
      <c r="C504" s="53"/>
      <c r="D504" s="53"/>
      <c r="E504" s="53"/>
      <c r="F504" s="53"/>
      <c r="G504" s="54"/>
      <c r="H504" s="53"/>
      <c r="I504" s="53"/>
      <c r="J504" s="54"/>
      <c r="K504" s="53"/>
      <c r="L504" s="53"/>
      <c r="M504" s="53"/>
      <c r="N504" s="53"/>
      <c r="O504" s="53"/>
      <c r="P504" s="53"/>
      <c r="Q504" s="53"/>
      <c r="R504" s="53"/>
      <c r="S504" s="53"/>
      <c r="T504" s="53"/>
      <c r="U504" s="53"/>
      <c r="V504" s="53"/>
      <c r="W504" s="53"/>
      <c r="X504" s="53"/>
      <c r="Y504" s="53"/>
      <c r="Z504" s="53"/>
    </row>
    <row r="505">
      <c r="A505" s="53"/>
      <c r="B505" s="53"/>
      <c r="C505" s="53"/>
      <c r="D505" s="53"/>
      <c r="E505" s="53"/>
      <c r="F505" s="53"/>
      <c r="G505" s="54"/>
      <c r="H505" s="53"/>
      <c r="I505" s="53"/>
      <c r="J505" s="54"/>
      <c r="K505" s="53"/>
      <c r="L505" s="53"/>
      <c r="M505" s="53"/>
      <c r="N505" s="53"/>
      <c r="O505" s="53"/>
      <c r="P505" s="53"/>
      <c r="Q505" s="53"/>
      <c r="R505" s="53"/>
      <c r="S505" s="53"/>
      <c r="T505" s="53"/>
      <c r="U505" s="53"/>
      <c r="V505" s="53"/>
      <c r="W505" s="53"/>
      <c r="X505" s="53"/>
      <c r="Y505" s="53"/>
      <c r="Z505" s="53"/>
    </row>
    <row r="506">
      <c r="A506" s="53"/>
      <c r="B506" s="53"/>
      <c r="C506" s="53"/>
      <c r="D506" s="53"/>
      <c r="E506" s="53"/>
      <c r="F506" s="53"/>
      <c r="G506" s="54"/>
      <c r="H506" s="53"/>
      <c r="I506" s="53"/>
      <c r="J506" s="54"/>
      <c r="K506" s="53"/>
      <c r="L506" s="53"/>
      <c r="M506" s="53"/>
      <c r="N506" s="53"/>
      <c r="O506" s="53"/>
      <c r="P506" s="53"/>
      <c r="Q506" s="53"/>
      <c r="R506" s="53"/>
      <c r="S506" s="53"/>
      <c r="T506" s="53"/>
      <c r="U506" s="53"/>
      <c r="V506" s="53"/>
      <c r="W506" s="53"/>
      <c r="X506" s="53"/>
      <c r="Y506" s="53"/>
      <c r="Z506" s="53"/>
    </row>
    <row r="507">
      <c r="A507" s="53"/>
      <c r="B507" s="53"/>
      <c r="C507" s="53"/>
      <c r="D507" s="53"/>
      <c r="E507" s="53"/>
      <c r="F507" s="53"/>
      <c r="G507" s="54"/>
      <c r="H507" s="53"/>
      <c r="I507" s="53"/>
      <c r="J507" s="54"/>
      <c r="K507" s="53"/>
      <c r="L507" s="53"/>
      <c r="M507" s="53"/>
      <c r="N507" s="53"/>
      <c r="O507" s="53"/>
      <c r="P507" s="53"/>
      <c r="Q507" s="53"/>
      <c r="R507" s="53"/>
      <c r="S507" s="53"/>
      <c r="T507" s="53"/>
      <c r="U507" s="53"/>
      <c r="V507" s="53"/>
      <c r="W507" s="53"/>
      <c r="X507" s="53"/>
      <c r="Y507" s="53"/>
      <c r="Z507" s="53"/>
    </row>
    <row r="508">
      <c r="A508" s="53"/>
      <c r="B508" s="53"/>
      <c r="C508" s="53"/>
      <c r="D508" s="53"/>
      <c r="E508" s="53"/>
      <c r="F508" s="53"/>
      <c r="G508" s="54"/>
      <c r="H508" s="53"/>
      <c r="I508" s="53"/>
      <c r="J508" s="54"/>
      <c r="K508" s="53"/>
      <c r="L508" s="53"/>
      <c r="M508" s="53"/>
      <c r="N508" s="53"/>
      <c r="O508" s="53"/>
      <c r="P508" s="53"/>
      <c r="Q508" s="53"/>
      <c r="R508" s="53"/>
      <c r="S508" s="53"/>
      <c r="T508" s="53"/>
      <c r="U508" s="53"/>
      <c r="V508" s="53"/>
      <c r="W508" s="53"/>
      <c r="X508" s="53"/>
      <c r="Y508" s="53"/>
      <c r="Z508" s="53"/>
    </row>
    <row r="509">
      <c r="A509" s="53"/>
      <c r="B509" s="53"/>
      <c r="C509" s="53"/>
      <c r="D509" s="53"/>
      <c r="E509" s="53"/>
      <c r="F509" s="53"/>
      <c r="G509" s="54"/>
      <c r="H509" s="53"/>
      <c r="I509" s="53"/>
      <c r="J509" s="54"/>
      <c r="K509" s="53"/>
      <c r="L509" s="53"/>
      <c r="M509" s="53"/>
      <c r="N509" s="53"/>
      <c r="O509" s="53"/>
      <c r="P509" s="53"/>
      <c r="Q509" s="53"/>
      <c r="R509" s="53"/>
      <c r="S509" s="53"/>
      <c r="T509" s="53"/>
      <c r="U509" s="53"/>
      <c r="V509" s="53"/>
      <c r="W509" s="53"/>
      <c r="X509" s="53"/>
      <c r="Y509" s="53"/>
      <c r="Z509" s="53"/>
    </row>
    <row r="510">
      <c r="A510" s="53"/>
      <c r="B510" s="53"/>
      <c r="C510" s="53"/>
      <c r="D510" s="53"/>
      <c r="E510" s="53"/>
      <c r="F510" s="53"/>
      <c r="G510" s="54"/>
      <c r="H510" s="53"/>
      <c r="I510" s="53"/>
      <c r="J510" s="54"/>
      <c r="K510" s="53"/>
      <c r="L510" s="53"/>
      <c r="M510" s="53"/>
      <c r="N510" s="53"/>
      <c r="O510" s="53"/>
      <c r="P510" s="53"/>
      <c r="Q510" s="53"/>
      <c r="R510" s="53"/>
      <c r="S510" s="53"/>
      <c r="T510" s="53"/>
      <c r="U510" s="53"/>
      <c r="V510" s="53"/>
      <c r="W510" s="53"/>
      <c r="X510" s="53"/>
      <c r="Y510" s="53"/>
      <c r="Z510" s="53"/>
    </row>
    <row r="511">
      <c r="A511" s="53"/>
      <c r="B511" s="53"/>
      <c r="C511" s="53"/>
      <c r="D511" s="53"/>
      <c r="E511" s="53"/>
      <c r="F511" s="53"/>
      <c r="G511" s="54"/>
      <c r="H511" s="53"/>
      <c r="I511" s="53"/>
      <c r="J511" s="54"/>
      <c r="K511" s="53"/>
      <c r="L511" s="53"/>
      <c r="M511" s="53"/>
      <c r="N511" s="53"/>
      <c r="O511" s="53"/>
      <c r="P511" s="53"/>
      <c r="Q511" s="53"/>
      <c r="R511" s="53"/>
      <c r="S511" s="53"/>
      <c r="T511" s="53"/>
      <c r="U511" s="53"/>
      <c r="V511" s="53"/>
      <c r="W511" s="53"/>
      <c r="X511" s="53"/>
      <c r="Y511" s="53"/>
      <c r="Z511" s="53"/>
    </row>
    <row r="512">
      <c r="A512" s="53"/>
      <c r="B512" s="53"/>
      <c r="C512" s="53"/>
      <c r="D512" s="53"/>
      <c r="E512" s="53"/>
      <c r="F512" s="53"/>
      <c r="G512" s="54"/>
      <c r="H512" s="53"/>
      <c r="I512" s="53"/>
      <c r="J512" s="54"/>
      <c r="K512" s="53"/>
      <c r="L512" s="53"/>
      <c r="M512" s="53"/>
      <c r="N512" s="53"/>
      <c r="O512" s="53"/>
      <c r="P512" s="53"/>
      <c r="Q512" s="53"/>
      <c r="R512" s="53"/>
      <c r="S512" s="53"/>
      <c r="T512" s="53"/>
      <c r="U512" s="53"/>
      <c r="V512" s="53"/>
      <c r="W512" s="53"/>
      <c r="X512" s="53"/>
      <c r="Y512" s="53"/>
      <c r="Z512" s="53"/>
    </row>
    <row r="513">
      <c r="A513" s="53"/>
      <c r="B513" s="53"/>
      <c r="C513" s="53"/>
      <c r="D513" s="53"/>
      <c r="E513" s="53"/>
      <c r="F513" s="53"/>
      <c r="G513" s="54"/>
      <c r="H513" s="53"/>
      <c r="I513" s="53"/>
      <c r="J513" s="54"/>
      <c r="K513" s="53"/>
      <c r="L513" s="53"/>
      <c r="M513" s="53"/>
      <c r="N513" s="53"/>
      <c r="O513" s="53"/>
      <c r="P513" s="53"/>
      <c r="Q513" s="53"/>
      <c r="R513" s="53"/>
      <c r="S513" s="53"/>
      <c r="T513" s="53"/>
      <c r="U513" s="53"/>
      <c r="V513" s="53"/>
      <c r="W513" s="53"/>
      <c r="X513" s="53"/>
      <c r="Y513" s="53"/>
      <c r="Z513" s="53"/>
    </row>
    <row r="514">
      <c r="A514" s="53"/>
      <c r="B514" s="53"/>
      <c r="C514" s="53"/>
      <c r="D514" s="53"/>
      <c r="E514" s="53"/>
      <c r="F514" s="53"/>
      <c r="G514" s="54"/>
      <c r="H514" s="53"/>
      <c r="I514" s="53"/>
      <c r="J514" s="54"/>
      <c r="K514" s="53"/>
      <c r="L514" s="53"/>
      <c r="M514" s="53"/>
      <c r="N514" s="53"/>
      <c r="O514" s="53"/>
      <c r="P514" s="53"/>
      <c r="Q514" s="53"/>
      <c r="R514" s="53"/>
      <c r="S514" s="53"/>
      <c r="T514" s="53"/>
      <c r="U514" s="53"/>
      <c r="V514" s="53"/>
      <c r="W514" s="53"/>
      <c r="X514" s="53"/>
      <c r="Y514" s="53"/>
      <c r="Z514" s="53"/>
    </row>
    <row r="515">
      <c r="A515" s="53"/>
      <c r="B515" s="53"/>
      <c r="C515" s="53"/>
      <c r="D515" s="53"/>
      <c r="E515" s="53"/>
      <c r="F515" s="53"/>
      <c r="G515" s="54"/>
      <c r="H515" s="53"/>
      <c r="I515" s="53"/>
      <c r="J515" s="54"/>
      <c r="K515" s="53"/>
      <c r="L515" s="53"/>
      <c r="M515" s="53"/>
      <c r="N515" s="53"/>
      <c r="O515" s="53"/>
      <c r="P515" s="53"/>
      <c r="Q515" s="53"/>
      <c r="R515" s="53"/>
      <c r="S515" s="53"/>
      <c r="T515" s="53"/>
      <c r="U515" s="53"/>
      <c r="V515" s="53"/>
      <c r="W515" s="53"/>
      <c r="X515" s="53"/>
      <c r="Y515" s="53"/>
      <c r="Z515" s="53"/>
    </row>
    <row r="516">
      <c r="A516" s="53"/>
      <c r="B516" s="53"/>
      <c r="C516" s="53"/>
      <c r="D516" s="53"/>
      <c r="E516" s="53"/>
      <c r="F516" s="53"/>
      <c r="G516" s="54"/>
      <c r="H516" s="53"/>
      <c r="I516" s="53"/>
      <c r="J516" s="54"/>
      <c r="K516" s="53"/>
      <c r="L516" s="53"/>
      <c r="M516" s="53"/>
      <c r="N516" s="53"/>
      <c r="O516" s="53"/>
      <c r="P516" s="53"/>
      <c r="Q516" s="53"/>
      <c r="R516" s="53"/>
      <c r="S516" s="53"/>
      <c r="T516" s="53"/>
      <c r="U516" s="53"/>
      <c r="V516" s="53"/>
      <c r="W516" s="53"/>
      <c r="X516" s="53"/>
      <c r="Y516" s="53"/>
      <c r="Z516" s="53"/>
    </row>
    <row r="517">
      <c r="A517" s="53"/>
      <c r="B517" s="53"/>
      <c r="C517" s="53"/>
      <c r="D517" s="53"/>
      <c r="E517" s="53"/>
      <c r="F517" s="53"/>
      <c r="G517" s="54"/>
      <c r="H517" s="53"/>
      <c r="I517" s="53"/>
      <c r="J517" s="54"/>
      <c r="K517" s="53"/>
      <c r="L517" s="53"/>
      <c r="M517" s="53"/>
      <c r="N517" s="53"/>
      <c r="O517" s="53"/>
      <c r="P517" s="53"/>
      <c r="Q517" s="53"/>
      <c r="R517" s="53"/>
      <c r="S517" s="53"/>
      <c r="T517" s="53"/>
      <c r="U517" s="53"/>
      <c r="V517" s="53"/>
      <c r="W517" s="53"/>
      <c r="X517" s="53"/>
      <c r="Y517" s="53"/>
      <c r="Z517" s="53"/>
    </row>
    <row r="518">
      <c r="A518" s="53"/>
      <c r="B518" s="53"/>
      <c r="C518" s="53"/>
      <c r="D518" s="53"/>
      <c r="E518" s="53"/>
      <c r="F518" s="53"/>
      <c r="G518" s="54"/>
      <c r="H518" s="53"/>
      <c r="I518" s="53"/>
      <c r="J518" s="54"/>
      <c r="K518" s="53"/>
      <c r="L518" s="53"/>
      <c r="M518" s="53"/>
      <c r="N518" s="53"/>
      <c r="O518" s="53"/>
      <c r="P518" s="53"/>
      <c r="Q518" s="53"/>
      <c r="R518" s="53"/>
      <c r="S518" s="53"/>
      <c r="T518" s="53"/>
      <c r="U518" s="53"/>
      <c r="V518" s="53"/>
      <c r="W518" s="53"/>
      <c r="X518" s="53"/>
      <c r="Y518" s="53"/>
      <c r="Z518" s="53"/>
    </row>
    <row r="519">
      <c r="A519" s="53"/>
      <c r="B519" s="53"/>
      <c r="C519" s="53"/>
      <c r="D519" s="53"/>
      <c r="E519" s="53"/>
      <c r="F519" s="53"/>
      <c r="G519" s="54"/>
      <c r="H519" s="53"/>
      <c r="I519" s="53"/>
      <c r="J519" s="54"/>
      <c r="K519" s="53"/>
      <c r="L519" s="53"/>
      <c r="M519" s="53"/>
      <c r="N519" s="53"/>
      <c r="O519" s="53"/>
      <c r="P519" s="53"/>
      <c r="Q519" s="53"/>
      <c r="R519" s="53"/>
      <c r="S519" s="53"/>
      <c r="T519" s="53"/>
      <c r="U519" s="53"/>
      <c r="V519" s="53"/>
      <c r="W519" s="53"/>
      <c r="X519" s="53"/>
      <c r="Y519" s="53"/>
      <c r="Z519" s="53"/>
    </row>
    <row r="520">
      <c r="A520" s="53"/>
      <c r="B520" s="53"/>
      <c r="C520" s="53"/>
      <c r="D520" s="53"/>
      <c r="E520" s="53"/>
      <c r="F520" s="53"/>
      <c r="G520" s="54"/>
      <c r="H520" s="53"/>
      <c r="I520" s="53"/>
      <c r="J520" s="54"/>
      <c r="K520" s="53"/>
      <c r="L520" s="53"/>
      <c r="M520" s="53"/>
      <c r="N520" s="53"/>
      <c r="O520" s="53"/>
      <c r="P520" s="53"/>
      <c r="Q520" s="53"/>
      <c r="R520" s="53"/>
      <c r="S520" s="53"/>
      <c r="T520" s="53"/>
      <c r="U520" s="53"/>
      <c r="V520" s="53"/>
      <c r="W520" s="53"/>
      <c r="X520" s="53"/>
      <c r="Y520" s="53"/>
      <c r="Z520" s="53"/>
    </row>
    <row r="521">
      <c r="A521" s="53"/>
      <c r="B521" s="53"/>
      <c r="C521" s="53"/>
      <c r="D521" s="53"/>
      <c r="E521" s="53"/>
      <c r="F521" s="53"/>
      <c r="G521" s="54"/>
      <c r="H521" s="53"/>
      <c r="I521" s="53"/>
      <c r="J521" s="54"/>
      <c r="K521" s="53"/>
      <c r="L521" s="53"/>
      <c r="M521" s="53"/>
      <c r="N521" s="53"/>
      <c r="O521" s="53"/>
      <c r="P521" s="53"/>
      <c r="Q521" s="53"/>
      <c r="R521" s="53"/>
      <c r="S521" s="53"/>
      <c r="T521" s="53"/>
      <c r="U521" s="53"/>
      <c r="V521" s="53"/>
      <c r="W521" s="53"/>
      <c r="X521" s="53"/>
      <c r="Y521" s="53"/>
      <c r="Z521" s="53"/>
    </row>
    <row r="522">
      <c r="A522" s="53"/>
      <c r="B522" s="53"/>
      <c r="C522" s="53"/>
      <c r="D522" s="53"/>
      <c r="E522" s="53"/>
      <c r="F522" s="53"/>
      <c r="G522" s="54"/>
      <c r="H522" s="53"/>
      <c r="I522" s="53"/>
      <c r="J522" s="54"/>
      <c r="K522" s="53"/>
      <c r="L522" s="53"/>
      <c r="M522" s="53"/>
      <c r="N522" s="53"/>
      <c r="O522" s="53"/>
      <c r="P522" s="53"/>
      <c r="Q522" s="53"/>
      <c r="R522" s="53"/>
      <c r="S522" s="53"/>
      <c r="T522" s="53"/>
      <c r="U522" s="53"/>
      <c r="V522" s="53"/>
      <c r="W522" s="53"/>
      <c r="X522" s="53"/>
      <c r="Y522" s="53"/>
      <c r="Z522" s="53"/>
    </row>
    <row r="523">
      <c r="A523" s="53"/>
      <c r="B523" s="53"/>
      <c r="C523" s="53"/>
      <c r="D523" s="53"/>
      <c r="E523" s="53"/>
      <c r="F523" s="53"/>
      <c r="G523" s="54"/>
      <c r="H523" s="53"/>
      <c r="I523" s="53"/>
      <c r="J523" s="54"/>
      <c r="K523" s="53"/>
      <c r="L523" s="53"/>
      <c r="M523" s="53"/>
      <c r="N523" s="53"/>
      <c r="O523" s="53"/>
      <c r="P523" s="53"/>
      <c r="Q523" s="53"/>
      <c r="R523" s="53"/>
      <c r="S523" s="53"/>
      <c r="T523" s="53"/>
      <c r="U523" s="53"/>
      <c r="V523" s="53"/>
      <c r="W523" s="53"/>
      <c r="X523" s="53"/>
      <c r="Y523" s="53"/>
      <c r="Z523" s="53"/>
    </row>
    <row r="524">
      <c r="A524" s="53"/>
      <c r="B524" s="53"/>
      <c r="C524" s="53"/>
      <c r="D524" s="53"/>
      <c r="E524" s="53"/>
      <c r="F524" s="53"/>
      <c r="G524" s="54"/>
      <c r="H524" s="53"/>
      <c r="I524" s="53"/>
      <c r="J524" s="54"/>
      <c r="K524" s="53"/>
      <c r="L524" s="53"/>
      <c r="M524" s="53"/>
      <c r="N524" s="53"/>
      <c r="O524" s="53"/>
      <c r="P524" s="53"/>
      <c r="Q524" s="53"/>
      <c r="R524" s="53"/>
      <c r="S524" s="53"/>
      <c r="T524" s="53"/>
      <c r="U524" s="53"/>
      <c r="V524" s="53"/>
      <c r="W524" s="53"/>
      <c r="X524" s="53"/>
      <c r="Y524" s="53"/>
      <c r="Z524" s="53"/>
    </row>
    <row r="525">
      <c r="A525" s="53"/>
      <c r="B525" s="53"/>
      <c r="C525" s="53"/>
      <c r="D525" s="53"/>
      <c r="E525" s="53"/>
      <c r="F525" s="53"/>
      <c r="G525" s="54"/>
      <c r="H525" s="53"/>
      <c r="I525" s="53"/>
      <c r="J525" s="54"/>
      <c r="K525" s="53"/>
      <c r="L525" s="53"/>
      <c r="M525" s="53"/>
      <c r="N525" s="53"/>
      <c r="O525" s="53"/>
      <c r="P525" s="53"/>
      <c r="Q525" s="53"/>
      <c r="R525" s="53"/>
      <c r="S525" s="53"/>
      <c r="T525" s="53"/>
      <c r="U525" s="53"/>
      <c r="V525" s="53"/>
      <c r="W525" s="53"/>
      <c r="X525" s="53"/>
      <c r="Y525" s="53"/>
      <c r="Z525" s="53"/>
    </row>
    <row r="526">
      <c r="A526" s="53"/>
      <c r="B526" s="53"/>
      <c r="C526" s="53"/>
      <c r="D526" s="53"/>
      <c r="E526" s="53"/>
      <c r="F526" s="53"/>
      <c r="G526" s="54"/>
      <c r="H526" s="53"/>
      <c r="I526" s="53"/>
      <c r="J526" s="54"/>
      <c r="K526" s="53"/>
      <c r="L526" s="53"/>
      <c r="M526" s="53"/>
      <c r="N526" s="53"/>
      <c r="O526" s="53"/>
      <c r="P526" s="53"/>
      <c r="Q526" s="53"/>
      <c r="R526" s="53"/>
      <c r="S526" s="53"/>
      <c r="T526" s="53"/>
      <c r="U526" s="53"/>
      <c r="V526" s="53"/>
      <c r="W526" s="53"/>
      <c r="X526" s="53"/>
      <c r="Y526" s="53"/>
      <c r="Z526" s="53"/>
    </row>
    <row r="527">
      <c r="A527" s="53"/>
      <c r="B527" s="53"/>
      <c r="C527" s="53"/>
      <c r="D527" s="53"/>
      <c r="E527" s="53"/>
      <c r="F527" s="53"/>
      <c r="G527" s="54"/>
      <c r="H527" s="53"/>
      <c r="I527" s="53"/>
      <c r="J527" s="54"/>
      <c r="K527" s="53"/>
      <c r="L527" s="53"/>
      <c r="M527" s="53"/>
      <c r="N527" s="53"/>
      <c r="O527" s="53"/>
      <c r="P527" s="53"/>
      <c r="Q527" s="53"/>
      <c r="R527" s="53"/>
      <c r="S527" s="53"/>
      <c r="T527" s="53"/>
      <c r="U527" s="53"/>
      <c r="V527" s="53"/>
      <c r="W527" s="53"/>
      <c r="X527" s="53"/>
      <c r="Y527" s="53"/>
      <c r="Z527" s="53"/>
    </row>
    <row r="528">
      <c r="A528" s="53"/>
      <c r="B528" s="53"/>
      <c r="C528" s="53"/>
      <c r="D528" s="53"/>
      <c r="E528" s="53"/>
      <c r="F528" s="53"/>
      <c r="G528" s="54"/>
      <c r="H528" s="53"/>
      <c r="I528" s="53"/>
      <c r="J528" s="54"/>
      <c r="K528" s="53"/>
      <c r="L528" s="53"/>
      <c r="M528" s="53"/>
      <c r="N528" s="53"/>
      <c r="O528" s="53"/>
      <c r="P528" s="53"/>
      <c r="Q528" s="53"/>
      <c r="R528" s="53"/>
      <c r="S528" s="53"/>
      <c r="T528" s="53"/>
      <c r="U528" s="53"/>
      <c r="V528" s="53"/>
      <c r="W528" s="53"/>
      <c r="X528" s="53"/>
      <c r="Y528" s="53"/>
      <c r="Z528" s="53"/>
    </row>
    <row r="529">
      <c r="A529" s="53"/>
      <c r="B529" s="53"/>
      <c r="C529" s="53"/>
      <c r="D529" s="53"/>
      <c r="E529" s="53"/>
      <c r="F529" s="53"/>
      <c r="G529" s="54"/>
      <c r="H529" s="53"/>
      <c r="I529" s="53"/>
      <c r="J529" s="54"/>
      <c r="K529" s="53"/>
      <c r="L529" s="53"/>
      <c r="M529" s="53"/>
      <c r="N529" s="53"/>
      <c r="O529" s="53"/>
      <c r="P529" s="53"/>
      <c r="Q529" s="53"/>
      <c r="R529" s="53"/>
      <c r="S529" s="53"/>
      <c r="T529" s="53"/>
      <c r="U529" s="53"/>
      <c r="V529" s="53"/>
      <c r="W529" s="53"/>
      <c r="X529" s="53"/>
      <c r="Y529" s="53"/>
      <c r="Z529" s="53"/>
    </row>
    <row r="530">
      <c r="A530" s="53"/>
      <c r="B530" s="53"/>
      <c r="C530" s="53"/>
      <c r="D530" s="53"/>
      <c r="E530" s="53"/>
      <c r="F530" s="53"/>
      <c r="G530" s="54"/>
      <c r="H530" s="53"/>
      <c r="I530" s="53"/>
      <c r="J530" s="54"/>
      <c r="K530" s="53"/>
      <c r="L530" s="53"/>
      <c r="M530" s="53"/>
      <c r="N530" s="53"/>
      <c r="O530" s="53"/>
      <c r="P530" s="53"/>
      <c r="Q530" s="53"/>
      <c r="R530" s="53"/>
      <c r="S530" s="53"/>
      <c r="T530" s="53"/>
      <c r="U530" s="53"/>
      <c r="V530" s="53"/>
      <c r="W530" s="53"/>
      <c r="X530" s="53"/>
      <c r="Y530" s="53"/>
      <c r="Z530" s="53"/>
    </row>
    <row r="531">
      <c r="A531" s="53"/>
      <c r="B531" s="53"/>
      <c r="C531" s="53"/>
      <c r="D531" s="53"/>
      <c r="E531" s="53"/>
      <c r="F531" s="53"/>
      <c r="G531" s="54"/>
      <c r="H531" s="53"/>
      <c r="I531" s="53"/>
      <c r="J531" s="54"/>
      <c r="K531" s="53"/>
      <c r="L531" s="53"/>
      <c r="M531" s="53"/>
      <c r="N531" s="53"/>
      <c r="O531" s="53"/>
      <c r="P531" s="53"/>
      <c r="Q531" s="53"/>
      <c r="R531" s="53"/>
      <c r="S531" s="53"/>
      <c r="T531" s="53"/>
      <c r="U531" s="53"/>
      <c r="V531" s="53"/>
      <c r="W531" s="53"/>
      <c r="X531" s="53"/>
      <c r="Y531" s="53"/>
      <c r="Z531" s="53"/>
    </row>
    <row r="532">
      <c r="A532" s="53"/>
      <c r="B532" s="53"/>
      <c r="C532" s="53"/>
      <c r="D532" s="53"/>
      <c r="E532" s="53"/>
      <c r="F532" s="53"/>
      <c r="G532" s="54"/>
      <c r="H532" s="53"/>
      <c r="I532" s="53"/>
      <c r="J532" s="54"/>
      <c r="K532" s="53"/>
      <c r="L532" s="53"/>
      <c r="M532" s="53"/>
      <c r="N532" s="53"/>
      <c r="O532" s="53"/>
      <c r="P532" s="53"/>
      <c r="Q532" s="53"/>
      <c r="R532" s="53"/>
      <c r="S532" s="53"/>
      <c r="T532" s="53"/>
      <c r="U532" s="53"/>
      <c r="V532" s="53"/>
      <c r="W532" s="53"/>
      <c r="X532" s="53"/>
      <c r="Y532" s="53"/>
      <c r="Z532" s="53"/>
    </row>
    <row r="533">
      <c r="A533" s="53"/>
      <c r="B533" s="53"/>
      <c r="C533" s="53"/>
      <c r="D533" s="53"/>
      <c r="E533" s="53"/>
      <c r="F533" s="53"/>
      <c r="G533" s="54"/>
      <c r="H533" s="53"/>
      <c r="I533" s="53"/>
      <c r="J533" s="54"/>
      <c r="K533" s="53"/>
      <c r="L533" s="53"/>
      <c r="M533" s="53"/>
      <c r="N533" s="53"/>
      <c r="O533" s="53"/>
      <c r="P533" s="53"/>
      <c r="Q533" s="53"/>
      <c r="R533" s="53"/>
      <c r="S533" s="53"/>
      <c r="T533" s="53"/>
      <c r="U533" s="53"/>
      <c r="V533" s="53"/>
      <c r="W533" s="53"/>
      <c r="X533" s="53"/>
      <c r="Y533" s="53"/>
      <c r="Z533" s="53"/>
    </row>
    <row r="534">
      <c r="A534" s="53"/>
      <c r="B534" s="53"/>
      <c r="C534" s="53"/>
      <c r="D534" s="53"/>
      <c r="E534" s="53"/>
      <c r="F534" s="53"/>
      <c r="G534" s="54"/>
      <c r="H534" s="53"/>
      <c r="I534" s="53"/>
      <c r="J534" s="54"/>
      <c r="K534" s="53"/>
      <c r="L534" s="53"/>
      <c r="M534" s="53"/>
      <c r="N534" s="53"/>
      <c r="O534" s="53"/>
      <c r="P534" s="53"/>
      <c r="Q534" s="53"/>
      <c r="R534" s="53"/>
      <c r="S534" s="53"/>
      <c r="T534" s="53"/>
      <c r="U534" s="53"/>
      <c r="V534" s="53"/>
      <c r="W534" s="53"/>
      <c r="X534" s="53"/>
      <c r="Y534" s="53"/>
      <c r="Z534" s="53"/>
    </row>
    <row r="535">
      <c r="A535" s="53"/>
      <c r="B535" s="53"/>
      <c r="C535" s="53"/>
      <c r="D535" s="53"/>
      <c r="E535" s="53"/>
      <c r="F535" s="53"/>
      <c r="G535" s="54"/>
      <c r="H535" s="53"/>
      <c r="I535" s="53"/>
      <c r="J535" s="54"/>
      <c r="K535" s="53"/>
      <c r="L535" s="53"/>
      <c r="M535" s="53"/>
      <c r="N535" s="53"/>
      <c r="O535" s="53"/>
      <c r="P535" s="53"/>
      <c r="Q535" s="53"/>
      <c r="R535" s="53"/>
      <c r="S535" s="53"/>
      <c r="T535" s="53"/>
      <c r="U535" s="53"/>
      <c r="V535" s="53"/>
      <c r="W535" s="53"/>
      <c r="X535" s="53"/>
      <c r="Y535" s="53"/>
      <c r="Z535" s="53"/>
    </row>
    <row r="536">
      <c r="A536" s="53"/>
      <c r="B536" s="53"/>
      <c r="C536" s="53"/>
      <c r="D536" s="53"/>
      <c r="E536" s="53"/>
      <c r="F536" s="53"/>
      <c r="G536" s="54"/>
      <c r="H536" s="53"/>
      <c r="I536" s="53"/>
      <c r="J536" s="54"/>
      <c r="K536" s="53"/>
      <c r="L536" s="53"/>
      <c r="M536" s="53"/>
      <c r="N536" s="53"/>
      <c r="O536" s="53"/>
      <c r="P536" s="53"/>
      <c r="Q536" s="53"/>
      <c r="R536" s="53"/>
      <c r="S536" s="53"/>
      <c r="T536" s="53"/>
      <c r="U536" s="53"/>
      <c r="V536" s="53"/>
      <c r="W536" s="53"/>
      <c r="X536" s="53"/>
      <c r="Y536" s="53"/>
      <c r="Z536" s="53"/>
    </row>
    <row r="537">
      <c r="A537" s="53"/>
      <c r="B537" s="53"/>
      <c r="C537" s="53"/>
      <c r="D537" s="53"/>
      <c r="E537" s="53"/>
      <c r="F537" s="53"/>
      <c r="G537" s="54"/>
      <c r="H537" s="53"/>
      <c r="I537" s="53"/>
      <c r="J537" s="54"/>
      <c r="K537" s="53"/>
      <c r="L537" s="53"/>
      <c r="M537" s="53"/>
      <c r="N537" s="53"/>
      <c r="O537" s="53"/>
      <c r="P537" s="53"/>
      <c r="Q537" s="53"/>
      <c r="R537" s="53"/>
      <c r="S537" s="53"/>
      <c r="T537" s="53"/>
      <c r="U537" s="53"/>
      <c r="V537" s="53"/>
      <c r="W537" s="53"/>
      <c r="X537" s="53"/>
      <c r="Y537" s="53"/>
      <c r="Z537" s="53"/>
    </row>
    <row r="538">
      <c r="A538" s="53"/>
      <c r="B538" s="53"/>
      <c r="C538" s="53"/>
      <c r="D538" s="53"/>
      <c r="E538" s="53"/>
      <c r="F538" s="53"/>
      <c r="G538" s="54"/>
      <c r="H538" s="53"/>
      <c r="I538" s="53"/>
      <c r="J538" s="54"/>
      <c r="K538" s="53"/>
      <c r="L538" s="53"/>
      <c r="M538" s="53"/>
      <c r="N538" s="53"/>
      <c r="O538" s="53"/>
      <c r="P538" s="53"/>
      <c r="Q538" s="53"/>
      <c r="R538" s="53"/>
      <c r="S538" s="53"/>
      <c r="T538" s="53"/>
      <c r="U538" s="53"/>
      <c r="V538" s="53"/>
      <c r="W538" s="53"/>
      <c r="X538" s="53"/>
      <c r="Y538" s="53"/>
      <c r="Z538" s="53"/>
    </row>
    <row r="539">
      <c r="A539" s="53"/>
      <c r="B539" s="53"/>
      <c r="C539" s="53"/>
      <c r="D539" s="53"/>
      <c r="E539" s="53"/>
      <c r="F539" s="53"/>
      <c r="G539" s="54"/>
      <c r="H539" s="53"/>
      <c r="I539" s="53"/>
      <c r="J539" s="54"/>
      <c r="K539" s="53"/>
      <c r="L539" s="53"/>
      <c r="M539" s="53"/>
      <c r="N539" s="53"/>
      <c r="O539" s="53"/>
      <c r="P539" s="53"/>
      <c r="Q539" s="53"/>
      <c r="R539" s="53"/>
      <c r="S539" s="53"/>
      <c r="T539" s="53"/>
      <c r="U539" s="53"/>
      <c r="V539" s="53"/>
      <c r="W539" s="53"/>
      <c r="X539" s="53"/>
      <c r="Y539" s="53"/>
      <c r="Z539" s="53"/>
    </row>
    <row r="540">
      <c r="A540" s="53"/>
      <c r="B540" s="53"/>
      <c r="C540" s="53"/>
      <c r="D540" s="53"/>
      <c r="E540" s="53"/>
      <c r="F540" s="53"/>
      <c r="G540" s="54"/>
      <c r="H540" s="53"/>
      <c r="I540" s="53"/>
      <c r="J540" s="54"/>
      <c r="K540" s="53"/>
      <c r="L540" s="53"/>
      <c r="M540" s="53"/>
      <c r="N540" s="53"/>
      <c r="O540" s="53"/>
      <c r="P540" s="53"/>
      <c r="Q540" s="53"/>
      <c r="R540" s="53"/>
      <c r="S540" s="53"/>
      <c r="T540" s="53"/>
      <c r="U540" s="53"/>
      <c r="V540" s="53"/>
      <c r="W540" s="53"/>
      <c r="X540" s="53"/>
      <c r="Y540" s="53"/>
      <c r="Z540" s="53"/>
    </row>
    <row r="541">
      <c r="A541" s="53"/>
      <c r="B541" s="53"/>
      <c r="C541" s="53"/>
      <c r="D541" s="53"/>
      <c r="E541" s="53"/>
      <c r="F541" s="53"/>
      <c r="G541" s="54"/>
      <c r="H541" s="53"/>
      <c r="I541" s="53"/>
      <c r="J541" s="54"/>
      <c r="K541" s="53"/>
      <c r="L541" s="53"/>
      <c r="M541" s="53"/>
      <c r="N541" s="53"/>
      <c r="O541" s="53"/>
      <c r="P541" s="53"/>
      <c r="Q541" s="53"/>
      <c r="R541" s="53"/>
      <c r="S541" s="53"/>
      <c r="T541" s="53"/>
      <c r="U541" s="53"/>
      <c r="V541" s="53"/>
      <c r="W541" s="53"/>
      <c r="X541" s="53"/>
      <c r="Y541" s="53"/>
      <c r="Z541" s="53"/>
    </row>
    <row r="542">
      <c r="A542" s="53"/>
      <c r="B542" s="53"/>
      <c r="C542" s="53"/>
      <c r="D542" s="53"/>
      <c r="E542" s="53"/>
      <c r="F542" s="53"/>
      <c r="G542" s="54"/>
      <c r="H542" s="53"/>
      <c r="I542" s="53"/>
      <c r="J542" s="54"/>
      <c r="K542" s="53"/>
      <c r="L542" s="53"/>
      <c r="M542" s="53"/>
      <c r="N542" s="53"/>
      <c r="O542" s="53"/>
      <c r="P542" s="53"/>
      <c r="Q542" s="53"/>
      <c r="R542" s="53"/>
      <c r="S542" s="53"/>
      <c r="T542" s="53"/>
      <c r="U542" s="53"/>
      <c r="V542" s="53"/>
      <c r="W542" s="53"/>
      <c r="X542" s="53"/>
      <c r="Y542" s="53"/>
      <c r="Z542" s="53"/>
    </row>
    <row r="543">
      <c r="A543" s="53"/>
      <c r="B543" s="53"/>
      <c r="C543" s="53"/>
      <c r="D543" s="53"/>
      <c r="E543" s="53"/>
      <c r="F543" s="53"/>
      <c r="G543" s="54"/>
      <c r="H543" s="53"/>
      <c r="I543" s="53"/>
      <c r="J543" s="54"/>
      <c r="K543" s="53"/>
      <c r="L543" s="53"/>
      <c r="M543" s="53"/>
      <c r="N543" s="53"/>
      <c r="O543" s="53"/>
      <c r="P543" s="53"/>
      <c r="Q543" s="53"/>
      <c r="R543" s="53"/>
      <c r="S543" s="53"/>
      <c r="T543" s="53"/>
      <c r="U543" s="53"/>
      <c r="V543" s="53"/>
      <c r="W543" s="53"/>
      <c r="X543" s="53"/>
      <c r="Y543" s="53"/>
      <c r="Z543" s="53"/>
    </row>
    <row r="544">
      <c r="A544" s="53"/>
      <c r="B544" s="53"/>
      <c r="C544" s="53"/>
      <c r="D544" s="53"/>
      <c r="E544" s="53"/>
      <c r="F544" s="53"/>
      <c r="G544" s="54"/>
      <c r="H544" s="53"/>
      <c r="I544" s="53"/>
      <c r="J544" s="54"/>
      <c r="K544" s="53"/>
      <c r="L544" s="53"/>
      <c r="M544" s="53"/>
      <c r="N544" s="53"/>
      <c r="O544" s="53"/>
      <c r="P544" s="53"/>
      <c r="Q544" s="53"/>
      <c r="R544" s="53"/>
      <c r="S544" s="53"/>
      <c r="T544" s="53"/>
      <c r="U544" s="53"/>
      <c r="V544" s="53"/>
      <c r="W544" s="53"/>
      <c r="X544" s="53"/>
      <c r="Y544" s="53"/>
      <c r="Z544" s="53"/>
    </row>
    <row r="545">
      <c r="A545" s="53"/>
      <c r="B545" s="53"/>
      <c r="C545" s="53"/>
      <c r="D545" s="53"/>
      <c r="E545" s="53"/>
      <c r="F545" s="53"/>
      <c r="G545" s="54"/>
      <c r="H545" s="53"/>
      <c r="I545" s="53"/>
      <c r="J545" s="54"/>
      <c r="K545" s="53"/>
      <c r="L545" s="53"/>
      <c r="M545" s="53"/>
      <c r="N545" s="53"/>
      <c r="O545" s="53"/>
      <c r="P545" s="53"/>
      <c r="Q545" s="53"/>
      <c r="R545" s="53"/>
      <c r="S545" s="53"/>
      <c r="T545" s="53"/>
      <c r="U545" s="53"/>
      <c r="V545" s="53"/>
      <c r="W545" s="53"/>
      <c r="X545" s="53"/>
      <c r="Y545" s="53"/>
      <c r="Z545" s="53"/>
    </row>
    <row r="546">
      <c r="A546" s="53"/>
      <c r="B546" s="53"/>
      <c r="C546" s="53"/>
      <c r="D546" s="53"/>
      <c r="E546" s="53"/>
      <c r="F546" s="53"/>
      <c r="G546" s="54"/>
      <c r="H546" s="53"/>
      <c r="I546" s="53"/>
      <c r="J546" s="54"/>
      <c r="K546" s="53"/>
      <c r="L546" s="53"/>
      <c r="M546" s="53"/>
      <c r="N546" s="53"/>
      <c r="O546" s="53"/>
      <c r="P546" s="53"/>
      <c r="Q546" s="53"/>
      <c r="R546" s="53"/>
      <c r="S546" s="53"/>
      <c r="T546" s="53"/>
      <c r="U546" s="53"/>
      <c r="V546" s="53"/>
      <c r="W546" s="53"/>
      <c r="X546" s="53"/>
      <c r="Y546" s="53"/>
      <c r="Z546" s="53"/>
    </row>
    <row r="547">
      <c r="A547" s="53"/>
      <c r="B547" s="53"/>
      <c r="C547" s="53"/>
      <c r="D547" s="53"/>
      <c r="E547" s="53"/>
      <c r="F547" s="53"/>
      <c r="G547" s="54"/>
      <c r="H547" s="53"/>
      <c r="I547" s="53"/>
      <c r="J547" s="54"/>
      <c r="K547" s="53"/>
      <c r="L547" s="53"/>
      <c r="M547" s="53"/>
      <c r="N547" s="53"/>
      <c r="O547" s="53"/>
      <c r="P547" s="53"/>
      <c r="Q547" s="53"/>
      <c r="R547" s="53"/>
      <c r="S547" s="53"/>
      <c r="T547" s="53"/>
      <c r="U547" s="53"/>
      <c r="V547" s="53"/>
      <c r="W547" s="53"/>
      <c r="X547" s="53"/>
      <c r="Y547" s="53"/>
      <c r="Z547" s="53"/>
    </row>
    <row r="548">
      <c r="A548" s="53"/>
      <c r="B548" s="53"/>
      <c r="C548" s="53"/>
      <c r="D548" s="53"/>
      <c r="E548" s="53"/>
      <c r="F548" s="53"/>
      <c r="G548" s="54"/>
      <c r="H548" s="53"/>
      <c r="I548" s="53"/>
      <c r="J548" s="54"/>
      <c r="K548" s="53"/>
      <c r="L548" s="53"/>
      <c r="M548" s="53"/>
      <c r="N548" s="53"/>
      <c r="O548" s="53"/>
      <c r="P548" s="53"/>
      <c r="Q548" s="53"/>
      <c r="R548" s="53"/>
      <c r="S548" s="53"/>
      <c r="T548" s="53"/>
      <c r="U548" s="53"/>
      <c r="V548" s="53"/>
      <c r="W548" s="53"/>
      <c r="X548" s="53"/>
      <c r="Y548" s="53"/>
      <c r="Z548" s="53"/>
    </row>
    <row r="549">
      <c r="A549" s="53"/>
      <c r="B549" s="53"/>
      <c r="C549" s="53"/>
      <c r="D549" s="53"/>
      <c r="E549" s="53"/>
      <c r="F549" s="53"/>
      <c r="G549" s="54"/>
      <c r="H549" s="53"/>
      <c r="I549" s="53"/>
      <c r="J549" s="54"/>
      <c r="K549" s="53"/>
      <c r="L549" s="53"/>
      <c r="M549" s="53"/>
      <c r="N549" s="53"/>
      <c r="O549" s="53"/>
      <c r="P549" s="53"/>
      <c r="Q549" s="53"/>
      <c r="R549" s="53"/>
      <c r="S549" s="53"/>
      <c r="T549" s="53"/>
      <c r="U549" s="53"/>
      <c r="V549" s="53"/>
      <c r="W549" s="53"/>
      <c r="X549" s="53"/>
      <c r="Y549" s="53"/>
      <c r="Z549" s="53"/>
    </row>
    <row r="550">
      <c r="A550" s="53"/>
      <c r="B550" s="53"/>
      <c r="C550" s="53"/>
      <c r="D550" s="53"/>
      <c r="E550" s="53"/>
      <c r="F550" s="53"/>
      <c r="G550" s="54"/>
      <c r="H550" s="53"/>
      <c r="I550" s="53"/>
      <c r="J550" s="54"/>
      <c r="K550" s="53"/>
      <c r="L550" s="53"/>
      <c r="M550" s="53"/>
      <c r="N550" s="53"/>
      <c r="O550" s="53"/>
      <c r="P550" s="53"/>
      <c r="Q550" s="53"/>
      <c r="R550" s="53"/>
      <c r="S550" s="53"/>
      <c r="T550" s="53"/>
      <c r="U550" s="53"/>
      <c r="V550" s="53"/>
      <c r="W550" s="53"/>
      <c r="X550" s="53"/>
      <c r="Y550" s="53"/>
      <c r="Z550" s="53"/>
    </row>
    <row r="551">
      <c r="A551" s="53"/>
      <c r="B551" s="53"/>
      <c r="C551" s="53"/>
      <c r="D551" s="53"/>
      <c r="E551" s="53"/>
      <c r="F551" s="53"/>
      <c r="G551" s="54"/>
      <c r="H551" s="53"/>
      <c r="I551" s="53"/>
      <c r="J551" s="54"/>
      <c r="K551" s="53"/>
      <c r="L551" s="53"/>
      <c r="M551" s="53"/>
      <c r="N551" s="53"/>
      <c r="O551" s="53"/>
      <c r="P551" s="53"/>
      <c r="Q551" s="53"/>
      <c r="R551" s="53"/>
      <c r="S551" s="53"/>
      <c r="T551" s="53"/>
      <c r="U551" s="53"/>
      <c r="V551" s="53"/>
      <c r="W551" s="53"/>
      <c r="X551" s="53"/>
      <c r="Y551" s="53"/>
      <c r="Z551" s="53"/>
    </row>
    <row r="552">
      <c r="A552" s="53"/>
      <c r="B552" s="53"/>
      <c r="C552" s="53"/>
      <c r="D552" s="53"/>
      <c r="E552" s="53"/>
      <c r="F552" s="53"/>
      <c r="G552" s="54"/>
      <c r="H552" s="53"/>
      <c r="I552" s="53"/>
      <c r="J552" s="54"/>
      <c r="K552" s="53"/>
      <c r="L552" s="53"/>
      <c r="M552" s="53"/>
      <c r="N552" s="53"/>
      <c r="O552" s="53"/>
      <c r="P552" s="53"/>
      <c r="Q552" s="53"/>
      <c r="R552" s="53"/>
      <c r="S552" s="53"/>
      <c r="T552" s="53"/>
      <c r="U552" s="53"/>
      <c r="V552" s="53"/>
      <c r="W552" s="53"/>
      <c r="X552" s="53"/>
      <c r="Y552" s="53"/>
      <c r="Z552" s="53"/>
    </row>
    <row r="553">
      <c r="A553" s="53"/>
      <c r="B553" s="53"/>
      <c r="C553" s="53"/>
      <c r="D553" s="53"/>
      <c r="E553" s="53"/>
      <c r="F553" s="53"/>
      <c r="G553" s="54"/>
      <c r="H553" s="53"/>
      <c r="I553" s="53"/>
      <c r="J553" s="54"/>
      <c r="K553" s="53"/>
      <c r="L553" s="53"/>
      <c r="M553" s="53"/>
      <c r="N553" s="53"/>
      <c r="O553" s="53"/>
      <c r="P553" s="53"/>
      <c r="Q553" s="53"/>
      <c r="R553" s="53"/>
      <c r="S553" s="53"/>
      <c r="T553" s="53"/>
      <c r="U553" s="53"/>
      <c r="V553" s="53"/>
      <c r="W553" s="53"/>
      <c r="X553" s="53"/>
      <c r="Y553" s="53"/>
      <c r="Z553" s="53"/>
    </row>
    <row r="554">
      <c r="A554" s="53"/>
      <c r="B554" s="53"/>
      <c r="C554" s="53"/>
      <c r="D554" s="53"/>
      <c r="E554" s="53"/>
      <c r="F554" s="53"/>
      <c r="G554" s="54"/>
      <c r="H554" s="53"/>
      <c r="I554" s="53"/>
      <c r="J554" s="54"/>
      <c r="K554" s="53"/>
      <c r="L554" s="53"/>
      <c r="M554" s="53"/>
      <c r="N554" s="53"/>
      <c r="O554" s="53"/>
      <c r="P554" s="53"/>
      <c r="Q554" s="53"/>
      <c r="R554" s="53"/>
      <c r="S554" s="53"/>
      <c r="T554" s="53"/>
      <c r="U554" s="53"/>
      <c r="V554" s="53"/>
      <c r="W554" s="53"/>
      <c r="X554" s="53"/>
      <c r="Y554" s="53"/>
      <c r="Z554" s="53"/>
    </row>
    <row r="555">
      <c r="A555" s="53"/>
      <c r="B555" s="53"/>
      <c r="C555" s="53"/>
      <c r="D555" s="53"/>
      <c r="E555" s="53"/>
      <c r="F555" s="53"/>
      <c r="G555" s="54"/>
      <c r="H555" s="53"/>
      <c r="I555" s="53"/>
      <c r="J555" s="54"/>
      <c r="K555" s="53"/>
      <c r="L555" s="53"/>
      <c r="M555" s="53"/>
      <c r="N555" s="53"/>
      <c r="O555" s="53"/>
      <c r="P555" s="53"/>
      <c r="Q555" s="53"/>
      <c r="R555" s="53"/>
      <c r="S555" s="53"/>
      <c r="T555" s="53"/>
      <c r="U555" s="53"/>
      <c r="V555" s="53"/>
      <c r="W555" s="53"/>
      <c r="X555" s="53"/>
      <c r="Y555" s="53"/>
      <c r="Z555" s="53"/>
    </row>
    <row r="556">
      <c r="A556" s="53"/>
      <c r="B556" s="53"/>
      <c r="C556" s="53"/>
      <c r="D556" s="53"/>
      <c r="E556" s="53"/>
      <c r="F556" s="53"/>
      <c r="G556" s="54"/>
      <c r="H556" s="53"/>
      <c r="I556" s="53"/>
      <c r="J556" s="54"/>
      <c r="K556" s="53"/>
      <c r="L556" s="53"/>
      <c r="M556" s="53"/>
      <c r="N556" s="53"/>
      <c r="O556" s="53"/>
      <c r="P556" s="53"/>
      <c r="Q556" s="53"/>
      <c r="R556" s="53"/>
      <c r="S556" s="53"/>
      <c r="T556" s="53"/>
      <c r="U556" s="53"/>
      <c r="V556" s="53"/>
      <c r="W556" s="53"/>
      <c r="X556" s="53"/>
      <c r="Y556" s="53"/>
      <c r="Z556" s="53"/>
    </row>
    <row r="557">
      <c r="A557" s="53"/>
      <c r="B557" s="53"/>
      <c r="C557" s="53"/>
      <c r="D557" s="53"/>
      <c r="E557" s="53"/>
      <c r="F557" s="53"/>
      <c r="G557" s="54"/>
      <c r="H557" s="53"/>
      <c r="I557" s="53"/>
      <c r="J557" s="54"/>
      <c r="K557" s="53"/>
      <c r="L557" s="53"/>
      <c r="M557" s="53"/>
      <c r="N557" s="53"/>
      <c r="O557" s="53"/>
      <c r="P557" s="53"/>
      <c r="Q557" s="53"/>
      <c r="R557" s="53"/>
      <c r="S557" s="53"/>
      <c r="T557" s="53"/>
      <c r="U557" s="53"/>
      <c r="V557" s="53"/>
      <c r="W557" s="53"/>
      <c r="X557" s="53"/>
      <c r="Y557" s="53"/>
      <c r="Z557" s="53"/>
    </row>
    <row r="558">
      <c r="A558" s="53"/>
      <c r="B558" s="53"/>
      <c r="C558" s="53"/>
      <c r="D558" s="53"/>
      <c r="E558" s="53"/>
      <c r="F558" s="53"/>
      <c r="G558" s="54"/>
      <c r="H558" s="53"/>
      <c r="I558" s="53"/>
      <c r="J558" s="54"/>
      <c r="K558" s="53"/>
      <c r="L558" s="53"/>
      <c r="M558" s="53"/>
      <c r="N558" s="53"/>
      <c r="O558" s="53"/>
      <c r="P558" s="53"/>
      <c r="Q558" s="53"/>
      <c r="R558" s="53"/>
      <c r="S558" s="53"/>
      <c r="T558" s="53"/>
      <c r="U558" s="53"/>
      <c r="V558" s="53"/>
      <c r="W558" s="53"/>
      <c r="X558" s="53"/>
      <c r="Y558" s="53"/>
      <c r="Z558" s="53"/>
    </row>
    <row r="559">
      <c r="A559" s="53"/>
      <c r="B559" s="53"/>
      <c r="C559" s="53"/>
      <c r="D559" s="53"/>
      <c r="E559" s="53"/>
      <c r="F559" s="53"/>
      <c r="G559" s="54"/>
      <c r="H559" s="53"/>
      <c r="I559" s="53"/>
      <c r="J559" s="54"/>
      <c r="K559" s="53"/>
      <c r="L559" s="53"/>
      <c r="M559" s="53"/>
      <c r="N559" s="53"/>
      <c r="O559" s="53"/>
      <c r="P559" s="53"/>
      <c r="Q559" s="53"/>
      <c r="R559" s="53"/>
      <c r="S559" s="53"/>
      <c r="T559" s="53"/>
      <c r="U559" s="53"/>
      <c r="V559" s="53"/>
      <c r="W559" s="53"/>
      <c r="X559" s="53"/>
      <c r="Y559" s="53"/>
      <c r="Z559" s="53"/>
    </row>
    <row r="560">
      <c r="A560" s="53"/>
      <c r="B560" s="53"/>
      <c r="C560" s="53"/>
      <c r="D560" s="53"/>
      <c r="E560" s="53"/>
      <c r="F560" s="53"/>
      <c r="G560" s="54"/>
      <c r="H560" s="53"/>
      <c r="I560" s="53"/>
      <c r="J560" s="54"/>
      <c r="K560" s="53"/>
      <c r="L560" s="53"/>
      <c r="M560" s="53"/>
      <c r="N560" s="53"/>
      <c r="O560" s="53"/>
      <c r="P560" s="53"/>
      <c r="Q560" s="53"/>
      <c r="R560" s="53"/>
      <c r="S560" s="53"/>
      <c r="T560" s="53"/>
      <c r="U560" s="53"/>
      <c r="V560" s="53"/>
      <c r="W560" s="53"/>
      <c r="X560" s="53"/>
      <c r="Y560" s="53"/>
      <c r="Z560" s="53"/>
    </row>
    <row r="561">
      <c r="A561" s="53"/>
      <c r="B561" s="53"/>
      <c r="C561" s="53"/>
      <c r="D561" s="53"/>
      <c r="E561" s="53"/>
      <c r="F561" s="53"/>
      <c r="G561" s="54"/>
      <c r="H561" s="53"/>
      <c r="I561" s="53"/>
      <c r="J561" s="54"/>
      <c r="K561" s="53"/>
      <c r="L561" s="53"/>
      <c r="M561" s="53"/>
      <c r="N561" s="53"/>
      <c r="O561" s="53"/>
      <c r="P561" s="53"/>
      <c r="Q561" s="53"/>
      <c r="R561" s="53"/>
      <c r="S561" s="53"/>
      <c r="T561" s="53"/>
      <c r="U561" s="53"/>
      <c r="V561" s="53"/>
      <c r="W561" s="53"/>
      <c r="X561" s="53"/>
      <c r="Y561" s="53"/>
      <c r="Z561" s="53"/>
    </row>
    <row r="562">
      <c r="A562" s="53"/>
      <c r="B562" s="53"/>
      <c r="C562" s="53"/>
      <c r="D562" s="53"/>
      <c r="E562" s="53"/>
      <c r="F562" s="53"/>
      <c r="G562" s="54"/>
      <c r="H562" s="53"/>
      <c r="I562" s="53"/>
      <c r="J562" s="54"/>
      <c r="K562" s="53"/>
      <c r="L562" s="53"/>
      <c r="M562" s="53"/>
      <c r="N562" s="53"/>
      <c r="O562" s="53"/>
      <c r="P562" s="53"/>
      <c r="Q562" s="53"/>
      <c r="R562" s="53"/>
      <c r="S562" s="53"/>
      <c r="T562" s="53"/>
      <c r="U562" s="53"/>
      <c r="V562" s="53"/>
      <c r="W562" s="53"/>
      <c r="X562" s="53"/>
      <c r="Y562" s="53"/>
      <c r="Z562" s="53"/>
    </row>
    <row r="563">
      <c r="A563" s="53"/>
      <c r="B563" s="53"/>
      <c r="C563" s="53"/>
      <c r="D563" s="53"/>
      <c r="E563" s="53"/>
      <c r="F563" s="53"/>
      <c r="G563" s="54"/>
      <c r="H563" s="53"/>
      <c r="I563" s="53"/>
      <c r="J563" s="54"/>
      <c r="K563" s="53"/>
      <c r="L563" s="53"/>
      <c r="M563" s="53"/>
      <c r="N563" s="53"/>
      <c r="O563" s="53"/>
      <c r="P563" s="53"/>
      <c r="Q563" s="53"/>
      <c r="R563" s="53"/>
      <c r="S563" s="53"/>
      <c r="T563" s="53"/>
      <c r="U563" s="53"/>
      <c r="V563" s="53"/>
      <c r="W563" s="53"/>
      <c r="X563" s="53"/>
      <c r="Y563" s="53"/>
      <c r="Z563" s="53"/>
    </row>
    <row r="564">
      <c r="A564" s="53"/>
      <c r="B564" s="53"/>
      <c r="C564" s="53"/>
      <c r="D564" s="53"/>
      <c r="E564" s="53"/>
      <c r="F564" s="53"/>
      <c r="G564" s="54"/>
      <c r="H564" s="53"/>
      <c r="I564" s="53"/>
      <c r="J564" s="54"/>
      <c r="K564" s="53"/>
      <c r="L564" s="53"/>
      <c r="M564" s="53"/>
      <c r="N564" s="53"/>
      <c r="O564" s="53"/>
      <c r="P564" s="53"/>
      <c r="Q564" s="53"/>
      <c r="R564" s="53"/>
      <c r="S564" s="53"/>
      <c r="T564" s="53"/>
      <c r="U564" s="53"/>
      <c r="V564" s="53"/>
      <c r="W564" s="53"/>
      <c r="X564" s="53"/>
      <c r="Y564" s="53"/>
      <c r="Z564" s="53"/>
    </row>
    <row r="565">
      <c r="A565" s="53"/>
      <c r="B565" s="53"/>
      <c r="C565" s="53"/>
      <c r="D565" s="53"/>
      <c r="E565" s="53"/>
      <c r="F565" s="53"/>
      <c r="G565" s="54"/>
      <c r="H565" s="53"/>
      <c r="I565" s="53"/>
      <c r="J565" s="54"/>
      <c r="K565" s="53"/>
      <c r="L565" s="53"/>
      <c r="M565" s="53"/>
      <c r="N565" s="53"/>
      <c r="O565" s="53"/>
      <c r="P565" s="53"/>
      <c r="Q565" s="53"/>
      <c r="R565" s="53"/>
      <c r="S565" s="53"/>
      <c r="T565" s="53"/>
      <c r="U565" s="53"/>
      <c r="V565" s="53"/>
      <c r="W565" s="53"/>
      <c r="X565" s="53"/>
      <c r="Y565" s="53"/>
      <c r="Z565" s="53"/>
    </row>
    <row r="566">
      <c r="A566" s="53"/>
      <c r="B566" s="53"/>
      <c r="C566" s="53"/>
      <c r="D566" s="53"/>
      <c r="E566" s="53"/>
      <c r="F566" s="53"/>
      <c r="G566" s="54"/>
      <c r="H566" s="53"/>
      <c r="I566" s="53"/>
      <c r="J566" s="54"/>
      <c r="K566" s="53"/>
      <c r="L566" s="53"/>
      <c r="M566" s="53"/>
      <c r="N566" s="53"/>
      <c r="O566" s="53"/>
      <c r="P566" s="53"/>
      <c r="Q566" s="53"/>
      <c r="R566" s="53"/>
      <c r="S566" s="53"/>
      <c r="T566" s="53"/>
      <c r="U566" s="53"/>
      <c r="V566" s="53"/>
      <c r="W566" s="53"/>
      <c r="X566" s="53"/>
      <c r="Y566" s="53"/>
      <c r="Z566" s="53"/>
    </row>
    <row r="567">
      <c r="A567" s="53"/>
      <c r="B567" s="53"/>
      <c r="C567" s="53"/>
      <c r="D567" s="53"/>
      <c r="E567" s="53"/>
      <c r="F567" s="53"/>
      <c r="G567" s="54"/>
      <c r="H567" s="53"/>
      <c r="I567" s="53"/>
      <c r="J567" s="54"/>
      <c r="K567" s="53"/>
      <c r="L567" s="53"/>
      <c r="M567" s="53"/>
      <c r="N567" s="53"/>
      <c r="O567" s="53"/>
      <c r="P567" s="53"/>
      <c r="Q567" s="53"/>
      <c r="R567" s="53"/>
      <c r="S567" s="53"/>
      <c r="T567" s="53"/>
      <c r="U567" s="53"/>
      <c r="V567" s="53"/>
      <c r="W567" s="53"/>
      <c r="X567" s="53"/>
      <c r="Y567" s="53"/>
      <c r="Z567" s="53"/>
    </row>
    <row r="568">
      <c r="A568" s="53"/>
      <c r="B568" s="53"/>
      <c r="C568" s="53"/>
      <c r="D568" s="53"/>
      <c r="E568" s="53"/>
      <c r="F568" s="53"/>
      <c r="G568" s="54"/>
      <c r="H568" s="53"/>
      <c r="I568" s="53"/>
      <c r="J568" s="54"/>
      <c r="K568" s="53"/>
      <c r="L568" s="53"/>
      <c r="M568" s="53"/>
      <c r="N568" s="53"/>
      <c r="O568" s="53"/>
      <c r="P568" s="53"/>
      <c r="Q568" s="53"/>
      <c r="R568" s="53"/>
      <c r="S568" s="53"/>
      <c r="T568" s="53"/>
      <c r="U568" s="53"/>
      <c r="V568" s="53"/>
      <c r="W568" s="53"/>
      <c r="X568" s="53"/>
      <c r="Y568" s="53"/>
      <c r="Z568" s="53"/>
    </row>
    <row r="569">
      <c r="A569" s="53"/>
      <c r="B569" s="53"/>
      <c r="C569" s="53"/>
      <c r="D569" s="53"/>
      <c r="E569" s="53"/>
      <c r="F569" s="53"/>
      <c r="G569" s="54"/>
      <c r="H569" s="53"/>
      <c r="I569" s="53"/>
      <c r="J569" s="54"/>
      <c r="K569" s="53"/>
      <c r="L569" s="53"/>
      <c r="M569" s="53"/>
      <c r="N569" s="53"/>
      <c r="O569" s="53"/>
      <c r="P569" s="53"/>
      <c r="Q569" s="53"/>
      <c r="R569" s="53"/>
      <c r="S569" s="53"/>
      <c r="T569" s="53"/>
      <c r="U569" s="53"/>
      <c r="V569" s="53"/>
      <c r="W569" s="53"/>
      <c r="X569" s="53"/>
      <c r="Y569" s="53"/>
      <c r="Z569" s="53"/>
    </row>
    <row r="570">
      <c r="A570" s="53"/>
      <c r="B570" s="53"/>
      <c r="C570" s="53"/>
      <c r="D570" s="53"/>
      <c r="E570" s="53"/>
      <c r="F570" s="53"/>
      <c r="G570" s="54"/>
      <c r="H570" s="53"/>
      <c r="I570" s="53"/>
      <c r="J570" s="54"/>
      <c r="K570" s="53"/>
      <c r="L570" s="53"/>
      <c r="M570" s="53"/>
      <c r="N570" s="53"/>
      <c r="O570" s="53"/>
      <c r="P570" s="53"/>
      <c r="Q570" s="53"/>
      <c r="R570" s="53"/>
      <c r="S570" s="53"/>
      <c r="T570" s="53"/>
      <c r="U570" s="53"/>
      <c r="V570" s="53"/>
      <c r="W570" s="53"/>
      <c r="X570" s="53"/>
      <c r="Y570" s="53"/>
      <c r="Z570" s="53"/>
    </row>
    <row r="571">
      <c r="A571" s="53"/>
      <c r="B571" s="53"/>
      <c r="C571" s="53"/>
      <c r="D571" s="53"/>
      <c r="E571" s="53"/>
      <c r="F571" s="53"/>
      <c r="G571" s="54"/>
      <c r="H571" s="53"/>
      <c r="I571" s="53"/>
      <c r="J571" s="54"/>
      <c r="K571" s="53"/>
      <c r="L571" s="53"/>
      <c r="M571" s="53"/>
      <c r="N571" s="53"/>
      <c r="O571" s="53"/>
      <c r="P571" s="53"/>
      <c r="Q571" s="53"/>
      <c r="R571" s="53"/>
      <c r="S571" s="53"/>
      <c r="T571" s="53"/>
      <c r="U571" s="53"/>
      <c r="V571" s="53"/>
      <c r="W571" s="53"/>
      <c r="X571" s="53"/>
      <c r="Y571" s="53"/>
      <c r="Z571" s="53"/>
    </row>
    <row r="572">
      <c r="A572" s="53"/>
      <c r="B572" s="53"/>
      <c r="C572" s="53"/>
      <c r="D572" s="53"/>
      <c r="E572" s="53"/>
      <c r="F572" s="53"/>
      <c r="G572" s="54"/>
      <c r="H572" s="53"/>
      <c r="I572" s="53"/>
      <c r="J572" s="54"/>
      <c r="K572" s="53"/>
      <c r="L572" s="53"/>
      <c r="M572" s="53"/>
      <c r="N572" s="53"/>
      <c r="O572" s="53"/>
      <c r="P572" s="53"/>
      <c r="Q572" s="53"/>
      <c r="R572" s="53"/>
      <c r="S572" s="53"/>
      <c r="T572" s="53"/>
      <c r="U572" s="53"/>
      <c r="V572" s="53"/>
      <c r="W572" s="53"/>
      <c r="X572" s="53"/>
      <c r="Y572" s="53"/>
      <c r="Z572" s="53"/>
    </row>
    <row r="573">
      <c r="A573" s="53"/>
      <c r="B573" s="53"/>
      <c r="C573" s="53"/>
      <c r="D573" s="53"/>
      <c r="E573" s="53"/>
      <c r="F573" s="53"/>
      <c r="G573" s="54"/>
      <c r="H573" s="53"/>
      <c r="I573" s="53"/>
      <c r="J573" s="54"/>
      <c r="K573" s="53"/>
      <c r="L573" s="53"/>
      <c r="M573" s="53"/>
      <c r="N573" s="53"/>
      <c r="O573" s="53"/>
      <c r="P573" s="53"/>
      <c r="Q573" s="53"/>
      <c r="R573" s="53"/>
      <c r="S573" s="53"/>
      <c r="T573" s="53"/>
      <c r="U573" s="53"/>
      <c r="V573" s="53"/>
      <c r="W573" s="53"/>
      <c r="X573" s="53"/>
      <c r="Y573" s="53"/>
      <c r="Z573" s="53"/>
    </row>
    <row r="574">
      <c r="A574" s="53"/>
      <c r="B574" s="53"/>
      <c r="C574" s="53"/>
      <c r="D574" s="53"/>
      <c r="E574" s="53"/>
      <c r="F574" s="53"/>
      <c r="G574" s="54"/>
      <c r="H574" s="53"/>
      <c r="I574" s="53"/>
      <c r="J574" s="54"/>
      <c r="K574" s="53"/>
      <c r="L574" s="53"/>
      <c r="M574" s="53"/>
      <c r="N574" s="53"/>
      <c r="O574" s="53"/>
      <c r="P574" s="53"/>
      <c r="Q574" s="53"/>
      <c r="R574" s="53"/>
      <c r="S574" s="53"/>
      <c r="T574" s="53"/>
      <c r="U574" s="53"/>
      <c r="V574" s="53"/>
      <c r="W574" s="53"/>
      <c r="X574" s="53"/>
      <c r="Y574" s="53"/>
      <c r="Z574" s="53"/>
    </row>
    <row r="575">
      <c r="A575" s="53"/>
      <c r="B575" s="53"/>
      <c r="C575" s="53"/>
      <c r="D575" s="53"/>
      <c r="E575" s="53"/>
      <c r="F575" s="53"/>
      <c r="G575" s="54"/>
      <c r="H575" s="53"/>
      <c r="I575" s="53"/>
      <c r="J575" s="54"/>
      <c r="K575" s="53"/>
      <c r="L575" s="53"/>
      <c r="M575" s="53"/>
      <c r="N575" s="53"/>
      <c r="O575" s="53"/>
      <c r="P575" s="53"/>
      <c r="Q575" s="53"/>
      <c r="R575" s="53"/>
      <c r="S575" s="53"/>
      <c r="T575" s="53"/>
      <c r="U575" s="53"/>
      <c r="V575" s="53"/>
      <c r="W575" s="53"/>
      <c r="X575" s="53"/>
      <c r="Y575" s="53"/>
      <c r="Z575" s="53"/>
    </row>
    <row r="576">
      <c r="A576" s="53"/>
      <c r="B576" s="53"/>
      <c r="C576" s="53"/>
      <c r="D576" s="53"/>
      <c r="E576" s="53"/>
      <c r="F576" s="53"/>
      <c r="G576" s="54"/>
      <c r="H576" s="53"/>
      <c r="I576" s="53"/>
      <c r="J576" s="54"/>
      <c r="K576" s="53"/>
      <c r="L576" s="53"/>
      <c r="M576" s="53"/>
      <c r="N576" s="53"/>
      <c r="O576" s="53"/>
      <c r="P576" s="53"/>
      <c r="Q576" s="53"/>
      <c r="R576" s="53"/>
      <c r="S576" s="53"/>
      <c r="T576" s="53"/>
      <c r="U576" s="53"/>
      <c r="V576" s="53"/>
      <c r="W576" s="53"/>
      <c r="X576" s="53"/>
      <c r="Y576" s="53"/>
      <c r="Z576" s="53"/>
    </row>
    <row r="577">
      <c r="A577" s="53"/>
      <c r="B577" s="53"/>
      <c r="C577" s="53"/>
      <c r="D577" s="53"/>
      <c r="E577" s="53"/>
      <c r="F577" s="53"/>
      <c r="G577" s="54"/>
      <c r="H577" s="53"/>
      <c r="I577" s="53"/>
      <c r="J577" s="54"/>
      <c r="K577" s="53"/>
      <c r="L577" s="53"/>
      <c r="M577" s="53"/>
      <c r="N577" s="53"/>
      <c r="O577" s="53"/>
      <c r="P577" s="53"/>
      <c r="Q577" s="53"/>
      <c r="R577" s="53"/>
      <c r="S577" s="53"/>
      <c r="T577" s="53"/>
      <c r="U577" s="53"/>
      <c r="V577" s="53"/>
      <c r="W577" s="53"/>
      <c r="X577" s="53"/>
      <c r="Y577" s="53"/>
      <c r="Z577" s="53"/>
    </row>
    <row r="578">
      <c r="A578" s="53"/>
      <c r="B578" s="53"/>
      <c r="C578" s="53"/>
      <c r="D578" s="53"/>
      <c r="E578" s="53"/>
      <c r="F578" s="53"/>
      <c r="G578" s="54"/>
      <c r="H578" s="53"/>
      <c r="I578" s="53"/>
      <c r="J578" s="54"/>
      <c r="K578" s="53"/>
      <c r="L578" s="53"/>
      <c r="M578" s="53"/>
      <c r="N578" s="53"/>
      <c r="O578" s="53"/>
      <c r="P578" s="53"/>
      <c r="Q578" s="53"/>
      <c r="R578" s="53"/>
      <c r="S578" s="53"/>
      <c r="T578" s="53"/>
      <c r="U578" s="53"/>
      <c r="V578" s="53"/>
      <c r="W578" s="53"/>
      <c r="X578" s="53"/>
      <c r="Y578" s="53"/>
      <c r="Z578" s="53"/>
    </row>
    <row r="579">
      <c r="A579" s="53"/>
      <c r="B579" s="53"/>
      <c r="C579" s="53"/>
      <c r="D579" s="53"/>
      <c r="E579" s="53"/>
      <c r="F579" s="53"/>
      <c r="G579" s="54"/>
      <c r="H579" s="53"/>
      <c r="I579" s="53"/>
      <c r="J579" s="54"/>
      <c r="K579" s="53"/>
      <c r="L579" s="53"/>
      <c r="M579" s="53"/>
      <c r="N579" s="53"/>
      <c r="O579" s="53"/>
      <c r="P579" s="53"/>
      <c r="Q579" s="53"/>
      <c r="R579" s="53"/>
      <c r="S579" s="53"/>
      <c r="T579" s="53"/>
      <c r="U579" s="53"/>
      <c r="V579" s="53"/>
      <c r="W579" s="53"/>
      <c r="X579" s="53"/>
      <c r="Y579" s="53"/>
      <c r="Z579" s="53"/>
    </row>
    <row r="580">
      <c r="A580" s="53"/>
      <c r="B580" s="53"/>
      <c r="C580" s="53"/>
      <c r="D580" s="53"/>
      <c r="E580" s="53"/>
      <c r="F580" s="53"/>
      <c r="G580" s="54"/>
      <c r="H580" s="53"/>
      <c r="I580" s="53"/>
      <c r="J580" s="54"/>
      <c r="K580" s="53"/>
      <c r="L580" s="53"/>
      <c r="M580" s="53"/>
      <c r="N580" s="53"/>
      <c r="O580" s="53"/>
      <c r="P580" s="53"/>
      <c r="Q580" s="53"/>
      <c r="R580" s="53"/>
      <c r="S580" s="53"/>
      <c r="T580" s="53"/>
      <c r="U580" s="53"/>
      <c r="V580" s="53"/>
      <c r="W580" s="53"/>
      <c r="X580" s="53"/>
      <c r="Y580" s="53"/>
      <c r="Z580" s="53"/>
    </row>
    <row r="581">
      <c r="A581" s="53"/>
      <c r="B581" s="53"/>
      <c r="C581" s="53"/>
      <c r="D581" s="53"/>
      <c r="E581" s="53"/>
      <c r="F581" s="53"/>
      <c r="G581" s="54"/>
      <c r="H581" s="53"/>
      <c r="I581" s="53"/>
      <c r="J581" s="54"/>
      <c r="K581" s="53"/>
      <c r="L581" s="53"/>
      <c r="M581" s="53"/>
      <c r="N581" s="53"/>
      <c r="O581" s="53"/>
      <c r="P581" s="53"/>
      <c r="Q581" s="53"/>
      <c r="R581" s="53"/>
      <c r="S581" s="53"/>
      <c r="T581" s="53"/>
      <c r="U581" s="53"/>
      <c r="V581" s="53"/>
      <c r="W581" s="53"/>
      <c r="X581" s="53"/>
      <c r="Y581" s="53"/>
      <c r="Z581" s="53"/>
    </row>
    <row r="582">
      <c r="A582" s="53"/>
      <c r="B582" s="53"/>
      <c r="C582" s="53"/>
      <c r="D582" s="53"/>
      <c r="E582" s="53"/>
      <c r="F582" s="53"/>
      <c r="G582" s="54"/>
      <c r="H582" s="53"/>
      <c r="I582" s="53"/>
      <c r="J582" s="54"/>
      <c r="K582" s="53"/>
      <c r="L582" s="53"/>
      <c r="M582" s="53"/>
      <c r="N582" s="53"/>
      <c r="O582" s="53"/>
      <c r="P582" s="53"/>
      <c r="Q582" s="53"/>
      <c r="R582" s="53"/>
      <c r="S582" s="53"/>
      <c r="T582" s="53"/>
      <c r="U582" s="53"/>
      <c r="V582" s="53"/>
      <c r="W582" s="53"/>
      <c r="X582" s="53"/>
      <c r="Y582" s="53"/>
      <c r="Z582" s="53"/>
    </row>
    <row r="583">
      <c r="A583" s="53"/>
      <c r="B583" s="53"/>
      <c r="C583" s="53"/>
      <c r="D583" s="53"/>
      <c r="E583" s="53"/>
      <c r="F583" s="53"/>
      <c r="G583" s="54"/>
      <c r="H583" s="53"/>
      <c r="I583" s="53"/>
      <c r="J583" s="54"/>
      <c r="K583" s="53"/>
      <c r="L583" s="53"/>
      <c r="M583" s="53"/>
      <c r="N583" s="53"/>
      <c r="O583" s="53"/>
      <c r="P583" s="53"/>
      <c r="Q583" s="53"/>
      <c r="R583" s="53"/>
      <c r="S583" s="53"/>
      <c r="T583" s="53"/>
      <c r="U583" s="53"/>
      <c r="V583" s="53"/>
      <c r="W583" s="53"/>
      <c r="X583" s="53"/>
      <c r="Y583" s="53"/>
      <c r="Z583" s="53"/>
    </row>
    <row r="584">
      <c r="A584" s="53"/>
      <c r="B584" s="53"/>
      <c r="C584" s="53"/>
      <c r="D584" s="53"/>
      <c r="E584" s="53"/>
      <c r="F584" s="53"/>
      <c r="G584" s="54"/>
      <c r="H584" s="53"/>
      <c r="I584" s="53"/>
      <c r="J584" s="54"/>
      <c r="K584" s="53"/>
      <c r="L584" s="53"/>
      <c r="M584" s="53"/>
      <c r="N584" s="53"/>
      <c r="O584" s="53"/>
      <c r="P584" s="53"/>
      <c r="Q584" s="53"/>
      <c r="R584" s="53"/>
      <c r="S584" s="53"/>
      <c r="T584" s="53"/>
      <c r="U584" s="53"/>
      <c r="V584" s="53"/>
      <c r="W584" s="53"/>
      <c r="X584" s="53"/>
      <c r="Y584" s="53"/>
      <c r="Z584" s="53"/>
    </row>
    <row r="585">
      <c r="A585" s="53"/>
      <c r="B585" s="53"/>
      <c r="C585" s="53"/>
      <c r="D585" s="53"/>
      <c r="E585" s="53"/>
      <c r="F585" s="53"/>
      <c r="G585" s="54"/>
      <c r="H585" s="53"/>
      <c r="I585" s="53"/>
      <c r="J585" s="54"/>
      <c r="K585" s="53"/>
      <c r="L585" s="53"/>
      <c r="M585" s="53"/>
      <c r="N585" s="53"/>
      <c r="O585" s="53"/>
      <c r="P585" s="53"/>
      <c r="Q585" s="53"/>
      <c r="R585" s="53"/>
      <c r="S585" s="53"/>
      <c r="T585" s="53"/>
      <c r="U585" s="53"/>
      <c r="V585" s="53"/>
      <c r="W585" s="53"/>
      <c r="X585" s="53"/>
      <c r="Y585" s="53"/>
      <c r="Z585" s="53"/>
    </row>
    <row r="586">
      <c r="A586" s="53"/>
      <c r="B586" s="53"/>
      <c r="C586" s="53"/>
      <c r="D586" s="53"/>
      <c r="E586" s="53"/>
      <c r="F586" s="53"/>
      <c r="G586" s="54"/>
      <c r="H586" s="53"/>
      <c r="I586" s="53"/>
      <c r="J586" s="54"/>
      <c r="K586" s="53"/>
      <c r="L586" s="53"/>
      <c r="M586" s="53"/>
      <c r="N586" s="53"/>
      <c r="O586" s="53"/>
      <c r="P586" s="53"/>
      <c r="Q586" s="53"/>
      <c r="R586" s="53"/>
      <c r="S586" s="53"/>
      <c r="T586" s="53"/>
      <c r="U586" s="53"/>
      <c r="V586" s="53"/>
      <c r="W586" s="53"/>
      <c r="X586" s="53"/>
      <c r="Y586" s="53"/>
      <c r="Z586" s="53"/>
    </row>
    <row r="587">
      <c r="A587" s="53"/>
      <c r="B587" s="53"/>
      <c r="C587" s="53"/>
      <c r="D587" s="53"/>
      <c r="E587" s="53"/>
      <c r="F587" s="53"/>
      <c r="G587" s="54"/>
      <c r="H587" s="53"/>
      <c r="I587" s="53"/>
      <c r="J587" s="54"/>
      <c r="K587" s="53"/>
      <c r="L587" s="53"/>
      <c r="M587" s="53"/>
      <c r="N587" s="53"/>
      <c r="O587" s="53"/>
      <c r="P587" s="53"/>
      <c r="Q587" s="53"/>
      <c r="R587" s="53"/>
      <c r="S587" s="53"/>
      <c r="T587" s="53"/>
      <c r="U587" s="53"/>
      <c r="V587" s="53"/>
      <c r="W587" s="53"/>
      <c r="X587" s="53"/>
      <c r="Y587" s="53"/>
      <c r="Z587" s="53"/>
    </row>
    <row r="588">
      <c r="A588" s="53"/>
      <c r="B588" s="53"/>
      <c r="C588" s="53"/>
      <c r="D588" s="53"/>
      <c r="E588" s="53"/>
      <c r="F588" s="53"/>
      <c r="G588" s="54"/>
      <c r="H588" s="53"/>
      <c r="I588" s="53"/>
      <c r="J588" s="54"/>
      <c r="K588" s="53"/>
      <c r="L588" s="53"/>
      <c r="M588" s="53"/>
      <c r="N588" s="53"/>
      <c r="O588" s="53"/>
      <c r="P588" s="53"/>
      <c r="Q588" s="53"/>
      <c r="R588" s="53"/>
      <c r="S588" s="53"/>
      <c r="T588" s="53"/>
      <c r="U588" s="53"/>
      <c r="V588" s="53"/>
      <c r="W588" s="53"/>
      <c r="X588" s="53"/>
      <c r="Y588" s="53"/>
      <c r="Z588" s="53"/>
    </row>
    <row r="589">
      <c r="A589" s="53"/>
      <c r="B589" s="53"/>
      <c r="C589" s="53"/>
      <c r="D589" s="53"/>
      <c r="E589" s="53"/>
      <c r="F589" s="53"/>
      <c r="G589" s="54"/>
      <c r="H589" s="53"/>
      <c r="I589" s="53"/>
      <c r="J589" s="54"/>
      <c r="K589" s="53"/>
      <c r="L589" s="53"/>
      <c r="M589" s="53"/>
      <c r="N589" s="53"/>
      <c r="O589" s="53"/>
      <c r="P589" s="53"/>
      <c r="Q589" s="53"/>
      <c r="R589" s="53"/>
      <c r="S589" s="53"/>
      <c r="T589" s="53"/>
      <c r="U589" s="53"/>
      <c r="V589" s="53"/>
      <c r="W589" s="53"/>
      <c r="X589" s="53"/>
      <c r="Y589" s="53"/>
      <c r="Z589" s="53"/>
    </row>
    <row r="590">
      <c r="A590" s="53"/>
      <c r="B590" s="53"/>
      <c r="C590" s="53"/>
      <c r="D590" s="53"/>
      <c r="E590" s="53"/>
      <c r="F590" s="53"/>
      <c r="G590" s="54"/>
      <c r="H590" s="53"/>
      <c r="I590" s="53"/>
      <c r="J590" s="54"/>
      <c r="K590" s="53"/>
      <c r="L590" s="53"/>
      <c r="M590" s="53"/>
      <c r="N590" s="53"/>
      <c r="O590" s="53"/>
      <c r="P590" s="53"/>
      <c r="Q590" s="53"/>
      <c r="R590" s="53"/>
      <c r="S590" s="53"/>
      <c r="T590" s="53"/>
      <c r="U590" s="53"/>
      <c r="V590" s="53"/>
      <c r="W590" s="53"/>
      <c r="X590" s="53"/>
      <c r="Y590" s="53"/>
      <c r="Z590" s="53"/>
    </row>
    <row r="591">
      <c r="A591" s="53"/>
      <c r="B591" s="53"/>
      <c r="C591" s="53"/>
      <c r="D591" s="53"/>
      <c r="E591" s="53"/>
      <c r="F591" s="53"/>
      <c r="G591" s="54"/>
      <c r="H591" s="53"/>
      <c r="I591" s="53"/>
      <c r="J591" s="54"/>
      <c r="K591" s="53"/>
      <c r="L591" s="53"/>
      <c r="M591" s="53"/>
      <c r="N591" s="53"/>
      <c r="O591" s="53"/>
      <c r="P591" s="53"/>
      <c r="Q591" s="53"/>
      <c r="R591" s="53"/>
      <c r="S591" s="53"/>
      <c r="T591" s="53"/>
      <c r="U591" s="53"/>
      <c r="V591" s="53"/>
      <c r="W591" s="53"/>
      <c r="X591" s="53"/>
      <c r="Y591" s="53"/>
      <c r="Z591" s="53"/>
    </row>
    <row r="592">
      <c r="A592" s="53"/>
      <c r="B592" s="53"/>
      <c r="C592" s="53"/>
      <c r="D592" s="53"/>
      <c r="E592" s="53"/>
      <c r="F592" s="53"/>
      <c r="G592" s="54"/>
      <c r="H592" s="53"/>
      <c r="I592" s="53"/>
      <c r="J592" s="54"/>
      <c r="K592" s="53"/>
      <c r="L592" s="53"/>
      <c r="M592" s="53"/>
      <c r="N592" s="53"/>
      <c r="O592" s="53"/>
      <c r="P592" s="53"/>
      <c r="Q592" s="53"/>
      <c r="R592" s="53"/>
      <c r="S592" s="53"/>
      <c r="T592" s="53"/>
      <c r="U592" s="53"/>
      <c r="V592" s="53"/>
      <c r="W592" s="53"/>
      <c r="X592" s="53"/>
      <c r="Y592" s="53"/>
      <c r="Z592" s="53"/>
    </row>
    <row r="593">
      <c r="A593" s="53"/>
      <c r="B593" s="53"/>
      <c r="C593" s="53"/>
      <c r="D593" s="53"/>
      <c r="E593" s="53"/>
      <c r="F593" s="53"/>
      <c r="G593" s="54"/>
      <c r="H593" s="53"/>
      <c r="I593" s="53"/>
      <c r="J593" s="54"/>
      <c r="K593" s="53"/>
      <c r="L593" s="53"/>
      <c r="M593" s="53"/>
      <c r="N593" s="53"/>
      <c r="O593" s="53"/>
      <c r="P593" s="53"/>
      <c r="Q593" s="53"/>
      <c r="R593" s="53"/>
      <c r="S593" s="53"/>
      <c r="T593" s="53"/>
      <c r="U593" s="53"/>
      <c r="V593" s="53"/>
      <c r="W593" s="53"/>
      <c r="X593" s="53"/>
      <c r="Y593" s="53"/>
      <c r="Z593" s="53"/>
    </row>
    <row r="594">
      <c r="A594" s="53"/>
      <c r="B594" s="53"/>
      <c r="C594" s="53"/>
      <c r="D594" s="53"/>
      <c r="E594" s="53"/>
      <c r="F594" s="53"/>
      <c r="G594" s="54"/>
      <c r="H594" s="53"/>
      <c r="I594" s="53"/>
      <c r="J594" s="54"/>
      <c r="K594" s="53"/>
      <c r="L594" s="53"/>
      <c r="M594" s="53"/>
      <c r="N594" s="53"/>
      <c r="O594" s="53"/>
      <c r="P594" s="53"/>
      <c r="Q594" s="53"/>
      <c r="R594" s="53"/>
      <c r="S594" s="53"/>
      <c r="T594" s="53"/>
      <c r="U594" s="53"/>
      <c r="V594" s="53"/>
      <c r="W594" s="53"/>
      <c r="X594" s="53"/>
      <c r="Y594" s="53"/>
      <c r="Z594" s="53"/>
    </row>
    <row r="595">
      <c r="A595" s="53"/>
      <c r="B595" s="53"/>
      <c r="C595" s="53"/>
      <c r="D595" s="53"/>
      <c r="E595" s="53"/>
      <c r="F595" s="53"/>
      <c r="G595" s="54"/>
      <c r="H595" s="53"/>
      <c r="I595" s="53"/>
      <c r="J595" s="54"/>
      <c r="K595" s="53"/>
      <c r="L595" s="53"/>
      <c r="M595" s="53"/>
      <c r="N595" s="53"/>
      <c r="O595" s="53"/>
      <c r="P595" s="53"/>
      <c r="Q595" s="53"/>
      <c r="R595" s="53"/>
      <c r="S595" s="53"/>
      <c r="T595" s="53"/>
      <c r="U595" s="53"/>
      <c r="V595" s="53"/>
      <c r="W595" s="53"/>
      <c r="X595" s="53"/>
      <c r="Y595" s="53"/>
      <c r="Z595" s="53"/>
    </row>
    <row r="596">
      <c r="A596" s="53"/>
      <c r="B596" s="53"/>
      <c r="C596" s="53"/>
      <c r="D596" s="53"/>
      <c r="E596" s="53"/>
      <c r="F596" s="53"/>
      <c r="G596" s="54"/>
      <c r="H596" s="53"/>
      <c r="I596" s="53"/>
      <c r="J596" s="54"/>
      <c r="K596" s="53"/>
      <c r="L596" s="53"/>
      <c r="M596" s="53"/>
      <c r="N596" s="53"/>
      <c r="O596" s="53"/>
      <c r="P596" s="53"/>
      <c r="Q596" s="53"/>
      <c r="R596" s="53"/>
      <c r="S596" s="53"/>
      <c r="T596" s="53"/>
      <c r="U596" s="53"/>
      <c r="V596" s="53"/>
      <c r="W596" s="53"/>
      <c r="X596" s="53"/>
      <c r="Y596" s="53"/>
      <c r="Z596" s="53"/>
    </row>
    <row r="597">
      <c r="A597" s="53"/>
      <c r="B597" s="53"/>
      <c r="C597" s="53"/>
      <c r="D597" s="53"/>
      <c r="E597" s="53"/>
      <c r="F597" s="53"/>
      <c r="G597" s="54"/>
      <c r="H597" s="53"/>
      <c r="I597" s="53"/>
      <c r="J597" s="54"/>
      <c r="K597" s="53"/>
      <c r="L597" s="53"/>
      <c r="M597" s="53"/>
      <c r="N597" s="53"/>
      <c r="O597" s="53"/>
      <c r="P597" s="53"/>
      <c r="Q597" s="53"/>
      <c r="R597" s="53"/>
      <c r="S597" s="53"/>
      <c r="T597" s="53"/>
      <c r="U597" s="53"/>
      <c r="V597" s="53"/>
      <c r="W597" s="53"/>
      <c r="X597" s="53"/>
      <c r="Y597" s="53"/>
      <c r="Z597" s="53"/>
    </row>
    <row r="598">
      <c r="A598" s="53"/>
      <c r="B598" s="53"/>
      <c r="C598" s="53"/>
      <c r="D598" s="53"/>
      <c r="E598" s="53"/>
      <c r="F598" s="53"/>
      <c r="G598" s="54"/>
      <c r="H598" s="53"/>
      <c r="I598" s="53"/>
      <c r="J598" s="54"/>
      <c r="K598" s="53"/>
      <c r="L598" s="53"/>
      <c r="M598" s="53"/>
      <c r="N598" s="53"/>
      <c r="O598" s="53"/>
      <c r="P598" s="53"/>
      <c r="Q598" s="53"/>
      <c r="R598" s="53"/>
      <c r="S598" s="53"/>
      <c r="T598" s="53"/>
      <c r="U598" s="53"/>
      <c r="V598" s="53"/>
      <c r="W598" s="53"/>
      <c r="X598" s="53"/>
      <c r="Y598" s="53"/>
      <c r="Z598" s="53"/>
    </row>
    <row r="599">
      <c r="A599" s="53"/>
      <c r="B599" s="53"/>
      <c r="C599" s="53"/>
      <c r="D599" s="53"/>
      <c r="E599" s="53"/>
      <c r="F599" s="53"/>
      <c r="G599" s="54"/>
      <c r="H599" s="53"/>
      <c r="I599" s="53"/>
      <c r="J599" s="54"/>
      <c r="K599" s="53"/>
      <c r="L599" s="53"/>
      <c r="M599" s="53"/>
      <c r="N599" s="53"/>
      <c r="O599" s="53"/>
      <c r="P599" s="53"/>
      <c r="Q599" s="53"/>
      <c r="R599" s="53"/>
      <c r="S599" s="53"/>
      <c r="T599" s="53"/>
      <c r="U599" s="53"/>
      <c r="V599" s="53"/>
      <c r="W599" s="53"/>
      <c r="X599" s="53"/>
      <c r="Y599" s="53"/>
      <c r="Z599" s="53"/>
    </row>
    <row r="600">
      <c r="A600" s="53"/>
      <c r="B600" s="53"/>
      <c r="C600" s="53"/>
      <c r="D600" s="53"/>
      <c r="E600" s="53"/>
      <c r="F600" s="53"/>
      <c r="G600" s="54"/>
      <c r="H600" s="53"/>
      <c r="I600" s="53"/>
      <c r="J600" s="54"/>
      <c r="K600" s="53"/>
      <c r="L600" s="53"/>
      <c r="M600" s="53"/>
      <c r="N600" s="53"/>
      <c r="O600" s="53"/>
      <c r="P600" s="53"/>
      <c r="Q600" s="53"/>
      <c r="R600" s="53"/>
      <c r="S600" s="53"/>
      <c r="T600" s="53"/>
      <c r="U600" s="53"/>
      <c r="V600" s="53"/>
      <c r="W600" s="53"/>
      <c r="X600" s="53"/>
      <c r="Y600" s="53"/>
      <c r="Z600" s="53"/>
    </row>
    <row r="601">
      <c r="A601" s="53"/>
      <c r="B601" s="53"/>
      <c r="C601" s="53"/>
      <c r="D601" s="53"/>
      <c r="E601" s="53"/>
      <c r="F601" s="53"/>
      <c r="G601" s="54"/>
      <c r="H601" s="53"/>
      <c r="I601" s="53"/>
      <c r="J601" s="54"/>
      <c r="K601" s="53"/>
      <c r="L601" s="53"/>
      <c r="M601" s="53"/>
      <c r="N601" s="53"/>
      <c r="O601" s="53"/>
      <c r="P601" s="53"/>
      <c r="Q601" s="53"/>
      <c r="R601" s="53"/>
      <c r="S601" s="53"/>
      <c r="T601" s="53"/>
      <c r="U601" s="53"/>
      <c r="V601" s="53"/>
      <c r="W601" s="53"/>
      <c r="X601" s="53"/>
      <c r="Y601" s="53"/>
      <c r="Z601" s="53"/>
    </row>
    <row r="602">
      <c r="A602" s="53"/>
      <c r="B602" s="53"/>
      <c r="C602" s="53"/>
      <c r="D602" s="53"/>
      <c r="E602" s="53"/>
      <c r="F602" s="53"/>
      <c r="G602" s="54"/>
      <c r="H602" s="53"/>
      <c r="I602" s="53"/>
      <c r="J602" s="54"/>
      <c r="K602" s="53"/>
      <c r="L602" s="53"/>
      <c r="M602" s="53"/>
      <c r="N602" s="53"/>
      <c r="O602" s="53"/>
      <c r="P602" s="53"/>
      <c r="Q602" s="53"/>
      <c r="R602" s="53"/>
      <c r="S602" s="53"/>
      <c r="T602" s="53"/>
      <c r="U602" s="53"/>
      <c r="V602" s="53"/>
      <c r="W602" s="53"/>
      <c r="X602" s="53"/>
      <c r="Y602" s="53"/>
      <c r="Z602" s="53"/>
    </row>
    <row r="603">
      <c r="A603" s="53"/>
      <c r="B603" s="53"/>
      <c r="C603" s="53"/>
      <c r="D603" s="53"/>
      <c r="E603" s="53"/>
      <c r="F603" s="53"/>
      <c r="G603" s="54"/>
      <c r="H603" s="53"/>
      <c r="I603" s="53"/>
      <c r="J603" s="54"/>
      <c r="K603" s="53"/>
      <c r="L603" s="53"/>
      <c r="M603" s="53"/>
      <c r="N603" s="53"/>
      <c r="O603" s="53"/>
      <c r="P603" s="53"/>
      <c r="Q603" s="53"/>
      <c r="R603" s="53"/>
      <c r="S603" s="53"/>
      <c r="T603" s="53"/>
      <c r="U603" s="53"/>
      <c r="V603" s="53"/>
      <c r="W603" s="53"/>
      <c r="X603" s="53"/>
      <c r="Y603" s="53"/>
      <c r="Z603" s="53"/>
    </row>
    <row r="604">
      <c r="A604" s="53"/>
      <c r="B604" s="53"/>
      <c r="C604" s="53"/>
      <c r="D604" s="53"/>
      <c r="E604" s="53"/>
      <c r="F604" s="53"/>
      <c r="G604" s="54"/>
      <c r="H604" s="53"/>
      <c r="I604" s="53"/>
      <c r="J604" s="54"/>
      <c r="K604" s="53"/>
      <c r="L604" s="53"/>
      <c r="M604" s="53"/>
      <c r="N604" s="53"/>
      <c r="O604" s="53"/>
      <c r="P604" s="53"/>
      <c r="Q604" s="53"/>
      <c r="R604" s="53"/>
      <c r="S604" s="53"/>
      <c r="T604" s="53"/>
      <c r="U604" s="53"/>
      <c r="V604" s="53"/>
      <c r="W604" s="53"/>
      <c r="X604" s="53"/>
      <c r="Y604" s="53"/>
      <c r="Z604" s="53"/>
    </row>
    <row r="605">
      <c r="A605" s="53"/>
      <c r="B605" s="53"/>
      <c r="C605" s="53"/>
      <c r="D605" s="53"/>
      <c r="E605" s="53"/>
      <c r="F605" s="53"/>
      <c r="G605" s="54"/>
      <c r="H605" s="53"/>
      <c r="I605" s="53"/>
      <c r="J605" s="54"/>
      <c r="K605" s="53"/>
      <c r="L605" s="53"/>
      <c r="M605" s="53"/>
      <c r="N605" s="53"/>
      <c r="O605" s="53"/>
      <c r="P605" s="53"/>
      <c r="Q605" s="53"/>
      <c r="R605" s="53"/>
      <c r="S605" s="53"/>
      <c r="T605" s="53"/>
      <c r="U605" s="53"/>
      <c r="V605" s="53"/>
      <c r="W605" s="53"/>
      <c r="X605" s="53"/>
      <c r="Y605" s="53"/>
      <c r="Z605" s="53"/>
    </row>
    <row r="606">
      <c r="A606" s="53"/>
      <c r="B606" s="53"/>
      <c r="C606" s="53"/>
      <c r="D606" s="53"/>
      <c r="E606" s="53"/>
      <c r="F606" s="53"/>
      <c r="G606" s="54"/>
      <c r="H606" s="53"/>
      <c r="I606" s="53"/>
      <c r="J606" s="54"/>
      <c r="K606" s="53"/>
      <c r="L606" s="53"/>
      <c r="M606" s="53"/>
      <c r="N606" s="53"/>
      <c r="O606" s="53"/>
      <c r="P606" s="53"/>
      <c r="Q606" s="53"/>
      <c r="R606" s="53"/>
      <c r="S606" s="53"/>
      <c r="T606" s="53"/>
      <c r="U606" s="53"/>
      <c r="V606" s="53"/>
      <c r="W606" s="53"/>
      <c r="X606" s="53"/>
      <c r="Y606" s="53"/>
      <c r="Z606" s="53"/>
    </row>
    <row r="607">
      <c r="A607" s="53"/>
      <c r="B607" s="53"/>
      <c r="C607" s="53"/>
      <c r="D607" s="53"/>
      <c r="E607" s="53"/>
      <c r="F607" s="53"/>
      <c r="G607" s="54"/>
      <c r="H607" s="53"/>
      <c r="I607" s="53"/>
      <c r="J607" s="54"/>
      <c r="K607" s="53"/>
      <c r="L607" s="53"/>
      <c r="M607" s="53"/>
      <c r="N607" s="53"/>
      <c r="O607" s="53"/>
      <c r="P607" s="53"/>
      <c r="Q607" s="53"/>
      <c r="R607" s="53"/>
      <c r="S607" s="53"/>
      <c r="T607" s="53"/>
      <c r="U607" s="53"/>
      <c r="V607" s="53"/>
      <c r="W607" s="53"/>
      <c r="X607" s="53"/>
      <c r="Y607" s="53"/>
      <c r="Z607" s="53"/>
    </row>
    <row r="608">
      <c r="A608" s="53"/>
      <c r="B608" s="53"/>
      <c r="C608" s="53"/>
      <c r="D608" s="53"/>
      <c r="E608" s="53"/>
      <c r="F608" s="53"/>
      <c r="G608" s="54"/>
      <c r="H608" s="53"/>
      <c r="I608" s="53"/>
      <c r="J608" s="54"/>
      <c r="K608" s="53"/>
      <c r="L608" s="53"/>
      <c r="M608" s="53"/>
      <c r="N608" s="53"/>
      <c r="O608" s="53"/>
      <c r="P608" s="53"/>
      <c r="Q608" s="53"/>
      <c r="R608" s="53"/>
      <c r="S608" s="53"/>
      <c r="T608" s="53"/>
      <c r="U608" s="53"/>
      <c r="V608" s="53"/>
      <c r="W608" s="53"/>
      <c r="X608" s="53"/>
      <c r="Y608" s="53"/>
      <c r="Z608" s="53"/>
    </row>
    <row r="609">
      <c r="A609" s="53"/>
      <c r="B609" s="53"/>
      <c r="C609" s="53"/>
      <c r="D609" s="53"/>
      <c r="E609" s="53"/>
      <c r="F609" s="53"/>
      <c r="G609" s="54"/>
      <c r="H609" s="53"/>
      <c r="I609" s="53"/>
      <c r="J609" s="54"/>
      <c r="K609" s="53"/>
      <c r="L609" s="53"/>
      <c r="M609" s="53"/>
      <c r="N609" s="53"/>
      <c r="O609" s="53"/>
      <c r="P609" s="53"/>
      <c r="Q609" s="53"/>
      <c r="R609" s="53"/>
      <c r="S609" s="53"/>
      <c r="T609" s="53"/>
      <c r="U609" s="53"/>
      <c r="V609" s="53"/>
      <c r="W609" s="53"/>
      <c r="X609" s="53"/>
      <c r="Y609" s="53"/>
      <c r="Z609" s="53"/>
    </row>
    <row r="610">
      <c r="A610" s="53"/>
      <c r="B610" s="53"/>
      <c r="C610" s="53"/>
      <c r="D610" s="53"/>
      <c r="E610" s="53"/>
      <c r="F610" s="53"/>
      <c r="G610" s="54"/>
      <c r="H610" s="53"/>
      <c r="I610" s="53"/>
      <c r="J610" s="54"/>
      <c r="K610" s="53"/>
      <c r="L610" s="53"/>
      <c r="M610" s="53"/>
      <c r="N610" s="53"/>
      <c r="O610" s="53"/>
      <c r="P610" s="53"/>
      <c r="Q610" s="53"/>
      <c r="R610" s="53"/>
      <c r="S610" s="53"/>
      <c r="T610" s="53"/>
      <c r="U610" s="53"/>
      <c r="V610" s="53"/>
      <c r="W610" s="53"/>
      <c r="X610" s="53"/>
      <c r="Y610" s="53"/>
      <c r="Z610" s="53"/>
    </row>
    <row r="611">
      <c r="A611" s="53"/>
      <c r="B611" s="53"/>
      <c r="C611" s="53"/>
      <c r="D611" s="53"/>
      <c r="E611" s="53"/>
      <c r="F611" s="53"/>
      <c r="G611" s="54"/>
      <c r="H611" s="53"/>
      <c r="I611" s="53"/>
      <c r="J611" s="54"/>
      <c r="K611" s="53"/>
      <c r="L611" s="53"/>
      <c r="M611" s="53"/>
      <c r="N611" s="53"/>
      <c r="O611" s="53"/>
      <c r="P611" s="53"/>
      <c r="Q611" s="53"/>
      <c r="R611" s="53"/>
      <c r="S611" s="53"/>
      <c r="T611" s="53"/>
      <c r="U611" s="53"/>
      <c r="V611" s="53"/>
      <c r="W611" s="53"/>
      <c r="X611" s="53"/>
      <c r="Y611" s="53"/>
      <c r="Z611" s="53"/>
    </row>
    <row r="612">
      <c r="A612" s="53"/>
      <c r="B612" s="53"/>
      <c r="C612" s="53"/>
      <c r="D612" s="53"/>
      <c r="E612" s="53"/>
      <c r="F612" s="53"/>
      <c r="G612" s="54"/>
      <c r="H612" s="53"/>
      <c r="I612" s="53"/>
      <c r="J612" s="54"/>
      <c r="K612" s="53"/>
      <c r="L612" s="53"/>
      <c r="M612" s="53"/>
      <c r="N612" s="53"/>
      <c r="O612" s="53"/>
      <c r="P612" s="53"/>
      <c r="Q612" s="53"/>
      <c r="R612" s="53"/>
      <c r="S612" s="53"/>
      <c r="T612" s="53"/>
      <c r="U612" s="53"/>
      <c r="V612" s="53"/>
      <c r="W612" s="53"/>
      <c r="X612" s="53"/>
      <c r="Y612" s="53"/>
      <c r="Z612" s="53"/>
    </row>
    <row r="613">
      <c r="A613" s="53"/>
      <c r="B613" s="53"/>
      <c r="C613" s="53"/>
      <c r="D613" s="53"/>
      <c r="E613" s="53"/>
      <c r="F613" s="53"/>
      <c r="G613" s="54"/>
      <c r="H613" s="53"/>
      <c r="I613" s="53"/>
      <c r="J613" s="54"/>
      <c r="K613" s="53"/>
      <c r="L613" s="53"/>
      <c r="M613" s="53"/>
      <c r="N613" s="53"/>
      <c r="O613" s="53"/>
      <c r="P613" s="53"/>
      <c r="Q613" s="53"/>
      <c r="R613" s="53"/>
      <c r="S613" s="53"/>
      <c r="T613" s="53"/>
      <c r="U613" s="53"/>
      <c r="V613" s="53"/>
      <c r="W613" s="53"/>
      <c r="X613" s="53"/>
      <c r="Y613" s="53"/>
      <c r="Z613" s="53"/>
    </row>
    <row r="614">
      <c r="A614" s="53"/>
      <c r="B614" s="53"/>
      <c r="C614" s="53"/>
      <c r="D614" s="53"/>
      <c r="E614" s="53"/>
      <c r="F614" s="53"/>
      <c r="G614" s="54"/>
      <c r="H614" s="53"/>
      <c r="I614" s="53"/>
      <c r="J614" s="54"/>
      <c r="K614" s="53"/>
      <c r="L614" s="53"/>
      <c r="M614" s="53"/>
      <c r="N614" s="53"/>
      <c r="O614" s="53"/>
      <c r="P614" s="53"/>
      <c r="Q614" s="53"/>
      <c r="R614" s="53"/>
      <c r="S614" s="53"/>
      <c r="T614" s="53"/>
      <c r="U614" s="53"/>
      <c r="V614" s="53"/>
      <c r="W614" s="53"/>
      <c r="X614" s="53"/>
      <c r="Y614" s="53"/>
      <c r="Z614" s="53"/>
    </row>
    <row r="615">
      <c r="A615" s="53"/>
      <c r="B615" s="53"/>
      <c r="C615" s="53"/>
      <c r="D615" s="53"/>
      <c r="E615" s="53"/>
      <c r="F615" s="53"/>
      <c r="G615" s="54"/>
      <c r="H615" s="53"/>
      <c r="I615" s="53"/>
      <c r="J615" s="54"/>
      <c r="K615" s="53"/>
      <c r="L615" s="53"/>
      <c r="M615" s="53"/>
      <c r="N615" s="53"/>
      <c r="O615" s="53"/>
      <c r="P615" s="53"/>
      <c r="Q615" s="53"/>
      <c r="R615" s="53"/>
      <c r="S615" s="53"/>
      <c r="T615" s="53"/>
      <c r="U615" s="53"/>
      <c r="V615" s="53"/>
      <c r="W615" s="53"/>
      <c r="X615" s="53"/>
      <c r="Y615" s="53"/>
      <c r="Z615" s="53"/>
    </row>
    <row r="616">
      <c r="A616" s="53"/>
      <c r="B616" s="53"/>
      <c r="C616" s="53"/>
      <c r="D616" s="53"/>
      <c r="E616" s="53"/>
      <c r="F616" s="53"/>
      <c r="G616" s="54"/>
      <c r="H616" s="53"/>
      <c r="I616" s="53"/>
      <c r="J616" s="54"/>
      <c r="K616" s="53"/>
      <c r="L616" s="53"/>
      <c r="M616" s="53"/>
      <c r="N616" s="53"/>
      <c r="O616" s="53"/>
      <c r="P616" s="53"/>
      <c r="Q616" s="53"/>
      <c r="R616" s="53"/>
      <c r="S616" s="53"/>
      <c r="T616" s="53"/>
      <c r="U616" s="53"/>
      <c r="V616" s="53"/>
      <c r="W616" s="53"/>
      <c r="X616" s="53"/>
      <c r="Y616" s="53"/>
      <c r="Z616" s="53"/>
    </row>
    <row r="617">
      <c r="A617" s="53"/>
      <c r="B617" s="53"/>
      <c r="C617" s="53"/>
      <c r="D617" s="53"/>
      <c r="E617" s="53"/>
      <c r="F617" s="53"/>
      <c r="G617" s="54"/>
      <c r="H617" s="53"/>
      <c r="I617" s="53"/>
      <c r="J617" s="54"/>
      <c r="K617" s="53"/>
      <c r="L617" s="53"/>
      <c r="M617" s="53"/>
      <c r="N617" s="53"/>
      <c r="O617" s="53"/>
      <c r="P617" s="53"/>
      <c r="Q617" s="53"/>
      <c r="R617" s="53"/>
      <c r="S617" s="53"/>
      <c r="T617" s="53"/>
      <c r="U617" s="53"/>
      <c r="V617" s="53"/>
      <c r="W617" s="53"/>
      <c r="X617" s="53"/>
      <c r="Y617" s="53"/>
      <c r="Z617" s="53"/>
    </row>
    <row r="618">
      <c r="A618" s="53"/>
      <c r="B618" s="53"/>
      <c r="C618" s="53"/>
      <c r="D618" s="53"/>
      <c r="E618" s="53"/>
      <c r="F618" s="53"/>
      <c r="G618" s="54"/>
      <c r="H618" s="53"/>
      <c r="I618" s="53"/>
      <c r="J618" s="54"/>
      <c r="K618" s="53"/>
      <c r="L618" s="53"/>
      <c r="M618" s="53"/>
      <c r="N618" s="53"/>
      <c r="O618" s="53"/>
      <c r="P618" s="53"/>
      <c r="Q618" s="53"/>
      <c r="R618" s="53"/>
      <c r="S618" s="53"/>
      <c r="T618" s="53"/>
      <c r="U618" s="53"/>
      <c r="V618" s="53"/>
      <c r="W618" s="53"/>
      <c r="X618" s="53"/>
      <c r="Y618" s="53"/>
      <c r="Z618" s="53"/>
    </row>
    <row r="619">
      <c r="A619" s="53"/>
      <c r="B619" s="53"/>
      <c r="C619" s="53"/>
      <c r="D619" s="53"/>
      <c r="E619" s="53"/>
      <c r="F619" s="53"/>
      <c r="G619" s="54"/>
      <c r="H619" s="53"/>
      <c r="I619" s="53"/>
      <c r="J619" s="54"/>
      <c r="K619" s="53"/>
      <c r="L619" s="53"/>
      <c r="M619" s="53"/>
      <c r="N619" s="53"/>
      <c r="O619" s="53"/>
      <c r="P619" s="53"/>
      <c r="Q619" s="53"/>
      <c r="R619" s="53"/>
      <c r="S619" s="53"/>
      <c r="T619" s="53"/>
      <c r="U619" s="53"/>
      <c r="V619" s="53"/>
      <c r="W619" s="53"/>
      <c r="X619" s="53"/>
      <c r="Y619" s="53"/>
      <c r="Z619" s="53"/>
    </row>
    <row r="620">
      <c r="A620" s="53"/>
      <c r="B620" s="53"/>
      <c r="C620" s="53"/>
      <c r="D620" s="53"/>
      <c r="E620" s="53"/>
      <c r="F620" s="53"/>
      <c r="G620" s="54"/>
      <c r="H620" s="53"/>
      <c r="I620" s="53"/>
      <c r="J620" s="54"/>
      <c r="K620" s="53"/>
      <c r="L620" s="53"/>
      <c r="M620" s="53"/>
      <c r="N620" s="53"/>
      <c r="O620" s="53"/>
      <c r="P620" s="53"/>
      <c r="Q620" s="53"/>
      <c r="R620" s="53"/>
      <c r="S620" s="53"/>
      <c r="T620" s="53"/>
      <c r="U620" s="53"/>
      <c r="V620" s="53"/>
      <c r="W620" s="53"/>
      <c r="X620" s="53"/>
      <c r="Y620" s="53"/>
      <c r="Z620" s="53"/>
    </row>
    <row r="621">
      <c r="A621" s="53"/>
      <c r="B621" s="53"/>
      <c r="C621" s="53"/>
      <c r="D621" s="53"/>
      <c r="E621" s="53"/>
      <c r="F621" s="53"/>
      <c r="G621" s="54"/>
      <c r="H621" s="53"/>
      <c r="I621" s="53"/>
      <c r="J621" s="54"/>
      <c r="K621" s="53"/>
      <c r="L621" s="53"/>
      <c r="M621" s="53"/>
      <c r="N621" s="53"/>
      <c r="O621" s="53"/>
      <c r="P621" s="53"/>
      <c r="Q621" s="53"/>
      <c r="R621" s="53"/>
      <c r="S621" s="53"/>
      <c r="T621" s="53"/>
      <c r="U621" s="53"/>
      <c r="V621" s="53"/>
      <c r="W621" s="53"/>
      <c r="X621" s="53"/>
      <c r="Y621" s="53"/>
      <c r="Z621" s="53"/>
    </row>
    <row r="622">
      <c r="A622" s="53"/>
      <c r="B622" s="53"/>
      <c r="C622" s="53"/>
      <c r="D622" s="53"/>
      <c r="E622" s="53"/>
      <c r="F622" s="53"/>
      <c r="G622" s="54"/>
      <c r="H622" s="53"/>
      <c r="I622" s="53"/>
      <c r="J622" s="54"/>
      <c r="K622" s="53"/>
      <c r="L622" s="53"/>
      <c r="M622" s="53"/>
      <c r="N622" s="53"/>
      <c r="O622" s="53"/>
      <c r="P622" s="53"/>
      <c r="Q622" s="53"/>
      <c r="R622" s="53"/>
      <c r="S622" s="53"/>
      <c r="T622" s="53"/>
      <c r="U622" s="53"/>
      <c r="V622" s="53"/>
      <c r="W622" s="53"/>
      <c r="X622" s="53"/>
      <c r="Y622" s="53"/>
      <c r="Z622" s="53"/>
    </row>
    <row r="623">
      <c r="A623" s="53"/>
      <c r="B623" s="53"/>
      <c r="C623" s="53"/>
      <c r="D623" s="53"/>
      <c r="E623" s="53"/>
      <c r="F623" s="53"/>
      <c r="G623" s="54"/>
      <c r="H623" s="53"/>
      <c r="I623" s="53"/>
      <c r="J623" s="54"/>
      <c r="K623" s="53"/>
      <c r="L623" s="53"/>
      <c r="M623" s="53"/>
      <c r="N623" s="53"/>
      <c r="O623" s="53"/>
      <c r="P623" s="53"/>
      <c r="Q623" s="53"/>
      <c r="R623" s="53"/>
      <c r="S623" s="53"/>
      <c r="T623" s="53"/>
      <c r="U623" s="53"/>
      <c r="V623" s="53"/>
      <c r="W623" s="53"/>
      <c r="X623" s="53"/>
      <c r="Y623" s="53"/>
      <c r="Z623" s="53"/>
    </row>
    <row r="624">
      <c r="A624" s="53"/>
      <c r="B624" s="53"/>
      <c r="C624" s="53"/>
      <c r="D624" s="53"/>
      <c r="E624" s="53"/>
      <c r="F624" s="53"/>
      <c r="G624" s="54"/>
      <c r="H624" s="53"/>
      <c r="I624" s="53"/>
      <c r="J624" s="54"/>
      <c r="K624" s="53"/>
      <c r="L624" s="53"/>
      <c r="M624" s="53"/>
      <c r="N624" s="53"/>
      <c r="O624" s="53"/>
      <c r="P624" s="53"/>
      <c r="Q624" s="53"/>
      <c r="R624" s="53"/>
      <c r="S624" s="53"/>
      <c r="T624" s="53"/>
      <c r="U624" s="53"/>
      <c r="V624" s="53"/>
      <c r="W624" s="53"/>
      <c r="X624" s="53"/>
      <c r="Y624" s="53"/>
      <c r="Z624" s="53"/>
    </row>
    <row r="625">
      <c r="A625" s="53"/>
      <c r="B625" s="53"/>
      <c r="C625" s="53"/>
      <c r="D625" s="53"/>
      <c r="E625" s="53"/>
      <c r="F625" s="53"/>
      <c r="G625" s="54"/>
      <c r="H625" s="53"/>
      <c r="I625" s="53"/>
      <c r="J625" s="54"/>
      <c r="K625" s="53"/>
      <c r="L625" s="53"/>
      <c r="M625" s="53"/>
      <c r="N625" s="53"/>
      <c r="O625" s="53"/>
      <c r="P625" s="53"/>
      <c r="Q625" s="53"/>
      <c r="R625" s="53"/>
      <c r="S625" s="53"/>
      <c r="T625" s="53"/>
      <c r="U625" s="53"/>
      <c r="V625" s="53"/>
      <c r="W625" s="53"/>
      <c r="X625" s="53"/>
      <c r="Y625" s="53"/>
      <c r="Z625" s="53"/>
    </row>
    <row r="626">
      <c r="A626" s="53"/>
      <c r="B626" s="53"/>
      <c r="C626" s="53"/>
      <c r="D626" s="53"/>
      <c r="E626" s="53"/>
      <c r="F626" s="53"/>
      <c r="G626" s="54"/>
      <c r="H626" s="53"/>
      <c r="I626" s="53"/>
      <c r="J626" s="54"/>
      <c r="K626" s="53"/>
      <c r="L626" s="53"/>
      <c r="M626" s="53"/>
      <c r="N626" s="53"/>
      <c r="O626" s="53"/>
      <c r="P626" s="53"/>
      <c r="Q626" s="53"/>
      <c r="R626" s="53"/>
      <c r="S626" s="53"/>
      <c r="T626" s="53"/>
      <c r="U626" s="53"/>
      <c r="V626" s="53"/>
      <c r="W626" s="53"/>
      <c r="X626" s="53"/>
      <c r="Y626" s="53"/>
      <c r="Z626" s="53"/>
    </row>
    <row r="627">
      <c r="A627" s="53"/>
      <c r="B627" s="53"/>
      <c r="C627" s="53"/>
      <c r="D627" s="53"/>
      <c r="E627" s="53"/>
      <c r="F627" s="53"/>
      <c r="G627" s="54"/>
      <c r="H627" s="53"/>
      <c r="I627" s="53"/>
      <c r="J627" s="54"/>
      <c r="K627" s="53"/>
      <c r="L627" s="53"/>
      <c r="M627" s="53"/>
      <c r="N627" s="53"/>
      <c r="O627" s="53"/>
      <c r="P627" s="53"/>
      <c r="Q627" s="53"/>
      <c r="R627" s="53"/>
      <c r="S627" s="53"/>
      <c r="T627" s="53"/>
      <c r="U627" s="53"/>
      <c r="V627" s="53"/>
      <c r="W627" s="53"/>
      <c r="X627" s="53"/>
      <c r="Y627" s="53"/>
      <c r="Z627" s="53"/>
    </row>
    <row r="628">
      <c r="A628" s="53"/>
      <c r="B628" s="53"/>
      <c r="C628" s="53"/>
      <c r="D628" s="53"/>
      <c r="E628" s="53"/>
      <c r="F628" s="53"/>
      <c r="G628" s="54"/>
      <c r="H628" s="53"/>
      <c r="I628" s="53"/>
      <c r="J628" s="54"/>
      <c r="K628" s="53"/>
      <c r="L628" s="53"/>
      <c r="M628" s="53"/>
      <c r="N628" s="53"/>
      <c r="O628" s="53"/>
      <c r="P628" s="53"/>
      <c r="Q628" s="53"/>
      <c r="R628" s="53"/>
      <c r="S628" s="53"/>
      <c r="T628" s="53"/>
      <c r="U628" s="53"/>
      <c r="V628" s="53"/>
      <c r="W628" s="53"/>
      <c r="X628" s="53"/>
      <c r="Y628" s="53"/>
      <c r="Z628" s="53"/>
    </row>
    <row r="629">
      <c r="A629" s="53"/>
      <c r="B629" s="53"/>
      <c r="C629" s="53"/>
      <c r="D629" s="53"/>
      <c r="E629" s="53"/>
      <c r="F629" s="53"/>
      <c r="G629" s="54"/>
      <c r="H629" s="53"/>
      <c r="I629" s="53"/>
      <c r="J629" s="54"/>
      <c r="K629" s="53"/>
      <c r="L629" s="53"/>
      <c r="M629" s="53"/>
      <c r="N629" s="53"/>
      <c r="O629" s="53"/>
      <c r="P629" s="53"/>
      <c r="Q629" s="53"/>
      <c r="R629" s="53"/>
      <c r="S629" s="53"/>
      <c r="T629" s="53"/>
      <c r="U629" s="53"/>
      <c r="V629" s="53"/>
      <c r="W629" s="53"/>
      <c r="X629" s="53"/>
      <c r="Y629" s="53"/>
      <c r="Z629" s="53"/>
    </row>
    <row r="630">
      <c r="A630" s="53"/>
      <c r="B630" s="53"/>
      <c r="C630" s="53"/>
      <c r="D630" s="53"/>
      <c r="E630" s="53"/>
      <c r="F630" s="53"/>
      <c r="G630" s="54"/>
      <c r="H630" s="53"/>
      <c r="I630" s="53"/>
      <c r="J630" s="54"/>
      <c r="K630" s="53"/>
      <c r="L630" s="53"/>
      <c r="M630" s="53"/>
      <c r="N630" s="53"/>
      <c r="O630" s="53"/>
      <c r="P630" s="53"/>
      <c r="Q630" s="53"/>
      <c r="R630" s="53"/>
      <c r="S630" s="53"/>
      <c r="T630" s="53"/>
      <c r="U630" s="53"/>
      <c r="V630" s="53"/>
      <c r="W630" s="53"/>
      <c r="X630" s="53"/>
      <c r="Y630" s="53"/>
      <c r="Z630" s="53"/>
    </row>
    <row r="631">
      <c r="A631" s="53"/>
      <c r="B631" s="53"/>
      <c r="C631" s="53"/>
      <c r="D631" s="53"/>
      <c r="E631" s="53"/>
      <c r="F631" s="53"/>
      <c r="G631" s="54"/>
      <c r="H631" s="53"/>
      <c r="I631" s="53"/>
      <c r="J631" s="54"/>
      <c r="K631" s="53"/>
      <c r="L631" s="53"/>
      <c r="M631" s="53"/>
      <c r="N631" s="53"/>
      <c r="O631" s="53"/>
      <c r="P631" s="53"/>
      <c r="Q631" s="53"/>
      <c r="R631" s="53"/>
      <c r="S631" s="53"/>
      <c r="T631" s="53"/>
      <c r="U631" s="53"/>
      <c r="V631" s="53"/>
      <c r="W631" s="53"/>
      <c r="X631" s="53"/>
      <c r="Y631" s="53"/>
      <c r="Z631" s="53"/>
    </row>
    <row r="632">
      <c r="A632" s="53"/>
      <c r="B632" s="53"/>
      <c r="C632" s="53"/>
      <c r="D632" s="53"/>
      <c r="E632" s="53"/>
      <c r="F632" s="53"/>
      <c r="G632" s="54"/>
      <c r="H632" s="53"/>
      <c r="I632" s="53"/>
      <c r="J632" s="54"/>
      <c r="K632" s="53"/>
      <c r="L632" s="53"/>
      <c r="M632" s="53"/>
      <c r="N632" s="53"/>
      <c r="O632" s="53"/>
      <c r="P632" s="53"/>
      <c r="Q632" s="53"/>
      <c r="R632" s="53"/>
      <c r="S632" s="53"/>
      <c r="T632" s="53"/>
      <c r="U632" s="53"/>
      <c r="V632" s="53"/>
      <c r="W632" s="53"/>
      <c r="X632" s="53"/>
      <c r="Y632" s="53"/>
      <c r="Z632" s="53"/>
    </row>
    <row r="633">
      <c r="A633" s="53"/>
      <c r="B633" s="53"/>
      <c r="C633" s="53"/>
      <c r="D633" s="53"/>
      <c r="E633" s="53"/>
      <c r="F633" s="53"/>
      <c r="G633" s="54"/>
      <c r="H633" s="53"/>
      <c r="I633" s="53"/>
      <c r="J633" s="54"/>
      <c r="K633" s="53"/>
      <c r="L633" s="53"/>
      <c r="M633" s="53"/>
      <c r="N633" s="53"/>
      <c r="O633" s="53"/>
      <c r="P633" s="53"/>
      <c r="Q633" s="53"/>
      <c r="R633" s="53"/>
      <c r="S633" s="53"/>
      <c r="T633" s="53"/>
      <c r="U633" s="53"/>
      <c r="V633" s="53"/>
      <c r="W633" s="53"/>
      <c r="X633" s="53"/>
      <c r="Y633" s="53"/>
      <c r="Z633" s="53"/>
    </row>
    <row r="634">
      <c r="A634" s="53"/>
      <c r="B634" s="53"/>
      <c r="C634" s="53"/>
      <c r="D634" s="53"/>
      <c r="E634" s="53"/>
      <c r="F634" s="53"/>
      <c r="G634" s="54"/>
      <c r="H634" s="53"/>
      <c r="I634" s="53"/>
      <c r="J634" s="54"/>
      <c r="K634" s="53"/>
      <c r="L634" s="53"/>
      <c r="M634" s="53"/>
      <c r="N634" s="53"/>
      <c r="O634" s="53"/>
      <c r="P634" s="53"/>
      <c r="Q634" s="53"/>
      <c r="R634" s="53"/>
      <c r="S634" s="53"/>
      <c r="T634" s="53"/>
      <c r="U634" s="53"/>
      <c r="V634" s="53"/>
      <c r="W634" s="53"/>
      <c r="X634" s="53"/>
      <c r="Y634" s="53"/>
      <c r="Z634" s="53"/>
    </row>
    <row r="635">
      <c r="A635" s="53"/>
      <c r="B635" s="53"/>
      <c r="C635" s="53"/>
      <c r="D635" s="53"/>
      <c r="E635" s="53"/>
      <c r="F635" s="53"/>
      <c r="G635" s="54"/>
      <c r="H635" s="53"/>
      <c r="I635" s="53"/>
      <c r="J635" s="54"/>
      <c r="K635" s="53"/>
      <c r="L635" s="53"/>
      <c r="M635" s="53"/>
      <c r="N635" s="53"/>
      <c r="O635" s="53"/>
      <c r="P635" s="53"/>
      <c r="Q635" s="53"/>
      <c r="R635" s="53"/>
      <c r="S635" s="53"/>
      <c r="T635" s="53"/>
      <c r="U635" s="53"/>
      <c r="V635" s="53"/>
      <c r="W635" s="53"/>
      <c r="X635" s="53"/>
      <c r="Y635" s="53"/>
      <c r="Z635" s="53"/>
    </row>
    <row r="636">
      <c r="A636" s="53"/>
      <c r="B636" s="53"/>
      <c r="C636" s="53"/>
      <c r="D636" s="53"/>
      <c r="E636" s="53"/>
      <c r="F636" s="53"/>
      <c r="G636" s="54"/>
      <c r="H636" s="53"/>
      <c r="I636" s="53"/>
      <c r="J636" s="54"/>
      <c r="K636" s="53"/>
      <c r="L636" s="53"/>
      <c r="M636" s="53"/>
      <c r="N636" s="53"/>
      <c r="O636" s="53"/>
      <c r="P636" s="53"/>
      <c r="Q636" s="53"/>
      <c r="R636" s="53"/>
      <c r="S636" s="53"/>
      <c r="T636" s="53"/>
      <c r="U636" s="53"/>
      <c r="V636" s="53"/>
      <c r="W636" s="53"/>
      <c r="X636" s="53"/>
      <c r="Y636" s="53"/>
      <c r="Z636" s="53"/>
    </row>
    <row r="637">
      <c r="A637" s="53"/>
      <c r="B637" s="53"/>
      <c r="C637" s="53"/>
      <c r="D637" s="53"/>
      <c r="E637" s="53"/>
      <c r="F637" s="53"/>
      <c r="G637" s="54"/>
      <c r="H637" s="53"/>
      <c r="I637" s="53"/>
      <c r="J637" s="54"/>
      <c r="K637" s="53"/>
      <c r="L637" s="53"/>
      <c r="M637" s="53"/>
      <c r="N637" s="53"/>
      <c r="O637" s="53"/>
      <c r="P637" s="53"/>
      <c r="Q637" s="53"/>
      <c r="R637" s="53"/>
      <c r="S637" s="53"/>
      <c r="T637" s="53"/>
      <c r="U637" s="53"/>
      <c r="V637" s="53"/>
      <c r="W637" s="53"/>
      <c r="X637" s="53"/>
      <c r="Y637" s="53"/>
      <c r="Z637" s="53"/>
    </row>
    <row r="638">
      <c r="A638" s="53"/>
      <c r="B638" s="53"/>
      <c r="C638" s="53"/>
      <c r="D638" s="53"/>
      <c r="E638" s="53"/>
      <c r="F638" s="53"/>
      <c r="G638" s="54"/>
      <c r="H638" s="53"/>
      <c r="I638" s="53"/>
      <c r="J638" s="54"/>
      <c r="K638" s="53"/>
      <c r="L638" s="53"/>
      <c r="M638" s="53"/>
      <c r="N638" s="53"/>
      <c r="O638" s="53"/>
      <c r="P638" s="53"/>
      <c r="Q638" s="53"/>
      <c r="R638" s="53"/>
      <c r="S638" s="53"/>
      <c r="T638" s="53"/>
      <c r="U638" s="53"/>
      <c r="V638" s="53"/>
      <c r="W638" s="53"/>
      <c r="X638" s="53"/>
      <c r="Y638" s="53"/>
      <c r="Z638" s="53"/>
    </row>
    <row r="639">
      <c r="A639" s="53"/>
      <c r="B639" s="53"/>
      <c r="C639" s="53"/>
      <c r="D639" s="53"/>
      <c r="E639" s="53"/>
      <c r="F639" s="53"/>
      <c r="G639" s="54"/>
      <c r="H639" s="53"/>
      <c r="I639" s="53"/>
      <c r="J639" s="54"/>
      <c r="K639" s="53"/>
      <c r="L639" s="53"/>
      <c r="M639" s="53"/>
      <c r="N639" s="53"/>
      <c r="O639" s="53"/>
      <c r="P639" s="53"/>
      <c r="Q639" s="53"/>
      <c r="R639" s="53"/>
      <c r="S639" s="53"/>
      <c r="T639" s="53"/>
      <c r="U639" s="53"/>
      <c r="V639" s="53"/>
      <c r="W639" s="53"/>
      <c r="X639" s="53"/>
      <c r="Y639" s="53"/>
      <c r="Z639" s="53"/>
    </row>
    <row r="640">
      <c r="A640" s="53"/>
      <c r="B640" s="53"/>
      <c r="C640" s="53"/>
      <c r="D640" s="53"/>
      <c r="E640" s="53"/>
      <c r="F640" s="53"/>
      <c r="G640" s="54"/>
      <c r="H640" s="53"/>
      <c r="I640" s="53"/>
      <c r="J640" s="54"/>
      <c r="K640" s="53"/>
      <c r="L640" s="53"/>
      <c r="M640" s="53"/>
      <c r="N640" s="53"/>
      <c r="O640" s="53"/>
      <c r="P640" s="53"/>
      <c r="Q640" s="53"/>
      <c r="R640" s="53"/>
      <c r="S640" s="53"/>
      <c r="T640" s="53"/>
      <c r="U640" s="53"/>
      <c r="V640" s="53"/>
      <c r="W640" s="53"/>
      <c r="X640" s="53"/>
      <c r="Y640" s="53"/>
      <c r="Z640" s="53"/>
    </row>
    <row r="641">
      <c r="A641" s="53"/>
      <c r="B641" s="53"/>
      <c r="C641" s="53"/>
      <c r="D641" s="53"/>
      <c r="E641" s="53"/>
      <c r="F641" s="53"/>
      <c r="G641" s="54"/>
      <c r="H641" s="53"/>
      <c r="I641" s="53"/>
      <c r="J641" s="54"/>
      <c r="K641" s="53"/>
      <c r="L641" s="53"/>
      <c r="M641" s="53"/>
      <c r="N641" s="53"/>
      <c r="O641" s="53"/>
      <c r="P641" s="53"/>
      <c r="Q641" s="53"/>
      <c r="R641" s="53"/>
      <c r="S641" s="53"/>
      <c r="T641" s="53"/>
      <c r="U641" s="53"/>
      <c r="V641" s="53"/>
      <c r="W641" s="53"/>
      <c r="X641" s="53"/>
      <c r="Y641" s="53"/>
      <c r="Z641" s="53"/>
    </row>
    <row r="642">
      <c r="A642" s="53"/>
      <c r="B642" s="53"/>
      <c r="C642" s="53"/>
      <c r="D642" s="53"/>
      <c r="E642" s="53"/>
      <c r="F642" s="53"/>
      <c r="G642" s="54"/>
      <c r="H642" s="53"/>
      <c r="I642" s="53"/>
      <c r="J642" s="54"/>
      <c r="K642" s="53"/>
      <c r="L642" s="53"/>
      <c r="M642" s="53"/>
      <c r="N642" s="53"/>
      <c r="O642" s="53"/>
      <c r="P642" s="53"/>
      <c r="Q642" s="53"/>
      <c r="R642" s="53"/>
      <c r="S642" s="53"/>
      <c r="T642" s="53"/>
      <c r="U642" s="53"/>
      <c r="V642" s="53"/>
      <c r="W642" s="53"/>
      <c r="X642" s="53"/>
      <c r="Y642" s="53"/>
      <c r="Z642" s="53"/>
    </row>
    <row r="643">
      <c r="A643" s="53"/>
      <c r="B643" s="53"/>
      <c r="C643" s="53"/>
      <c r="D643" s="53"/>
      <c r="E643" s="53"/>
      <c r="F643" s="53"/>
      <c r="G643" s="54"/>
      <c r="H643" s="53"/>
      <c r="I643" s="53"/>
      <c r="J643" s="54"/>
      <c r="K643" s="53"/>
      <c r="L643" s="53"/>
      <c r="M643" s="53"/>
      <c r="N643" s="53"/>
      <c r="O643" s="53"/>
      <c r="P643" s="53"/>
      <c r="Q643" s="53"/>
      <c r="R643" s="53"/>
      <c r="S643" s="53"/>
      <c r="T643" s="53"/>
      <c r="U643" s="53"/>
      <c r="V643" s="53"/>
      <c r="W643" s="53"/>
      <c r="X643" s="53"/>
      <c r="Y643" s="53"/>
      <c r="Z643" s="53"/>
    </row>
    <row r="644">
      <c r="A644" s="53"/>
      <c r="B644" s="53"/>
      <c r="C644" s="53"/>
      <c r="D644" s="53"/>
      <c r="E644" s="53"/>
      <c r="F644" s="53"/>
      <c r="G644" s="54"/>
      <c r="H644" s="53"/>
      <c r="I644" s="53"/>
      <c r="J644" s="54"/>
      <c r="K644" s="53"/>
      <c r="L644" s="53"/>
      <c r="M644" s="53"/>
      <c r="N644" s="53"/>
      <c r="O644" s="53"/>
      <c r="P644" s="53"/>
      <c r="Q644" s="53"/>
      <c r="R644" s="53"/>
      <c r="S644" s="53"/>
      <c r="T644" s="53"/>
      <c r="U644" s="53"/>
      <c r="V644" s="53"/>
      <c r="W644" s="53"/>
      <c r="X644" s="53"/>
      <c r="Y644" s="53"/>
      <c r="Z644" s="53"/>
    </row>
    <row r="645">
      <c r="A645" s="53"/>
      <c r="B645" s="53"/>
      <c r="C645" s="53"/>
      <c r="D645" s="53"/>
      <c r="E645" s="53"/>
      <c r="F645" s="53"/>
      <c r="G645" s="54"/>
      <c r="H645" s="53"/>
      <c r="I645" s="53"/>
      <c r="J645" s="54"/>
      <c r="K645" s="53"/>
      <c r="L645" s="53"/>
      <c r="M645" s="53"/>
      <c r="N645" s="53"/>
      <c r="O645" s="53"/>
      <c r="P645" s="53"/>
      <c r="Q645" s="53"/>
      <c r="R645" s="53"/>
      <c r="S645" s="53"/>
      <c r="T645" s="53"/>
      <c r="U645" s="53"/>
      <c r="V645" s="53"/>
      <c r="W645" s="53"/>
      <c r="X645" s="53"/>
      <c r="Y645" s="53"/>
      <c r="Z645" s="53"/>
    </row>
    <row r="646">
      <c r="A646" s="53"/>
      <c r="B646" s="53"/>
      <c r="C646" s="53"/>
      <c r="D646" s="53"/>
      <c r="E646" s="53"/>
      <c r="F646" s="53"/>
      <c r="G646" s="54"/>
      <c r="H646" s="53"/>
      <c r="I646" s="53"/>
      <c r="J646" s="54"/>
      <c r="K646" s="53"/>
      <c r="L646" s="53"/>
      <c r="M646" s="53"/>
      <c r="N646" s="53"/>
      <c r="O646" s="53"/>
      <c r="P646" s="53"/>
      <c r="Q646" s="53"/>
      <c r="R646" s="53"/>
      <c r="S646" s="53"/>
      <c r="T646" s="53"/>
      <c r="U646" s="53"/>
      <c r="V646" s="53"/>
      <c r="W646" s="53"/>
      <c r="X646" s="53"/>
      <c r="Y646" s="53"/>
      <c r="Z646" s="53"/>
    </row>
    <row r="647">
      <c r="A647" s="53"/>
      <c r="B647" s="53"/>
      <c r="C647" s="53"/>
      <c r="D647" s="53"/>
      <c r="E647" s="53"/>
      <c r="F647" s="53"/>
      <c r="G647" s="54"/>
      <c r="H647" s="53"/>
      <c r="I647" s="53"/>
      <c r="J647" s="54"/>
      <c r="K647" s="53"/>
      <c r="L647" s="53"/>
      <c r="M647" s="53"/>
      <c r="N647" s="53"/>
      <c r="O647" s="53"/>
      <c r="P647" s="53"/>
      <c r="Q647" s="53"/>
      <c r="R647" s="53"/>
      <c r="S647" s="53"/>
      <c r="T647" s="53"/>
      <c r="U647" s="53"/>
      <c r="V647" s="53"/>
      <c r="W647" s="53"/>
      <c r="X647" s="53"/>
      <c r="Y647" s="53"/>
      <c r="Z647" s="53"/>
    </row>
    <row r="648">
      <c r="A648" s="53"/>
      <c r="B648" s="53"/>
      <c r="C648" s="53"/>
      <c r="D648" s="53"/>
      <c r="E648" s="53"/>
      <c r="F648" s="53"/>
      <c r="G648" s="54"/>
      <c r="H648" s="53"/>
      <c r="I648" s="53"/>
      <c r="J648" s="54"/>
      <c r="K648" s="53"/>
      <c r="L648" s="53"/>
      <c r="M648" s="53"/>
      <c r="N648" s="53"/>
      <c r="O648" s="53"/>
      <c r="P648" s="53"/>
      <c r="Q648" s="53"/>
      <c r="R648" s="53"/>
      <c r="S648" s="53"/>
      <c r="T648" s="53"/>
      <c r="U648" s="53"/>
      <c r="V648" s="53"/>
      <c r="W648" s="53"/>
      <c r="X648" s="53"/>
      <c r="Y648" s="53"/>
      <c r="Z648" s="53"/>
    </row>
    <row r="649">
      <c r="A649" s="53"/>
      <c r="B649" s="53"/>
      <c r="C649" s="53"/>
      <c r="D649" s="53"/>
      <c r="E649" s="53"/>
      <c r="F649" s="53"/>
      <c r="G649" s="54"/>
      <c r="H649" s="53"/>
      <c r="I649" s="53"/>
      <c r="J649" s="54"/>
      <c r="K649" s="53"/>
      <c r="L649" s="53"/>
      <c r="M649" s="53"/>
      <c r="N649" s="53"/>
      <c r="O649" s="53"/>
      <c r="P649" s="53"/>
      <c r="Q649" s="53"/>
      <c r="R649" s="53"/>
      <c r="S649" s="53"/>
      <c r="T649" s="53"/>
      <c r="U649" s="53"/>
      <c r="V649" s="53"/>
      <c r="W649" s="53"/>
      <c r="X649" s="53"/>
      <c r="Y649" s="53"/>
      <c r="Z649" s="53"/>
    </row>
    <row r="650">
      <c r="A650" s="53"/>
      <c r="B650" s="53"/>
      <c r="C650" s="53"/>
      <c r="D650" s="53"/>
      <c r="E650" s="53"/>
      <c r="F650" s="53"/>
      <c r="G650" s="54"/>
      <c r="H650" s="53"/>
      <c r="I650" s="53"/>
      <c r="J650" s="54"/>
      <c r="K650" s="53"/>
      <c r="L650" s="53"/>
      <c r="M650" s="53"/>
      <c r="N650" s="53"/>
      <c r="O650" s="53"/>
      <c r="P650" s="53"/>
      <c r="Q650" s="53"/>
      <c r="R650" s="53"/>
      <c r="S650" s="53"/>
      <c r="T650" s="53"/>
      <c r="U650" s="53"/>
      <c r="V650" s="53"/>
      <c r="W650" s="53"/>
      <c r="X650" s="53"/>
      <c r="Y650" s="53"/>
      <c r="Z650" s="53"/>
    </row>
    <row r="651">
      <c r="A651" s="53"/>
      <c r="B651" s="53"/>
      <c r="C651" s="53"/>
      <c r="D651" s="53"/>
      <c r="E651" s="53"/>
      <c r="F651" s="53"/>
      <c r="G651" s="54"/>
      <c r="H651" s="53"/>
      <c r="I651" s="53"/>
      <c r="J651" s="54"/>
      <c r="K651" s="53"/>
      <c r="L651" s="53"/>
      <c r="M651" s="53"/>
      <c r="N651" s="53"/>
      <c r="O651" s="53"/>
      <c r="P651" s="53"/>
      <c r="Q651" s="53"/>
      <c r="R651" s="53"/>
      <c r="S651" s="53"/>
      <c r="T651" s="53"/>
      <c r="U651" s="53"/>
      <c r="V651" s="53"/>
      <c r="W651" s="53"/>
      <c r="X651" s="53"/>
      <c r="Y651" s="53"/>
      <c r="Z651" s="53"/>
    </row>
    <row r="652">
      <c r="A652" s="53"/>
      <c r="B652" s="53"/>
      <c r="C652" s="53"/>
      <c r="D652" s="53"/>
      <c r="E652" s="53"/>
      <c r="F652" s="53"/>
      <c r="G652" s="54"/>
      <c r="H652" s="53"/>
      <c r="I652" s="53"/>
      <c r="J652" s="54"/>
      <c r="K652" s="53"/>
      <c r="L652" s="53"/>
      <c r="M652" s="53"/>
      <c r="N652" s="53"/>
      <c r="O652" s="53"/>
      <c r="P652" s="53"/>
      <c r="Q652" s="53"/>
      <c r="R652" s="53"/>
      <c r="S652" s="53"/>
      <c r="T652" s="53"/>
      <c r="U652" s="53"/>
      <c r="V652" s="53"/>
      <c r="W652" s="53"/>
      <c r="X652" s="53"/>
      <c r="Y652" s="53"/>
      <c r="Z652" s="53"/>
    </row>
    <row r="653">
      <c r="A653" s="53"/>
      <c r="B653" s="53"/>
      <c r="C653" s="53"/>
      <c r="D653" s="53"/>
      <c r="E653" s="53"/>
      <c r="F653" s="53"/>
      <c r="G653" s="54"/>
      <c r="H653" s="53"/>
      <c r="I653" s="53"/>
      <c r="J653" s="54"/>
      <c r="K653" s="53"/>
      <c r="L653" s="53"/>
      <c r="M653" s="53"/>
      <c r="N653" s="53"/>
      <c r="O653" s="53"/>
      <c r="P653" s="53"/>
      <c r="Q653" s="53"/>
      <c r="R653" s="53"/>
      <c r="S653" s="53"/>
      <c r="T653" s="53"/>
      <c r="U653" s="53"/>
      <c r="V653" s="53"/>
      <c r="W653" s="53"/>
      <c r="X653" s="53"/>
      <c r="Y653" s="53"/>
      <c r="Z653" s="53"/>
    </row>
    <row r="654">
      <c r="A654" s="53"/>
      <c r="B654" s="53"/>
      <c r="C654" s="53"/>
      <c r="D654" s="53"/>
      <c r="E654" s="53"/>
      <c r="F654" s="53"/>
      <c r="G654" s="54"/>
      <c r="H654" s="53"/>
      <c r="I654" s="53"/>
      <c r="J654" s="54"/>
      <c r="K654" s="53"/>
      <c r="L654" s="53"/>
      <c r="M654" s="53"/>
      <c r="N654" s="53"/>
      <c r="O654" s="53"/>
      <c r="P654" s="53"/>
      <c r="Q654" s="53"/>
      <c r="R654" s="53"/>
      <c r="S654" s="53"/>
      <c r="T654" s="53"/>
      <c r="U654" s="53"/>
      <c r="V654" s="53"/>
      <c r="W654" s="53"/>
      <c r="X654" s="53"/>
      <c r="Y654" s="53"/>
      <c r="Z654" s="53"/>
    </row>
    <row r="655">
      <c r="A655" s="53"/>
      <c r="B655" s="53"/>
      <c r="C655" s="53"/>
      <c r="D655" s="53"/>
      <c r="E655" s="53"/>
      <c r="F655" s="53"/>
      <c r="G655" s="54"/>
      <c r="H655" s="53"/>
      <c r="I655" s="53"/>
      <c r="J655" s="54"/>
      <c r="K655" s="53"/>
      <c r="L655" s="53"/>
      <c r="M655" s="53"/>
      <c r="N655" s="53"/>
      <c r="O655" s="53"/>
      <c r="P655" s="53"/>
      <c r="Q655" s="53"/>
      <c r="R655" s="53"/>
      <c r="S655" s="53"/>
      <c r="T655" s="53"/>
      <c r="U655" s="53"/>
      <c r="V655" s="53"/>
      <c r="W655" s="53"/>
      <c r="X655" s="53"/>
      <c r="Y655" s="53"/>
      <c r="Z655" s="53"/>
    </row>
    <row r="656">
      <c r="A656" s="53"/>
      <c r="B656" s="53"/>
      <c r="C656" s="53"/>
      <c r="D656" s="53"/>
      <c r="E656" s="53"/>
      <c r="F656" s="53"/>
      <c r="G656" s="54"/>
      <c r="H656" s="53"/>
      <c r="I656" s="53"/>
      <c r="J656" s="54"/>
      <c r="K656" s="53"/>
      <c r="L656" s="53"/>
      <c r="M656" s="53"/>
      <c r="N656" s="53"/>
      <c r="O656" s="53"/>
      <c r="P656" s="53"/>
      <c r="Q656" s="53"/>
      <c r="R656" s="53"/>
      <c r="S656" s="53"/>
      <c r="T656" s="53"/>
      <c r="U656" s="53"/>
      <c r="V656" s="53"/>
      <c r="W656" s="53"/>
      <c r="X656" s="53"/>
      <c r="Y656" s="53"/>
      <c r="Z656" s="53"/>
    </row>
    <row r="657">
      <c r="A657" s="53"/>
      <c r="B657" s="53"/>
      <c r="C657" s="53"/>
      <c r="D657" s="53"/>
      <c r="E657" s="53"/>
      <c r="F657" s="53"/>
      <c r="G657" s="54"/>
      <c r="H657" s="53"/>
      <c r="I657" s="53"/>
      <c r="J657" s="54"/>
      <c r="K657" s="53"/>
      <c r="L657" s="53"/>
      <c r="M657" s="53"/>
      <c r="N657" s="53"/>
      <c r="O657" s="53"/>
      <c r="P657" s="53"/>
      <c r="Q657" s="53"/>
      <c r="R657" s="53"/>
      <c r="S657" s="53"/>
      <c r="T657" s="53"/>
      <c r="U657" s="53"/>
      <c r="V657" s="53"/>
      <c r="W657" s="53"/>
      <c r="X657" s="53"/>
      <c r="Y657" s="53"/>
      <c r="Z657" s="53"/>
    </row>
    <row r="658">
      <c r="A658" s="53"/>
      <c r="B658" s="53"/>
      <c r="C658" s="53"/>
      <c r="D658" s="53"/>
      <c r="E658" s="53"/>
      <c r="F658" s="53"/>
      <c r="G658" s="54"/>
      <c r="H658" s="53"/>
      <c r="I658" s="53"/>
      <c r="J658" s="54"/>
      <c r="K658" s="53"/>
      <c r="L658" s="53"/>
      <c r="M658" s="53"/>
      <c r="N658" s="53"/>
      <c r="O658" s="53"/>
      <c r="P658" s="53"/>
      <c r="Q658" s="53"/>
      <c r="R658" s="53"/>
      <c r="S658" s="53"/>
      <c r="T658" s="53"/>
      <c r="U658" s="53"/>
      <c r="V658" s="53"/>
      <c r="W658" s="53"/>
      <c r="X658" s="53"/>
      <c r="Y658" s="53"/>
      <c r="Z658" s="53"/>
    </row>
    <row r="659">
      <c r="A659" s="53"/>
      <c r="B659" s="53"/>
      <c r="C659" s="53"/>
      <c r="D659" s="53"/>
      <c r="E659" s="53"/>
      <c r="F659" s="53"/>
      <c r="G659" s="54"/>
      <c r="H659" s="53"/>
      <c r="I659" s="53"/>
      <c r="J659" s="54"/>
      <c r="K659" s="53"/>
      <c r="L659" s="53"/>
      <c r="M659" s="53"/>
      <c r="N659" s="53"/>
      <c r="O659" s="53"/>
      <c r="P659" s="53"/>
      <c r="Q659" s="53"/>
      <c r="R659" s="53"/>
      <c r="S659" s="53"/>
      <c r="T659" s="53"/>
      <c r="U659" s="53"/>
      <c r="V659" s="53"/>
      <c r="W659" s="53"/>
      <c r="X659" s="53"/>
      <c r="Y659" s="53"/>
      <c r="Z659" s="53"/>
    </row>
    <row r="660">
      <c r="A660" s="53"/>
      <c r="B660" s="53"/>
      <c r="C660" s="53"/>
      <c r="D660" s="53"/>
      <c r="E660" s="53"/>
      <c r="F660" s="53"/>
      <c r="G660" s="54"/>
      <c r="H660" s="53"/>
      <c r="I660" s="53"/>
      <c r="J660" s="54"/>
      <c r="K660" s="53"/>
      <c r="L660" s="53"/>
      <c r="M660" s="53"/>
      <c r="N660" s="53"/>
      <c r="O660" s="53"/>
      <c r="P660" s="53"/>
      <c r="Q660" s="53"/>
      <c r="R660" s="53"/>
      <c r="S660" s="53"/>
      <c r="T660" s="53"/>
      <c r="U660" s="53"/>
      <c r="V660" s="53"/>
      <c r="W660" s="53"/>
      <c r="X660" s="53"/>
      <c r="Y660" s="53"/>
      <c r="Z660" s="53"/>
    </row>
    <row r="661">
      <c r="A661" s="53"/>
      <c r="B661" s="53"/>
      <c r="C661" s="53"/>
      <c r="D661" s="53"/>
      <c r="E661" s="53"/>
      <c r="F661" s="53"/>
      <c r="G661" s="54"/>
      <c r="H661" s="53"/>
      <c r="I661" s="53"/>
      <c r="J661" s="54"/>
      <c r="K661" s="53"/>
      <c r="L661" s="53"/>
      <c r="M661" s="53"/>
      <c r="N661" s="53"/>
      <c r="O661" s="53"/>
      <c r="P661" s="53"/>
      <c r="Q661" s="53"/>
      <c r="R661" s="53"/>
      <c r="S661" s="53"/>
      <c r="T661" s="53"/>
      <c r="U661" s="53"/>
      <c r="V661" s="53"/>
      <c r="W661" s="53"/>
      <c r="X661" s="53"/>
      <c r="Y661" s="53"/>
      <c r="Z661" s="53"/>
    </row>
    <row r="662">
      <c r="A662" s="53"/>
      <c r="B662" s="53"/>
      <c r="C662" s="53"/>
      <c r="D662" s="53"/>
      <c r="E662" s="53"/>
      <c r="F662" s="53"/>
      <c r="G662" s="54"/>
      <c r="H662" s="53"/>
      <c r="I662" s="53"/>
      <c r="J662" s="54"/>
      <c r="K662" s="53"/>
      <c r="L662" s="53"/>
      <c r="M662" s="53"/>
      <c r="N662" s="53"/>
      <c r="O662" s="53"/>
      <c r="P662" s="53"/>
      <c r="Q662" s="53"/>
      <c r="R662" s="53"/>
      <c r="S662" s="53"/>
      <c r="T662" s="53"/>
      <c r="U662" s="53"/>
      <c r="V662" s="53"/>
      <c r="W662" s="53"/>
      <c r="X662" s="53"/>
      <c r="Y662" s="53"/>
      <c r="Z662" s="53"/>
    </row>
    <row r="663">
      <c r="A663" s="53"/>
      <c r="B663" s="53"/>
      <c r="C663" s="53"/>
      <c r="D663" s="53"/>
      <c r="E663" s="53"/>
      <c r="F663" s="53"/>
      <c r="G663" s="54"/>
      <c r="H663" s="53"/>
      <c r="I663" s="53"/>
      <c r="J663" s="54"/>
      <c r="K663" s="53"/>
      <c r="L663" s="53"/>
      <c r="M663" s="53"/>
      <c r="N663" s="53"/>
      <c r="O663" s="53"/>
      <c r="P663" s="53"/>
      <c r="Q663" s="53"/>
      <c r="R663" s="53"/>
      <c r="S663" s="53"/>
      <c r="T663" s="53"/>
      <c r="U663" s="53"/>
      <c r="V663" s="53"/>
      <c r="W663" s="53"/>
      <c r="X663" s="53"/>
      <c r="Y663" s="53"/>
      <c r="Z663" s="53"/>
    </row>
    <row r="664">
      <c r="A664" s="53"/>
      <c r="B664" s="53"/>
      <c r="C664" s="53"/>
      <c r="D664" s="53"/>
      <c r="E664" s="53"/>
      <c r="F664" s="53"/>
      <c r="G664" s="54"/>
      <c r="H664" s="53"/>
      <c r="I664" s="53"/>
      <c r="J664" s="54"/>
      <c r="K664" s="53"/>
      <c r="L664" s="53"/>
      <c r="M664" s="53"/>
      <c r="N664" s="53"/>
      <c r="O664" s="53"/>
      <c r="P664" s="53"/>
      <c r="Q664" s="53"/>
      <c r="R664" s="53"/>
      <c r="S664" s="53"/>
      <c r="T664" s="53"/>
      <c r="U664" s="53"/>
      <c r="V664" s="53"/>
      <c r="W664" s="53"/>
      <c r="X664" s="53"/>
      <c r="Y664" s="53"/>
      <c r="Z664" s="53"/>
    </row>
    <row r="665">
      <c r="A665" s="53"/>
      <c r="B665" s="53"/>
      <c r="C665" s="53"/>
      <c r="D665" s="53"/>
      <c r="E665" s="53"/>
      <c r="F665" s="53"/>
      <c r="G665" s="54"/>
      <c r="H665" s="53"/>
      <c r="I665" s="53"/>
      <c r="J665" s="54"/>
      <c r="K665" s="53"/>
      <c r="L665" s="53"/>
      <c r="M665" s="53"/>
      <c r="N665" s="53"/>
      <c r="O665" s="53"/>
      <c r="P665" s="53"/>
      <c r="Q665" s="53"/>
      <c r="R665" s="53"/>
      <c r="S665" s="53"/>
      <c r="T665" s="53"/>
      <c r="U665" s="53"/>
      <c r="V665" s="53"/>
      <c r="W665" s="53"/>
      <c r="X665" s="53"/>
      <c r="Y665" s="53"/>
      <c r="Z665" s="53"/>
    </row>
    <row r="666">
      <c r="A666" s="53"/>
      <c r="B666" s="53"/>
      <c r="C666" s="53"/>
      <c r="D666" s="53"/>
      <c r="E666" s="53"/>
      <c r="F666" s="53"/>
      <c r="G666" s="54"/>
      <c r="H666" s="53"/>
      <c r="I666" s="53"/>
      <c r="J666" s="54"/>
      <c r="K666" s="53"/>
      <c r="L666" s="53"/>
      <c r="M666" s="53"/>
      <c r="N666" s="53"/>
      <c r="O666" s="53"/>
      <c r="P666" s="53"/>
      <c r="Q666" s="53"/>
      <c r="R666" s="53"/>
      <c r="S666" s="53"/>
      <c r="T666" s="53"/>
      <c r="U666" s="53"/>
      <c r="V666" s="53"/>
      <c r="W666" s="53"/>
      <c r="X666" s="53"/>
      <c r="Y666" s="53"/>
      <c r="Z666" s="53"/>
    </row>
    <row r="667">
      <c r="A667" s="53"/>
      <c r="B667" s="53"/>
      <c r="C667" s="53"/>
      <c r="D667" s="53"/>
      <c r="E667" s="53"/>
      <c r="F667" s="53"/>
      <c r="G667" s="54"/>
      <c r="H667" s="53"/>
      <c r="I667" s="53"/>
      <c r="J667" s="54"/>
      <c r="K667" s="53"/>
      <c r="L667" s="53"/>
      <c r="M667" s="53"/>
      <c r="N667" s="53"/>
      <c r="O667" s="53"/>
      <c r="P667" s="53"/>
      <c r="Q667" s="53"/>
      <c r="R667" s="53"/>
      <c r="S667" s="53"/>
      <c r="T667" s="53"/>
      <c r="U667" s="53"/>
      <c r="V667" s="53"/>
      <c r="W667" s="53"/>
      <c r="X667" s="53"/>
      <c r="Y667" s="53"/>
      <c r="Z667" s="53"/>
    </row>
    <row r="668">
      <c r="A668" s="53"/>
      <c r="B668" s="53"/>
      <c r="C668" s="53"/>
      <c r="D668" s="53"/>
      <c r="E668" s="53"/>
      <c r="F668" s="53"/>
      <c r="G668" s="54"/>
      <c r="H668" s="53"/>
      <c r="I668" s="53"/>
      <c r="J668" s="54"/>
      <c r="K668" s="53"/>
      <c r="L668" s="53"/>
      <c r="M668" s="53"/>
      <c r="N668" s="53"/>
      <c r="O668" s="53"/>
      <c r="P668" s="53"/>
      <c r="Q668" s="53"/>
      <c r="R668" s="53"/>
      <c r="S668" s="53"/>
      <c r="T668" s="53"/>
      <c r="U668" s="53"/>
      <c r="V668" s="53"/>
      <c r="W668" s="53"/>
      <c r="X668" s="53"/>
      <c r="Y668" s="53"/>
      <c r="Z668" s="53"/>
    </row>
    <row r="669">
      <c r="A669" s="53"/>
      <c r="B669" s="53"/>
      <c r="C669" s="53"/>
      <c r="D669" s="53"/>
      <c r="E669" s="53"/>
      <c r="F669" s="53"/>
      <c r="G669" s="54"/>
      <c r="H669" s="53"/>
      <c r="I669" s="53"/>
      <c r="J669" s="54"/>
      <c r="K669" s="53"/>
      <c r="L669" s="53"/>
      <c r="M669" s="53"/>
      <c r="N669" s="53"/>
      <c r="O669" s="53"/>
      <c r="P669" s="53"/>
      <c r="Q669" s="53"/>
      <c r="R669" s="53"/>
      <c r="S669" s="53"/>
      <c r="T669" s="53"/>
      <c r="U669" s="53"/>
      <c r="V669" s="53"/>
      <c r="W669" s="53"/>
      <c r="X669" s="53"/>
      <c r="Y669" s="53"/>
      <c r="Z669" s="53"/>
    </row>
    <row r="670">
      <c r="A670" s="53"/>
      <c r="B670" s="53"/>
      <c r="C670" s="53"/>
      <c r="D670" s="53"/>
      <c r="E670" s="53"/>
      <c r="F670" s="53"/>
      <c r="G670" s="54"/>
      <c r="H670" s="53"/>
      <c r="I670" s="53"/>
      <c r="J670" s="54"/>
      <c r="K670" s="53"/>
      <c r="L670" s="53"/>
      <c r="M670" s="53"/>
      <c r="N670" s="53"/>
      <c r="O670" s="53"/>
      <c r="P670" s="53"/>
      <c r="Q670" s="53"/>
      <c r="R670" s="53"/>
      <c r="S670" s="53"/>
      <c r="T670" s="53"/>
      <c r="U670" s="53"/>
      <c r="V670" s="53"/>
      <c r="W670" s="53"/>
      <c r="X670" s="53"/>
      <c r="Y670" s="53"/>
      <c r="Z670" s="53"/>
    </row>
    <row r="671">
      <c r="A671" s="53"/>
      <c r="B671" s="53"/>
      <c r="C671" s="53"/>
      <c r="D671" s="53"/>
      <c r="E671" s="53"/>
      <c r="F671" s="53"/>
      <c r="G671" s="54"/>
      <c r="H671" s="53"/>
      <c r="I671" s="53"/>
      <c r="J671" s="54"/>
      <c r="K671" s="53"/>
      <c r="L671" s="53"/>
      <c r="M671" s="53"/>
      <c r="N671" s="53"/>
      <c r="O671" s="53"/>
      <c r="P671" s="53"/>
      <c r="Q671" s="53"/>
      <c r="R671" s="53"/>
      <c r="S671" s="53"/>
      <c r="T671" s="53"/>
      <c r="U671" s="53"/>
      <c r="V671" s="53"/>
      <c r="W671" s="53"/>
      <c r="X671" s="53"/>
      <c r="Y671" s="53"/>
      <c r="Z671" s="53"/>
    </row>
    <row r="672">
      <c r="A672" s="53"/>
      <c r="B672" s="53"/>
      <c r="C672" s="53"/>
      <c r="D672" s="53"/>
      <c r="E672" s="53"/>
      <c r="F672" s="53"/>
      <c r="G672" s="54"/>
      <c r="H672" s="53"/>
      <c r="I672" s="53"/>
      <c r="J672" s="54"/>
      <c r="K672" s="53"/>
      <c r="L672" s="53"/>
      <c r="M672" s="53"/>
      <c r="N672" s="53"/>
      <c r="O672" s="53"/>
      <c r="P672" s="53"/>
      <c r="Q672" s="53"/>
      <c r="R672" s="53"/>
      <c r="S672" s="53"/>
      <c r="T672" s="53"/>
      <c r="U672" s="53"/>
      <c r="V672" s="53"/>
      <c r="W672" s="53"/>
      <c r="X672" s="53"/>
      <c r="Y672" s="53"/>
      <c r="Z672" s="53"/>
    </row>
    <row r="673">
      <c r="A673" s="53"/>
      <c r="B673" s="53"/>
      <c r="C673" s="53"/>
      <c r="D673" s="53"/>
      <c r="E673" s="53"/>
      <c r="F673" s="53"/>
      <c r="G673" s="54"/>
      <c r="H673" s="53"/>
      <c r="I673" s="53"/>
      <c r="J673" s="54"/>
      <c r="K673" s="53"/>
      <c r="L673" s="53"/>
      <c r="M673" s="53"/>
      <c r="N673" s="53"/>
      <c r="O673" s="53"/>
      <c r="P673" s="53"/>
      <c r="Q673" s="53"/>
      <c r="R673" s="53"/>
      <c r="S673" s="53"/>
      <c r="T673" s="53"/>
      <c r="U673" s="53"/>
      <c r="V673" s="53"/>
      <c r="W673" s="53"/>
      <c r="X673" s="53"/>
      <c r="Y673" s="53"/>
      <c r="Z673" s="53"/>
    </row>
    <row r="674">
      <c r="A674" s="53"/>
      <c r="B674" s="53"/>
      <c r="C674" s="53"/>
      <c r="D674" s="53"/>
      <c r="E674" s="53"/>
      <c r="F674" s="53"/>
      <c r="G674" s="54"/>
      <c r="H674" s="53"/>
      <c r="I674" s="53"/>
      <c r="J674" s="54"/>
      <c r="K674" s="53"/>
      <c r="L674" s="53"/>
      <c r="M674" s="53"/>
      <c r="N674" s="53"/>
      <c r="O674" s="53"/>
      <c r="P674" s="53"/>
      <c r="Q674" s="53"/>
      <c r="R674" s="53"/>
      <c r="S674" s="53"/>
      <c r="T674" s="53"/>
      <c r="U674" s="53"/>
      <c r="V674" s="53"/>
      <c r="W674" s="53"/>
      <c r="X674" s="53"/>
      <c r="Y674" s="53"/>
      <c r="Z674" s="53"/>
    </row>
    <row r="675">
      <c r="A675" s="53"/>
      <c r="B675" s="53"/>
      <c r="C675" s="53"/>
      <c r="D675" s="53"/>
      <c r="E675" s="53"/>
      <c r="F675" s="53"/>
      <c r="G675" s="54"/>
      <c r="H675" s="53"/>
      <c r="I675" s="53"/>
      <c r="J675" s="54"/>
      <c r="K675" s="53"/>
      <c r="L675" s="53"/>
      <c r="M675" s="53"/>
      <c r="N675" s="53"/>
      <c r="O675" s="53"/>
      <c r="P675" s="53"/>
      <c r="Q675" s="53"/>
      <c r="R675" s="53"/>
      <c r="S675" s="53"/>
      <c r="T675" s="53"/>
      <c r="U675" s="53"/>
      <c r="V675" s="53"/>
      <c r="W675" s="53"/>
      <c r="X675" s="53"/>
      <c r="Y675" s="53"/>
      <c r="Z675" s="53"/>
    </row>
    <row r="676">
      <c r="A676" s="53"/>
      <c r="B676" s="53"/>
      <c r="C676" s="53"/>
      <c r="D676" s="53"/>
      <c r="E676" s="53"/>
      <c r="F676" s="53"/>
      <c r="G676" s="54"/>
      <c r="H676" s="53"/>
      <c r="I676" s="53"/>
      <c r="J676" s="54"/>
      <c r="K676" s="53"/>
      <c r="L676" s="53"/>
      <c r="M676" s="53"/>
      <c r="N676" s="53"/>
      <c r="O676" s="53"/>
      <c r="P676" s="53"/>
      <c r="Q676" s="53"/>
      <c r="R676" s="53"/>
      <c r="S676" s="53"/>
      <c r="T676" s="53"/>
      <c r="U676" s="53"/>
      <c r="V676" s="53"/>
      <c r="W676" s="53"/>
      <c r="X676" s="53"/>
      <c r="Y676" s="53"/>
      <c r="Z676" s="53"/>
    </row>
    <row r="677">
      <c r="A677" s="53"/>
      <c r="B677" s="53"/>
      <c r="C677" s="53"/>
      <c r="D677" s="53"/>
      <c r="E677" s="53"/>
      <c r="F677" s="53"/>
      <c r="G677" s="54"/>
      <c r="H677" s="53"/>
      <c r="I677" s="53"/>
      <c r="J677" s="54"/>
      <c r="K677" s="53"/>
      <c r="L677" s="53"/>
      <c r="M677" s="53"/>
      <c r="N677" s="53"/>
      <c r="O677" s="53"/>
      <c r="P677" s="53"/>
      <c r="Q677" s="53"/>
      <c r="R677" s="53"/>
      <c r="S677" s="53"/>
      <c r="T677" s="53"/>
      <c r="U677" s="53"/>
      <c r="V677" s="53"/>
      <c r="W677" s="53"/>
      <c r="X677" s="53"/>
      <c r="Y677" s="53"/>
      <c r="Z677" s="53"/>
    </row>
    <row r="678">
      <c r="A678" s="53"/>
      <c r="B678" s="53"/>
      <c r="C678" s="53"/>
      <c r="D678" s="53"/>
      <c r="E678" s="53"/>
      <c r="F678" s="53"/>
      <c r="G678" s="54"/>
      <c r="H678" s="53"/>
      <c r="I678" s="53"/>
      <c r="J678" s="54"/>
      <c r="K678" s="53"/>
      <c r="L678" s="53"/>
      <c r="M678" s="53"/>
      <c r="N678" s="53"/>
      <c r="O678" s="53"/>
      <c r="P678" s="53"/>
      <c r="Q678" s="53"/>
      <c r="R678" s="53"/>
      <c r="S678" s="53"/>
      <c r="T678" s="53"/>
      <c r="U678" s="53"/>
      <c r="V678" s="53"/>
      <c r="W678" s="53"/>
      <c r="X678" s="53"/>
      <c r="Y678" s="53"/>
      <c r="Z678" s="53"/>
    </row>
    <row r="679">
      <c r="A679" s="53"/>
      <c r="B679" s="53"/>
      <c r="C679" s="53"/>
      <c r="D679" s="53"/>
      <c r="E679" s="53"/>
      <c r="F679" s="53"/>
      <c r="G679" s="54"/>
      <c r="H679" s="53"/>
      <c r="I679" s="53"/>
      <c r="J679" s="54"/>
      <c r="K679" s="53"/>
      <c r="L679" s="53"/>
      <c r="M679" s="53"/>
      <c r="N679" s="53"/>
      <c r="O679" s="53"/>
      <c r="P679" s="53"/>
      <c r="Q679" s="53"/>
      <c r="R679" s="53"/>
      <c r="S679" s="53"/>
      <c r="T679" s="53"/>
      <c r="U679" s="53"/>
      <c r="V679" s="53"/>
      <c r="W679" s="53"/>
      <c r="X679" s="53"/>
      <c r="Y679" s="53"/>
      <c r="Z679" s="53"/>
    </row>
    <row r="680">
      <c r="A680" s="53"/>
      <c r="B680" s="53"/>
      <c r="C680" s="53"/>
      <c r="D680" s="53"/>
      <c r="E680" s="53"/>
      <c r="F680" s="53"/>
      <c r="G680" s="54"/>
      <c r="H680" s="53"/>
      <c r="I680" s="53"/>
      <c r="J680" s="54"/>
      <c r="K680" s="53"/>
      <c r="L680" s="53"/>
      <c r="M680" s="53"/>
      <c r="N680" s="53"/>
      <c r="O680" s="53"/>
      <c r="P680" s="53"/>
      <c r="Q680" s="53"/>
      <c r="R680" s="53"/>
      <c r="S680" s="53"/>
      <c r="T680" s="53"/>
      <c r="U680" s="53"/>
      <c r="V680" s="53"/>
      <c r="W680" s="53"/>
      <c r="X680" s="53"/>
      <c r="Y680" s="53"/>
      <c r="Z680" s="53"/>
    </row>
    <row r="681">
      <c r="A681" s="53"/>
      <c r="B681" s="53"/>
      <c r="C681" s="53"/>
      <c r="D681" s="53"/>
      <c r="E681" s="53"/>
      <c r="F681" s="53"/>
      <c r="G681" s="54"/>
      <c r="H681" s="53"/>
      <c r="I681" s="53"/>
      <c r="J681" s="54"/>
      <c r="K681" s="53"/>
      <c r="L681" s="53"/>
      <c r="M681" s="53"/>
      <c r="N681" s="53"/>
      <c r="O681" s="53"/>
      <c r="P681" s="53"/>
      <c r="Q681" s="53"/>
      <c r="R681" s="53"/>
      <c r="S681" s="53"/>
      <c r="T681" s="53"/>
      <c r="U681" s="53"/>
      <c r="V681" s="53"/>
      <c r="W681" s="53"/>
      <c r="X681" s="53"/>
      <c r="Y681" s="53"/>
      <c r="Z681" s="53"/>
    </row>
    <row r="682">
      <c r="A682" s="53"/>
      <c r="B682" s="53"/>
      <c r="C682" s="53"/>
      <c r="D682" s="53"/>
      <c r="E682" s="53"/>
      <c r="F682" s="53"/>
      <c r="G682" s="54"/>
      <c r="H682" s="53"/>
      <c r="I682" s="53"/>
      <c r="J682" s="54"/>
      <c r="K682" s="53"/>
      <c r="L682" s="53"/>
      <c r="M682" s="53"/>
      <c r="N682" s="53"/>
      <c r="O682" s="53"/>
      <c r="P682" s="53"/>
      <c r="Q682" s="53"/>
      <c r="R682" s="53"/>
      <c r="S682" s="53"/>
      <c r="T682" s="53"/>
      <c r="U682" s="53"/>
      <c r="V682" s="53"/>
      <c r="W682" s="53"/>
      <c r="X682" s="53"/>
      <c r="Y682" s="53"/>
      <c r="Z682" s="53"/>
    </row>
    <row r="683">
      <c r="A683" s="53"/>
      <c r="B683" s="53"/>
      <c r="C683" s="53"/>
      <c r="D683" s="53"/>
      <c r="E683" s="53"/>
      <c r="F683" s="53"/>
      <c r="G683" s="54"/>
      <c r="H683" s="53"/>
      <c r="I683" s="53"/>
      <c r="J683" s="54"/>
      <c r="K683" s="53"/>
      <c r="L683" s="53"/>
      <c r="M683" s="53"/>
      <c r="N683" s="53"/>
      <c r="O683" s="53"/>
      <c r="P683" s="53"/>
      <c r="Q683" s="53"/>
      <c r="R683" s="53"/>
      <c r="S683" s="53"/>
      <c r="T683" s="53"/>
      <c r="U683" s="53"/>
      <c r="V683" s="53"/>
      <c r="W683" s="53"/>
      <c r="X683" s="53"/>
      <c r="Y683" s="53"/>
      <c r="Z683" s="53"/>
    </row>
    <row r="684">
      <c r="A684" s="53"/>
      <c r="B684" s="53"/>
      <c r="C684" s="53"/>
      <c r="D684" s="53"/>
      <c r="E684" s="53"/>
      <c r="F684" s="53"/>
      <c r="G684" s="54"/>
      <c r="H684" s="53"/>
      <c r="I684" s="53"/>
      <c r="J684" s="54"/>
      <c r="K684" s="53"/>
      <c r="L684" s="53"/>
      <c r="M684" s="53"/>
      <c r="N684" s="53"/>
      <c r="O684" s="53"/>
      <c r="P684" s="53"/>
      <c r="Q684" s="53"/>
      <c r="R684" s="53"/>
      <c r="S684" s="53"/>
      <c r="T684" s="53"/>
      <c r="U684" s="53"/>
      <c r="V684" s="53"/>
      <c r="W684" s="53"/>
      <c r="X684" s="53"/>
      <c r="Y684" s="53"/>
      <c r="Z684" s="53"/>
    </row>
    <row r="685">
      <c r="A685" s="53"/>
      <c r="B685" s="53"/>
      <c r="C685" s="53"/>
      <c r="D685" s="53"/>
      <c r="E685" s="53"/>
      <c r="F685" s="53"/>
      <c r="G685" s="54"/>
      <c r="H685" s="53"/>
      <c r="I685" s="53"/>
      <c r="J685" s="54"/>
      <c r="K685" s="53"/>
      <c r="L685" s="53"/>
      <c r="M685" s="53"/>
      <c r="N685" s="53"/>
      <c r="O685" s="53"/>
      <c r="P685" s="53"/>
      <c r="Q685" s="53"/>
      <c r="R685" s="53"/>
      <c r="S685" s="53"/>
      <c r="T685" s="53"/>
      <c r="U685" s="53"/>
      <c r="V685" s="53"/>
      <c r="W685" s="53"/>
      <c r="X685" s="53"/>
      <c r="Y685" s="53"/>
      <c r="Z685" s="53"/>
    </row>
    <row r="686">
      <c r="A686" s="53"/>
      <c r="B686" s="53"/>
      <c r="C686" s="53"/>
      <c r="D686" s="53"/>
      <c r="E686" s="53"/>
      <c r="F686" s="53"/>
      <c r="G686" s="54"/>
      <c r="H686" s="53"/>
      <c r="I686" s="53"/>
      <c r="J686" s="54"/>
      <c r="K686" s="53"/>
      <c r="L686" s="53"/>
      <c r="M686" s="53"/>
      <c r="N686" s="53"/>
      <c r="O686" s="53"/>
      <c r="P686" s="53"/>
      <c r="Q686" s="53"/>
      <c r="R686" s="53"/>
      <c r="S686" s="53"/>
      <c r="T686" s="53"/>
      <c r="U686" s="53"/>
      <c r="V686" s="53"/>
      <c r="W686" s="53"/>
      <c r="X686" s="53"/>
      <c r="Y686" s="53"/>
      <c r="Z686" s="53"/>
    </row>
    <row r="687">
      <c r="A687" s="53"/>
      <c r="B687" s="53"/>
      <c r="C687" s="53"/>
      <c r="D687" s="53"/>
      <c r="E687" s="53"/>
      <c r="F687" s="53"/>
      <c r="G687" s="54"/>
      <c r="H687" s="53"/>
      <c r="I687" s="53"/>
      <c r="J687" s="54"/>
      <c r="K687" s="53"/>
      <c r="L687" s="53"/>
      <c r="M687" s="53"/>
      <c r="N687" s="53"/>
      <c r="O687" s="53"/>
      <c r="P687" s="53"/>
      <c r="Q687" s="53"/>
      <c r="R687" s="53"/>
      <c r="S687" s="53"/>
      <c r="T687" s="53"/>
      <c r="U687" s="53"/>
      <c r="V687" s="53"/>
      <c r="W687" s="53"/>
      <c r="X687" s="53"/>
      <c r="Y687" s="53"/>
      <c r="Z687" s="53"/>
    </row>
    <row r="688">
      <c r="A688" s="53"/>
      <c r="B688" s="53"/>
      <c r="C688" s="53"/>
      <c r="D688" s="53"/>
      <c r="E688" s="53"/>
      <c r="F688" s="53"/>
      <c r="G688" s="54"/>
      <c r="H688" s="53"/>
      <c r="I688" s="53"/>
      <c r="J688" s="54"/>
      <c r="K688" s="53"/>
      <c r="L688" s="53"/>
      <c r="M688" s="53"/>
      <c r="N688" s="53"/>
      <c r="O688" s="53"/>
      <c r="P688" s="53"/>
      <c r="Q688" s="53"/>
      <c r="R688" s="53"/>
      <c r="S688" s="53"/>
      <c r="T688" s="53"/>
      <c r="U688" s="53"/>
      <c r="V688" s="53"/>
      <c r="W688" s="53"/>
      <c r="X688" s="53"/>
      <c r="Y688" s="53"/>
      <c r="Z688" s="53"/>
    </row>
    <row r="689">
      <c r="A689" s="53"/>
      <c r="B689" s="53"/>
      <c r="C689" s="53"/>
      <c r="D689" s="53"/>
      <c r="E689" s="53"/>
      <c r="F689" s="53"/>
      <c r="G689" s="54"/>
      <c r="H689" s="53"/>
      <c r="I689" s="53"/>
      <c r="J689" s="54"/>
      <c r="K689" s="53"/>
      <c r="L689" s="53"/>
      <c r="M689" s="53"/>
      <c r="N689" s="53"/>
      <c r="O689" s="53"/>
      <c r="P689" s="53"/>
      <c r="Q689" s="53"/>
      <c r="R689" s="53"/>
      <c r="S689" s="53"/>
      <c r="T689" s="53"/>
      <c r="U689" s="53"/>
      <c r="V689" s="53"/>
      <c r="W689" s="53"/>
      <c r="X689" s="53"/>
      <c r="Y689" s="53"/>
      <c r="Z689" s="53"/>
    </row>
    <row r="690">
      <c r="A690" s="53"/>
      <c r="B690" s="53"/>
      <c r="C690" s="53"/>
      <c r="D690" s="53"/>
      <c r="E690" s="53"/>
      <c r="F690" s="53"/>
      <c r="G690" s="54"/>
      <c r="H690" s="53"/>
      <c r="I690" s="53"/>
      <c r="J690" s="54"/>
      <c r="K690" s="53"/>
      <c r="L690" s="53"/>
      <c r="M690" s="53"/>
      <c r="N690" s="53"/>
      <c r="O690" s="53"/>
      <c r="P690" s="53"/>
      <c r="Q690" s="53"/>
      <c r="R690" s="53"/>
      <c r="S690" s="53"/>
      <c r="T690" s="53"/>
      <c r="U690" s="53"/>
      <c r="V690" s="53"/>
      <c r="W690" s="53"/>
      <c r="X690" s="53"/>
      <c r="Y690" s="53"/>
      <c r="Z690" s="53"/>
    </row>
    <row r="691">
      <c r="A691" s="53"/>
      <c r="B691" s="53"/>
      <c r="C691" s="53"/>
      <c r="D691" s="53"/>
      <c r="E691" s="53"/>
      <c r="F691" s="53"/>
      <c r="G691" s="54"/>
      <c r="H691" s="53"/>
      <c r="I691" s="53"/>
      <c r="J691" s="54"/>
      <c r="K691" s="53"/>
      <c r="L691" s="53"/>
      <c r="M691" s="53"/>
      <c r="N691" s="53"/>
      <c r="O691" s="53"/>
      <c r="P691" s="53"/>
      <c r="Q691" s="53"/>
      <c r="R691" s="53"/>
      <c r="S691" s="53"/>
      <c r="T691" s="53"/>
      <c r="U691" s="53"/>
      <c r="V691" s="53"/>
      <c r="W691" s="53"/>
      <c r="X691" s="53"/>
      <c r="Y691" s="53"/>
      <c r="Z691" s="53"/>
    </row>
    <row r="692">
      <c r="A692" s="53"/>
      <c r="B692" s="53"/>
      <c r="C692" s="53"/>
      <c r="D692" s="53"/>
      <c r="E692" s="53"/>
      <c r="F692" s="53"/>
      <c r="G692" s="54"/>
      <c r="H692" s="53"/>
      <c r="I692" s="53"/>
      <c r="J692" s="54"/>
      <c r="K692" s="53"/>
      <c r="L692" s="53"/>
      <c r="M692" s="53"/>
      <c r="N692" s="53"/>
      <c r="O692" s="53"/>
      <c r="P692" s="53"/>
      <c r="Q692" s="53"/>
      <c r="R692" s="53"/>
      <c r="S692" s="53"/>
      <c r="T692" s="53"/>
      <c r="U692" s="53"/>
      <c r="V692" s="53"/>
      <c r="W692" s="53"/>
      <c r="X692" s="53"/>
      <c r="Y692" s="53"/>
      <c r="Z692" s="53"/>
    </row>
    <row r="693">
      <c r="A693" s="53"/>
      <c r="B693" s="53"/>
      <c r="C693" s="53"/>
      <c r="D693" s="53"/>
      <c r="E693" s="53"/>
      <c r="F693" s="53"/>
      <c r="G693" s="54"/>
      <c r="H693" s="53"/>
      <c r="I693" s="53"/>
      <c r="J693" s="54"/>
      <c r="K693" s="53"/>
      <c r="L693" s="53"/>
      <c r="M693" s="53"/>
      <c r="N693" s="53"/>
      <c r="O693" s="53"/>
      <c r="P693" s="53"/>
      <c r="Q693" s="53"/>
      <c r="R693" s="53"/>
      <c r="S693" s="53"/>
      <c r="T693" s="53"/>
      <c r="U693" s="53"/>
      <c r="V693" s="53"/>
      <c r="W693" s="53"/>
      <c r="X693" s="53"/>
      <c r="Y693" s="53"/>
      <c r="Z693" s="53"/>
    </row>
    <row r="694">
      <c r="A694" s="53"/>
      <c r="B694" s="53"/>
      <c r="C694" s="53"/>
      <c r="D694" s="53"/>
      <c r="E694" s="53"/>
      <c r="F694" s="53"/>
      <c r="G694" s="54"/>
      <c r="H694" s="53"/>
      <c r="I694" s="53"/>
      <c r="J694" s="54"/>
      <c r="K694" s="53"/>
      <c r="L694" s="53"/>
      <c r="M694" s="53"/>
      <c r="N694" s="53"/>
      <c r="O694" s="53"/>
      <c r="P694" s="53"/>
      <c r="Q694" s="53"/>
      <c r="R694" s="53"/>
      <c r="S694" s="53"/>
      <c r="T694" s="53"/>
      <c r="U694" s="53"/>
      <c r="V694" s="53"/>
      <c r="W694" s="53"/>
      <c r="X694" s="53"/>
      <c r="Y694" s="53"/>
      <c r="Z694" s="53"/>
    </row>
    <row r="695">
      <c r="A695" s="53"/>
      <c r="B695" s="53"/>
      <c r="C695" s="53"/>
      <c r="D695" s="53"/>
      <c r="E695" s="53"/>
      <c r="F695" s="53"/>
      <c r="G695" s="54"/>
      <c r="H695" s="53"/>
      <c r="I695" s="53"/>
      <c r="J695" s="54"/>
      <c r="K695" s="53"/>
      <c r="L695" s="53"/>
      <c r="M695" s="53"/>
      <c r="N695" s="53"/>
      <c r="O695" s="53"/>
      <c r="P695" s="53"/>
      <c r="Q695" s="53"/>
      <c r="R695" s="53"/>
      <c r="S695" s="53"/>
      <c r="T695" s="53"/>
      <c r="U695" s="53"/>
      <c r="V695" s="53"/>
      <c r="W695" s="53"/>
      <c r="X695" s="53"/>
      <c r="Y695" s="53"/>
      <c r="Z695" s="53"/>
    </row>
    <row r="696">
      <c r="A696" s="53"/>
      <c r="B696" s="53"/>
      <c r="C696" s="53"/>
      <c r="D696" s="53"/>
      <c r="E696" s="53"/>
      <c r="F696" s="53"/>
      <c r="G696" s="54"/>
      <c r="H696" s="53"/>
      <c r="I696" s="53"/>
      <c r="J696" s="54"/>
      <c r="K696" s="53"/>
      <c r="L696" s="53"/>
      <c r="M696" s="53"/>
      <c r="N696" s="53"/>
      <c r="O696" s="53"/>
      <c r="P696" s="53"/>
      <c r="Q696" s="53"/>
      <c r="R696" s="53"/>
      <c r="S696" s="53"/>
      <c r="T696" s="53"/>
      <c r="U696" s="53"/>
      <c r="V696" s="53"/>
      <c r="W696" s="53"/>
      <c r="X696" s="53"/>
      <c r="Y696" s="53"/>
      <c r="Z696" s="53"/>
    </row>
    <row r="697">
      <c r="A697" s="53"/>
      <c r="B697" s="53"/>
      <c r="C697" s="53"/>
      <c r="D697" s="53"/>
      <c r="E697" s="53"/>
      <c r="F697" s="53"/>
      <c r="G697" s="54"/>
      <c r="H697" s="53"/>
      <c r="I697" s="53"/>
      <c r="J697" s="54"/>
      <c r="K697" s="53"/>
      <c r="L697" s="53"/>
      <c r="M697" s="53"/>
      <c r="N697" s="53"/>
      <c r="O697" s="53"/>
      <c r="P697" s="53"/>
      <c r="Q697" s="53"/>
      <c r="R697" s="53"/>
      <c r="S697" s="53"/>
      <c r="T697" s="53"/>
      <c r="U697" s="53"/>
      <c r="V697" s="53"/>
      <c r="W697" s="53"/>
      <c r="X697" s="53"/>
      <c r="Y697" s="53"/>
      <c r="Z697" s="53"/>
    </row>
    <row r="698">
      <c r="A698" s="53"/>
      <c r="B698" s="53"/>
      <c r="C698" s="53"/>
      <c r="D698" s="53"/>
      <c r="E698" s="53"/>
      <c r="F698" s="53"/>
      <c r="G698" s="54"/>
      <c r="H698" s="53"/>
      <c r="I698" s="53"/>
      <c r="J698" s="54"/>
      <c r="K698" s="53"/>
      <c r="L698" s="53"/>
      <c r="M698" s="53"/>
      <c r="N698" s="53"/>
      <c r="O698" s="53"/>
      <c r="P698" s="53"/>
      <c r="Q698" s="53"/>
      <c r="R698" s="53"/>
      <c r="S698" s="53"/>
      <c r="T698" s="53"/>
      <c r="U698" s="53"/>
      <c r="V698" s="53"/>
      <c r="W698" s="53"/>
      <c r="X698" s="53"/>
      <c r="Y698" s="53"/>
      <c r="Z698" s="53"/>
    </row>
    <row r="699">
      <c r="A699" s="53"/>
      <c r="B699" s="53"/>
      <c r="C699" s="53"/>
      <c r="D699" s="53"/>
      <c r="E699" s="53"/>
      <c r="F699" s="53"/>
      <c r="G699" s="54"/>
      <c r="H699" s="53"/>
      <c r="I699" s="53"/>
      <c r="J699" s="54"/>
      <c r="K699" s="53"/>
      <c r="L699" s="53"/>
      <c r="M699" s="53"/>
      <c r="N699" s="53"/>
      <c r="O699" s="53"/>
      <c r="P699" s="53"/>
      <c r="Q699" s="53"/>
      <c r="R699" s="53"/>
      <c r="S699" s="53"/>
      <c r="T699" s="53"/>
      <c r="U699" s="53"/>
      <c r="V699" s="53"/>
      <c r="W699" s="53"/>
      <c r="X699" s="53"/>
      <c r="Y699" s="53"/>
      <c r="Z699" s="53"/>
    </row>
    <row r="700">
      <c r="A700" s="53"/>
      <c r="B700" s="53"/>
      <c r="C700" s="53"/>
      <c r="D700" s="53"/>
      <c r="E700" s="53"/>
      <c r="F700" s="53"/>
      <c r="G700" s="54"/>
      <c r="H700" s="53"/>
      <c r="I700" s="53"/>
      <c r="J700" s="54"/>
      <c r="K700" s="53"/>
      <c r="L700" s="53"/>
      <c r="M700" s="53"/>
      <c r="N700" s="53"/>
      <c r="O700" s="53"/>
      <c r="P700" s="53"/>
      <c r="Q700" s="53"/>
      <c r="R700" s="53"/>
      <c r="S700" s="53"/>
      <c r="T700" s="53"/>
      <c r="U700" s="53"/>
      <c r="V700" s="53"/>
      <c r="W700" s="53"/>
      <c r="X700" s="53"/>
      <c r="Y700" s="53"/>
      <c r="Z700" s="53"/>
    </row>
    <row r="701">
      <c r="A701" s="53"/>
      <c r="B701" s="53"/>
      <c r="C701" s="53"/>
      <c r="D701" s="53"/>
      <c r="E701" s="53"/>
      <c r="F701" s="53"/>
      <c r="G701" s="54"/>
      <c r="H701" s="53"/>
      <c r="I701" s="53"/>
      <c r="J701" s="54"/>
      <c r="K701" s="53"/>
      <c r="L701" s="53"/>
      <c r="M701" s="53"/>
      <c r="N701" s="53"/>
      <c r="O701" s="53"/>
      <c r="P701" s="53"/>
      <c r="Q701" s="53"/>
      <c r="R701" s="53"/>
      <c r="S701" s="53"/>
      <c r="T701" s="53"/>
      <c r="U701" s="53"/>
      <c r="V701" s="53"/>
      <c r="W701" s="53"/>
      <c r="X701" s="53"/>
      <c r="Y701" s="53"/>
      <c r="Z701" s="53"/>
    </row>
    <row r="702">
      <c r="A702" s="53"/>
      <c r="B702" s="53"/>
      <c r="C702" s="53"/>
      <c r="D702" s="53"/>
      <c r="E702" s="53"/>
      <c r="F702" s="53"/>
      <c r="G702" s="54"/>
      <c r="H702" s="53"/>
      <c r="I702" s="53"/>
      <c r="J702" s="54"/>
      <c r="K702" s="53"/>
      <c r="L702" s="53"/>
      <c r="M702" s="53"/>
      <c r="N702" s="53"/>
      <c r="O702" s="53"/>
      <c r="P702" s="53"/>
      <c r="Q702" s="53"/>
      <c r="R702" s="53"/>
      <c r="S702" s="53"/>
      <c r="T702" s="53"/>
      <c r="U702" s="53"/>
      <c r="V702" s="53"/>
      <c r="W702" s="53"/>
      <c r="X702" s="53"/>
      <c r="Y702" s="53"/>
      <c r="Z702" s="53"/>
    </row>
    <row r="703">
      <c r="A703" s="53"/>
      <c r="B703" s="53"/>
      <c r="C703" s="53"/>
      <c r="D703" s="53"/>
      <c r="E703" s="53"/>
      <c r="F703" s="53"/>
      <c r="G703" s="54"/>
      <c r="H703" s="53"/>
      <c r="I703" s="53"/>
      <c r="J703" s="54"/>
      <c r="K703" s="53"/>
      <c r="L703" s="53"/>
      <c r="M703" s="53"/>
      <c r="N703" s="53"/>
      <c r="O703" s="53"/>
      <c r="P703" s="53"/>
      <c r="Q703" s="53"/>
      <c r="R703" s="53"/>
      <c r="S703" s="53"/>
      <c r="T703" s="53"/>
      <c r="U703" s="53"/>
      <c r="V703" s="53"/>
      <c r="W703" s="53"/>
      <c r="X703" s="53"/>
      <c r="Y703" s="53"/>
      <c r="Z703" s="53"/>
    </row>
    <row r="704">
      <c r="A704" s="53"/>
      <c r="B704" s="53"/>
      <c r="C704" s="53"/>
      <c r="D704" s="53"/>
      <c r="E704" s="53"/>
      <c r="F704" s="53"/>
      <c r="G704" s="54"/>
      <c r="H704" s="53"/>
      <c r="I704" s="53"/>
      <c r="J704" s="54"/>
      <c r="K704" s="53"/>
      <c r="L704" s="53"/>
      <c r="M704" s="53"/>
      <c r="N704" s="53"/>
      <c r="O704" s="53"/>
      <c r="P704" s="53"/>
      <c r="Q704" s="53"/>
      <c r="R704" s="53"/>
      <c r="S704" s="53"/>
      <c r="T704" s="53"/>
      <c r="U704" s="53"/>
      <c r="V704" s="53"/>
      <c r="W704" s="53"/>
      <c r="X704" s="53"/>
      <c r="Y704" s="53"/>
      <c r="Z704" s="53"/>
    </row>
    <row r="705">
      <c r="A705" s="53"/>
      <c r="B705" s="53"/>
      <c r="C705" s="53"/>
      <c r="D705" s="53"/>
      <c r="E705" s="53"/>
      <c r="F705" s="53"/>
      <c r="G705" s="54"/>
      <c r="H705" s="53"/>
      <c r="I705" s="53"/>
      <c r="J705" s="54"/>
      <c r="K705" s="53"/>
      <c r="L705" s="53"/>
      <c r="M705" s="53"/>
      <c r="N705" s="53"/>
      <c r="O705" s="53"/>
      <c r="P705" s="53"/>
      <c r="Q705" s="53"/>
      <c r="R705" s="53"/>
      <c r="S705" s="53"/>
      <c r="T705" s="53"/>
      <c r="U705" s="53"/>
      <c r="V705" s="53"/>
      <c r="W705" s="53"/>
      <c r="X705" s="53"/>
      <c r="Y705" s="53"/>
      <c r="Z705" s="53"/>
    </row>
    <row r="706">
      <c r="A706" s="53"/>
      <c r="B706" s="53"/>
      <c r="C706" s="53"/>
      <c r="D706" s="53"/>
      <c r="E706" s="53"/>
      <c r="F706" s="53"/>
      <c r="G706" s="54"/>
      <c r="H706" s="53"/>
      <c r="I706" s="53"/>
      <c r="J706" s="54"/>
      <c r="K706" s="53"/>
      <c r="L706" s="53"/>
      <c r="M706" s="53"/>
      <c r="N706" s="53"/>
      <c r="O706" s="53"/>
      <c r="P706" s="53"/>
      <c r="Q706" s="53"/>
      <c r="R706" s="53"/>
      <c r="S706" s="53"/>
      <c r="T706" s="53"/>
      <c r="U706" s="53"/>
      <c r="V706" s="53"/>
      <c r="W706" s="53"/>
      <c r="X706" s="53"/>
      <c r="Y706" s="53"/>
      <c r="Z706" s="53"/>
    </row>
    <row r="707">
      <c r="A707" s="53"/>
      <c r="B707" s="53"/>
      <c r="C707" s="53"/>
      <c r="D707" s="53"/>
      <c r="E707" s="53"/>
      <c r="F707" s="53"/>
      <c r="G707" s="54"/>
      <c r="H707" s="53"/>
      <c r="I707" s="53"/>
      <c r="J707" s="54"/>
      <c r="K707" s="53"/>
      <c r="L707" s="53"/>
      <c r="M707" s="53"/>
      <c r="N707" s="53"/>
      <c r="O707" s="53"/>
      <c r="P707" s="53"/>
      <c r="Q707" s="53"/>
      <c r="R707" s="53"/>
      <c r="S707" s="53"/>
      <c r="T707" s="53"/>
      <c r="U707" s="53"/>
      <c r="V707" s="53"/>
      <c r="W707" s="53"/>
      <c r="X707" s="53"/>
      <c r="Y707" s="53"/>
      <c r="Z707" s="53"/>
    </row>
    <row r="708">
      <c r="A708" s="53"/>
      <c r="B708" s="53"/>
      <c r="C708" s="53"/>
      <c r="D708" s="53"/>
      <c r="E708" s="53"/>
      <c r="F708" s="53"/>
      <c r="G708" s="54"/>
      <c r="H708" s="53"/>
      <c r="I708" s="53"/>
      <c r="J708" s="54"/>
      <c r="K708" s="53"/>
      <c r="L708" s="53"/>
      <c r="M708" s="53"/>
      <c r="N708" s="53"/>
      <c r="O708" s="53"/>
      <c r="P708" s="53"/>
      <c r="Q708" s="53"/>
      <c r="R708" s="53"/>
      <c r="S708" s="53"/>
      <c r="T708" s="53"/>
      <c r="U708" s="53"/>
      <c r="V708" s="53"/>
      <c r="W708" s="53"/>
      <c r="X708" s="53"/>
      <c r="Y708" s="53"/>
      <c r="Z708" s="53"/>
    </row>
    <row r="709">
      <c r="A709" s="53"/>
      <c r="B709" s="53"/>
      <c r="C709" s="53"/>
      <c r="D709" s="53"/>
      <c r="E709" s="53"/>
      <c r="F709" s="53"/>
      <c r="G709" s="54"/>
      <c r="H709" s="53"/>
      <c r="I709" s="53"/>
      <c r="J709" s="54"/>
      <c r="K709" s="53"/>
      <c r="L709" s="53"/>
      <c r="M709" s="53"/>
      <c r="N709" s="53"/>
      <c r="O709" s="53"/>
      <c r="P709" s="53"/>
      <c r="Q709" s="53"/>
      <c r="R709" s="53"/>
      <c r="S709" s="53"/>
      <c r="T709" s="53"/>
      <c r="U709" s="53"/>
      <c r="V709" s="53"/>
      <c r="W709" s="53"/>
      <c r="X709" s="53"/>
      <c r="Y709" s="53"/>
      <c r="Z709" s="53"/>
    </row>
    <row r="710">
      <c r="A710" s="53"/>
      <c r="B710" s="53"/>
      <c r="C710" s="53"/>
      <c r="D710" s="53"/>
      <c r="E710" s="53"/>
      <c r="F710" s="53"/>
      <c r="G710" s="54"/>
      <c r="H710" s="53"/>
      <c r="I710" s="53"/>
      <c r="J710" s="54"/>
      <c r="K710" s="53"/>
      <c r="L710" s="53"/>
      <c r="M710" s="53"/>
      <c r="N710" s="53"/>
      <c r="O710" s="53"/>
      <c r="P710" s="53"/>
      <c r="Q710" s="53"/>
      <c r="R710" s="53"/>
      <c r="S710" s="53"/>
      <c r="T710" s="53"/>
      <c r="U710" s="53"/>
      <c r="V710" s="53"/>
      <c r="W710" s="53"/>
      <c r="X710" s="53"/>
      <c r="Y710" s="53"/>
      <c r="Z710" s="53"/>
    </row>
    <row r="711">
      <c r="A711" s="53"/>
      <c r="B711" s="53"/>
      <c r="C711" s="53"/>
      <c r="D711" s="53"/>
      <c r="E711" s="53"/>
      <c r="F711" s="53"/>
      <c r="G711" s="54"/>
      <c r="H711" s="53"/>
      <c r="I711" s="53"/>
      <c r="J711" s="54"/>
      <c r="K711" s="53"/>
      <c r="L711" s="53"/>
      <c r="M711" s="53"/>
      <c r="N711" s="53"/>
      <c r="O711" s="53"/>
      <c r="P711" s="53"/>
      <c r="Q711" s="53"/>
      <c r="R711" s="53"/>
      <c r="S711" s="53"/>
      <c r="T711" s="53"/>
      <c r="U711" s="53"/>
      <c r="V711" s="53"/>
      <c r="W711" s="53"/>
      <c r="X711" s="53"/>
      <c r="Y711" s="53"/>
      <c r="Z711" s="53"/>
    </row>
    <row r="712">
      <c r="A712" s="53"/>
      <c r="B712" s="53"/>
      <c r="C712" s="53"/>
      <c r="D712" s="53"/>
      <c r="E712" s="53"/>
      <c r="F712" s="53"/>
      <c r="G712" s="54"/>
      <c r="H712" s="53"/>
      <c r="I712" s="53"/>
      <c r="J712" s="54"/>
      <c r="K712" s="53"/>
      <c r="L712" s="53"/>
      <c r="M712" s="53"/>
      <c r="N712" s="53"/>
      <c r="O712" s="53"/>
      <c r="P712" s="53"/>
      <c r="Q712" s="53"/>
      <c r="R712" s="53"/>
      <c r="S712" s="53"/>
      <c r="T712" s="53"/>
      <c r="U712" s="53"/>
      <c r="V712" s="53"/>
      <c r="W712" s="53"/>
      <c r="X712" s="53"/>
      <c r="Y712" s="53"/>
      <c r="Z712" s="53"/>
    </row>
    <row r="713">
      <c r="A713" s="53"/>
      <c r="B713" s="53"/>
      <c r="C713" s="53"/>
      <c r="D713" s="53"/>
      <c r="E713" s="53"/>
      <c r="F713" s="53"/>
      <c r="G713" s="54"/>
      <c r="H713" s="53"/>
      <c r="I713" s="53"/>
      <c r="J713" s="54"/>
      <c r="K713" s="53"/>
      <c r="L713" s="53"/>
      <c r="M713" s="53"/>
      <c r="N713" s="53"/>
      <c r="O713" s="53"/>
      <c r="P713" s="53"/>
      <c r="Q713" s="53"/>
      <c r="R713" s="53"/>
      <c r="S713" s="53"/>
      <c r="T713" s="53"/>
      <c r="U713" s="53"/>
      <c r="V713" s="53"/>
      <c r="W713" s="53"/>
      <c r="X713" s="53"/>
      <c r="Y713" s="53"/>
      <c r="Z713" s="53"/>
    </row>
    <row r="714">
      <c r="A714" s="53"/>
      <c r="B714" s="53"/>
      <c r="C714" s="53"/>
      <c r="D714" s="53"/>
      <c r="E714" s="53"/>
      <c r="F714" s="53"/>
      <c r="G714" s="54"/>
      <c r="H714" s="53"/>
      <c r="I714" s="53"/>
      <c r="J714" s="54"/>
      <c r="K714" s="53"/>
      <c r="L714" s="53"/>
      <c r="M714" s="53"/>
      <c r="N714" s="53"/>
      <c r="O714" s="53"/>
      <c r="P714" s="53"/>
      <c r="Q714" s="53"/>
      <c r="R714" s="53"/>
      <c r="S714" s="53"/>
      <c r="T714" s="53"/>
      <c r="U714" s="53"/>
      <c r="V714" s="53"/>
      <c r="W714" s="53"/>
      <c r="X714" s="53"/>
      <c r="Y714" s="53"/>
      <c r="Z714" s="53"/>
    </row>
    <row r="715">
      <c r="A715" s="53"/>
      <c r="B715" s="53"/>
      <c r="C715" s="53"/>
      <c r="D715" s="53"/>
      <c r="E715" s="53"/>
      <c r="F715" s="53"/>
      <c r="G715" s="54"/>
      <c r="H715" s="53"/>
      <c r="I715" s="53"/>
      <c r="J715" s="54"/>
      <c r="K715" s="53"/>
      <c r="L715" s="53"/>
      <c r="M715" s="53"/>
      <c r="N715" s="53"/>
      <c r="O715" s="53"/>
      <c r="P715" s="53"/>
      <c r="Q715" s="53"/>
      <c r="R715" s="53"/>
      <c r="S715" s="53"/>
      <c r="T715" s="53"/>
      <c r="U715" s="53"/>
      <c r="V715" s="53"/>
      <c r="W715" s="53"/>
      <c r="X715" s="53"/>
      <c r="Y715" s="53"/>
      <c r="Z715" s="53"/>
    </row>
    <row r="716">
      <c r="A716" s="53"/>
      <c r="B716" s="53"/>
      <c r="C716" s="53"/>
      <c r="D716" s="53"/>
      <c r="E716" s="53"/>
      <c r="F716" s="53"/>
      <c r="G716" s="54"/>
      <c r="H716" s="53"/>
      <c r="I716" s="53"/>
      <c r="J716" s="54"/>
      <c r="K716" s="53"/>
      <c r="L716" s="53"/>
      <c r="M716" s="53"/>
      <c r="N716" s="53"/>
      <c r="O716" s="53"/>
      <c r="P716" s="53"/>
      <c r="Q716" s="53"/>
      <c r="R716" s="53"/>
      <c r="S716" s="53"/>
      <c r="T716" s="53"/>
      <c r="U716" s="53"/>
      <c r="V716" s="53"/>
      <c r="W716" s="53"/>
      <c r="X716" s="53"/>
      <c r="Y716" s="53"/>
      <c r="Z716" s="53"/>
    </row>
    <row r="717">
      <c r="A717" s="53"/>
      <c r="B717" s="53"/>
      <c r="C717" s="53"/>
      <c r="D717" s="53"/>
      <c r="E717" s="53"/>
      <c r="F717" s="53"/>
      <c r="G717" s="54"/>
      <c r="H717" s="53"/>
      <c r="I717" s="53"/>
      <c r="J717" s="54"/>
      <c r="K717" s="53"/>
      <c r="L717" s="53"/>
      <c r="M717" s="53"/>
      <c r="N717" s="53"/>
      <c r="O717" s="53"/>
      <c r="P717" s="53"/>
      <c r="Q717" s="53"/>
      <c r="R717" s="53"/>
      <c r="S717" s="53"/>
      <c r="T717" s="53"/>
      <c r="U717" s="53"/>
      <c r="V717" s="53"/>
      <c r="W717" s="53"/>
      <c r="X717" s="53"/>
      <c r="Y717" s="53"/>
      <c r="Z717" s="53"/>
    </row>
    <row r="718">
      <c r="A718" s="53"/>
      <c r="B718" s="53"/>
      <c r="C718" s="53"/>
      <c r="D718" s="53"/>
      <c r="E718" s="53"/>
      <c r="F718" s="53"/>
      <c r="G718" s="54"/>
      <c r="H718" s="53"/>
      <c r="I718" s="53"/>
      <c r="J718" s="54"/>
      <c r="K718" s="53"/>
      <c r="L718" s="53"/>
      <c r="M718" s="53"/>
      <c r="N718" s="53"/>
      <c r="O718" s="53"/>
      <c r="P718" s="53"/>
      <c r="Q718" s="53"/>
      <c r="R718" s="53"/>
      <c r="S718" s="53"/>
      <c r="T718" s="53"/>
      <c r="U718" s="53"/>
      <c r="V718" s="53"/>
      <c r="W718" s="53"/>
      <c r="X718" s="53"/>
      <c r="Y718" s="53"/>
      <c r="Z718" s="53"/>
    </row>
    <row r="719">
      <c r="A719" s="53"/>
      <c r="B719" s="53"/>
      <c r="C719" s="53"/>
      <c r="D719" s="53"/>
      <c r="E719" s="53"/>
      <c r="F719" s="53"/>
      <c r="G719" s="54"/>
      <c r="H719" s="53"/>
      <c r="I719" s="53"/>
      <c r="J719" s="54"/>
      <c r="K719" s="53"/>
      <c r="L719" s="53"/>
      <c r="M719" s="53"/>
      <c r="N719" s="53"/>
      <c r="O719" s="53"/>
      <c r="P719" s="53"/>
      <c r="Q719" s="53"/>
      <c r="R719" s="53"/>
      <c r="S719" s="53"/>
      <c r="T719" s="53"/>
      <c r="U719" s="53"/>
      <c r="V719" s="53"/>
      <c r="W719" s="53"/>
      <c r="X719" s="53"/>
      <c r="Y719" s="53"/>
      <c r="Z719" s="53"/>
    </row>
    <row r="720">
      <c r="A720" s="53"/>
      <c r="B720" s="53"/>
      <c r="C720" s="53"/>
      <c r="D720" s="53"/>
      <c r="E720" s="53"/>
      <c r="F720" s="53"/>
      <c r="G720" s="54"/>
      <c r="H720" s="53"/>
      <c r="I720" s="53"/>
      <c r="J720" s="54"/>
      <c r="K720" s="53"/>
      <c r="L720" s="53"/>
      <c r="M720" s="53"/>
      <c r="N720" s="53"/>
      <c r="O720" s="53"/>
      <c r="P720" s="53"/>
      <c r="Q720" s="53"/>
      <c r="R720" s="53"/>
      <c r="S720" s="53"/>
      <c r="T720" s="53"/>
      <c r="U720" s="53"/>
      <c r="V720" s="53"/>
      <c r="W720" s="53"/>
      <c r="X720" s="53"/>
      <c r="Y720" s="53"/>
      <c r="Z720" s="53"/>
    </row>
    <row r="721">
      <c r="A721" s="53"/>
      <c r="B721" s="53"/>
      <c r="C721" s="53"/>
      <c r="D721" s="53"/>
      <c r="E721" s="53"/>
      <c r="F721" s="53"/>
      <c r="G721" s="54"/>
      <c r="H721" s="53"/>
      <c r="I721" s="53"/>
      <c r="J721" s="54"/>
      <c r="K721" s="53"/>
      <c r="L721" s="53"/>
      <c r="M721" s="53"/>
      <c r="N721" s="53"/>
      <c r="O721" s="53"/>
      <c r="P721" s="53"/>
      <c r="Q721" s="53"/>
      <c r="R721" s="53"/>
      <c r="S721" s="53"/>
      <c r="T721" s="53"/>
      <c r="U721" s="53"/>
      <c r="V721" s="53"/>
      <c r="W721" s="53"/>
      <c r="X721" s="53"/>
      <c r="Y721" s="53"/>
      <c r="Z721" s="53"/>
    </row>
    <row r="722">
      <c r="A722" s="53"/>
      <c r="B722" s="53"/>
      <c r="C722" s="53"/>
      <c r="D722" s="53"/>
      <c r="E722" s="53"/>
      <c r="F722" s="53"/>
      <c r="G722" s="54"/>
      <c r="H722" s="53"/>
      <c r="I722" s="53"/>
      <c r="J722" s="54"/>
      <c r="K722" s="53"/>
      <c r="L722" s="53"/>
      <c r="M722" s="53"/>
      <c r="N722" s="53"/>
      <c r="O722" s="53"/>
      <c r="P722" s="53"/>
      <c r="Q722" s="53"/>
      <c r="R722" s="53"/>
      <c r="S722" s="53"/>
      <c r="T722" s="53"/>
      <c r="U722" s="53"/>
      <c r="V722" s="53"/>
      <c r="W722" s="53"/>
      <c r="X722" s="53"/>
      <c r="Y722" s="53"/>
      <c r="Z722" s="53"/>
    </row>
    <row r="723">
      <c r="A723" s="53"/>
      <c r="B723" s="53"/>
      <c r="C723" s="53"/>
      <c r="D723" s="53"/>
      <c r="E723" s="53"/>
      <c r="F723" s="53"/>
      <c r="G723" s="54"/>
      <c r="H723" s="53"/>
      <c r="I723" s="53"/>
      <c r="J723" s="54"/>
      <c r="K723" s="53"/>
      <c r="L723" s="53"/>
      <c r="M723" s="53"/>
      <c r="N723" s="53"/>
      <c r="O723" s="53"/>
      <c r="P723" s="53"/>
      <c r="Q723" s="53"/>
      <c r="R723" s="53"/>
      <c r="S723" s="53"/>
      <c r="T723" s="53"/>
      <c r="U723" s="53"/>
      <c r="V723" s="53"/>
      <c r="W723" s="53"/>
      <c r="X723" s="53"/>
      <c r="Y723" s="53"/>
      <c r="Z723" s="53"/>
    </row>
    <row r="724">
      <c r="A724" s="53"/>
      <c r="B724" s="53"/>
      <c r="C724" s="53"/>
      <c r="D724" s="53"/>
      <c r="E724" s="53"/>
      <c r="F724" s="53"/>
      <c r="G724" s="54"/>
      <c r="H724" s="53"/>
      <c r="I724" s="53"/>
      <c r="J724" s="54"/>
      <c r="K724" s="53"/>
      <c r="L724" s="53"/>
      <c r="M724" s="53"/>
      <c r="N724" s="53"/>
      <c r="O724" s="53"/>
      <c r="P724" s="53"/>
      <c r="Q724" s="53"/>
      <c r="R724" s="53"/>
      <c r="S724" s="53"/>
      <c r="T724" s="53"/>
      <c r="U724" s="53"/>
      <c r="V724" s="53"/>
      <c r="W724" s="53"/>
      <c r="X724" s="53"/>
      <c r="Y724" s="53"/>
      <c r="Z724" s="53"/>
    </row>
    <row r="725">
      <c r="A725" s="53"/>
      <c r="B725" s="53"/>
      <c r="C725" s="53"/>
      <c r="D725" s="53"/>
      <c r="E725" s="53"/>
      <c r="F725" s="53"/>
      <c r="G725" s="54"/>
      <c r="H725" s="53"/>
      <c r="I725" s="53"/>
      <c r="J725" s="54"/>
      <c r="K725" s="53"/>
      <c r="L725" s="53"/>
      <c r="M725" s="53"/>
      <c r="N725" s="53"/>
      <c r="O725" s="53"/>
      <c r="P725" s="53"/>
      <c r="Q725" s="53"/>
      <c r="R725" s="53"/>
      <c r="S725" s="53"/>
      <c r="T725" s="53"/>
      <c r="U725" s="53"/>
      <c r="V725" s="53"/>
      <c r="W725" s="53"/>
      <c r="X725" s="53"/>
      <c r="Y725" s="53"/>
      <c r="Z725" s="53"/>
    </row>
    <row r="726">
      <c r="A726" s="53"/>
      <c r="B726" s="53"/>
      <c r="C726" s="53"/>
      <c r="D726" s="53"/>
      <c r="E726" s="53"/>
      <c r="F726" s="53"/>
      <c r="G726" s="54"/>
      <c r="H726" s="53"/>
      <c r="I726" s="53"/>
      <c r="J726" s="54"/>
      <c r="K726" s="53"/>
      <c r="L726" s="53"/>
      <c r="M726" s="53"/>
      <c r="N726" s="53"/>
      <c r="O726" s="53"/>
      <c r="P726" s="53"/>
      <c r="Q726" s="53"/>
      <c r="R726" s="53"/>
      <c r="S726" s="53"/>
      <c r="T726" s="53"/>
      <c r="U726" s="53"/>
      <c r="V726" s="53"/>
      <c r="W726" s="53"/>
      <c r="X726" s="53"/>
      <c r="Y726" s="53"/>
      <c r="Z726" s="53"/>
    </row>
    <row r="727">
      <c r="A727" s="53"/>
      <c r="B727" s="53"/>
      <c r="C727" s="53"/>
      <c r="D727" s="53"/>
      <c r="E727" s="53"/>
      <c r="F727" s="53"/>
      <c r="G727" s="54"/>
      <c r="H727" s="53"/>
      <c r="I727" s="53"/>
      <c r="J727" s="54"/>
      <c r="K727" s="53"/>
      <c r="L727" s="53"/>
      <c r="M727" s="53"/>
      <c r="N727" s="53"/>
      <c r="O727" s="53"/>
      <c r="P727" s="53"/>
      <c r="Q727" s="53"/>
      <c r="R727" s="53"/>
      <c r="S727" s="53"/>
      <c r="T727" s="53"/>
      <c r="U727" s="53"/>
      <c r="V727" s="53"/>
      <c r="W727" s="53"/>
      <c r="X727" s="53"/>
      <c r="Y727" s="53"/>
      <c r="Z727" s="53"/>
    </row>
    <row r="728">
      <c r="A728" s="53"/>
      <c r="B728" s="53"/>
      <c r="C728" s="53"/>
      <c r="D728" s="53"/>
      <c r="E728" s="53"/>
      <c r="F728" s="53"/>
      <c r="G728" s="54"/>
      <c r="H728" s="53"/>
      <c r="I728" s="53"/>
      <c r="J728" s="54"/>
      <c r="K728" s="53"/>
      <c r="L728" s="53"/>
      <c r="M728" s="53"/>
      <c r="N728" s="53"/>
      <c r="O728" s="53"/>
      <c r="P728" s="53"/>
      <c r="Q728" s="53"/>
      <c r="R728" s="53"/>
      <c r="S728" s="53"/>
      <c r="T728" s="53"/>
      <c r="U728" s="53"/>
      <c r="V728" s="53"/>
      <c r="W728" s="53"/>
      <c r="X728" s="53"/>
      <c r="Y728" s="53"/>
      <c r="Z728" s="53"/>
    </row>
    <row r="729">
      <c r="A729" s="53"/>
      <c r="B729" s="53"/>
      <c r="C729" s="53"/>
      <c r="D729" s="53"/>
      <c r="E729" s="53"/>
      <c r="F729" s="53"/>
      <c r="G729" s="54"/>
      <c r="H729" s="53"/>
      <c r="I729" s="53"/>
      <c r="J729" s="54"/>
      <c r="K729" s="53"/>
      <c r="L729" s="53"/>
      <c r="M729" s="53"/>
      <c r="N729" s="53"/>
      <c r="O729" s="53"/>
      <c r="P729" s="53"/>
      <c r="Q729" s="53"/>
      <c r="R729" s="53"/>
      <c r="S729" s="53"/>
      <c r="T729" s="53"/>
      <c r="U729" s="53"/>
      <c r="V729" s="53"/>
      <c r="W729" s="53"/>
      <c r="X729" s="53"/>
      <c r="Y729" s="53"/>
      <c r="Z729" s="53"/>
    </row>
    <row r="730">
      <c r="A730" s="53"/>
      <c r="B730" s="53"/>
      <c r="C730" s="53"/>
      <c r="D730" s="53"/>
      <c r="E730" s="53"/>
      <c r="F730" s="53"/>
      <c r="G730" s="54"/>
      <c r="H730" s="53"/>
      <c r="I730" s="53"/>
      <c r="J730" s="54"/>
      <c r="K730" s="53"/>
      <c r="L730" s="53"/>
      <c r="M730" s="53"/>
      <c r="N730" s="53"/>
      <c r="O730" s="53"/>
      <c r="P730" s="53"/>
      <c r="Q730" s="53"/>
      <c r="R730" s="53"/>
      <c r="S730" s="53"/>
      <c r="T730" s="53"/>
      <c r="U730" s="53"/>
      <c r="V730" s="53"/>
      <c r="W730" s="53"/>
      <c r="X730" s="53"/>
      <c r="Y730" s="53"/>
      <c r="Z730" s="53"/>
    </row>
    <row r="731">
      <c r="A731" s="53"/>
      <c r="B731" s="53"/>
      <c r="C731" s="53"/>
      <c r="D731" s="53"/>
      <c r="E731" s="53"/>
      <c r="F731" s="53"/>
      <c r="G731" s="54"/>
      <c r="H731" s="53"/>
      <c r="I731" s="53"/>
      <c r="J731" s="54"/>
      <c r="K731" s="53"/>
      <c r="L731" s="53"/>
      <c r="M731" s="53"/>
      <c r="N731" s="53"/>
      <c r="O731" s="53"/>
      <c r="P731" s="53"/>
      <c r="Q731" s="53"/>
      <c r="R731" s="53"/>
      <c r="S731" s="53"/>
      <c r="T731" s="53"/>
      <c r="U731" s="53"/>
      <c r="V731" s="53"/>
      <c r="W731" s="53"/>
      <c r="X731" s="53"/>
      <c r="Y731" s="53"/>
      <c r="Z731" s="53"/>
    </row>
    <row r="732">
      <c r="A732" s="53"/>
      <c r="B732" s="53"/>
      <c r="C732" s="53"/>
      <c r="D732" s="53"/>
      <c r="E732" s="53"/>
      <c r="F732" s="53"/>
      <c r="G732" s="54"/>
      <c r="H732" s="53"/>
      <c r="I732" s="53"/>
      <c r="J732" s="54"/>
      <c r="K732" s="53"/>
      <c r="L732" s="53"/>
      <c r="M732" s="53"/>
      <c r="N732" s="53"/>
      <c r="O732" s="53"/>
      <c r="P732" s="53"/>
      <c r="Q732" s="53"/>
      <c r="R732" s="53"/>
      <c r="S732" s="53"/>
      <c r="T732" s="53"/>
      <c r="U732" s="53"/>
      <c r="V732" s="53"/>
      <c r="W732" s="53"/>
      <c r="X732" s="53"/>
      <c r="Y732" s="53"/>
      <c r="Z732" s="53"/>
    </row>
    <row r="733">
      <c r="A733" s="53"/>
      <c r="B733" s="53"/>
      <c r="C733" s="53"/>
      <c r="D733" s="53"/>
      <c r="E733" s="53"/>
      <c r="F733" s="53"/>
      <c r="G733" s="54"/>
      <c r="H733" s="53"/>
      <c r="I733" s="53"/>
      <c r="J733" s="54"/>
      <c r="K733" s="53"/>
      <c r="L733" s="53"/>
      <c r="M733" s="53"/>
      <c r="N733" s="53"/>
      <c r="O733" s="53"/>
      <c r="P733" s="53"/>
      <c r="Q733" s="53"/>
      <c r="R733" s="53"/>
      <c r="S733" s="53"/>
      <c r="T733" s="53"/>
      <c r="U733" s="53"/>
      <c r="V733" s="53"/>
      <c r="W733" s="53"/>
      <c r="X733" s="53"/>
      <c r="Y733" s="53"/>
      <c r="Z733" s="53"/>
    </row>
    <row r="734">
      <c r="A734" s="53"/>
      <c r="B734" s="53"/>
      <c r="C734" s="53"/>
      <c r="D734" s="53"/>
      <c r="E734" s="53"/>
      <c r="F734" s="53"/>
      <c r="G734" s="54"/>
      <c r="H734" s="53"/>
      <c r="I734" s="53"/>
      <c r="J734" s="54"/>
      <c r="K734" s="53"/>
      <c r="L734" s="53"/>
      <c r="M734" s="53"/>
      <c r="N734" s="53"/>
      <c r="O734" s="53"/>
      <c r="P734" s="53"/>
      <c r="Q734" s="53"/>
      <c r="R734" s="53"/>
      <c r="S734" s="53"/>
      <c r="T734" s="53"/>
      <c r="U734" s="53"/>
      <c r="V734" s="53"/>
      <c r="W734" s="53"/>
      <c r="X734" s="53"/>
      <c r="Y734" s="53"/>
      <c r="Z734" s="53"/>
    </row>
    <row r="735">
      <c r="A735" s="53"/>
      <c r="B735" s="53"/>
      <c r="C735" s="53"/>
      <c r="D735" s="53"/>
      <c r="E735" s="53"/>
      <c r="F735" s="53"/>
      <c r="G735" s="54"/>
      <c r="H735" s="53"/>
      <c r="I735" s="53"/>
      <c r="J735" s="54"/>
      <c r="K735" s="53"/>
      <c r="L735" s="53"/>
      <c r="M735" s="53"/>
      <c r="N735" s="53"/>
      <c r="O735" s="53"/>
      <c r="P735" s="53"/>
      <c r="Q735" s="53"/>
      <c r="R735" s="53"/>
      <c r="S735" s="53"/>
      <c r="T735" s="53"/>
      <c r="U735" s="53"/>
      <c r="V735" s="53"/>
      <c r="W735" s="53"/>
      <c r="X735" s="53"/>
      <c r="Y735" s="53"/>
      <c r="Z735" s="53"/>
    </row>
    <row r="736">
      <c r="A736" s="53"/>
      <c r="B736" s="53"/>
      <c r="C736" s="53"/>
      <c r="D736" s="53"/>
      <c r="E736" s="53"/>
      <c r="F736" s="53"/>
      <c r="G736" s="54"/>
      <c r="H736" s="53"/>
      <c r="I736" s="53"/>
      <c r="J736" s="54"/>
      <c r="K736" s="53"/>
      <c r="L736" s="53"/>
      <c r="M736" s="53"/>
      <c r="N736" s="53"/>
      <c r="O736" s="53"/>
      <c r="P736" s="53"/>
      <c r="Q736" s="53"/>
      <c r="R736" s="53"/>
      <c r="S736" s="53"/>
      <c r="T736" s="53"/>
      <c r="U736" s="53"/>
      <c r="V736" s="53"/>
      <c r="W736" s="53"/>
      <c r="X736" s="53"/>
      <c r="Y736" s="53"/>
      <c r="Z736" s="53"/>
    </row>
    <row r="737">
      <c r="A737" s="53"/>
      <c r="B737" s="53"/>
      <c r="C737" s="53"/>
      <c r="D737" s="53"/>
      <c r="E737" s="53"/>
      <c r="F737" s="53"/>
      <c r="G737" s="54"/>
      <c r="H737" s="53"/>
      <c r="I737" s="53"/>
      <c r="J737" s="54"/>
      <c r="K737" s="53"/>
      <c r="L737" s="53"/>
      <c r="M737" s="53"/>
      <c r="N737" s="53"/>
      <c r="O737" s="53"/>
      <c r="P737" s="53"/>
      <c r="Q737" s="53"/>
      <c r="R737" s="53"/>
      <c r="S737" s="53"/>
      <c r="T737" s="53"/>
      <c r="U737" s="53"/>
      <c r="V737" s="53"/>
      <c r="W737" s="53"/>
      <c r="X737" s="53"/>
      <c r="Y737" s="53"/>
      <c r="Z737" s="53"/>
    </row>
    <row r="738">
      <c r="A738" s="53"/>
      <c r="B738" s="53"/>
      <c r="C738" s="53"/>
      <c r="D738" s="53"/>
      <c r="E738" s="53"/>
      <c r="F738" s="53"/>
      <c r="G738" s="54"/>
      <c r="H738" s="53"/>
      <c r="I738" s="53"/>
      <c r="J738" s="54"/>
      <c r="K738" s="53"/>
      <c r="L738" s="53"/>
      <c r="M738" s="53"/>
      <c r="N738" s="53"/>
      <c r="O738" s="53"/>
      <c r="P738" s="53"/>
      <c r="Q738" s="53"/>
      <c r="R738" s="53"/>
      <c r="S738" s="53"/>
      <c r="T738" s="53"/>
      <c r="U738" s="53"/>
      <c r="V738" s="53"/>
      <c r="W738" s="53"/>
      <c r="X738" s="53"/>
      <c r="Y738" s="53"/>
      <c r="Z738" s="53"/>
    </row>
    <row r="739">
      <c r="A739" s="53"/>
      <c r="B739" s="53"/>
      <c r="C739" s="53"/>
      <c r="D739" s="53"/>
      <c r="E739" s="53"/>
      <c r="F739" s="53"/>
      <c r="G739" s="54"/>
      <c r="H739" s="53"/>
      <c r="I739" s="53"/>
      <c r="J739" s="54"/>
      <c r="K739" s="53"/>
      <c r="L739" s="53"/>
      <c r="M739" s="53"/>
      <c r="N739" s="53"/>
      <c r="O739" s="53"/>
      <c r="P739" s="53"/>
      <c r="Q739" s="53"/>
      <c r="R739" s="53"/>
      <c r="S739" s="53"/>
      <c r="T739" s="53"/>
      <c r="U739" s="53"/>
      <c r="V739" s="53"/>
      <c r="W739" s="53"/>
      <c r="X739" s="53"/>
      <c r="Y739" s="53"/>
      <c r="Z739" s="53"/>
    </row>
    <row r="740">
      <c r="A740" s="53"/>
      <c r="B740" s="53"/>
      <c r="C740" s="53"/>
      <c r="D740" s="53"/>
      <c r="E740" s="53"/>
      <c r="F740" s="53"/>
      <c r="G740" s="54"/>
      <c r="H740" s="53"/>
      <c r="I740" s="53"/>
      <c r="J740" s="54"/>
      <c r="K740" s="53"/>
      <c r="L740" s="53"/>
      <c r="M740" s="53"/>
      <c r="N740" s="53"/>
      <c r="O740" s="53"/>
      <c r="P740" s="53"/>
      <c r="Q740" s="53"/>
      <c r="R740" s="53"/>
      <c r="S740" s="53"/>
      <c r="T740" s="53"/>
      <c r="U740" s="53"/>
      <c r="V740" s="53"/>
      <c r="W740" s="53"/>
      <c r="X740" s="53"/>
      <c r="Y740" s="53"/>
      <c r="Z740" s="53"/>
    </row>
    <row r="741">
      <c r="A741" s="53"/>
      <c r="B741" s="53"/>
      <c r="C741" s="53"/>
      <c r="D741" s="53"/>
      <c r="E741" s="53"/>
      <c r="F741" s="53"/>
      <c r="G741" s="54"/>
      <c r="H741" s="53"/>
      <c r="I741" s="53"/>
      <c r="J741" s="54"/>
      <c r="K741" s="53"/>
      <c r="L741" s="53"/>
      <c r="M741" s="53"/>
      <c r="N741" s="53"/>
      <c r="O741" s="53"/>
      <c r="P741" s="53"/>
      <c r="Q741" s="53"/>
      <c r="R741" s="53"/>
      <c r="S741" s="53"/>
      <c r="T741" s="53"/>
      <c r="U741" s="53"/>
      <c r="V741" s="53"/>
      <c r="W741" s="53"/>
      <c r="X741" s="53"/>
      <c r="Y741" s="53"/>
      <c r="Z741" s="53"/>
    </row>
    <row r="742">
      <c r="A742" s="53"/>
      <c r="B742" s="53"/>
      <c r="C742" s="53"/>
      <c r="D742" s="53"/>
      <c r="E742" s="53"/>
      <c r="F742" s="53"/>
      <c r="G742" s="54"/>
      <c r="H742" s="53"/>
      <c r="I742" s="53"/>
      <c r="J742" s="54"/>
      <c r="K742" s="53"/>
      <c r="L742" s="53"/>
      <c r="M742" s="53"/>
      <c r="N742" s="53"/>
      <c r="O742" s="53"/>
      <c r="P742" s="53"/>
      <c r="Q742" s="53"/>
      <c r="R742" s="53"/>
      <c r="S742" s="53"/>
      <c r="T742" s="53"/>
      <c r="U742" s="53"/>
      <c r="V742" s="53"/>
      <c r="W742" s="53"/>
      <c r="X742" s="53"/>
      <c r="Y742" s="53"/>
      <c r="Z742" s="53"/>
    </row>
    <row r="743">
      <c r="A743" s="53"/>
      <c r="B743" s="53"/>
      <c r="C743" s="53"/>
      <c r="D743" s="53"/>
      <c r="E743" s="53"/>
      <c r="F743" s="53"/>
      <c r="G743" s="54"/>
      <c r="H743" s="53"/>
      <c r="I743" s="53"/>
      <c r="J743" s="54"/>
      <c r="K743" s="53"/>
      <c r="L743" s="53"/>
      <c r="M743" s="53"/>
      <c r="N743" s="53"/>
      <c r="O743" s="53"/>
      <c r="P743" s="53"/>
      <c r="Q743" s="53"/>
      <c r="R743" s="53"/>
      <c r="S743" s="53"/>
      <c r="T743" s="53"/>
      <c r="U743" s="53"/>
      <c r="V743" s="53"/>
      <c r="W743" s="53"/>
      <c r="X743" s="53"/>
      <c r="Y743" s="53"/>
      <c r="Z743" s="53"/>
    </row>
    <row r="744">
      <c r="A744" s="53"/>
      <c r="B744" s="53"/>
      <c r="C744" s="53"/>
      <c r="D744" s="53"/>
      <c r="E744" s="53"/>
      <c r="F744" s="53"/>
      <c r="G744" s="54"/>
      <c r="H744" s="53"/>
      <c r="I744" s="53"/>
      <c r="J744" s="54"/>
      <c r="K744" s="53"/>
      <c r="L744" s="53"/>
      <c r="M744" s="53"/>
      <c r="N744" s="53"/>
      <c r="O744" s="53"/>
      <c r="P744" s="53"/>
      <c r="Q744" s="53"/>
      <c r="R744" s="53"/>
      <c r="S744" s="53"/>
      <c r="T744" s="53"/>
      <c r="U744" s="53"/>
      <c r="V744" s="53"/>
      <c r="W744" s="53"/>
      <c r="X744" s="53"/>
      <c r="Y744" s="53"/>
      <c r="Z744" s="53"/>
    </row>
    <row r="745">
      <c r="A745" s="53"/>
      <c r="B745" s="53"/>
      <c r="C745" s="53"/>
      <c r="D745" s="53"/>
      <c r="E745" s="53"/>
      <c r="F745" s="53"/>
      <c r="G745" s="54"/>
      <c r="H745" s="53"/>
      <c r="I745" s="53"/>
      <c r="J745" s="54"/>
      <c r="K745" s="53"/>
      <c r="L745" s="53"/>
      <c r="M745" s="53"/>
      <c r="N745" s="53"/>
      <c r="O745" s="53"/>
      <c r="P745" s="53"/>
      <c r="Q745" s="53"/>
      <c r="R745" s="53"/>
      <c r="S745" s="53"/>
      <c r="T745" s="53"/>
      <c r="U745" s="53"/>
      <c r="V745" s="53"/>
      <c r="W745" s="53"/>
      <c r="X745" s="53"/>
      <c r="Y745" s="53"/>
      <c r="Z745" s="53"/>
    </row>
    <row r="746">
      <c r="A746" s="53"/>
      <c r="B746" s="53"/>
      <c r="C746" s="53"/>
      <c r="D746" s="53"/>
      <c r="E746" s="53"/>
      <c r="F746" s="53"/>
      <c r="G746" s="54"/>
      <c r="H746" s="53"/>
      <c r="I746" s="53"/>
      <c r="J746" s="54"/>
      <c r="K746" s="53"/>
      <c r="L746" s="53"/>
      <c r="M746" s="53"/>
      <c r="N746" s="53"/>
      <c r="O746" s="53"/>
      <c r="P746" s="53"/>
      <c r="Q746" s="53"/>
      <c r="R746" s="53"/>
      <c r="S746" s="53"/>
      <c r="T746" s="53"/>
      <c r="U746" s="53"/>
      <c r="V746" s="53"/>
      <c r="W746" s="53"/>
      <c r="X746" s="53"/>
      <c r="Y746" s="53"/>
      <c r="Z746" s="53"/>
    </row>
    <row r="747">
      <c r="A747" s="53"/>
      <c r="B747" s="53"/>
      <c r="C747" s="53"/>
      <c r="D747" s="53"/>
      <c r="E747" s="53"/>
      <c r="F747" s="53"/>
      <c r="G747" s="54"/>
      <c r="H747" s="53"/>
      <c r="I747" s="53"/>
      <c r="J747" s="54"/>
      <c r="K747" s="53"/>
      <c r="L747" s="53"/>
      <c r="M747" s="53"/>
      <c r="N747" s="53"/>
      <c r="O747" s="53"/>
      <c r="P747" s="53"/>
      <c r="Q747" s="53"/>
      <c r="R747" s="53"/>
      <c r="S747" s="53"/>
      <c r="T747" s="53"/>
      <c r="U747" s="53"/>
      <c r="V747" s="53"/>
      <c r="W747" s="53"/>
      <c r="X747" s="53"/>
      <c r="Y747" s="53"/>
      <c r="Z747" s="53"/>
    </row>
    <row r="748">
      <c r="A748" s="53"/>
      <c r="B748" s="53"/>
      <c r="C748" s="53"/>
      <c r="D748" s="53"/>
      <c r="E748" s="53"/>
      <c r="F748" s="53"/>
      <c r="G748" s="54"/>
      <c r="H748" s="53"/>
      <c r="I748" s="53"/>
      <c r="J748" s="54"/>
      <c r="K748" s="53"/>
      <c r="L748" s="53"/>
      <c r="M748" s="53"/>
      <c r="N748" s="53"/>
      <c r="O748" s="53"/>
      <c r="P748" s="53"/>
      <c r="Q748" s="53"/>
      <c r="R748" s="53"/>
      <c r="S748" s="53"/>
      <c r="T748" s="53"/>
      <c r="U748" s="53"/>
      <c r="V748" s="53"/>
      <c r="W748" s="53"/>
      <c r="X748" s="53"/>
      <c r="Y748" s="53"/>
      <c r="Z748" s="53"/>
    </row>
    <row r="749">
      <c r="A749" s="53"/>
      <c r="B749" s="53"/>
      <c r="C749" s="53"/>
      <c r="D749" s="53"/>
      <c r="E749" s="53"/>
      <c r="F749" s="53"/>
      <c r="G749" s="54"/>
      <c r="H749" s="53"/>
      <c r="I749" s="53"/>
      <c r="J749" s="54"/>
      <c r="K749" s="53"/>
      <c r="L749" s="53"/>
      <c r="M749" s="53"/>
      <c r="N749" s="53"/>
      <c r="O749" s="53"/>
      <c r="P749" s="53"/>
      <c r="Q749" s="53"/>
      <c r="R749" s="53"/>
      <c r="S749" s="53"/>
      <c r="T749" s="53"/>
      <c r="U749" s="53"/>
      <c r="V749" s="53"/>
      <c r="W749" s="53"/>
      <c r="X749" s="53"/>
      <c r="Y749" s="53"/>
      <c r="Z749" s="53"/>
    </row>
    <row r="750">
      <c r="A750" s="53"/>
      <c r="B750" s="53"/>
      <c r="C750" s="53"/>
      <c r="D750" s="53"/>
      <c r="E750" s="53"/>
      <c r="F750" s="53"/>
      <c r="G750" s="54"/>
      <c r="H750" s="53"/>
      <c r="I750" s="53"/>
      <c r="J750" s="54"/>
      <c r="K750" s="53"/>
      <c r="L750" s="53"/>
      <c r="M750" s="53"/>
      <c r="N750" s="53"/>
      <c r="O750" s="53"/>
      <c r="P750" s="53"/>
      <c r="Q750" s="53"/>
      <c r="R750" s="53"/>
      <c r="S750" s="53"/>
      <c r="T750" s="53"/>
      <c r="U750" s="53"/>
      <c r="V750" s="53"/>
      <c r="W750" s="53"/>
      <c r="X750" s="53"/>
      <c r="Y750" s="53"/>
      <c r="Z750" s="53"/>
    </row>
    <row r="751">
      <c r="A751" s="53"/>
      <c r="B751" s="53"/>
      <c r="C751" s="53"/>
      <c r="D751" s="53"/>
      <c r="E751" s="53"/>
      <c r="F751" s="53"/>
      <c r="G751" s="54"/>
      <c r="H751" s="53"/>
      <c r="I751" s="53"/>
      <c r="J751" s="54"/>
      <c r="K751" s="53"/>
      <c r="L751" s="53"/>
      <c r="M751" s="53"/>
      <c r="N751" s="53"/>
      <c r="O751" s="53"/>
      <c r="P751" s="53"/>
      <c r="Q751" s="53"/>
      <c r="R751" s="53"/>
      <c r="S751" s="53"/>
      <c r="T751" s="53"/>
      <c r="U751" s="53"/>
      <c r="V751" s="53"/>
      <c r="W751" s="53"/>
      <c r="X751" s="53"/>
      <c r="Y751" s="53"/>
      <c r="Z751" s="53"/>
    </row>
    <row r="752">
      <c r="A752" s="53"/>
      <c r="B752" s="53"/>
      <c r="C752" s="53"/>
      <c r="D752" s="53"/>
      <c r="E752" s="53"/>
      <c r="F752" s="53"/>
      <c r="G752" s="54"/>
      <c r="H752" s="53"/>
      <c r="I752" s="53"/>
      <c r="J752" s="54"/>
      <c r="K752" s="53"/>
      <c r="L752" s="53"/>
      <c r="M752" s="53"/>
      <c r="N752" s="53"/>
      <c r="O752" s="53"/>
      <c r="P752" s="53"/>
      <c r="Q752" s="53"/>
      <c r="R752" s="53"/>
      <c r="S752" s="53"/>
      <c r="T752" s="53"/>
      <c r="U752" s="53"/>
      <c r="V752" s="53"/>
      <c r="W752" s="53"/>
      <c r="X752" s="53"/>
      <c r="Y752" s="53"/>
      <c r="Z752" s="53"/>
    </row>
    <row r="753">
      <c r="A753" s="53"/>
      <c r="B753" s="53"/>
      <c r="C753" s="53"/>
      <c r="D753" s="53"/>
      <c r="E753" s="53"/>
      <c r="F753" s="53"/>
      <c r="G753" s="54"/>
      <c r="H753" s="53"/>
      <c r="I753" s="53"/>
      <c r="J753" s="54"/>
      <c r="K753" s="53"/>
      <c r="L753" s="53"/>
      <c r="M753" s="53"/>
      <c r="N753" s="53"/>
      <c r="O753" s="53"/>
      <c r="P753" s="53"/>
      <c r="Q753" s="53"/>
      <c r="R753" s="53"/>
      <c r="S753" s="53"/>
      <c r="T753" s="53"/>
      <c r="U753" s="53"/>
      <c r="V753" s="53"/>
      <c r="W753" s="53"/>
      <c r="X753" s="53"/>
      <c r="Y753" s="53"/>
      <c r="Z753" s="53"/>
    </row>
    <row r="754">
      <c r="A754" s="53"/>
      <c r="B754" s="53"/>
      <c r="C754" s="53"/>
      <c r="D754" s="53"/>
      <c r="E754" s="53"/>
      <c r="F754" s="53"/>
      <c r="G754" s="54"/>
      <c r="H754" s="53"/>
      <c r="I754" s="53"/>
      <c r="J754" s="54"/>
      <c r="K754" s="53"/>
      <c r="L754" s="53"/>
      <c r="M754" s="53"/>
      <c r="N754" s="53"/>
      <c r="O754" s="53"/>
      <c r="P754" s="53"/>
      <c r="Q754" s="53"/>
      <c r="R754" s="53"/>
      <c r="S754" s="53"/>
      <c r="T754" s="53"/>
      <c r="U754" s="53"/>
      <c r="V754" s="53"/>
      <c r="W754" s="53"/>
      <c r="X754" s="53"/>
      <c r="Y754" s="53"/>
      <c r="Z754" s="53"/>
    </row>
    <row r="755">
      <c r="A755" s="53"/>
      <c r="B755" s="53"/>
      <c r="C755" s="53"/>
      <c r="D755" s="53"/>
      <c r="E755" s="53"/>
      <c r="F755" s="53"/>
      <c r="G755" s="54"/>
      <c r="H755" s="53"/>
      <c r="I755" s="53"/>
      <c r="J755" s="54"/>
      <c r="K755" s="53"/>
      <c r="L755" s="53"/>
      <c r="M755" s="53"/>
      <c r="N755" s="53"/>
      <c r="O755" s="53"/>
      <c r="P755" s="53"/>
      <c r="Q755" s="53"/>
      <c r="R755" s="53"/>
      <c r="S755" s="53"/>
      <c r="T755" s="53"/>
      <c r="U755" s="53"/>
      <c r="V755" s="53"/>
      <c r="W755" s="53"/>
      <c r="X755" s="53"/>
      <c r="Y755" s="53"/>
      <c r="Z755" s="53"/>
    </row>
    <row r="756">
      <c r="A756" s="53"/>
      <c r="B756" s="53"/>
      <c r="C756" s="53"/>
      <c r="D756" s="53"/>
      <c r="E756" s="53"/>
      <c r="F756" s="53"/>
      <c r="G756" s="54"/>
      <c r="H756" s="53"/>
      <c r="I756" s="53"/>
      <c r="J756" s="54"/>
      <c r="K756" s="53"/>
      <c r="L756" s="53"/>
      <c r="M756" s="53"/>
      <c r="N756" s="53"/>
      <c r="O756" s="53"/>
      <c r="P756" s="53"/>
      <c r="Q756" s="53"/>
      <c r="R756" s="53"/>
      <c r="S756" s="53"/>
      <c r="T756" s="53"/>
      <c r="U756" s="53"/>
      <c r="V756" s="53"/>
      <c r="W756" s="53"/>
      <c r="X756" s="53"/>
      <c r="Y756" s="53"/>
      <c r="Z756" s="53"/>
    </row>
    <row r="757">
      <c r="A757" s="53"/>
      <c r="B757" s="53"/>
      <c r="C757" s="53"/>
      <c r="D757" s="53"/>
      <c r="E757" s="53"/>
      <c r="F757" s="53"/>
      <c r="G757" s="54"/>
      <c r="H757" s="53"/>
      <c r="I757" s="53"/>
      <c r="J757" s="54"/>
      <c r="K757" s="53"/>
      <c r="L757" s="53"/>
      <c r="M757" s="53"/>
      <c r="N757" s="53"/>
      <c r="O757" s="53"/>
      <c r="P757" s="53"/>
      <c r="Q757" s="53"/>
      <c r="R757" s="53"/>
      <c r="S757" s="53"/>
      <c r="T757" s="53"/>
      <c r="U757" s="53"/>
      <c r="V757" s="53"/>
      <c r="W757" s="53"/>
      <c r="X757" s="53"/>
      <c r="Y757" s="53"/>
      <c r="Z757" s="53"/>
    </row>
    <row r="758">
      <c r="A758" s="53"/>
      <c r="B758" s="53"/>
      <c r="C758" s="53"/>
      <c r="D758" s="53"/>
      <c r="E758" s="53"/>
      <c r="F758" s="53"/>
      <c r="G758" s="54"/>
      <c r="H758" s="53"/>
      <c r="I758" s="53"/>
      <c r="J758" s="54"/>
      <c r="K758" s="53"/>
      <c r="L758" s="53"/>
      <c r="M758" s="53"/>
      <c r="N758" s="53"/>
      <c r="O758" s="53"/>
      <c r="P758" s="53"/>
      <c r="Q758" s="53"/>
      <c r="R758" s="53"/>
      <c r="S758" s="53"/>
      <c r="T758" s="53"/>
      <c r="U758" s="53"/>
      <c r="V758" s="53"/>
      <c r="W758" s="53"/>
      <c r="X758" s="53"/>
      <c r="Y758" s="53"/>
      <c r="Z758" s="53"/>
    </row>
    <row r="759">
      <c r="A759" s="53"/>
      <c r="B759" s="53"/>
      <c r="C759" s="53"/>
      <c r="D759" s="53"/>
      <c r="E759" s="53"/>
      <c r="F759" s="53"/>
      <c r="G759" s="54"/>
      <c r="H759" s="53"/>
      <c r="I759" s="53"/>
      <c r="J759" s="54"/>
      <c r="K759" s="53"/>
      <c r="L759" s="53"/>
      <c r="M759" s="53"/>
      <c r="N759" s="53"/>
      <c r="O759" s="53"/>
      <c r="P759" s="53"/>
      <c r="Q759" s="53"/>
      <c r="R759" s="53"/>
      <c r="S759" s="53"/>
      <c r="T759" s="53"/>
      <c r="U759" s="53"/>
      <c r="V759" s="53"/>
      <c r="W759" s="53"/>
      <c r="X759" s="53"/>
      <c r="Y759" s="53"/>
      <c r="Z759" s="53"/>
    </row>
    <row r="760">
      <c r="A760" s="53"/>
      <c r="B760" s="53"/>
      <c r="C760" s="53"/>
      <c r="D760" s="53"/>
      <c r="E760" s="53"/>
      <c r="F760" s="53"/>
      <c r="G760" s="54"/>
      <c r="H760" s="53"/>
      <c r="I760" s="53"/>
      <c r="J760" s="54"/>
      <c r="K760" s="53"/>
      <c r="L760" s="53"/>
      <c r="M760" s="53"/>
      <c r="N760" s="53"/>
      <c r="O760" s="53"/>
      <c r="P760" s="53"/>
      <c r="Q760" s="53"/>
      <c r="R760" s="53"/>
      <c r="S760" s="53"/>
      <c r="T760" s="53"/>
      <c r="U760" s="53"/>
      <c r="V760" s="53"/>
      <c r="W760" s="53"/>
      <c r="X760" s="53"/>
      <c r="Y760" s="53"/>
      <c r="Z760" s="53"/>
    </row>
    <row r="761">
      <c r="A761" s="53"/>
      <c r="B761" s="53"/>
      <c r="C761" s="53"/>
      <c r="D761" s="53"/>
      <c r="E761" s="53"/>
      <c r="F761" s="53"/>
      <c r="G761" s="54"/>
      <c r="H761" s="53"/>
      <c r="I761" s="53"/>
      <c r="J761" s="54"/>
      <c r="K761" s="53"/>
      <c r="L761" s="53"/>
      <c r="M761" s="53"/>
      <c r="N761" s="53"/>
      <c r="O761" s="53"/>
      <c r="P761" s="53"/>
      <c r="Q761" s="53"/>
      <c r="R761" s="53"/>
      <c r="S761" s="53"/>
      <c r="T761" s="53"/>
      <c r="U761" s="53"/>
      <c r="V761" s="53"/>
      <c r="W761" s="53"/>
      <c r="X761" s="53"/>
      <c r="Y761" s="53"/>
      <c r="Z761" s="53"/>
    </row>
    <row r="762">
      <c r="A762" s="53"/>
      <c r="B762" s="53"/>
      <c r="C762" s="53"/>
      <c r="D762" s="53"/>
      <c r="E762" s="53"/>
      <c r="F762" s="53"/>
      <c r="G762" s="54"/>
      <c r="H762" s="53"/>
      <c r="I762" s="53"/>
      <c r="J762" s="54"/>
      <c r="K762" s="53"/>
      <c r="L762" s="53"/>
      <c r="M762" s="53"/>
      <c r="N762" s="53"/>
      <c r="O762" s="53"/>
      <c r="P762" s="53"/>
      <c r="Q762" s="53"/>
      <c r="R762" s="53"/>
      <c r="S762" s="53"/>
      <c r="T762" s="53"/>
      <c r="U762" s="53"/>
      <c r="V762" s="53"/>
      <c r="W762" s="53"/>
      <c r="X762" s="53"/>
      <c r="Y762" s="53"/>
      <c r="Z762" s="53"/>
    </row>
    <row r="763">
      <c r="A763" s="53"/>
      <c r="B763" s="53"/>
      <c r="C763" s="53"/>
      <c r="D763" s="53"/>
      <c r="E763" s="53"/>
      <c r="F763" s="53"/>
      <c r="G763" s="54"/>
      <c r="H763" s="53"/>
      <c r="I763" s="53"/>
      <c r="J763" s="54"/>
      <c r="K763" s="53"/>
      <c r="L763" s="53"/>
      <c r="M763" s="53"/>
      <c r="N763" s="53"/>
      <c r="O763" s="53"/>
      <c r="P763" s="53"/>
      <c r="Q763" s="53"/>
      <c r="R763" s="53"/>
      <c r="S763" s="53"/>
      <c r="T763" s="53"/>
      <c r="U763" s="53"/>
      <c r="V763" s="53"/>
      <c r="W763" s="53"/>
      <c r="X763" s="53"/>
      <c r="Y763" s="53"/>
      <c r="Z763" s="53"/>
    </row>
    <row r="764">
      <c r="A764" s="53"/>
      <c r="B764" s="53"/>
      <c r="C764" s="53"/>
      <c r="D764" s="53"/>
      <c r="E764" s="53"/>
      <c r="F764" s="53"/>
      <c r="G764" s="54"/>
      <c r="H764" s="53"/>
      <c r="I764" s="53"/>
      <c r="J764" s="54"/>
      <c r="K764" s="53"/>
      <c r="L764" s="53"/>
      <c r="M764" s="53"/>
      <c r="N764" s="53"/>
      <c r="O764" s="53"/>
      <c r="P764" s="53"/>
      <c r="Q764" s="53"/>
      <c r="R764" s="53"/>
      <c r="S764" s="53"/>
      <c r="T764" s="53"/>
      <c r="U764" s="53"/>
      <c r="V764" s="53"/>
      <c r="W764" s="53"/>
      <c r="X764" s="53"/>
      <c r="Y764" s="53"/>
      <c r="Z764" s="53"/>
    </row>
    <row r="765">
      <c r="A765" s="53"/>
      <c r="B765" s="53"/>
      <c r="C765" s="53"/>
      <c r="D765" s="53"/>
      <c r="E765" s="53"/>
      <c r="F765" s="53"/>
      <c r="G765" s="54"/>
      <c r="H765" s="53"/>
      <c r="I765" s="53"/>
      <c r="J765" s="54"/>
      <c r="K765" s="53"/>
      <c r="L765" s="53"/>
      <c r="M765" s="53"/>
      <c r="N765" s="53"/>
      <c r="O765" s="53"/>
      <c r="P765" s="53"/>
      <c r="Q765" s="53"/>
      <c r="R765" s="53"/>
      <c r="S765" s="53"/>
      <c r="T765" s="53"/>
      <c r="U765" s="53"/>
      <c r="V765" s="53"/>
      <c r="W765" s="53"/>
      <c r="X765" s="53"/>
      <c r="Y765" s="53"/>
      <c r="Z765" s="53"/>
    </row>
    <row r="766">
      <c r="A766" s="53"/>
      <c r="B766" s="53"/>
      <c r="C766" s="53"/>
      <c r="D766" s="53"/>
      <c r="E766" s="53"/>
      <c r="F766" s="53"/>
      <c r="G766" s="54"/>
      <c r="H766" s="53"/>
      <c r="I766" s="53"/>
      <c r="J766" s="54"/>
      <c r="K766" s="53"/>
      <c r="L766" s="53"/>
      <c r="M766" s="53"/>
      <c r="N766" s="53"/>
      <c r="O766" s="53"/>
      <c r="P766" s="53"/>
      <c r="Q766" s="53"/>
      <c r="R766" s="53"/>
      <c r="S766" s="53"/>
      <c r="T766" s="53"/>
      <c r="U766" s="53"/>
      <c r="V766" s="53"/>
      <c r="W766" s="53"/>
      <c r="X766" s="53"/>
      <c r="Y766" s="53"/>
      <c r="Z766" s="53"/>
    </row>
    <row r="767">
      <c r="A767" s="53"/>
      <c r="B767" s="53"/>
      <c r="C767" s="53"/>
      <c r="D767" s="53"/>
      <c r="E767" s="53"/>
      <c r="F767" s="53"/>
      <c r="G767" s="54"/>
      <c r="H767" s="53"/>
      <c r="I767" s="53"/>
      <c r="J767" s="54"/>
      <c r="K767" s="53"/>
      <c r="L767" s="53"/>
      <c r="M767" s="53"/>
      <c r="N767" s="53"/>
      <c r="O767" s="53"/>
      <c r="P767" s="53"/>
      <c r="Q767" s="53"/>
      <c r="R767" s="53"/>
      <c r="S767" s="53"/>
      <c r="T767" s="53"/>
      <c r="U767" s="53"/>
      <c r="V767" s="53"/>
      <c r="W767" s="53"/>
      <c r="X767" s="53"/>
      <c r="Y767" s="53"/>
      <c r="Z767" s="53"/>
    </row>
    <row r="768">
      <c r="A768" s="53"/>
      <c r="B768" s="53"/>
      <c r="C768" s="53"/>
      <c r="D768" s="53"/>
      <c r="E768" s="53"/>
      <c r="F768" s="53"/>
      <c r="G768" s="54"/>
      <c r="H768" s="53"/>
      <c r="I768" s="53"/>
      <c r="J768" s="54"/>
      <c r="K768" s="53"/>
      <c r="L768" s="53"/>
      <c r="M768" s="53"/>
      <c r="N768" s="53"/>
      <c r="O768" s="53"/>
      <c r="P768" s="53"/>
      <c r="Q768" s="53"/>
      <c r="R768" s="53"/>
      <c r="S768" s="53"/>
      <c r="T768" s="53"/>
      <c r="U768" s="53"/>
      <c r="V768" s="53"/>
      <c r="W768" s="53"/>
      <c r="X768" s="53"/>
      <c r="Y768" s="53"/>
      <c r="Z768" s="53"/>
    </row>
    <row r="769">
      <c r="A769" s="53"/>
      <c r="B769" s="53"/>
      <c r="C769" s="53"/>
      <c r="D769" s="53"/>
      <c r="E769" s="53"/>
      <c r="F769" s="53"/>
      <c r="G769" s="54"/>
      <c r="H769" s="53"/>
      <c r="I769" s="53"/>
      <c r="J769" s="54"/>
      <c r="K769" s="53"/>
      <c r="L769" s="53"/>
      <c r="M769" s="53"/>
      <c r="N769" s="53"/>
      <c r="O769" s="53"/>
      <c r="P769" s="53"/>
      <c r="Q769" s="53"/>
      <c r="R769" s="53"/>
      <c r="S769" s="53"/>
      <c r="T769" s="53"/>
      <c r="U769" s="53"/>
      <c r="V769" s="53"/>
      <c r="W769" s="53"/>
      <c r="X769" s="53"/>
      <c r="Y769" s="53"/>
      <c r="Z769" s="53"/>
    </row>
    <row r="770">
      <c r="A770" s="53"/>
      <c r="B770" s="53"/>
      <c r="C770" s="53"/>
      <c r="D770" s="53"/>
      <c r="E770" s="53"/>
      <c r="F770" s="53"/>
      <c r="G770" s="54"/>
      <c r="H770" s="53"/>
      <c r="I770" s="53"/>
      <c r="J770" s="54"/>
      <c r="K770" s="53"/>
      <c r="L770" s="53"/>
      <c r="M770" s="53"/>
      <c r="N770" s="53"/>
      <c r="O770" s="53"/>
      <c r="P770" s="53"/>
      <c r="Q770" s="53"/>
      <c r="R770" s="53"/>
      <c r="S770" s="53"/>
      <c r="T770" s="53"/>
      <c r="U770" s="53"/>
      <c r="V770" s="53"/>
      <c r="W770" s="53"/>
      <c r="X770" s="53"/>
      <c r="Y770" s="53"/>
      <c r="Z770" s="53"/>
    </row>
    <row r="771">
      <c r="A771" s="53"/>
      <c r="B771" s="53"/>
      <c r="C771" s="53"/>
      <c r="D771" s="53"/>
      <c r="E771" s="53"/>
      <c r="F771" s="53"/>
      <c r="G771" s="54"/>
      <c r="H771" s="53"/>
      <c r="I771" s="53"/>
      <c r="J771" s="54"/>
      <c r="K771" s="53"/>
      <c r="L771" s="53"/>
      <c r="M771" s="53"/>
      <c r="N771" s="53"/>
      <c r="O771" s="53"/>
      <c r="P771" s="53"/>
      <c r="Q771" s="53"/>
      <c r="R771" s="53"/>
      <c r="S771" s="53"/>
      <c r="T771" s="53"/>
      <c r="U771" s="53"/>
      <c r="V771" s="53"/>
      <c r="W771" s="53"/>
      <c r="X771" s="53"/>
      <c r="Y771" s="53"/>
      <c r="Z771" s="53"/>
    </row>
    <row r="772">
      <c r="A772" s="53"/>
      <c r="B772" s="53"/>
      <c r="C772" s="53"/>
      <c r="D772" s="53"/>
      <c r="E772" s="53"/>
      <c r="F772" s="53"/>
      <c r="G772" s="54"/>
      <c r="H772" s="53"/>
      <c r="I772" s="53"/>
      <c r="J772" s="54"/>
      <c r="K772" s="53"/>
      <c r="L772" s="53"/>
      <c r="M772" s="53"/>
      <c r="N772" s="53"/>
      <c r="O772" s="53"/>
      <c r="P772" s="53"/>
      <c r="Q772" s="53"/>
      <c r="R772" s="53"/>
      <c r="S772" s="53"/>
      <c r="T772" s="53"/>
      <c r="U772" s="53"/>
      <c r="V772" s="53"/>
      <c r="W772" s="53"/>
      <c r="X772" s="53"/>
      <c r="Y772" s="53"/>
      <c r="Z772" s="53"/>
    </row>
    <row r="773">
      <c r="A773" s="53"/>
      <c r="B773" s="53"/>
      <c r="C773" s="53"/>
      <c r="D773" s="53"/>
      <c r="E773" s="53"/>
      <c r="F773" s="53"/>
      <c r="G773" s="54"/>
      <c r="H773" s="53"/>
      <c r="I773" s="53"/>
      <c r="J773" s="54"/>
      <c r="K773" s="53"/>
      <c r="L773" s="53"/>
      <c r="M773" s="53"/>
      <c r="N773" s="53"/>
      <c r="O773" s="53"/>
      <c r="P773" s="53"/>
      <c r="Q773" s="53"/>
      <c r="R773" s="53"/>
      <c r="S773" s="53"/>
      <c r="T773" s="53"/>
      <c r="U773" s="53"/>
      <c r="V773" s="53"/>
      <c r="W773" s="53"/>
      <c r="X773" s="53"/>
      <c r="Y773" s="53"/>
      <c r="Z773" s="53"/>
    </row>
    <row r="774">
      <c r="A774" s="53"/>
      <c r="B774" s="53"/>
      <c r="C774" s="53"/>
      <c r="D774" s="53"/>
      <c r="E774" s="53"/>
      <c r="F774" s="53"/>
      <c r="G774" s="54"/>
      <c r="H774" s="53"/>
      <c r="I774" s="53"/>
      <c r="J774" s="54"/>
      <c r="K774" s="53"/>
      <c r="L774" s="53"/>
      <c r="M774" s="53"/>
      <c r="N774" s="53"/>
      <c r="O774" s="53"/>
      <c r="P774" s="53"/>
      <c r="Q774" s="53"/>
      <c r="R774" s="53"/>
      <c r="S774" s="53"/>
      <c r="T774" s="53"/>
      <c r="U774" s="53"/>
      <c r="V774" s="53"/>
      <c r="W774" s="53"/>
      <c r="X774" s="53"/>
      <c r="Y774" s="53"/>
      <c r="Z774" s="53"/>
    </row>
    <row r="775">
      <c r="A775" s="53"/>
      <c r="B775" s="53"/>
      <c r="C775" s="53"/>
      <c r="D775" s="53"/>
      <c r="E775" s="53"/>
      <c r="F775" s="53"/>
      <c r="G775" s="54"/>
      <c r="H775" s="53"/>
      <c r="I775" s="53"/>
      <c r="J775" s="54"/>
      <c r="K775" s="53"/>
      <c r="L775" s="53"/>
      <c r="M775" s="53"/>
      <c r="N775" s="53"/>
      <c r="O775" s="53"/>
      <c r="P775" s="53"/>
      <c r="Q775" s="53"/>
      <c r="R775" s="53"/>
      <c r="S775" s="53"/>
      <c r="T775" s="53"/>
      <c r="U775" s="53"/>
      <c r="V775" s="53"/>
      <c r="W775" s="53"/>
      <c r="X775" s="53"/>
      <c r="Y775" s="53"/>
      <c r="Z775" s="53"/>
    </row>
    <row r="776">
      <c r="A776" s="53"/>
      <c r="B776" s="53"/>
      <c r="C776" s="53"/>
      <c r="D776" s="53"/>
      <c r="E776" s="53"/>
      <c r="F776" s="53"/>
      <c r="G776" s="54"/>
      <c r="H776" s="53"/>
      <c r="I776" s="53"/>
      <c r="J776" s="54"/>
      <c r="K776" s="53"/>
      <c r="L776" s="53"/>
      <c r="M776" s="53"/>
      <c r="N776" s="53"/>
      <c r="O776" s="53"/>
      <c r="P776" s="53"/>
      <c r="Q776" s="53"/>
      <c r="R776" s="53"/>
      <c r="S776" s="53"/>
      <c r="T776" s="53"/>
      <c r="U776" s="53"/>
      <c r="V776" s="53"/>
      <c r="W776" s="53"/>
      <c r="X776" s="53"/>
      <c r="Y776" s="53"/>
      <c r="Z776" s="53"/>
    </row>
    <row r="777">
      <c r="A777" s="53"/>
      <c r="B777" s="53"/>
      <c r="C777" s="53"/>
      <c r="D777" s="53"/>
      <c r="E777" s="53"/>
      <c r="F777" s="53"/>
      <c r="G777" s="54"/>
      <c r="H777" s="53"/>
      <c r="I777" s="53"/>
      <c r="J777" s="54"/>
      <c r="K777" s="53"/>
      <c r="L777" s="53"/>
      <c r="M777" s="53"/>
      <c r="N777" s="53"/>
      <c r="O777" s="53"/>
      <c r="P777" s="53"/>
      <c r="Q777" s="53"/>
      <c r="R777" s="53"/>
      <c r="S777" s="53"/>
      <c r="T777" s="53"/>
      <c r="U777" s="53"/>
      <c r="V777" s="53"/>
      <c r="W777" s="53"/>
      <c r="X777" s="53"/>
      <c r="Y777" s="53"/>
      <c r="Z777" s="53"/>
    </row>
    <row r="778">
      <c r="A778" s="53"/>
      <c r="B778" s="53"/>
      <c r="C778" s="53"/>
      <c r="D778" s="53"/>
      <c r="E778" s="53"/>
      <c r="F778" s="53"/>
      <c r="G778" s="54"/>
      <c r="H778" s="53"/>
      <c r="I778" s="53"/>
      <c r="J778" s="54"/>
      <c r="K778" s="53"/>
      <c r="L778" s="53"/>
      <c r="M778" s="53"/>
      <c r="N778" s="53"/>
      <c r="O778" s="53"/>
      <c r="P778" s="53"/>
      <c r="Q778" s="53"/>
      <c r="R778" s="53"/>
      <c r="S778" s="53"/>
      <c r="T778" s="53"/>
      <c r="U778" s="53"/>
      <c r="V778" s="53"/>
      <c r="W778" s="53"/>
      <c r="X778" s="53"/>
      <c r="Y778" s="53"/>
      <c r="Z778" s="53"/>
    </row>
    <row r="779">
      <c r="A779" s="53"/>
      <c r="B779" s="53"/>
      <c r="C779" s="53"/>
      <c r="D779" s="53"/>
      <c r="E779" s="53"/>
      <c r="F779" s="53"/>
      <c r="G779" s="54"/>
      <c r="H779" s="53"/>
      <c r="I779" s="53"/>
      <c r="J779" s="54"/>
      <c r="K779" s="53"/>
      <c r="L779" s="53"/>
      <c r="M779" s="53"/>
      <c r="N779" s="53"/>
      <c r="O779" s="53"/>
      <c r="P779" s="53"/>
      <c r="Q779" s="53"/>
      <c r="R779" s="53"/>
      <c r="S779" s="53"/>
      <c r="T779" s="53"/>
      <c r="U779" s="53"/>
      <c r="V779" s="53"/>
      <c r="W779" s="53"/>
      <c r="X779" s="53"/>
      <c r="Y779" s="53"/>
      <c r="Z779" s="53"/>
    </row>
    <row r="780">
      <c r="A780" s="53"/>
      <c r="B780" s="53"/>
      <c r="C780" s="53"/>
      <c r="D780" s="53"/>
      <c r="E780" s="53"/>
      <c r="F780" s="53"/>
      <c r="G780" s="54"/>
      <c r="H780" s="53"/>
      <c r="I780" s="53"/>
      <c r="J780" s="54"/>
      <c r="K780" s="53"/>
      <c r="L780" s="53"/>
      <c r="M780" s="53"/>
      <c r="N780" s="53"/>
      <c r="O780" s="53"/>
      <c r="P780" s="53"/>
      <c r="Q780" s="53"/>
      <c r="R780" s="53"/>
      <c r="S780" s="53"/>
      <c r="T780" s="53"/>
      <c r="U780" s="53"/>
      <c r="V780" s="53"/>
      <c r="W780" s="53"/>
      <c r="X780" s="53"/>
      <c r="Y780" s="53"/>
      <c r="Z780" s="53"/>
    </row>
    <row r="781">
      <c r="A781" s="53"/>
      <c r="B781" s="53"/>
      <c r="C781" s="53"/>
      <c r="D781" s="53"/>
      <c r="E781" s="53"/>
      <c r="F781" s="53"/>
      <c r="G781" s="54"/>
      <c r="H781" s="53"/>
      <c r="I781" s="53"/>
      <c r="J781" s="54"/>
      <c r="K781" s="53"/>
      <c r="L781" s="53"/>
      <c r="M781" s="53"/>
      <c r="N781" s="53"/>
      <c r="O781" s="53"/>
      <c r="P781" s="53"/>
      <c r="Q781" s="53"/>
      <c r="R781" s="53"/>
      <c r="S781" s="53"/>
      <c r="T781" s="53"/>
      <c r="U781" s="53"/>
      <c r="V781" s="53"/>
      <c r="W781" s="53"/>
      <c r="X781" s="53"/>
      <c r="Y781" s="53"/>
      <c r="Z781" s="53"/>
    </row>
    <row r="782">
      <c r="A782" s="53"/>
      <c r="B782" s="53"/>
      <c r="C782" s="53"/>
      <c r="D782" s="53"/>
      <c r="E782" s="53"/>
      <c r="F782" s="53"/>
      <c r="G782" s="54"/>
      <c r="H782" s="53"/>
      <c r="I782" s="53"/>
      <c r="J782" s="54"/>
      <c r="K782" s="53"/>
      <c r="L782" s="53"/>
      <c r="M782" s="53"/>
      <c r="N782" s="53"/>
      <c r="O782" s="53"/>
      <c r="P782" s="53"/>
      <c r="Q782" s="53"/>
      <c r="R782" s="53"/>
      <c r="S782" s="53"/>
      <c r="T782" s="53"/>
      <c r="U782" s="53"/>
      <c r="V782" s="53"/>
      <c r="W782" s="53"/>
      <c r="X782" s="53"/>
      <c r="Y782" s="53"/>
      <c r="Z782" s="53"/>
    </row>
    <row r="783">
      <c r="A783" s="53"/>
      <c r="B783" s="53"/>
      <c r="C783" s="53"/>
      <c r="D783" s="53"/>
      <c r="E783" s="53"/>
      <c r="F783" s="53"/>
      <c r="G783" s="54"/>
      <c r="H783" s="53"/>
      <c r="I783" s="53"/>
      <c r="J783" s="54"/>
      <c r="K783" s="53"/>
      <c r="L783" s="53"/>
      <c r="M783" s="53"/>
      <c r="N783" s="53"/>
      <c r="O783" s="53"/>
      <c r="P783" s="53"/>
      <c r="Q783" s="53"/>
      <c r="R783" s="53"/>
      <c r="S783" s="53"/>
      <c r="T783" s="53"/>
      <c r="U783" s="53"/>
      <c r="V783" s="53"/>
      <c r="W783" s="53"/>
      <c r="X783" s="53"/>
      <c r="Y783" s="53"/>
      <c r="Z783" s="53"/>
    </row>
    <row r="784">
      <c r="A784" s="53"/>
      <c r="B784" s="53"/>
      <c r="C784" s="53"/>
      <c r="D784" s="53"/>
      <c r="E784" s="53"/>
      <c r="F784" s="53"/>
      <c r="G784" s="54"/>
      <c r="H784" s="53"/>
      <c r="I784" s="53"/>
      <c r="J784" s="54"/>
      <c r="K784" s="53"/>
      <c r="L784" s="53"/>
      <c r="M784" s="53"/>
      <c r="N784" s="53"/>
      <c r="O784" s="53"/>
      <c r="P784" s="53"/>
      <c r="Q784" s="53"/>
      <c r="R784" s="53"/>
      <c r="S784" s="53"/>
      <c r="T784" s="53"/>
      <c r="U784" s="53"/>
      <c r="V784" s="53"/>
      <c r="W784" s="53"/>
      <c r="X784" s="53"/>
      <c r="Y784" s="53"/>
      <c r="Z784" s="53"/>
    </row>
    <row r="785">
      <c r="A785" s="53"/>
      <c r="B785" s="53"/>
      <c r="C785" s="53"/>
      <c r="D785" s="53"/>
      <c r="E785" s="53"/>
      <c r="F785" s="53"/>
      <c r="G785" s="54"/>
      <c r="H785" s="53"/>
      <c r="I785" s="53"/>
      <c r="J785" s="54"/>
      <c r="K785" s="53"/>
      <c r="L785" s="53"/>
      <c r="M785" s="53"/>
      <c r="N785" s="53"/>
      <c r="O785" s="53"/>
      <c r="P785" s="53"/>
      <c r="Q785" s="53"/>
      <c r="R785" s="53"/>
      <c r="S785" s="53"/>
      <c r="T785" s="53"/>
      <c r="U785" s="53"/>
      <c r="V785" s="53"/>
      <c r="W785" s="53"/>
      <c r="X785" s="53"/>
      <c r="Y785" s="53"/>
      <c r="Z785" s="53"/>
    </row>
    <row r="786">
      <c r="A786" s="53"/>
      <c r="B786" s="53"/>
      <c r="C786" s="53"/>
      <c r="D786" s="53"/>
      <c r="E786" s="53"/>
      <c r="F786" s="53"/>
      <c r="G786" s="54"/>
      <c r="H786" s="53"/>
      <c r="I786" s="53"/>
      <c r="J786" s="54"/>
      <c r="K786" s="53"/>
      <c r="L786" s="53"/>
      <c r="M786" s="53"/>
      <c r="N786" s="53"/>
      <c r="O786" s="53"/>
      <c r="P786" s="53"/>
      <c r="Q786" s="53"/>
      <c r="R786" s="53"/>
      <c r="S786" s="53"/>
      <c r="T786" s="53"/>
      <c r="U786" s="53"/>
      <c r="V786" s="53"/>
      <c r="W786" s="53"/>
      <c r="X786" s="53"/>
      <c r="Y786" s="53"/>
      <c r="Z786" s="53"/>
    </row>
    <row r="787">
      <c r="A787" s="53"/>
      <c r="B787" s="53"/>
      <c r="C787" s="53"/>
      <c r="D787" s="53"/>
      <c r="E787" s="53"/>
      <c r="F787" s="53"/>
      <c r="G787" s="54"/>
      <c r="H787" s="53"/>
      <c r="I787" s="53"/>
      <c r="J787" s="54"/>
      <c r="K787" s="53"/>
      <c r="L787" s="53"/>
      <c r="M787" s="53"/>
      <c r="N787" s="53"/>
      <c r="O787" s="53"/>
      <c r="P787" s="53"/>
      <c r="Q787" s="53"/>
      <c r="R787" s="53"/>
      <c r="S787" s="53"/>
      <c r="T787" s="53"/>
      <c r="U787" s="53"/>
      <c r="V787" s="53"/>
      <c r="W787" s="53"/>
      <c r="X787" s="53"/>
      <c r="Y787" s="53"/>
      <c r="Z787" s="53"/>
    </row>
    <row r="788">
      <c r="A788" s="53"/>
      <c r="B788" s="53"/>
      <c r="C788" s="53"/>
      <c r="D788" s="53"/>
      <c r="E788" s="53"/>
      <c r="F788" s="53"/>
      <c r="G788" s="54"/>
      <c r="H788" s="53"/>
      <c r="I788" s="53"/>
      <c r="J788" s="54"/>
      <c r="K788" s="53"/>
      <c r="L788" s="53"/>
      <c r="M788" s="53"/>
      <c r="N788" s="53"/>
      <c r="O788" s="53"/>
      <c r="P788" s="53"/>
      <c r="Q788" s="53"/>
      <c r="R788" s="53"/>
      <c r="S788" s="53"/>
      <c r="T788" s="53"/>
      <c r="U788" s="53"/>
      <c r="V788" s="53"/>
      <c r="W788" s="53"/>
      <c r="X788" s="53"/>
      <c r="Y788" s="53"/>
      <c r="Z788" s="53"/>
    </row>
    <row r="789">
      <c r="A789" s="53"/>
      <c r="B789" s="53"/>
      <c r="C789" s="53"/>
      <c r="D789" s="53"/>
      <c r="E789" s="53"/>
      <c r="F789" s="53"/>
      <c r="G789" s="54"/>
      <c r="H789" s="53"/>
      <c r="I789" s="53"/>
      <c r="J789" s="54"/>
      <c r="K789" s="53"/>
      <c r="L789" s="53"/>
      <c r="M789" s="53"/>
      <c r="N789" s="53"/>
      <c r="O789" s="53"/>
      <c r="P789" s="53"/>
      <c r="Q789" s="53"/>
      <c r="R789" s="53"/>
      <c r="S789" s="53"/>
      <c r="T789" s="53"/>
      <c r="U789" s="53"/>
      <c r="V789" s="53"/>
      <c r="W789" s="53"/>
      <c r="X789" s="53"/>
      <c r="Y789" s="53"/>
      <c r="Z789" s="53"/>
    </row>
    <row r="790">
      <c r="A790" s="53"/>
      <c r="B790" s="53"/>
      <c r="C790" s="53"/>
      <c r="D790" s="53"/>
      <c r="E790" s="53"/>
      <c r="F790" s="53"/>
      <c r="G790" s="54"/>
      <c r="H790" s="53"/>
      <c r="I790" s="53"/>
      <c r="J790" s="54"/>
      <c r="K790" s="53"/>
      <c r="L790" s="53"/>
      <c r="M790" s="53"/>
      <c r="N790" s="53"/>
      <c r="O790" s="53"/>
      <c r="P790" s="53"/>
      <c r="Q790" s="53"/>
      <c r="R790" s="53"/>
      <c r="S790" s="53"/>
      <c r="T790" s="53"/>
      <c r="U790" s="53"/>
      <c r="V790" s="53"/>
      <c r="W790" s="53"/>
      <c r="X790" s="53"/>
      <c r="Y790" s="53"/>
      <c r="Z790" s="53"/>
    </row>
    <row r="791">
      <c r="A791" s="53"/>
      <c r="B791" s="53"/>
      <c r="C791" s="53"/>
      <c r="D791" s="53"/>
      <c r="E791" s="53"/>
      <c r="F791" s="53"/>
      <c r="G791" s="54"/>
      <c r="H791" s="53"/>
      <c r="I791" s="53"/>
      <c r="J791" s="54"/>
      <c r="K791" s="53"/>
      <c r="L791" s="53"/>
      <c r="M791" s="53"/>
      <c r="N791" s="53"/>
      <c r="O791" s="53"/>
      <c r="P791" s="53"/>
      <c r="Q791" s="53"/>
      <c r="R791" s="53"/>
      <c r="S791" s="53"/>
      <c r="T791" s="53"/>
      <c r="U791" s="53"/>
      <c r="V791" s="53"/>
      <c r="W791" s="53"/>
      <c r="X791" s="53"/>
      <c r="Y791" s="53"/>
      <c r="Z791" s="53"/>
    </row>
    <row r="792">
      <c r="A792" s="53"/>
      <c r="B792" s="53"/>
      <c r="C792" s="53"/>
      <c r="D792" s="53"/>
      <c r="E792" s="53"/>
      <c r="F792" s="53"/>
      <c r="G792" s="54"/>
      <c r="H792" s="53"/>
      <c r="I792" s="53"/>
      <c r="J792" s="54"/>
      <c r="K792" s="53"/>
      <c r="L792" s="53"/>
      <c r="M792" s="53"/>
      <c r="N792" s="53"/>
      <c r="O792" s="53"/>
      <c r="P792" s="53"/>
      <c r="Q792" s="53"/>
      <c r="R792" s="53"/>
      <c r="S792" s="53"/>
      <c r="T792" s="53"/>
      <c r="U792" s="53"/>
      <c r="V792" s="53"/>
      <c r="W792" s="53"/>
      <c r="X792" s="53"/>
      <c r="Y792" s="53"/>
      <c r="Z792" s="53"/>
    </row>
    <row r="793">
      <c r="A793" s="53"/>
      <c r="B793" s="53"/>
      <c r="C793" s="53"/>
      <c r="D793" s="53"/>
      <c r="E793" s="53"/>
      <c r="F793" s="53"/>
      <c r="G793" s="54"/>
      <c r="H793" s="53"/>
      <c r="I793" s="53"/>
      <c r="J793" s="54"/>
      <c r="K793" s="53"/>
      <c r="L793" s="53"/>
      <c r="M793" s="53"/>
      <c r="N793" s="53"/>
      <c r="O793" s="53"/>
      <c r="P793" s="53"/>
      <c r="Q793" s="53"/>
      <c r="R793" s="53"/>
      <c r="S793" s="53"/>
      <c r="T793" s="53"/>
      <c r="U793" s="53"/>
      <c r="V793" s="53"/>
      <c r="W793" s="53"/>
      <c r="X793" s="53"/>
      <c r="Y793" s="53"/>
      <c r="Z793" s="53"/>
    </row>
    <row r="794">
      <c r="A794" s="53"/>
      <c r="B794" s="53"/>
      <c r="C794" s="53"/>
      <c r="D794" s="53"/>
      <c r="E794" s="53"/>
      <c r="F794" s="53"/>
      <c r="G794" s="54"/>
      <c r="H794" s="53"/>
      <c r="I794" s="53"/>
      <c r="J794" s="54"/>
      <c r="K794" s="53"/>
      <c r="L794" s="53"/>
      <c r="M794" s="53"/>
      <c r="N794" s="53"/>
      <c r="O794" s="53"/>
      <c r="P794" s="53"/>
      <c r="Q794" s="53"/>
      <c r="R794" s="53"/>
      <c r="S794" s="53"/>
      <c r="T794" s="53"/>
      <c r="U794" s="53"/>
      <c r="V794" s="53"/>
      <c r="W794" s="53"/>
      <c r="X794" s="53"/>
      <c r="Y794" s="53"/>
      <c r="Z794" s="53"/>
    </row>
    <row r="795">
      <c r="A795" s="53"/>
      <c r="B795" s="53"/>
      <c r="C795" s="53"/>
      <c r="D795" s="53"/>
      <c r="E795" s="53"/>
      <c r="F795" s="53"/>
      <c r="G795" s="54"/>
      <c r="H795" s="53"/>
      <c r="I795" s="53"/>
      <c r="J795" s="54"/>
      <c r="K795" s="53"/>
      <c r="L795" s="53"/>
      <c r="M795" s="53"/>
      <c r="N795" s="53"/>
      <c r="O795" s="53"/>
      <c r="P795" s="53"/>
      <c r="Q795" s="53"/>
      <c r="R795" s="53"/>
      <c r="S795" s="53"/>
      <c r="T795" s="53"/>
      <c r="U795" s="53"/>
      <c r="V795" s="53"/>
      <c r="W795" s="53"/>
      <c r="X795" s="53"/>
      <c r="Y795" s="53"/>
      <c r="Z795" s="53"/>
    </row>
    <row r="796">
      <c r="A796" s="53"/>
      <c r="B796" s="53"/>
      <c r="C796" s="53"/>
      <c r="D796" s="53"/>
      <c r="E796" s="53"/>
      <c r="F796" s="53"/>
      <c r="G796" s="54"/>
      <c r="H796" s="53"/>
      <c r="I796" s="53"/>
      <c r="J796" s="54"/>
      <c r="K796" s="53"/>
      <c r="L796" s="53"/>
      <c r="M796" s="53"/>
      <c r="N796" s="53"/>
      <c r="O796" s="53"/>
      <c r="P796" s="53"/>
      <c r="Q796" s="53"/>
      <c r="R796" s="53"/>
      <c r="S796" s="53"/>
      <c r="T796" s="53"/>
      <c r="U796" s="53"/>
      <c r="V796" s="53"/>
      <c r="W796" s="53"/>
      <c r="X796" s="53"/>
      <c r="Y796" s="53"/>
      <c r="Z796" s="53"/>
    </row>
    <row r="797">
      <c r="A797" s="53"/>
      <c r="B797" s="53"/>
      <c r="C797" s="53"/>
      <c r="D797" s="53"/>
      <c r="E797" s="53"/>
      <c r="F797" s="53"/>
      <c r="G797" s="54"/>
      <c r="H797" s="53"/>
      <c r="I797" s="53"/>
      <c r="J797" s="54"/>
      <c r="K797" s="53"/>
      <c r="L797" s="53"/>
      <c r="M797" s="53"/>
      <c r="N797" s="53"/>
      <c r="O797" s="53"/>
      <c r="P797" s="53"/>
      <c r="Q797" s="53"/>
      <c r="R797" s="53"/>
      <c r="S797" s="53"/>
      <c r="T797" s="53"/>
      <c r="U797" s="53"/>
      <c r="V797" s="53"/>
      <c r="W797" s="53"/>
      <c r="X797" s="53"/>
      <c r="Y797" s="53"/>
      <c r="Z797" s="53"/>
    </row>
    <row r="798">
      <c r="A798" s="53"/>
      <c r="B798" s="53"/>
      <c r="C798" s="53"/>
      <c r="D798" s="53"/>
      <c r="E798" s="53"/>
      <c r="F798" s="53"/>
      <c r="G798" s="54"/>
      <c r="H798" s="53"/>
      <c r="I798" s="53"/>
      <c r="J798" s="54"/>
      <c r="K798" s="53"/>
      <c r="L798" s="53"/>
      <c r="M798" s="53"/>
      <c r="N798" s="53"/>
      <c r="O798" s="53"/>
      <c r="P798" s="53"/>
      <c r="Q798" s="53"/>
      <c r="R798" s="53"/>
      <c r="S798" s="53"/>
      <c r="T798" s="53"/>
      <c r="U798" s="53"/>
      <c r="V798" s="53"/>
      <c r="W798" s="53"/>
      <c r="X798" s="53"/>
      <c r="Y798" s="53"/>
      <c r="Z798" s="53"/>
    </row>
    <row r="799">
      <c r="A799" s="53"/>
      <c r="B799" s="53"/>
      <c r="C799" s="53"/>
      <c r="D799" s="53"/>
      <c r="E799" s="53"/>
      <c r="F799" s="53"/>
      <c r="G799" s="54"/>
      <c r="H799" s="53"/>
      <c r="I799" s="53"/>
      <c r="J799" s="54"/>
      <c r="K799" s="53"/>
      <c r="L799" s="53"/>
      <c r="M799" s="53"/>
      <c r="N799" s="53"/>
      <c r="O799" s="53"/>
      <c r="P799" s="53"/>
      <c r="Q799" s="53"/>
      <c r="R799" s="53"/>
      <c r="S799" s="53"/>
      <c r="T799" s="53"/>
      <c r="U799" s="53"/>
      <c r="V799" s="53"/>
      <c r="W799" s="53"/>
      <c r="X799" s="53"/>
      <c r="Y799" s="53"/>
      <c r="Z799" s="53"/>
    </row>
    <row r="800">
      <c r="A800" s="53"/>
      <c r="B800" s="53"/>
      <c r="C800" s="53"/>
      <c r="D800" s="53"/>
      <c r="E800" s="53"/>
      <c r="F800" s="53"/>
      <c r="G800" s="54"/>
      <c r="H800" s="53"/>
      <c r="I800" s="53"/>
      <c r="J800" s="54"/>
      <c r="K800" s="53"/>
      <c r="L800" s="53"/>
      <c r="M800" s="53"/>
      <c r="N800" s="53"/>
      <c r="O800" s="53"/>
      <c r="P800" s="53"/>
      <c r="Q800" s="53"/>
      <c r="R800" s="53"/>
      <c r="S800" s="53"/>
      <c r="T800" s="53"/>
      <c r="U800" s="53"/>
      <c r="V800" s="53"/>
      <c r="W800" s="53"/>
      <c r="X800" s="53"/>
      <c r="Y800" s="53"/>
      <c r="Z800" s="53"/>
    </row>
    <row r="801">
      <c r="A801" s="53"/>
      <c r="B801" s="53"/>
      <c r="C801" s="53"/>
      <c r="D801" s="53"/>
      <c r="E801" s="53"/>
      <c r="F801" s="53"/>
      <c r="G801" s="54"/>
      <c r="H801" s="53"/>
      <c r="I801" s="53"/>
      <c r="J801" s="54"/>
      <c r="K801" s="53"/>
      <c r="L801" s="53"/>
      <c r="M801" s="53"/>
      <c r="N801" s="53"/>
      <c r="O801" s="53"/>
      <c r="P801" s="53"/>
      <c r="Q801" s="53"/>
      <c r="R801" s="53"/>
      <c r="S801" s="53"/>
      <c r="T801" s="53"/>
      <c r="U801" s="53"/>
      <c r="V801" s="53"/>
      <c r="W801" s="53"/>
      <c r="X801" s="53"/>
      <c r="Y801" s="53"/>
      <c r="Z801" s="53"/>
    </row>
    <row r="802">
      <c r="A802" s="53"/>
      <c r="B802" s="53"/>
      <c r="C802" s="53"/>
      <c r="D802" s="53"/>
      <c r="E802" s="53"/>
      <c r="F802" s="53"/>
      <c r="G802" s="54"/>
      <c r="H802" s="53"/>
      <c r="I802" s="53"/>
      <c r="J802" s="54"/>
      <c r="K802" s="53"/>
      <c r="L802" s="53"/>
      <c r="M802" s="53"/>
      <c r="N802" s="53"/>
      <c r="O802" s="53"/>
      <c r="P802" s="53"/>
      <c r="Q802" s="53"/>
      <c r="R802" s="53"/>
      <c r="S802" s="53"/>
      <c r="T802" s="53"/>
      <c r="U802" s="53"/>
      <c r="V802" s="53"/>
      <c r="W802" s="53"/>
      <c r="X802" s="53"/>
      <c r="Y802" s="53"/>
      <c r="Z802" s="53"/>
    </row>
    <row r="803">
      <c r="A803" s="53"/>
      <c r="B803" s="53"/>
      <c r="C803" s="53"/>
      <c r="D803" s="53"/>
      <c r="E803" s="53"/>
      <c r="F803" s="53"/>
      <c r="G803" s="54"/>
      <c r="H803" s="53"/>
      <c r="I803" s="53"/>
      <c r="J803" s="54"/>
      <c r="K803" s="53"/>
      <c r="L803" s="53"/>
      <c r="M803" s="53"/>
      <c r="N803" s="53"/>
      <c r="O803" s="53"/>
      <c r="P803" s="53"/>
      <c r="Q803" s="53"/>
      <c r="R803" s="53"/>
      <c r="S803" s="53"/>
      <c r="T803" s="53"/>
      <c r="U803" s="53"/>
      <c r="V803" s="53"/>
      <c r="W803" s="53"/>
      <c r="X803" s="53"/>
      <c r="Y803" s="53"/>
      <c r="Z803" s="53"/>
    </row>
    <row r="804">
      <c r="A804" s="53"/>
      <c r="B804" s="53"/>
      <c r="C804" s="53"/>
      <c r="D804" s="53"/>
      <c r="E804" s="53"/>
      <c r="F804" s="53"/>
      <c r="G804" s="54"/>
      <c r="H804" s="53"/>
      <c r="I804" s="53"/>
      <c r="J804" s="54"/>
      <c r="K804" s="53"/>
      <c r="L804" s="53"/>
      <c r="M804" s="53"/>
      <c r="N804" s="53"/>
      <c r="O804" s="53"/>
      <c r="P804" s="53"/>
      <c r="Q804" s="53"/>
      <c r="R804" s="53"/>
      <c r="S804" s="53"/>
      <c r="T804" s="53"/>
      <c r="U804" s="53"/>
      <c r="V804" s="53"/>
      <c r="W804" s="53"/>
      <c r="X804" s="53"/>
      <c r="Y804" s="53"/>
      <c r="Z804" s="53"/>
    </row>
    <row r="805">
      <c r="A805" s="53"/>
      <c r="B805" s="53"/>
      <c r="C805" s="53"/>
      <c r="D805" s="53"/>
      <c r="E805" s="53"/>
      <c r="F805" s="53"/>
      <c r="G805" s="54"/>
      <c r="H805" s="53"/>
      <c r="I805" s="53"/>
      <c r="J805" s="54"/>
      <c r="K805" s="53"/>
      <c r="L805" s="53"/>
      <c r="M805" s="53"/>
      <c r="N805" s="53"/>
      <c r="O805" s="53"/>
      <c r="P805" s="53"/>
      <c r="Q805" s="53"/>
      <c r="R805" s="53"/>
      <c r="S805" s="53"/>
      <c r="T805" s="53"/>
      <c r="U805" s="53"/>
      <c r="V805" s="53"/>
      <c r="W805" s="53"/>
      <c r="X805" s="53"/>
      <c r="Y805" s="53"/>
      <c r="Z805" s="53"/>
    </row>
    <row r="806">
      <c r="A806" s="53"/>
      <c r="B806" s="53"/>
      <c r="C806" s="53"/>
      <c r="D806" s="53"/>
      <c r="E806" s="53"/>
      <c r="F806" s="53"/>
      <c r="G806" s="54"/>
      <c r="H806" s="53"/>
      <c r="I806" s="53"/>
      <c r="J806" s="54"/>
      <c r="K806" s="53"/>
      <c r="L806" s="53"/>
      <c r="M806" s="53"/>
      <c r="N806" s="53"/>
      <c r="O806" s="53"/>
      <c r="P806" s="53"/>
      <c r="Q806" s="53"/>
      <c r="R806" s="53"/>
      <c r="S806" s="53"/>
      <c r="T806" s="53"/>
      <c r="U806" s="53"/>
      <c r="V806" s="53"/>
      <c r="W806" s="53"/>
      <c r="X806" s="53"/>
      <c r="Y806" s="53"/>
      <c r="Z806" s="53"/>
    </row>
    <row r="807">
      <c r="A807" s="53"/>
      <c r="B807" s="53"/>
      <c r="C807" s="53"/>
      <c r="D807" s="53"/>
      <c r="E807" s="53"/>
      <c r="F807" s="53"/>
      <c r="G807" s="54"/>
      <c r="H807" s="53"/>
      <c r="I807" s="53"/>
      <c r="J807" s="54"/>
      <c r="K807" s="53"/>
      <c r="L807" s="53"/>
      <c r="M807" s="53"/>
      <c r="N807" s="53"/>
      <c r="O807" s="53"/>
      <c r="P807" s="53"/>
      <c r="Q807" s="53"/>
      <c r="R807" s="53"/>
      <c r="S807" s="53"/>
      <c r="T807" s="53"/>
      <c r="U807" s="53"/>
      <c r="V807" s="53"/>
      <c r="W807" s="53"/>
      <c r="X807" s="53"/>
      <c r="Y807" s="53"/>
      <c r="Z807" s="53"/>
    </row>
    <row r="808">
      <c r="A808" s="53"/>
      <c r="B808" s="53"/>
      <c r="C808" s="53"/>
      <c r="D808" s="53"/>
      <c r="E808" s="53"/>
      <c r="F808" s="53"/>
      <c r="G808" s="54"/>
      <c r="H808" s="53"/>
      <c r="I808" s="53"/>
      <c r="J808" s="54"/>
      <c r="K808" s="53"/>
      <c r="L808" s="53"/>
      <c r="M808" s="53"/>
      <c r="N808" s="53"/>
      <c r="O808" s="53"/>
      <c r="P808" s="53"/>
      <c r="Q808" s="53"/>
      <c r="R808" s="53"/>
      <c r="S808" s="53"/>
      <c r="T808" s="53"/>
      <c r="U808" s="53"/>
      <c r="V808" s="53"/>
      <c r="W808" s="53"/>
      <c r="X808" s="53"/>
      <c r="Y808" s="53"/>
      <c r="Z808" s="53"/>
    </row>
    <row r="809">
      <c r="A809" s="53"/>
      <c r="B809" s="53"/>
      <c r="C809" s="53"/>
      <c r="D809" s="53"/>
      <c r="E809" s="53"/>
      <c r="F809" s="53"/>
      <c r="G809" s="54"/>
      <c r="H809" s="53"/>
      <c r="I809" s="53"/>
      <c r="J809" s="54"/>
      <c r="K809" s="53"/>
      <c r="L809" s="53"/>
      <c r="M809" s="53"/>
      <c r="N809" s="53"/>
      <c r="O809" s="53"/>
      <c r="P809" s="53"/>
      <c r="Q809" s="53"/>
      <c r="R809" s="53"/>
      <c r="S809" s="53"/>
      <c r="T809" s="53"/>
      <c r="U809" s="53"/>
      <c r="V809" s="53"/>
      <c r="W809" s="53"/>
      <c r="X809" s="53"/>
      <c r="Y809" s="53"/>
      <c r="Z809" s="53"/>
    </row>
    <row r="810">
      <c r="A810" s="53"/>
      <c r="B810" s="53"/>
      <c r="C810" s="53"/>
      <c r="D810" s="53"/>
      <c r="E810" s="53"/>
      <c r="F810" s="53"/>
      <c r="G810" s="54"/>
      <c r="H810" s="53"/>
      <c r="I810" s="53"/>
      <c r="J810" s="54"/>
      <c r="K810" s="53"/>
      <c r="L810" s="53"/>
      <c r="M810" s="53"/>
      <c r="N810" s="53"/>
      <c r="O810" s="53"/>
      <c r="P810" s="53"/>
      <c r="Q810" s="53"/>
      <c r="R810" s="53"/>
      <c r="S810" s="53"/>
      <c r="T810" s="53"/>
      <c r="U810" s="53"/>
      <c r="V810" s="53"/>
      <c r="W810" s="53"/>
      <c r="X810" s="53"/>
      <c r="Y810" s="53"/>
      <c r="Z810" s="53"/>
    </row>
    <row r="811">
      <c r="A811" s="53"/>
      <c r="B811" s="53"/>
      <c r="C811" s="53"/>
      <c r="D811" s="53"/>
      <c r="E811" s="53"/>
      <c r="F811" s="53"/>
      <c r="G811" s="54"/>
      <c r="H811" s="53"/>
      <c r="I811" s="53"/>
      <c r="J811" s="54"/>
      <c r="K811" s="53"/>
      <c r="L811" s="53"/>
      <c r="M811" s="53"/>
      <c r="N811" s="53"/>
      <c r="O811" s="53"/>
      <c r="P811" s="53"/>
      <c r="Q811" s="53"/>
      <c r="R811" s="53"/>
      <c r="S811" s="53"/>
      <c r="T811" s="53"/>
      <c r="U811" s="53"/>
      <c r="V811" s="53"/>
      <c r="W811" s="53"/>
      <c r="X811" s="53"/>
      <c r="Y811" s="53"/>
      <c r="Z811" s="53"/>
    </row>
    <row r="812">
      <c r="A812" s="53"/>
      <c r="B812" s="53"/>
      <c r="C812" s="53"/>
      <c r="D812" s="53"/>
      <c r="E812" s="53"/>
      <c r="F812" s="53"/>
      <c r="G812" s="54"/>
      <c r="H812" s="53"/>
      <c r="I812" s="53"/>
      <c r="J812" s="54"/>
      <c r="K812" s="53"/>
      <c r="L812" s="53"/>
      <c r="M812" s="53"/>
      <c r="N812" s="53"/>
      <c r="O812" s="53"/>
      <c r="P812" s="53"/>
      <c r="Q812" s="53"/>
      <c r="R812" s="53"/>
      <c r="S812" s="53"/>
      <c r="T812" s="53"/>
      <c r="U812" s="53"/>
      <c r="V812" s="53"/>
      <c r="W812" s="53"/>
      <c r="X812" s="53"/>
      <c r="Y812" s="53"/>
      <c r="Z812" s="53"/>
    </row>
    <row r="813">
      <c r="A813" s="53"/>
      <c r="B813" s="53"/>
      <c r="C813" s="53"/>
      <c r="D813" s="53"/>
      <c r="E813" s="53"/>
      <c r="F813" s="53"/>
      <c r="G813" s="54"/>
      <c r="H813" s="53"/>
      <c r="I813" s="53"/>
      <c r="J813" s="54"/>
      <c r="K813" s="53"/>
      <c r="L813" s="53"/>
      <c r="M813" s="53"/>
      <c r="N813" s="53"/>
      <c r="O813" s="53"/>
      <c r="P813" s="53"/>
      <c r="Q813" s="53"/>
      <c r="R813" s="53"/>
      <c r="S813" s="53"/>
      <c r="T813" s="53"/>
      <c r="U813" s="53"/>
      <c r="V813" s="53"/>
      <c r="W813" s="53"/>
      <c r="X813" s="53"/>
      <c r="Y813" s="53"/>
      <c r="Z813" s="53"/>
    </row>
    <row r="814">
      <c r="A814" s="53"/>
      <c r="B814" s="53"/>
      <c r="C814" s="53"/>
      <c r="D814" s="53"/>
      <c r="E814" s="53"/>
      <c r="F814" s="53"/>
      <c r="G814" s="54"/>
      <c r="H814" s="53"/>
      <c r="I814" s="53"/>
      <c r="J814" s="54"/>
      <c r="K814" s="53"/>
      <c r="L814" s="53"/>
      <c r="M814" s="53"/>
      <c r="N814" s="53"/>
      <c r="O814" s="53"/>
      <c r="P814" s="53"/>
      <c r="Q814" s="53"/>
      <c r="R814" s="53"/>
      <c r="S814" s="53"/>
      <c r="T814" s="53"/>
      <c r="U814" s="53"/>
      <c r="V814" s="53"/>
      <c r="W814" s="53"/>
      <c r="X814" s="53"/>
      <c r="Y814" s="53"/>
      <c r="Z814" s="53"/>
    </row>
    <row r="815">
      <c r="A815" s="53"/>
      <c r="B815" s="53"/>
      <c r="C815" s="53"/>
      <c r="D815" s="53"/>
      <c r="E815" s="53"/>
      <c r="F815" s="53"/>
      <c r="G815" s="54"/>
      <c r="H815" s="53"/>
      <c r="I815" s="53"/>
      <c r="J815" s="54"/>
      <c r="K815" s="53"/>
      <c r="L815" s="53"/>
      <c r="M815" s="53"/>
      <c r="N815" s="53"/>
      <c r="O815" s="53"/>
      <c r="P815" s="53"/>
      <c r="Q815" s="53"/>
      <c r="R815" s="53"/>
      <c r="S815" s="53"/>
      <c r="T815" s="53"/>
      <c r="U815" s="53"/>
      <c r="V815" s="53"/>
      <c r="W815" s="53"/>
      <c r="X815" s="53"/>
      <c r="Y815" s="53"/>
      <c r="Z815" s="53"/>
    </row>
    <row r="816">
      <c r="A816" s="53"/>
      <c r="B816" s="53"/>
      <c r="C816" s="53"/>
      <c r="D816" s="53"/>
      <c r="E816" s="53"/>
      <c r="F816" s="53"/>
      <c r="G816" s="54"/>
      <c r="H816" s="53"/>
      <c r="I816" s="53"/>
      <c r="J816" s="54"/>
      <c r="K816" s="53"/>
      <c r="L816" s="53"/>
      <c r="M816" s="53"/>
      <c r="N816" s="53"/>
      <c r="O816" s="53"/>
      <c r="P816" s="53"/>
      <c r="Q816" s="53"/>
      <c r="R816" s="53"/>
      <c r="S816" s="53"/>
      <c r="T816" s="53"/>
      <c r="U816" s="53"/>
      <c r="V816" s="53"/>
      <c r="W816" s="53"/>
      <c r="X816" s="53"/>
      <c r="Y816" s="53"/>
      <c r="Z816" s="53"/>
    </row>
    <row r="817">
      <c r="A817" s="53"/>
      <c r="B817" s="53"/>
      <c r="C817" s="53"/>
      <c r="D817" s="53"/>
      <c r="E817" s="53"/>
      <c r="F817" s="53"/>
      <c r="G817" s="54"/>
      <c r="H817" s="53"/>
      <c r="I817" s="53"/>
      <c r="J817" s="54"/>
      <c r="K817" s="53"/>
      <c r="L817" s="53"/>
      <c r="M817" s="53"/>
      <c r="N817" s="53"/>
      <c r="O817" s="53"/>
      <c r="P817" s="53"/>
      <c r="Q817" s="53"/>
      <c r="R817" s="53"/>
      <c r="S817" s="53"/>
      <c r="T817" s="53"/>
      <c r="U817" s="53"/>
      <c r="V817" s="53"/>
      <c r="W817" s="53"/>
      <c r="X817" s="53"/>
      <c r="Y817" s="53"/>
      <c r="Z817" s="53"/>
    </row>
    <row r="818">
      <c r="A818" s="53"/>
      <c r="B818" s="53"/>
      <c r="C818" s="53"/>
      <c r="D818" s="53"/>
      <c r="E818" s="53"/>
      <c r="F818" s="53"/>
      <c r="G818" s="54"/>
      <c r="H818" s="53"/>
      <c r="I818" s="53"/>
      <c r="J818" s="54"/>
      <c r="K818" s="53"/>
      <c r="L818" s="53"/>
      <c r="M818" s="53"/>
      <c r="N818" s="53"/>
      <c r="O818" s="53"/>
      <c r="P818" s="53"/>
      <c r="Q818" s="53"/>
      <c r="R818" s="53"/>
      <c r="S818" s="53"/>
      <c r="T818" s="53"/>
      <c r="U818" s="53"/>
      <c r="V818" s="53"/>
      <c r="W818" s="53"/>
      <c r="X818" s="53"/>
      <c r="Y818" s="53"/>
      <c r="Z818" s="53"/>
    </row>
    <row r="819">
      <c r="A819" s="53"/>
      <c r="B819" s="53"/>
      <c r="C819" s="53"/>
      <c r="D819" s="53"/>
      <c r="E819" s="53"/>
      <c r="F819" s="53"/>
      <c r="G819" s="54"/>
      <c r="H819" s="53"/>
      <c r="I819" s="53"/>
      <c r="J819" s="54"/>
      <c r="K819" s="53"/>
      <c r="L819" s="53"/>
      <c r="M819" s="53"/>
      <c r="N819" s="53"/>
      <c r="O819" s="53"/>
      <c r="P819" s="53"/>
      <c r="Q819" s="53"/>
      <c r="R819" s="53"/>
      <c r="S819" s="53"/>
      <c r="T819" s="53"/>
      <c r="U819" s="53"/>
      <c r="V819" s="53"/>
      <c r="W819" s="53"/>
      <c r="X819" s="53"/>
      <c r="Y819" s="53"/>
      <c r="Z819" s="53"/>
    </row>
    <row r="820">
      <c r="A820" s="53"/>
      <c r="B820" s="53"/>
      <c r="C820" s="53"/>
      <c r="D820" s="53"/>
      <c r="E820" s="53"/>
      <c r="F820" s="53"/>
      <c r="G820" s="54"/>
      <c r="H820" s="53"/>
      <c r="I820" s="53"/>
      <c r="J820" s="54"/>
      <c r="K820" s="53"/>
      <c r="L820" s="53"/>
      <c r="M820" s="53"/>
      <c r="N820" s="53"/>
      <c r="O820" s="53"/>
      <c r="P820" s="53"/>
      <c r="Q820" s="53"/>
      <c r="R820" s="53"/>
      <c r="S820" s="53"/>
      <c r="T820" s="53"/>
      <c r="U820" s="53"/>
      <c r="V820" s="53"/>
      <c r="W820" s="53"/>
      <c r="X820" s="53"/>
      <c r="Y820" s="53"/>
      <c r="Z820" s="53"/>
    </row>
    <row r="821">
      <c r="A821" s="53"/>
      <c r="B821" s="53"/>
      <c r="C821" s="53"/>
      <c r="D821" s="53"/>
      <c r="E821" s="53"/>
      <c r="F821" s="53"/>
      <c r="G821" s="54"/>
      <c r="H821" s="53"/>
      <c r="I821" s="53"/>
      <c r="J821" s="54"/>
      <c r="K821" s="53"/>
      <c r="L821" s="53"/>
      <c r="M821" s="53"/>
      <c r="N821" s="53"/>
      <c r="O821" s="53"/>
      <c r="P821" s="53"/>
      <c r="Q821" s="53"/>
      <c r="R821" s="53"/>
      <c r="S821" s="53"/>
      <c r="T821" s="53"/>
      <c r="U821" s="53"/>
      <c r="V821" s="53"/>
      <c r="W821" s="53"/>
      <c r="X821" s="53"/>
      <c r="Y821" s="53"/>
      <c r="Z821" s="53"/>
    </row>
    <row r="822">
      <c r="A822" s="53"/>
      <c r="B822" s="53"/>
      <c r="C822" s="53"/>
      <c r="D822" s="53"/>
      <c r="E822" s="53"/>
      <c r="F822" s="53"/>
      <c r="G822" s="54"/>
      <c r="H822" s="53"/>
      <c r="I822" s="53"/>
      <c r="J822" s="54"/>
      <c r="K822" s="53"/>
      <c r="L822" s="53"/>
      <c r="M822" s="53"/>
      <c r="N822" s="53"/>
      <c r="O822" s="53"/>
      <c r="P822" s="53"/>
      <c r="Q822" s="53"/>
      <c r="R822" s="53"/>
      <c r="S822" s="53"/>
      <c r="T822" s="53"/>
      <c r="U822" s="53"/>
      <c r="V822" s="53"/>
      <c r="W822" s="53"/>
      <c r="X822" s="53"/>
      <c r="Y822" s="53"/>
      <c r="Z822" s="53"/>
    </row>
    <row r="823">
      <c r="A823" s="53"/>
      <c r="B823" s="53"/>
      <c r="C823" s="53"/>
      <c r="D823" s="53"/>
      <c r="E823" s="53"/>
      <c r="F823" s="53"/>
      <c r="G823" s="54"/>
      <c r="H823" s="53"/>
      <c r="I823" s="53"/>
      <c r="J823" s="54"/>
      <c r="K823" s="53"/>
      <c r="L823" s="53"/>
      <c r="M823" s="53"/>
      <c r="N823" s="53"/>
      <c r="O823" s="53"/>
      <c r="P823" s="53"/>
      <c r="Q823" s="53"/>
      <c r="R823" s="53"/>
      <c r="S823" s="53"/>
      <c r="T823" s="53"/>
      <c r="U823" s="53"/>
      <c r="V823" s="53"/>
      <c r="W823" s="53"/>
      <c r="X823" s="53"/>
      <c r="Y823" s="53"/>
      <c r="Z823" s="53"/>
    </row>
    <row r="824">
      <c r="A824" s="53"/>
      <c r="B824" s="53"/>
      <c r="C824" s="53"/>
      <c r="D824" s="53"/>
      <c r="E824" s="53"/>
      <c r="F824" s="53"/>
      <c r="G824" s="54"/>
      <c r="H824" s="53"/>
      <c r="I824" s="53"/>
      <c r="J824" s="54"/>
      <c r="K824" s="53"/>
      <c r="L824" s="53"/>
      <c r="M824" s="53"/>
      <c r="N824" s="53"/>
      <c r="O824" s="53"/>
      <c r="P824" s="53"/>
      <c r="Q824" s="53"/>
      <c r="R824" s="53"/>
      <c r="S824" s="53"/>
      <c r="T824" s="53"/>
      <c r="U824" s="53"/>
      <c r="V824" s="53"/>
      <c r="W824" s="53"/>
      <c r="X824" s="53"/>
      <c r="Y824" s="53"/>
      <c r="Z824" s="53"/>
    </row>
    <row r="825">
      <c r="A825" s="53"/>
      <c r="B825" s="53"/>
      <c r="C825" s="53"/>
      <c r="D825" s="53"/>
      <c r="E825" s="53"/>
      <c r="F825" s="53"/>
      <c r="G825" s="54"/>
      <c r="H825" s="53"/>
      <c r="I825" s="53"/>
      <c r="J825" s="54"/>
      <c r="K825" s="53"/>
      <c r="L825" s="53"/>
      <c r="M825" s="53"/>
      <c r="N825" s="53"/>
      <c r="O825" s="53"/>
      <c r="P825" s="53"/>
      <c r="Q825" s="53"/>
      <c r="R825" s="53"/>
      <c r="S825" s="53"/>
      <c r="T825" s="53"/>
      <c r="U825" s="53"/>
      <c r="V825" s="53"/>
      <c r="W825" s="53"/>
      <c r="X825" s="53"/>
      <c r="Y825" s="53"/>
      <c r="Z825" s="53"/>
    </row>
    <row r="826">
      <c r="A826" s="53"/>
      <c r="B826" s="53"/>
      <c r="C826" s="53"/>
      <c r="D826" s="53"/>
      <c r="E826" s="53"/>
      <c r="F826" s="53"/>
      <c r="G826" s="54"/>
      <c r="H826" s="53"/>
      <c r="I826" s="53"/>
      <c r="J826" s="54"/>
      <c r="K826" s="53"/>
      <c r="L826" s="53"/>
      <c r="M826" s="53"/>
      <c r="N826" s="53"/>
      <c r="O826" s="53"/>
      <c r="P826" s="53"/>
      <c r="Q826" s="53"/>
      <c r="R826" s="53"/>
      <c r="S826" s="53"/>
      <c r="T826" s="53"/>
      <c r="U826" s="53"/>
      <c r="V826" s="53"/>
      <c r="W826" s="53"/>
      <c r="X826" s="53"/>
      <c r="Y826" s="53"/>
      <c r="Z826" s="53"/>
    </row>
    <row r="827">
      <c r="A827" s="53"/>
      <c r="B827" s="53"/>
      <c r="C827" s="53"/>
      <c r="D827" s="53"/>
      <c r="E827" s="53"/>
      <c r="F827" s="53"/>
      <c r="G827" s="54"/>
      <c r="H827" s="53"/>
      <c r="I827" s="53"/>
      <c r="J827" s="54"/>
      <c r="K827" s="53"/>
      <c r="L827" s="53"/>
      <c r="M827" s="53"/>
      <c r="N827" s="53"/>
      <c r="O827" s="53"/>
      <c r="P827" s="53"/>
      <c r="Q827" s="53"/>
      <c r="R827" s="53"/>
      <c r="S827" s="53"/>
      <c r="T827" s="53"/>
      <c r="U827" s="53"/>
      <c r="V827" s="53"/>
      <c r="W827" s="53"/>
      <c r="X827" s="53"/>
      <c r="Y827" s="53"/>
      <c r="Z827" s="53"/>
    </row>
    <row r="828">
      <c r="A828" s="53"/>
      <c r="B828" s="53"/>
      <c r="C828" s="53"/>
      <c r="D828" s="53"/>
      <c r="E828" s="53"/>
      <c r="F828" s="53"/>
      <c r="G828" s="54"/>
      <c r="H828" s="53"/>
      <c r="I828" s="53"/>
      <c r="J828" s="54"/>
      <c r="K828" s="53"/>
      <c r="L828" s="53"/>
      <c r="M828" s="53"/>
      <c r="N828" s="53"/>
      <c r="O828" s="53"/>
      <c r="P828" s="53"/>
      <c r="Q828" s="53"/>
      <c r="R828" s="53"/>
      <c r="S828" s="53"/>
      <c r="T828" s="53"/>
      <c r="U828" s="53"/>
      <c r="V828" s="53"/>
      <c r="W828" s="53"/>
      <c r="X828" s="53"/>
      <c r="Y828" s="53"/>
      <c r="Z828" s="53"/>
    </row>
    <row r="829">
      <c r="A829" s="53"/>
      <c r="B829" s="53"/>
      <c r="C829" s="53"/>
      <c r="D829" s="53"/>
      <c r="E829" s="53"/>
      <c r="F829" s="53"/>
      <c r="G829" s="54"/>
      <c r="H829" s="53"/>
      <c r="I829" s="53"/>
      <c r="J829" s="54"/>
      <c r="K829" s="53"/>
      <c r="L829" s="53"/>
      <c r="M829" s="53"/>
      <c r="N829" s="53"/>
      <c r="O829" s="53"/>
      <c r="P829" s="53"/>
      <c r="Q829" s="53"/>
      <c r="R829" s="53"/>
      <c r="S829" s="53"/>
      <c r="T829" s="53"/>
      <c r="U829" s="53"/>
      <c r="V829" s="53"/>
      <c r="W829" s="53"/>
      <c r="X829" s="53"/>
      <c r="Y829" s="53"/>
      <c r="Z829" s="53"/>
    </row>
    <row r="830">
      <c r="A830" s="53"/>
      <c r="B830" s="53"/>
      <c r="C830" s="53"/>
      <c r="D830" s="53"/>
      <c r="E830" s="53"/>
      <c r="F830" s="53"/>
      <c r="G830" s="54"/>
      <c r="H830" s="53"/>
      <c r="I830" s="53"/>
      <c r="J830" s="54"/>
      <c r="K830" s="53"/>
      <c r="L830" s="53"/>
      <c r="M830" s="53"/>
      <c r="N830" s="53"/>
      <c r="O830" s="53"/>
      <c r="P830" s="53"/>
      <c r="Q830" s="53"/>
      <c r="R830" s="53"/>
      <c r="S830" s="53"/>
      <c r="T830" s="53"/>
      <c r="U830" s="53"/>
      <c r="V830" s="53"/>
      <c r="W830" s="53"/>
      <c r="X830" s="53"/>
      <c r="Y830" s="53"/>
      <c r="Z830" s="53"/>
    </row>
    <row r="831">
      <c r="A831" s="53"/>
      <c r="B831" s="53"/>
      <c r="C831" s="53"/>
      <c r="D831" s="53"/>
      <c r="E831" s="53"/>
      <c r="F831" s="53"/>
      <c r="G831" s="54"/>
      <c r="H831" s="53"/>
      <c r="I831" s="53"/>
      <c r="J831" s="54"/>
      <c r="K831" s="53"/>
      <c r="L831" s="53"/>
      <c r="M831" s="53"/>
      <c r="N831" s="53"/>
      <c r="O831" s="53"/>
      <c r="P831" s="53"/>
      <c r="Q831" s="53"/>
      <c r="R831" s="53"/>
      <c r="S831" s="53"/>
      <c r="T831" s="53"/>
      <c r="U831" s="53"/>
      <c r="V831" s="53"/>
      <c r="W831" s="53"/>
      <c r="X831" s="53"/>
      <c r="Y831" s="53"/>
      <c r="Z831" s="53"/>
    </row>
    <row r="832">
      <c r="A832" s="53"/>
      <c r="B832" s="53"/>
      <c r="C832" s="53"/>
      <c r="D832" s="53"/>
      <c r="E832" s="53"/>
      <c r="F832" s="53"/>
      <c r="G832" s="54"/>
      <c r="H832" s="53"/>
      <c r="I832" s="53"/>
      <c r="J832" s="54"/>
      <c r="K832" s="53"/>
      <c r="L832" s="53"/>
      <c r="M832" s="53"/>
      <c r="N832" s="53"/>
      <c r="O832" s="53"/>
      <c r="P832" s="53"/>
      <c r="Q832" s="53"/>
      <c r="R832" s="53"/>
      <c r="S832" s="53"/>
      <c r="T832" s="53"/>
      <c r="U832" s="53"/>
      <c r="V832" s="53"/>
      <c r="W832" s="53"/>
      <c r="X832" s="53"/>
      <c r="Y832" s="53"/>
      <c r="Z832" s="53"/>
    </row>
    <row r="833">
      <c r="A833" s="53"/>
      <c r="B833" s="53"/>
      <c r="C833" s="53"/>
      <c r="D833" s="53"/>
      <c r="E833" s="53"/>
      <c r="F833" s="53"/>
      <c r="G833" s="54"/>
      <c r="H833" s="53"/>
      <c r="I833" s="53"/>
      <c r="J833" s="54"/>
      <c r="K833" s="53"/>
      <c r="L833" s="53"/>
      <c r="M833" s="53"/>
      <c r="N833" s="53"/>
      <c r="O833" s="53"/>
      <c r="P833" s="53"/>
      <c r="Q833" s="53"/>
      <c r="R833" s="53"/>
      <c r="S833" s="53"/>
      <c r="T833" s="53"/>
      <c r="U833" s="53"/>
      <c r="V833" s="53"/>
      <c r="W833" s="53"/>
      <c r="X833" s="53"/>
      <c r="Y833" s="53"/>
      <c r="Z833" s="53"/>
    </row>
    <row r="834">
      <c r="A834" s="53"/>
      <c r="B834" s="53"/>
      <c r="C834" s="53"/>
      <c r="D834" s="53"/>
      <c r="E834" s="53"/>
      <c r="F834" s="53"/>
      <c r="G834" s="54"/>
      <c r="H834" s="53"/>
      <c r="I834" s="53"/>
      <c r="J834" s="54"/>
      <c r="K834" s="53"/>
      <c r="L834" s="53"/>
      <c r="M834" s="53"/>
      <c r="N834" s="53"/>
      <c r="O834" s="53"/>
      <c r="P834" s="53"/>
      <c r="Q834" s="53"/>
      <c r="R834" s="53"/>
      <c r="S834" s="53"/>
      <c r="T834" s="53"/>
      <c r="U834" s="53"/>
      <c r="V834" s="53"/>
      <c r="W834" s="53"/>
      <c r="X834" s="53"/>
      <c r="Y834" s="53"/>
      <c r="Z834" s="53"/>
    </row>
    <row r="835">
      <c r="A835" s="53"/>
      <c r="B835" s="53"/>
      <c r="C835" s="53"/>
      <c r="D835" s="53"/>
      <c r="E835" s="53"/>
      <c r="F835" s="53"/>
      <c r="G835" s="54"/>
      <c r="H835" s="53"/>
      <c r="I835" s="53"/>
      <c r="J835" s="54"/>
      <c r="K835" s="53"/>
      <c r="L835" s="53"/>
      <c r="M835" s="53"/>
      <c r="N835" s="53"/>
      <c r="O835" s="53"/>
      <c r="P835" s="53"/>
      <c r="Q835" s="53"/>
      <c r="R835" s="53"/>
      <c r="S835" s="53"/>
      <c r="T835" s="53"/>
      <c r="U835" s="53"/>
      <c r="V835" s="53"/>
      <c r="W835" s="53"/>
      <c r="X835" s="53"/>
      <c r="Y835" s="53"/>
      <c r="Z835" s="53"/>
    </row>
    <row r="836">
      <c r="A836" s="53"/>
      <c r="B836" s="53"/>
      <c r="C836" s="53"/>
      <c r="D836" s="53"/>
      <c r="E836" s="53"/>
      <c r="F836" s="53"/>
      <c r="G836" s="54"/>
      <c r="H836" s="53"/>
      <c r="I836" s="53"/>
      <c r="J836" s="54"/>
      <c r="K836" s="53"/>
      <c r="L836" s="53"/>
      <c r="M836" s="53"/>
      <c r="N836" s="53"/>
      <c r="O836" s="53"/>
      <c r="P836" s="53"/>
      <c r="Q836" s="53"/>
      <c r="R836" s="53"/>
      <c r="S836" s="53"/>
      <c r="T836" s="53"/>
      <c r="U836" s="53"/>
      <c r="V836" s="53"/>
      <c r="W836" s="53"/>
      <c r="X836" s="53"/>
      <c r="Y836" s="53"/>
      <c r="Z836" s="53"/>
    </row>
    <row r="837">
      <c r="A837" s="53"/>
      <c r="B837" s="53"/>
      <c r="C837" s="53"/>
      <c r="D837" s="53"/>
      <c r="E837" s="53"/>
      <c r="F837" s="53"/>
      <c r="G837" s="54"/>
      <c r="H837" s="53"/>
      <c r="I837" s="53"/>
      <c r="J837" s="54"/>
      <c r="K837" s="53"/>
      <c r="L837" s="53"/>
      <c r="M837" s="53"/>
      <c r="N837" s="53"/>
      <c r="O837" s="53"/>
      <c r="P837" s="53"/>
      <c r="Q837" s="53"/>
      <c r="R837" s="53"/>
      <c r="S837" s="53"/>
      <c r="T837" s="53"/>
      <c r="U837" s="53"/>
      <c r="V837" s="53"/>
      <c r="W837" s="53"/>
      <c r="X837" s="53"/>
      <c r="Y837" s="53"/>
      <c r="Z837" s="53"/>
    </row>
    <row r="838">
      <c r="A838" s="53"/>
      <c r="B838" s="53"/>
      <c r="C838" s="53"/>
      <c r="D838" s="53"/>
      <c r="E838" s="53"/>
      <c r="F838" s="53"/>
      <c r="G838" s="54"/>
      <c r="H838" s="53"/>
      <c r="I838" s="53"/>
      <c r="J838" s="54"/>
      <c r="K838" s="53"/>
      <c r="L838" s="53"/>
      <c r="M838" s="53"/>
      <c r="N838" s="53"/>
      <c r="O838" s="53"/>
      <c r="P838" s="53"/>
      <c r="Q838" s="53"/>
      <c r="R838" s="53"/>
      <c r="S838" s="53"/>
      <c r="T838" s="53"/>
      <c r="U838" s="53"/>
      <c r="V838" s="53"/>
      <c r="W838" s="53"/>
      <c r="X838" s="53"/>
      <c r="Y838" s="53"/>
      <c r="Z838" s="53"/>
    </row>
    <row r="839">
      <c r="A839" s="53"/>
      <c r="B839" s="53"/>
      <c r="C839" s="53"/>
      <c r="D839" s="53"/>
      <c r="E839" s="53"/>
      <c r="F839" s="53"/>
      <c r="G839" s="54"/>
      <c r="H839" s="53"/>
      <c r="I839" s="53"/>
      <c r="J839" s="54"/>
      <c r="K839" s="53"/>
      <c r="L839" s="53"/>
      <c r="M839" s="53"/>
      <c r="N839" s="53"/>
      <c r="O839" s="53"/>
      <c r="P839" s="53"/>
      <c r="Q839" s="53"/>
      <c r="R839" s="53"/>
      <c r="S839" s="53"/>
      <c r="T839" s="53"/>
      <c r="U839" s="53"/>
      <c r="V839" s="53"/>
      <c r="W839" s="53"/>
      <c r="X839" s="53"/>
      <c r="Y839" s="53"/>
      <c r="Z839" s="53"/>
    </row>
    <row r="840">
      <c r="A840" s="53"/>
      <c r="B840" s="53"/>
      <c r="C840" s="53"/>
      <c r="D840" s="53"/>
      <c r="E840" s="53"/>
      <c r="F840" s="53"/>
      <c r="G840" s="54"/>
      <c r="H840" s="53"/>
      <c r="I840" s="53"/>
      <c r="J840" s="54"/>
      <c r="K840" s="53"/>
      <c r="L840" s="53"/>
      <c r="M840" s="53"/>
      <c r="N840" s="53"/>
      <c r="O840" s="53"/>
      <c r="P840" s="53"/>
      <c r="Q840" s="53"/>
      <c r="R840" s="53"/>
      <c r="S840" s="53"/>
      <c r="T840" s="53"/>
      <c r="U840" s="53"/>
      <c r="V840" s="53"/>
      <c r="W840" s="53"/>
      <c r="X840" s="53"/>
      <c r="Y840" s="53"/>
      <c r="Z840" s="53"/>
    </row>
    <row r="841">
      <c r="A841" s="53"/>
      <c r="B841" s="53"/>
      <c r="C841" s="53"/>
      <c r="D841" s="53"/>
      <c r="E841" s="53"/>
      <c r="F841" s="53"/>
      <c r="G841" s="54"/>
      <c r="H841" s="53"/>
      <c r="I841" s="53"/>
      <c r="J841" s="54"/>
      <c r="K841" s="53"/>
      <c r="L841" s="53"/>
      <c r="M841" s="53"/>
      <c r="N841" s="53"/>
      <c r="O841" s="53"/>
      <c r="P841" s="53"/>
      <c r="Q841" s="53"/>
      <c r="R841" s="53"/>
      <c r="S841" s="53"/>
      <c r="T841" s="53"/>
      <c r="U841" s="53"/>
      <c r="V841" s="53"/>
      <c r="W841" s="53"/>
      <c r="X841" s="53"/>
      <c r="Y841" s="53"/>
      <c r="Z841" s="53"/>
    </row>
    <row r="842">
      <c r="A842" s="53"/>
      <c r="B842" s="53"/>
      <c r="C842" s="53"/>
      <c r="D842" s="53"/>
      <c r="E842" s="53"/>
      <c r="F842" s="53"/>
      <c r="G842" s="54"/>
      <c r="H842" s="53"/>
      <c r="I842" s="53"/>
      <c r="J842" s="54"/>
      <c r="K842" s="53"/>
      <c r="L842" s="53"/>
      <c r="M842" s="53"/>
      <c r="N842" s="53"/>
      <c r="O842" s="53"/>
      <c r="P842" s="53"/>
      <c r="Q842" s="53"/>
      <c r="R842" s="53"/>
      <c r="S842" s="53"/>
      <c r="T842" s="53"/>
      <c r="U842" s="53"/>
      <c r="V842" s="53"/>
      <c r="W842" s="53"/>
      <c r="X842" s="53"/>
      <c r="Y842" s="53"/>
      <c r="Z842" s="53"/>
    </row>
    <row r="843">
      <c r="A843" s="53"/>
      <c r="B843" s="53"/>
      <c r="C843" s="53"/>
      <c r="D843" s="53"/>
      <c r="E843" s="53"/>
      <c r="F843" s="53"/>
      <c r="G843" s="54"/>
      <c r="H843" s="53"/>
      <c r="I843" s="53"/>
      <c r="J843" s="54"/>
      <c r="K843" s="53"/>
      <c r="L843" s="53"/>
      <c r="M843" s="53"/>
      <c r="N843" s="53"/>
      <c r="O843" s="53"/>
      <c r="P843" s="53"/>
      <c r="Q843" s="53"/>
      <c r="R843" s="53"/>
      <c r="S843" s="53"/>
      <c r="T843" s="53"/>
      <c r="U843" s="53"/>
      <c r="V843" s="53"/>
      <c r="W843" s="53"/>
      <c r="X843" s="53"/>
      <c r="Y843" s="53"/>
      <c r="Z843" s="53"/>
    </row>
    <row r="844">
      <c r="A844" s="53"/>
      <c r="B844" s="53"/>
      <c r="C844" s="53"/>
      <c r="D844" s="53"/>
      <c r="E844" s="53"/>
      <c r="F844" s="53"/>
      <c r="G844" s="54"/>
      <c r="H844" s="53"/>
      <c r="I844" s="53"/>
      <c r="J844" s="54"/>
      <c r="K844" s="53"/>
      <c r="L844" s="53"/>
      <c r="M844" s="53"/>
      <c r="N844" s="53"/>
      <c r="O844" s="53"/>
      <c r="P844" s="53"/>
      <c r="Q844" s="53"/>
      <c r="R844" s="53"/>
      <c r="S844" s="53"/>
      <c r="T844" s="53"/>
      <c r="U844" s="53"/>
      <c r="V844" s="53"/>
      <c r="W844" s="53"/>
      <c r="X844" s="53"/>
      <c r="Y844" s="53"/>
      <c r="Z844" s="53"/>
    </row>
    <row r="845">
      <c r="A845" s="53"/>
      <c r="B845" s="53"/>
      <c r="C845" s="53"/>
      <c r="D845" s="53"/>
      <c r="E845" s="53"/>
      <c r="F845" s="53"/>
      <c r="G845" s="54"/>
      <c r="H845" s="53"/>
      <c r="I845" s="53"/>
      <c r="J845" s="54"/>
      <c r="K845" s="53"/>
      <c r="L845" s="53"/>
      <c r="M845" s="53"/>
      <c r="N845" s="53"/>
      <c r="O845" s="53"/>
      <c r="P845" s="53"/>
      <c r="Q845" s="53"/>
      <c r="R845" s="53"/>
      <c r="S845" s="53"/>
      <c r="T845" s="53"/>
      <c r="U845" s="53"/>
      <c r="V845" s="53"/>
      <c r="W845" s="53"/>
      <c r="X845" s="53"/>
      <c r="Y845" s="53"/>
      <c r="Z845" s="53"/>
    </row>
    <row r="846">
      <c r="A846" s="53"/>
      <c r="B846" s="53"/>
      <c r="C846" s="53"/>
      <c r="D846" s="53"/>
      <c r="E846" s="53"/>
      <c r="F846" s="53"/>
      <c r="G846" s="54"/>
      <c r="H846" s="53"/>
      <c r="I846" s="53"/>
      <c r="J846" s="54"/>
      <c r="K846" s="53"/>
      <c r="L846" s="53"/>
      <c r="M846" s="53"/>
      <c r="N846" s="53"/>
      <c r="O846" s="53"/>
      <c r="P846" s="53"/>
      <c r="Q846" s="53"/>
      <c r="R846" s="53"/>
      <c r="S846" s="53"/>
      <c r="T846" s="53"/>
      <c r="U846" s="53"/>
      <c r="V846" s="53"/>
      <c r="W846" s="53"/>
      <c r="X846" s="53"/>
      <c r="Y846" s="53"/>
      <c r="Z846" s="53"/>
    </row>
    <row r="847">
      <c r="A847" s="53"/>
      <c r="B847" s="53"/>
      <c r="C847" s="53"/>
      <c r="D847" s="53"/>
      <c r="E847" s="53"/>
      <c r="F847" s="53"/>
      <c r="G847" s="54"/>
      <c r="H847" s="53"/>
      <c r="I847" s="53"/>
      <c r="J847" s="54"/>
      <c r="K847" s="53"/>
      <c r="L847" s="53"/>
      <c r="M847" s="53"/>
      <c r="N847" s="53"/>
      <c r="O847" s="53"/>
      <c r="P847" s="53"/>
      <c r="Q847" s="53"/>
      <c r="R847" s="53"/>
      <c r="S847" s="53"/>
      <c r="T847" s="53"/>
      <c r="U847" s="53"/>
      <c r="V847" s="53"/>
      <c r="W847" s="53"/>
      <c r="X847" s="53"/>
      <c r="Y847" s="53"/>
      <c r="Z847" s="53"/>
    </row>
    <row r="848">
      <c r="A848" s="53"/>
      <c r="B848" s="53"/>
      <c r="C848" s="53"/>
      <c r="D848" s="53"/>
      <c r="E848" s="53"/>
      <c r="F848" s="53"/>
      <c r="G848" s="54"/>
      <c r="H848" s="53"/>
      <c r="I848" s="53"/>
      <c r="J848" s="54"/>
      <c r="K848" s="53"/>
      <c r="L848" s="53"/>
      <c r="M848" s="53"/>
      <c r="N848" s="53"/>
      <c r="O848" s="53"/>
      <c r="P848" s="53"/>
      <c r="Q848" s="53"/>
      <c r="R848" s="53"/>
      <c r="S848" s="53"/>
      <c r="T848" s="53"/>
      <c r="U848" s="53"/>
      <c r="V848" s="53"/>
      <c r="W848" s="53"/>
      <c r="X848" s="53"/>
      <c r="Y848" s="53"/>
      <c r="Z848" s="53"/>
    </row>
    <row r="849">
      <c r="A849" s="53"/>
      <c r="B849" s="53"/>
      <c r="C849" s="53"/>
      <c r="D849" s="53"/>
      <c r="E849" s="53"/>
      <c r="F849" s="53"/>
      <c r="G849" s="54"/>
      <c r="H849" s="53"/>
      <c r="I849" s="53"/>
      <c r="J849" s="54"/>
      <c r="K849" s="53"/>
      <c r="L849" s="53"/>
      <c r="M849" s="53"/>
      <c r="N849" s="53"/>
      <c r="O849" s="53"/>
      <c r="P849" s="53"/>
      <c r="Q849" s="53"/>
      <c r="R849" s="53"/>
      <c r="S849" s="53"/>
      <c r="T849" s="53"/>
      <c r="U849" s="53"/>
      <c r="V849" s="53"/>
      <c r="W849" s="53"/>
      <c r="X849" s="53"/>
      <c r="Y849" s="53"/>
      <c r="Z849" s="53"/>
    </row>
    <row r="850">
      <c r="A850" s="53"/>
      <c r="B850" s="53"/>
      <c r="C850" s="53"/>
      <c r="D850" s="53"/>
      <c r="E850" s="53"/>
      <c r="F850" s="53"/>
      <c r="G850" s="54"/>
      <c r="H850" s="53"/>
      <c r="I850" s="53"/>
      <c r="J850" s="54"/>
      <c r="K850" s="53"/>
      <c r="L850" s="53"/>
      <c r="M850" s="53"/>
      <c r="N850" s="53"/>
      <c r="O850" s="53"/>
      <c r="P850" s="53"/>
      <c r="Q850" s="53"/>
      <c r="R850" s="53"/>
      <c r="S850" s="53"/>
      <c r="T850" s="53"/>
      <c r="U850" s="53"/>
      <c r="V850" s="53"/>
      <c r="W850" s="53"/>
      <c r="X850" s="53"/>
      <c r="Y850" s="53"/>
      <c r="Z850" s="53"/>
    </row>
    <row r="851">
      <c r="A851" s="53"/>
      <c r="B851" s="53"/>
      <c r="C851" s="53"/>
      <c r="D851" s="53"/>
      <c r="E851" s="53"/>
      <c r="F851" s="53"/>
      <c r="G851" s="54"/>
      <c r="H851" s="53"/>
      <c r="I851" s="53"/>
      <c r="J851" s="54"/>
      <c r="K851" s="53"/>
      <c r="L851" s="53"/>
      <c r="M851" s="53"/>
      <c r="N851" s="53"/>
      <c r="O851" s="53"/>
      <c r="P851" s="53"/>
      <c r="Q851" s="53"/>
      <c r="R851" s="53"/>
      <c r="S851" s="53"/>
      <c r="T851" s="53"/>
      <c r="U851" s="53"/>
      <c r="V851" s="53"/>
      <c r="W851" s="53"/>
      <c r="X851" s="53"/>
      <c r="Y851" s="53"/>
      <c r="Z851" s="53"/>
    </row>
    <row r="852">
      <c r="A852" s="53"/>
      <c r="B852" s="53"/>
      <c r="C852" s="53"/>
      <c r="D852" s="53"/>
      <c r="E852" s="53"/>
      <c r="F852" s="53"/>
      <c r="G852" s="54"/>
      <c r="H852" s="53"/>
      <c r="I852" s="53"/>
      <c r="J852" s="54"/>
      <c r="K852" s="53"/>
      <c r="L852" s="53"/>
      <c r="M852" s="53"/>
      <c r="N852" s="53"/>
      <c r="O852" s="53"/>
      <c r="P852" s="53"/>
      <c r="Q852" s="53"/>
      <c r="R852" s="53"/>
      <c r="S852" s="53"/>
      <c r="T852" s="53"/>
      <c r="U852" s="53"/>
      <c r="V852" s="53"/>
      <c r="W852" s="53"/>
      <c r="X852" s="53"/>
      <c r="Y852" s="53"/>
      <c r="Z852" s="53"/>
    </row>
    <row r="853">
      <c r="A853" s="53"/>
      <c r="B853" s="53"/>
      <c r="C853" s="53"/>
      <c r="D853" s="53"/>
      <c r="E853" s="53"/>
      <c r="F853" s="53"/>
      <c r="G853" s="54"/>
      <c r="H853" s="53"/>
      <c r="I853" s="53"/>
      <c r="J853" s="54"/>
      <c r="K853" s="53"/>
      <c r="L853" s="53"/>
      <c r="M853" s="53"/>
      <c r="N853" s="53"/>
      <c r="O853" s="53"/>
      <c r="P853" s="53"/>
      <c r="Q853" s="53"/>
      <c r="R853" s="53"/>
      <c r="S853" s="53"/>
      <c r="T853" s="53"/>
      <c r="U853" s="53"/>
      <c r="V853" s="53"/>
      <c r="W853" s="53"/>
      <c r="X853" s="53"/>
      <c r="Y853" s="53"/>
      <c r="Z853" s="53"/>
    </row>
    <row r="854">
      <c r="A854" s="53"/>
      <c r="B854" s="53"/>
      <c r="C854" s="53"/>
      <c r="D854" s="53"/>
      <c r="E854" s="53"/>
      <c r="F854" s="53"/>
      <c r="G854" s="54"/>
      <c r="H854" s="53"/>
      <c r="I854" s="53"/>
      <c r="J854" s="54"/>
      <c r="K854" s="53"/>
      <c r="L854" s="53"/>
      <c r="M854" s="53"/>
      <c r="N854" s="53"/>
      <c r="O854" s="53"/>
      <c r="P854" s="53"/>
      <c r="Q854" s="53"/>
      <c r="R854" s="53"/>
      <c r="S854" s="53"/>
      <c r="T854" s="53"/>
      <c r="U854" s="53"/>
      <c r="V854" s="53"/>
      <c r="W854" s="53"/>
      <c r="X854" s="53"/>
      <c r="Y854" s="53"/>
      <c r="Z854" s="53"/>
    </row>
    <row r="855">
      <c r="A855" s="53"/>
      <c r="B855" s="53"/>
      <c r="C855" s="53"/>
      <c r="D855" s="53"/>
      <c r="E855" s="53"/>
      <c r="F855" s="53"/>
      <c r="G855" s="54"/>
      <c r="H855" s="53"/>
      <c r="I855" s="53"/>
      <c r="J855" s="54"/>
      <c r="K855" s="53"/>
      <c r="L855" s="53"/>
      <c r="M855" s="53"/>
      <c r="N855" s="53"/>
      <c r="O855" s="53"/>
      <c r="P855" s="53"/>
      <c r="Q855" s="53"/>
      <c r="R855" s="53"/>
      <c r="S855" s="53"/>
      <c r="T855" s="53"/>
      <c r="U855" s="53"/>
      <c r="V855" s="53"/>
      <c r="W855" s="53"/>
      <c r="X855" s="53"/>
      <c r="Y855" s="53"/>
      <c r="Z855" s="53"/>
    </row>
    <row r="856">
      <c r="A856" s="53"/>
      <c r="B856" s="53"/>
      <c r="C856" s="53"/>
      <c r="D856" s="53"/>
      <c r="E856" s="53"/>
      <c r="F856" s="53"/>
      <c r="G856" s="54"/>
      <c r="H856" s="53"/>
      <c r="I856" s="53"/>
      <c r="J856" s="54"/>
      <c r="K856" s="53"/>
      <c r="L856" s="53"/>
      <c r="M856" s="53"/>
      <c r="N856" s="53"/>
      <c r="O856" s="53"/>
      <c r="P856" s="53"/>
      <c r="Q856" s="53"/>
      <c r="R856" s="53"/>
      <c r="S856" s="53"/>
      <c r="T856" s="53"/>
      <c r="U856" s="53"/>
      <c r="V856" s="53"/>
      <c r="W856" s="53"/>
      <c r="X856" s="53"/>
      <c r="Y856" s="53"/>
      <c r="Z856" s="53"/>
    </row>
    <row r="857">
      <c r="A857" s="53"/>
      <c r="B857" s="53"/>
      <c r="C857" s="53"/>
      <c r="D857" s="53"/>
      <c r="E857" s="53"/>
      <c r="F857" s="53"/>
      <c r="G857" s="54"/>
      <c r="H857" s="53"/>
      <c r="I857" s="53"/>
      <c r="J857" s="54"/>
      <c r="K857" s="53"/>
      <c r="L857" s="53"/>
      <c r="M857" s="53"/>
      <c r="N857" s="53"/>
      <c r="O857" s="53"/>
      <c r="P857" s="53"/>
      <c r="Q857" s="53"/>
      <c r="R857" s="53"/>
      <c r="S857" s="53"/>
      <c r="T857" s="53"/>
      <c r="U857" s="53"/>
      <c r="V857" s="53"/>
      <c r="W857" s="53"/>
      <c r="X857" s="53"/>
      <c r="Y857" s="53"/>
      <c r="Z857" s="53"/>
    </row>
    <row r="858">
      <c r="A858" s="53"/>
      <c r="B858" s="53"/>
      <c r="C858" s="53"/>
      <c r="D858" s="53"/>
      <c r="E858" s="53"/>
      <c r="F858" s="53"/>
      <c r="G858" s="54"/>
      <c r="H858" s="53"/>
      <c r="I858" s="53"/>
      <c r="J858" s="54"/>
      <c r="K858" s="53"/>
      <c r="L858" s="53"/>
      <c r="M858" s="53"/>
      <c r="N858" s="53"/>
      <c r="O858" s="53"/>
      <c r="P858" s="53"/>
      <c r="Q858" s="53"/>
      <c r="R858" s="53"/>
      <c r="S858" s="53"/>
      <c r="T858" s="53"/>
      <c r="U858" s="53"/>
      <c r="V858" s="53"/>
      <c r="W858" s="53"/>
      <c r="X858" s="53"/>
      <c r="Y858" s="53"/>
      <c r="Z858" s="53"/>
    </row>
    <row r="859">
      <c r="A859" s="53"/>
      <c r="B859" s="53"/>
      <c r="C859" s="53"/>
      <c r="D859" s="53"/>
      <c r="E859" s="53"/>
      <c r="F859" s="53"/>
      <c r="G859" s="54"/>
      <c r="H859" s="53"/>
      <c r="I859" s="53"/>
      <c r="J859" s="54"/>
      <c r="K859" s="53"/>
      <c r="L859" s="53"/>
      <c r="M859" s="53"/>
      <c r="N859" s="53"/>
      <c r="O859" s="53"/>
      <c r="P859" s="53"/>
      <c r="Q859" s="53"/>
      <c r="R859" s="53"/>
      <c r="S859" s="53"/>
      <c r="T859" s="53"/>
      <c r="U859" s="53"/>
      <c r="V859" s="53"/>
      <c r="W859" s="53"/>
      <c r="X859" s="53"/>
      <c r="Y859" s="53"/>
      <c r="Z859" s="53"/>
    </row>
    <row r="860">
      <c r="A860" s="53"/>
      <c r="B860" s="53"/>
      <c r="C860" s="53"/>
      <c r="D860" s="53"/>
      <c r="E860" s="53"/>
      <c r="F860" s="53"/>
      <c r="G860" s="54"/>
      <c r="H860" s="53"/>
      <c r="I860" s="53"/>
      <c r="J860" s="54"/>
      <c r="K860" s="53"/>
      <c r="L860" s="53"/>
      <c r="M860" s="53"/>
      <c r="N860" s="53"/>
      <c r="O860" s="53"/>
      <c r="P860" s="53"/>
      <c r="Q860" s="53"/>
      <c r="R860" s="53"/>
      <c r="S860" s="53"/>
      <c r="T860" s="53"/>
      <c r="U860" s="53"/>
      <c r="V860" s="53"/>
      <c r="W860" s="53"/>
      <c r="X860" s="53"/>
      <c r="Y860" s="53"/>
      <c r="Z860" s="53"/>
    </row>
    <row r="861">
      <c r="A861" s="53"/>
      <c r="B861" s="53"/>
      <c r="C861" s="53"/>
      <c r="D861" s="53"/>
      <c r="E861" s="53"/>
      <c r="F861" s="53"/>
      <c r="G861" s="54"/>
      <c r="H861" s="53"/>
      <c r="I861" s="53"/>
      <c r="J861" s="54"/>
      <c r="K861" s="53"/>
      <c r="L861" s="53"/>
      <c r="M861" s="53"/>
      <c r="N861" s="53"/>
      <c r="O861" s="53"/>
      <c r="P861" s="53"/>
      <c r="Q861" s="53"/>
      <c r="R861" s="53"/>
      <c r="S861" s="53"/>
      <c r="T861" s="53"/>
      <c r="U861" s="53"/>
      <c r="V861" s="53"/>
      <c r="W861" s="53"/>
      <c r="X861" s="53"/>
      <c r="Y861" s="53"/>
      <c r="Z861" s="53"/>
    </row>
    <row r="862">
      <c r="A862" s="53"/>
      <c r="B862" s="53"/>
      <c r="C862" s="53"/>
      <c r="D862" s="53"/>
      <c r="E862" s="53"/>
      <c r="F862" s="53"/>
      <c r="G862" s="54"/>
      <c r="H862" s="53"/>
      <c r="I862" s="53"/>
      <c r="J862" s="54"/>
      <c r="K862" s="53"/>
      <c r="L862" s="53"/>
      <c r="M862" s="53"/>
      <c r="N862" s="53"/>
      <c r="O862" s="53"/>
      <c r="P862" s="53"/>
      <c r="Q862" s="53"/>
      <c r="R862" s="53"/>
      <c r="S862" s="53"/>
      <c r="T862" s="53"/>
      <c r="U862" s="53"/>
      <c r="V862" s="53"/>
      <c r="W862" s="53"/>
      <c r="X862" s="53"/>
      <c r="Y862" s="53"/>
      <c r="Z862" s="53"/>
    </row>
    <row r="863">
      <c r="A863" s="53"/>
      <c r="B863" s="53"/>
      <c r="C863" s="53"/>
      <c r="D863" s="53"/>
      <c r="E863" s="53"/>
      <c r="F863" s="53"/>
      <c r="G863" s="54"/>
      <c r="H863" s="53"/>
      <c r="I863" s="53"/>
      <c r="J863" s="54"/>
      <c r="K863" s="53"/>
      <c r="L863" s="53"/>
      <c r="M863" s="53"/>
      <c r="N863" s="53"/>
      <c r="O863" s="53"/>
      <c r="P863" s="53"/>
      <c r="Q863" s="53"/>
      <c r="R863" s="53"/>
      <c r="S863" s="53"/>
      <c r="T863" s="53"/>
      <c r="U863" s="53"/>
      <c r="V863" s="53"/>
      <c r="W863" s="53"/>
      <c r="X863" s="53"/>
      <c r="Y863" s="53"/>
      <c r="Z863" s="53"/>
    </row>
    <row r="864">
      <c r="A864" s="53"/>
      <c r="B864" s="53"/>
      <c r="C864" s="53"/>
      <c r="D864" s="53"/>
      <c r="E864" s="53"/>
      <c r="F864" s="53"/>
      <c r="G864" s="54"/>
      <c r="H864" s="53"/>
      <c r="I864" s="53"/>
      <c r="J864" s="54"/>
      <c r="K864" s="53"/>
      <c r="L864" s="53"/>
      <c r="M864" s="53"/>
      <c r="N864" s="53"/>
      <c r="O864" s="53"/>
      <c r="P864" s="53"/>
      <c r="Q864" s="53"/>
      <c r="R864" s="53"/>
      <c r="S864" s="53"/>
      <c r="T864" s="53"/>
      <c r="U864" s="53"/>
      <c r="V864" s="53"/>
      <c r="W864" s="53"/>
      <c r="X864" s="53"/>
      <c r="Y864" s="53"/>
      <c r="Z864" s="53"/>
    </row>
    <row r="865">
      <c r="A865" s="53"/>
      <c r="B865" s="53"/>
      <c r="C865" s="53"/>
      <c r="D865" s="53"/>
      <c r="E865" s="53"/>
      <c r="F865" s="53"/>
      <c r="G865" s="54"/>
      <c r="H865" s="53"/>
      <c r="I865" s="53"/>
      <c r="J865" s="54"/>
      <c r="K865" s="53"/>
      <c r="L865" s="53"/>
      <c r="M865" s="53"/>
      <c r="N865" s="53"/>
      <c r="O865" s="53"/>
      <c r="P865" s="53"/>
      <c r="Q865" s="53"/>
      <c r="R865" s="53"/>
      <c r="S865" s="53"/>
      <c r="T865" s="53"/>
      <c r="U865" s="53"/>
      <c r="V865" s="53"/>
      <c r="W865" s="53"/>
      <c r="X865" s="53"/>
      <c r="Y865" s="53"/>
      <c r="Z865" s="53"/>
    </row>
    <row r="866">
      <c r="A866" s="53"/>
      <c r="B866" s="53"/>
      <c r="C866" s="53"/>
      <c r="D866" s="53"/>
      <c r="E866" s="53"/>
      <c r="F866" s="53"/>
      <c r="G866" s="54"/>
      <c r="H866" s="53"/>
      <c r="I866" s="53"/>
      <c r="J866" s="54"/>
      <c r="K866" s="53"/>
      <c r="L866" s="53"/>
      <c r="M866" s="53"/>
      <c r="N866" s="53"/>
      <c r="O866" s="53"/>
      <c r="P866" s="53"/>
      <c r="Q866" s="53"/>
      <c r="R866" s="53"/>
      <c r="S866" s="53"/>
      <c r="T866" s="53"/>
      <c r="U866" s="53"/>
      <c r="V866" s="53"/>
      <c r="W866" s="53"/>
      <c r="X866" s="53"/>
      <c r="Y866" s="53"/>
      <c r="Z866" s="53"/>
    </row>
    <row r="867">
      <c r="A867" s="53"/>
      <c r="B867" s="53"/>
      <c r="C867" s="53"/>
      <c r="D867" s="53"/>
      <c r="E867" s="53"/>
      <c r="F867" s="53"/>
      <c r="G867" s="54"/>
      <c r="H867" s="53"/>
      <c r="I867" s="53"/>
      <c r="J867" s="54"/>
      <c r="K867" s="53"/>
      <c r="L867" s="53"/>
      <c r="M867" s="53"/>
      <c r="N867" s="53"/>
      <c r="O867" s="53"/>
      <c r="P867" s="53"/>
      <c r="Q867" s="53"/>
      <c r="R867" s="53"/>
      <c r="S867" s="53"/>
      <c r="T867" s="53"/>
      <c r="U867" s="53"/>
      <c r="V867" s="53"/>
      <c r="W867" s="53"/>
      <c r="X867" s="53"/>
      <c r="Y867" s="53"/>
      <c r="Z867" s="53"/>
    </row>
    <row r="868">
      <c r="A868" s="53"/>
      <c r="B868" s="53"/>
      <c r="C868" s="53"/>
      <c r="D868" s="53"/>
      <c r="E868" s="53"/>
      <c r="F868" s="53"/>
      <c r="G868" s="54"/>
      <c r="H868" s="53"/>
      <c r="I868" s="53"/>
      <c r="J868" s="54"/>
      <c r="K868" s="53"/>
      <c r="L868" s="53"/>
      <c r="M868" s="53"/>
      <c r="N868" s="53"/>
      <c r="O868" s="53"/>
      <c r="P868" s="53"/>
      <c r="Q868" s="53"/>
      <c r="R868" s="53"/>
      <c r="S868" s="53"/>
      <c r="T868" s="53"/>
      <c r="U868" s="53"/>
      <c r="V868" s="53"/>
      <c r="W868" s="53"/>
      <c r="X868" s="53"/>
      <c r="Y868" s="53"/>
      <c r="Z868" s="53"/>
    </row>
    <row r="869">
      <c r="A869" s="53"/>
      <c r="B869" s="53"/>
      <c r="C869" s="53"/>
      <c r="D869" s="53"/>
      <c r="E869" s="53"/>
      <c r="F869" s="53"/>
      <c r="G869" s="54"/>
      <c r="H869" s="53"/>
      <c r="I869" s="53"/>
      <c r="J869" s="54"/>
      <c r="K869" s="53"/>
      <c r="L869" s="53"/>
      <c r="M869" s="53"/>
      <c r="N869" s="53"/>
      <c r="O869" s="53"/>
      <c r="P869" s="53"/>
      <c r="Q869" s="53"/>
      <c r="R869" s="53"/>
      <c r="S869" s="53"/>
      <c r="T869" s="53"/>
      <c r="U869" s="53"/>
      <c r="V869" s="53"/>
      <c r="W869" s="53"/>
      <c r="X869" s="53"/>
      <c r="Y869" s="53"/>
      <c r="Z869" s="53"/>
    </row>
    <row r="870">
      <c r="A870" s="53"/>
      <c r="B870" s="53"/>
      <c r="C870" s="53"/>
      <c r="D870" s="53"/>
      <c r="E870" s="53"/>
      <c r="F870" s="53"/>
      <c r="G870" s="54"/>
      <c r="H870" s="53"/>
      <c r="I870" s="53"/>
      <c r="J870" s="54"/>
      <c r="K870" s="53"/>
      <c r="L870" s="53"/>
      <c r="M870" s="53"/>
      <c r="N870" s="53"/>
      <c r="O870" s="53"/>
      <c r="P870" s="53"/>
      <c r="Q870" s="53"/>
      <c r="R870" s="53"/>
      <c r="S870" s="53"/>
      <c r="T870" s="53"/>
      <c r="U870" s="53"/>
      <c r="V870" s="53"/>
      <c r="W870" s="53"/>
      <c r="X870" s="53"/>
      <c r="Y870" s="53"/>
      <c r="Z870" s="53"/>
    </row>
    <row r="871">
      <c r="A871" s="53"/>
      <c r="B871" s="53"/>
      <c r="C871" s="53"/>
      <c r="D871" s="53"/>
      <c r="E871" s="53"/>
      <c r="F871" s="53"/>
      <c r="G871" s="54"/>
      <c r="H871" s="53"/>
      <c r="I871" s="53"/>
      <c r="J871" s="54"/>
      <c r="K871" s="53"/>
      <c r="L871" s="53"/>
      <c r="M871" s="53"/>
      <c r="N871" s="53"/>
      <c r="O871" s="53"/>
      <c r="P871" s="53"/>
      <c r="Q871" s="53"/>
      <c r="R871" s="53"/>
      <c r="S871" s="53"/>
      <c r="T871" s="53"/>
      <c r="U871" s="53"/>
      <c r="V871" s="53"/>
      <c r="W871" s="53"/>
      <c r="X871" s="53"/>
      <c r="Y871" s="53"/>
      <c r="Z871" s="53"/>
    </row>
    <row r="872">
      <c r="A872" s="53"/>
      <c r="B872" s="53"/>
      <c r="C872" s="53"/>
      <c r="D872" s="53"/>
      <c r="E872" s="53"/>
      <c r="F872" s="53"/>
      <c r="G872" s="54"/>
      <c r="H872" s="53"/>
      <c r="I872" s="53"/>
      <c r="J872" s="54"/>
      <c r="K872" s="53"/>
      <c r="L872" s="53"/>
      <c r="M872" s="53"/>
      <c r="N872" s="53"/>
      <c r="O872" s="53"/>
      <c r="P872" s="53"/>
      <c r="Q872" s="53"/>
      <c r="R872" s="53"/>
      <c r="S872" s="53"/>
      <c r="T872" s="53"/>
      <c r="U872" s="53"/>
      <c r="V872" s="53"/>
      <c r="W872" s="53"/>
      <c r="X872" s="53"/>
      <c r="Y872" s="53"/>
      <c r="Z872" s="53"/>
    </row>
    <row r="873">
      <c r="A873" s="53"/>
      <c r="B873" s="53"/>
      <c r="C873" s="53"/>
      <c r="D873" s="53"/>
      <c r="E873" s="53"/>
      <c r="F873" s="53"/>
      <c r="G873" s="54"/>
      <c r="H873" s="53"/>
      <c r="I873" s="53"/>
      <c r="J873" s="54"/>
      <c r="K873" s="53"/>
      <c r="L873" s="53"/>
      <c r="M873" s="53"/>
      <c r="N873" s="53"/>
      <c r="O873" s="53"/>
      <c r="P873" s="53"/>
      <c r="Q873" s="53"/>
      <c r="R873" s="53"/>
      <c r="S873" s="53"/>
      <c r="T873" s="53"/>
      <c r="U873" s="53"/>
      <c r="V873" s="53"/>
      <c r="W873" s="53"/>
      <c r="X873" s="53"/>
      <c r="Y873" s="53"/>
      <c r="Z873" s="53"/>
    </row>
    <row r="874">
      <c r="A874" s="53"/>
      <c r="B874" s="53"/>
      <c r="C874" s="53"/>
      <c r="D874" s="53"/>
      <c r="E874" s="53"/>
      <c r="F874" s="53"/>
      <c r="G874" s="54"/>
      <c r="H874" s="53"/>
      <c r="I874" s="53"/>
      <c r="J874" s="54"/>
      <c r="K874" s="53"/>
      <c r="L874" s="53"/>
      <c r="M874" s="53"/>
      <c r="N874" s="53"/>
      <c r="O874" s="53"/>
      <c r="P874" s="53"/>
      <c r="Q874" s="53"/>
      <c r="R874" s="53"/>
      <c r="S874" s="53"/>
      <c r="T874" s="53"/>
      <c r="U874" s="53"/>
      <c r="V874" s="53"/>
      <c r="W874" s="53"/>
      <c r="X874" s="53"/>
      <c r="Y874" s="53"/>
      <c r="Z874" s="53"/>
    </row>
    <row r="875">
      <c r="A875" s="53"/>
      <c r="B875" s="53"/>
      <c r="C875" s="53"/>
      <c r="D875" s="53"/>
      <c r="E875" s="53"/>
      <c r="F875" s="53"/>
      <c r="G875" s="54"/>
      <c r="H875" s="53"/>
      <c r="I875" s="53"/>
      <c r="J875" s="54"/>
      <c r="K875" s="53"/>
      <c r="L875" s="53"/>
      <c r="M875" s="53"/>
      <c r="N875" s="53"/>
      <c r="O875" s="53"/>
      <c r="P875" s="53"/>
      <c r="Q875" s="53"/>
      <c r="R875" s="53"/>
      <c r="S875" s="53"/>
      <c r="T875" s="53"/>
      <c r="U875" s="53"/>
      <c r="V875" s="53"/>
      <c r="W875" s="53"/>
      <c r="X875" s="53"/>
      <c r="Y875" s="53"/>
      <c r="Z875" s="53"/>
    </row>
    <row r="876">
      <c r="A876" s="53"/>
      <c r="B876" s="53"/>
      <c r="C876" s="53"/>
      <c r="D876" s="53"/>
      <c r="E876" s="53"/>
      <c r="F876" s="53"/>
      <c r="G876" s="54"/>
      <c r="H876" s="53"/>
      <c r="I876" s="53"/>
      <c r="J876" s="54"/>
      <c r="K876" s="53"/>
      <c r="L876" s="53"/>
      <c r="M876" s="53"/>
      <c r="N876" s="53"/>
      <c r="O876" s="53"/>
      <c r="P876" s="53"/>
      <c r="Q876" s="53"/>
      <c r="R876" s="53"/>
      <c r="S876" s="53"/>
      <c r="T876" s="53"/>
      <c r="U876" s="53"/>
      <c r="V876" s="53"/>
      <c r="W876" s="53"/>
      <c r="X876" s="53"/>
      <c r="Y876" s="53"/>
      <c r="Z876" s="53"/>
    </row>
    <row r="877">
      <c r="A877" s="53"/>
      <c r="B877" s="53"/>
      <c r="C877" s="53"/>
      <c r="D877" s="53"/>
      <c r="E877" s="53"/>
      <c r="F877" s="53"/>
      <c r="G877" s="54"/>
      <c r="H877" s="53"/>
      <c r="I877" s="53"/>
      <c r="J877" s="54"/>
      <c r="K877" s="53"/>
      <c r="L877" s="53"/>
      <c r="M877" s="53"/>
      <c r="N877" s="53"/>
      <c r="O877" s="53"/>
      <c r="P877" s="53"/>
      <c r="Q877" s="53"/>
      <c r="R877" s="53"/>
      <c r="S877" s="53"/>
      <c r="T877" s="53"/>
      <c r="U877" s="53"/>
      <c r="V877" s="53"/>
      <c r="W877" s="53"/>
      <c r="X877" s="53"/>
      <c r="Y877" s="53"/>
      <c r="Z877" s="53"/>
    </row>
    <row r="878">
      <c r="A878" s="53"/>
      <c r="B878" s="53"/>
      <c r="C878" s="53"/>
      <c r="D878" s="53"/>
      <c r="E878" s="53"/>
      <c r="F878" s="53"/>
      <c r="G878" s="54"/>
      <c r="H878" s="53"/>
      <c r="I878" s="53"/>
      <c r="J878" s="54"/>
      <c r="K878" s="53"/>
      <c r="L878" s="53"/>
      <c r="M878" s="53"/>
      <c r="N878" s="53"/>
      <c r="O878" s="53"/>
      <c r="P878" s="53"/>
      <c r="Q878" s="53"/>
      <c r="R878" s="53"/>
      <c r="S878" s="53"/>
      <c r="T878" s="53"/>
      <c r="U878" s="53"/>
      <c r="V878" s="53"/>
      <c r="W878" s="53"/>
      <c r="X878" s="53"/>
      <c r="Y878" s="53"/>
      <c r="Z878" s="53"/>
    </row>
    <row r="879">
      <c r="A879" s="53"/>
      <c r="B879" s="53"/>
      <c r="C879" s="53"/>
      <c r="D879" s="53"/>
      <c r="E879" s="53"/>
      <c r="F879" s="53"/>
      <c r="G879" s="54"/>
      <c r="H879" s="53"/>
      <c r="I879" s="53"/>
      <c r="J879" s="54"/>
      <c r="K879" s="53"/>
      <c r="L879" s="53"/>
      <c r="M879" s="53"/>
      <c r="N879" s="53"/>
      <c r="O879" s="53"/>
      <c r="P879" s="53"/>
      <c r="Q879" s="53"/>
      <c r="R879" s="53"/>
      <c r="S879" s="53"/>
      <c r="T879" s="53"/>
      <c r="U879" s="53"/>
      <c r="V879" s="53"/>
      <c r="W879" s="53"/>
      <c r="X879" s="53"/>
      <c r="Y879" s="53"/>
      <c r="Z879" s="53"/>
    </row>
    <row r="880">
      <c r="A880" s="53"/>
      <c r="B880" s="53"/>
      <c r="C880" s="53"/>
      <c r="D880" s="53"/>
      <c r="E880" s="53"/>
      <c r="F880" s="53"/>
      <c r="G880" s="54"/>
      <c r="H880" s="53"/>
      <c r="I880" s="53"/>
      <c r="J880" s="54"/>
      <c r="K880" s="53"/>
      <c r="L880" s="53"/>
      <c r="M880" s="53"/>
      <c r="N880" s="53"/>
      <c r="O880" s="53"/>
      <c r="P880" s="53"/>
      <c r="Q880" s="53"/>
      <c r="R880" s="53"/>
      <c r="S880" s="53"/>
      <c r="T880" s="53"/>
      <c r="U880" s="53"/>
      <c r="V880" s="53"/>
      <c r="W880" s="53"/>
      <c r="X880" s="53"/>
      <c r="Y880" s="53"/>
      <c r="Z880" s="53"/>
    </row>
    <row r="881">
      <c r="A881" s="53"/>
      <c r="B881" s="53"/>
      <c r="C881" s="53"/>
      <c r="D881" s="53"/>
      <c r="E881" s="53"/>
      <c r="F881" s="53"/>
      <c r="G881" s="54"/>
      <c r="H881" s="53"/>
      <c r="I881" s="53"/>
      <c r="J881" s="54"/>
      <c r="K881" s="53"/>
      <c r="L881" s="53"/>
      <c r="M881" s="53"/>
      <c r="N881" s="53"/>
      <c r="O881" s="53"/>
      <c r="P881" s="53"/>
      <c r="Q881" s="53"/>
      <c r="R881" s="53"/>
      <c r="S881" s="53"/>
      <c r="T881" s="53"/>
      <c r="U881" s="53"/>
      <c r="V881" s="53"/>
      <c r="W881" s="53"/>
      <c r="X881" s="53"/>
      <c r="Y881" s="53"/>
      <c r="Z881" s="53"/>
    </row>
    <row r="882">
      <c r="A882" s="53"/>
      <c r="B882" s="53"/>
      <c r="C882" s="53"/>
      <c r="D882" s="53"/>
      <c r="E882" s="53"/>
      <c r="F882" s="53"/>
      <c r="G882" s="54"/>
      <c r="H882" s="53"/>
      <c r="I882" s="53"/>
      <c r="J882" s="54"/>
      <c r="K882" s="53"/>
      <c r="L882" s="53"/>
      <c r="M882" s="53"/>
      <c r="N882" s="53"/>
      <c r="O882" s="53"/>
      <c r="P882" s="53"/>
      <c r="Q882" s="53"/>
      <c r="R882" s="53"/>
      <c r="S882" s="53"/>
      <c r="T882" s="53"/>
      <c r="U882" s="53"/>
      <c r="V882" s="53"/>
      <c r="W882" s="53"/>
      <c r="X882" s="53"/>
      <c r="Y882" s="53"/>
      <c r="Z882" s="53"/>
    </row>
    <row r="883">
      <c r="A883" s="53"/>
      <c r="B883" s="53"/>
      <c r="C883" s="53"/>
      <c r="D883" s="53"/>
      <c r="E883" s="53"/>
      <c r="F883" s="53"/>
      <c r="G883" s="54"/>
      <c r="H883" s="53"/>
      <c r="I883" s="53"/>
      <c r="J883" s="54"/>
      <c r="K883" s="53"/>
      <c r="L883" s="53"/>
      <c r="M883" s="53"/>
      <c r="N883" s="53"/>
      <c r="O883" s="53"/>
      <c r="P883" s="53"/>
      <c r="Q883" s="53"/>
      <c r="R883" s="53"/>
      <c r="S883" s="53"/>
      <c r="T883" s="53"/>
      <c r="U883" s="53"/>
      <c r="V883" s="53"/>
      <c r="W883" s="53"/>
      <c r="X883" s="53"/>
      <c r="Y883" s="53"/>
      <c r="Z883" s="53"/>
    </row>
    <row r="884">
      <c r="A884" s="53"/>
      <c r="B884" s="53"/>
      <c r="C884" s="53"/>
      <c r="D884" s="53"/>
      <c r="E884" s="53"/>
      <c r="F884" s="53"/>
      <c r="G884" s="54"/>
      <c r="H884" s="53"/>
      <c r="I884" s="53"/>
      <c r="J884" s="54"/>
      <c r="K884" s="53"/>
      <c r="L884" s="53"/>
      <c r="M884" s="53"/>
      <c r="N884" s="53"/>
      <c r="O884" s="53"/>
      <c r="P884" s="53"/>
      <c r="Q884" s="53"/>
      <c r="R884" s="53"/>
      <c r="S884" s="53"/>
      <c r="T884" s="53"/>
      <c r="U884" s="53"/>
      <c r="V884" s="53"/>
      <c r="W884" s="53"/>
      <c r="X884" s="53"/>
      <c r="Y884" s="53"/>
      <c r="Z884" s="53"/>
    </row>
    <row r="885">
      <c r="A885" s="53"/>
      <c r="B885" s="53"/>
      <c r="C885" s="53"/>
      <c r="D885" s="53"/>
      <c r="E885" s="53"/>
      <c r="F885" s="53"/>
      <c r="G885" s="54"/>
      <c r="H885" s="53"/>
      <c r="I885" s="53"/>
      <c r="J885" s="54"/>
      <c r="K885" s="53"/>
      <c r="L885" s="53"/>
      <c r="M885" s="53"/>
      <c r="N885" s="53"/>
      <c r="O885" s="53"/>
      <c r="P885" s="53"/>
      <c r="Q885" s="53"/>
      <c r="R885" s="53"/>
      <c r="S885" s="53"/>
      <c r="T885" s="53"/>
      <c r="U885" s="53"/>
      <c r="V885" s="53"/>
      <c r="W885" s="53"/>
      <c r="X885" s="53"/>
      <c r="Y885" s="53"/>
      <c r="Z885" s="53"/>
    </row>
    <row r="886">
      <c r="A886" s="53"/>
      <c r="B886" s="53"/>
      <c r="C886" s="53"/>
      <c r="D886" s="53"/>
      <c r="E886" s="53"/>
      <c r="F886" s="53"/>
      <c r="G886" s="54"/>
      <c r="H886" s="53"/>
      <c r="I886" s="53"/>
      <c r="J886" s="54"/>
      <c r="K886" s="53"/>
      <c r="L886" s="53"/>
      <c r="M886" s="53"/>
      <c r="N886" s="53"/>
      <c r="O886" s="53"/>
      <c r="P886" s="53"/>
      <c r="Q886" s="53"/>
      <c r="R886" s="53"/>
      <c r="S886" s="53"/>
      <c r="T886" s="53"/>
      <c r="U886" s="53"/>
      <c r="V886" s="53"/>
      <c r="W886" s="53"/>
      <c r="X886" s="53"/>
      <c r="Y886" s="53"/>
      <c r="Z886" s="53"/>
    </row>
    <row r="887">
      <c r="A887" s="53"/>
      <c r="B887" s="53"/>
      <c r="C887" s="53"/>
      <c r="D887" s="53"/>
      <c r="E887" s="53"/>
      <c r="F887" s="53"/>
      <c r="G887" s="54"/>
      <c r="H887" s="53"/>
      <c r="I887" s="53"/>
      <c r="J887" s="54"/>
      <c r="K887" s="53"/>
      <c r="L887" s="53"/>
      <c r="M887" s="53"/>
      <c r="N887" s="53"/>
      <c r="O887" s="53"/>
      <c r="P887" s="53"/>
      <c r="Q887" s="53"/>
      <c r="R887" s="53"/>
      <c r="S887" s="53"/>
      <c r="T887" s="53"/>
      <c r="U887" s="53"/>
      <c r="V887" s="53"/>
      <c r="W887" s="53"/>
      <c r="X887" s="53"/>
      <c r="Y887" s="53"/>
      <c r="Z887" s="53"/>
    </row>
    <row r="888">
      <c r="A888" s="53"/>
      <c r="B888" s="53"/>
      <c r="C888" s="53"/>
      <c r="D888" s="53"/>
      <c r="E888" s="53"/>
      <c r="F888" s="53"/>
      <c r="G888" s="54"/>
      <c r="H888" s="53"/>
      <c r="I888" s="53"/>
      <c r="J888" s="54"/>
      <c r="K888" s="53"/>
      <c r="L888" s="53"/>
      <c r="M888" s="53"/>
      <c r="N888" s="53"/>
      <c r="O888" s="53"/>
      <c r="P888" s="53"/>
      <c r="Q888" s="53"/>
      <c r="R888" s="53"/>
      <c r="S888" s="53"/>
      <c r="T888" s="53"/>
      <c r="U888" s="53"/>
      <c r="V888" s="53"/>
      <c r="W888" s="53"/>
      <c r="X888" s="53"/>
      <c r="Y888" s="53"/>
      <c r="Z888" s="53"/>
    </row>
    <row r="889">
      <c r="A889" s="53"/>
      <c r="B889" s="53"/>
      <c r="C889" s="53"/>
      <c r="D889" s="53"/>
      <c r="E889" s="53"/>
      <c r="F889" s="53"/>
      <c r="G889" s="54"/>
      <c r="H889" s="53"/>
      <c r="I889" s="53"/>
      <c r="J889" s="54"/>
      <c r="K889" s="53"/>
      <c r="L889" s="53"/>
      <c r="M889" s="53"/>
      <c r="N889" s="53"/>
      <c r="O889" s="53"/>
      <c r="P889" s="53"/>
      <c r="Q889" s="53"/>
      <c r="R889" s="53"/>
      <c r="S889" s="53"/>
      <c r="T889" s="53"/>
      <c r="U889" s="53"/>
      <c r="V889" s="53"/>
      <c r="W889" s="53"/>
      <c r="X889" s="53"/>
      <c r="Y889" s="53"/>
      <c r="Z889" s="53"/>
    </row>
    <row r="890">
      <c r="A890" s="53"/>
      <c r="B890" s="53"/>
      <c r="C890" s="53"/>
      <c r="D890" s="53"/>
      <c r="E890" s="53"/>
      <c r="F890" s="53"/>
      <c r="G890" s="54"/>
      <c r="H890" s="53"/>
      <c r="I890" s="53"/>
      <c r="J890" s="54"/>
      <c r="K890" s="53"/>
      <c r="L890" s="53"/>
      <c r="M890" s="53"/>
      <c r="N890" s="53"/>
      <c r="O890" s="53"/>
      <c r="P890" s="53"/>
      <c r="Q890" s="53"/>
      <c r="R890" s="53"/>
      <c r="S890" s="53"/>
      <c r="T890" s="53"/>
      <c r="U890" s="53"/>
      <c r="V890" s="53"/>
      <c r="W890" s="53"/>
      <c r="X890" s="53"/>
      <c r="Y890" s="53"/>
      <c r="Z890" s="53"/>
    </row>
    <row r="891">
      <c r="A891" s="53"/>
      <c r="B891" s="53"/>
      <c r="C891" s="53"/>
      <c r="D891" s="53"/>
      <c r="E891" s="53"/>
      <c r="F891" s="53"/>
      <c r="G891" s="54"/>
      <c r="H891" s="53"/>
      <c r="I891" s="53"/>
      <c r="J891" s="54"/>
      <c r="K891" s="53"/>
      <c r="L891" s="53"/>
      <c r="M891" s="53"/>
      <c r="N891" s="53"/>
      <c r="O891" s="53"/>
      <c r="P891" s="53"/>
      <c r="Q891" s="53"/>
      <c r="R891" s="53"/>
      <c r="S891" s="53"/>
      <c r="T891" s="53"/>
      <c r="U891" s="53"/>
      <c r="V891" s="53"/>
      <c r="W891" s="53"/>
      <c r="X891" s="53"/>
      <c r="Y891" s="53"/>
      <c r="Z891" s="53"/>
    </row>
    <row r="892">
      <c r="A892" s="53"/>
      <c r="B892" s="53"/>
      <c r="C892" s="53"/>
      <c r="D892" s="53"/>
      <c r="E892" s="53"/>
      <c r="F892" s="53"/>
      <c r="G892" s="54"/>
      <c r="H892" s="53"/>
      <c r="I892" s="53"/>
      <c r="J892" s="54"/>
      <c r="K892" s="53"/>
      <c r="L892" s="53"/>
      <c r="M892" s="53"/>
      <c r="N892" s="53"/>
      <c r="O892" s="53"/>
      <c r="P892" s="53"/>
      <c r="Q892" s="53"/>
      <c r="R892" s="53"/>
      <c r="S892" s="53"/>
      <c r="T892" s="53"/>
      <c r="U892" s="53"/>
      <c r="V892" s="53"/>
      <c r="W892" s="53"/>
      <c r="X892" s="53"/>
      <c r="Y892" s="53"/>
      <c r="Z892" s="53"/>
    </row>
    <row r="893">
      <c r="A893" s="53"/>
      <c r="B893" s="53"/>
      <c r="C893" s="53"/>
      <c r="D893" s="53"/>
      <c r="E893" s="53"/>
      <c r="F893" s="53"/>
      <c r="G893" s="54"/>
      <c r="H893" s="53"/>
      <c r="I893" s="53"/>
      <c r="J893" s="54"/>
      <c r="K893" s="53"/>
      <c r="L893" s="53"/>
      <c r="M893" s="53"/>
      <c r="N893" s="53"/>
      <c r="O893" s="53"/>
      <c r="P893" s="53"/>
      <c r="Q893" s="53"/>
      <c r="R893" s="53"/>
      <c r="S893" s="53"/>
      <c r="T893" s="53"/>
      <c r="U893" s="53"/>
      <c r="V893" s="53"/>
      <c r="W893" s="53"/>
      <c r="X893" s="53"/>
      <c r="Y893" s="53"/>
      <c r="Z893" s="53"/>
    </row>
    <row r="894">
      <c r="A894" s="53"/>
      <c r="B894" s="53"/>
      <c r="C894" s="53"/>
      <c r="D894" s="53"/>
      <c r="E894" s="53"/>
      <c r="F894" s="53"/>
      <c r="G894" s="54"/>
      <c r="H894" s="53"/>
      <c r="I894" s="53"/>
      <c r="J894" s="54"/>
      <c r="K894" s="53"/>
      <c r="L894" s="53"/>
      <c r="M894" s="53"/>
      <c r="N894" s="53"/>
      <c r="O894" s="53"/>
      <c r="P894" s="53"/>
      <c r="Q894" s="53"/>
      <c r="R894" s="53"/>
      <c r="S894" s="53"/>
      <c r="T894" s="53"/>
      <c r="U894" s="53"/>
      <c r="V894" s="53"/>
      <c r="W894" s="53"/>
      <c r="X894" s="53"/>
      <c r="Y894" s="53"/>
      <c r="Z894" s="53"/>
    </row>
    <row r="895">
      <c r="A895" s="53"/>
      <c r="B895" s="53"/>
      <c r="C895" s="53"/>
      <c r="D895" s="53"/>
      <c r="E895" s="53"/>
      <c r="F895" s="53"/>
      <c r="G895" s="54"/>
      <c r="H895" s="53"/>
      <c r="I895" s="53"/>
      <c r="J895" s="54"/>
      <c r="K895" s="53"/>
      <c r="L895" s="53"/>
      <c r="M895" s="53"/>
      <c r="N895" s="53"/>
      <c r="O895" s="53"/>
      <c r="P895" s="53"/>
      <c r="Q895" s="53"/>
      <c r="R895" s="53"/>
      <c r="S895" s="53"/>
      <c r="T895" s="53"/>
      <c r="U895" s="53"/>
      <c r="V895" s="53"/>
      <c r="W895" s="53"/>
      <c r="X895" s="53"/>
      <c r="Y895" s="53"/>
      <c r="Z895" s="53"/>
    </row>
    <row r="896">
      <c r="A896" s="53"/>
      <c r="B896" s="53"/>
      <c r="C896" s="53"/>
      <c r="D896" s="53"/>
      <c r="E896" s="53"/>
      <c r="F896" s="53"/>
      <c r="G896" s="54"/>
      <c r="H896" s="53"/>
      <c r="I896" s="53"/>
      <c r="J896" s="54"/>
      <c r="K896" s="53"/>
      <c r="L896" s="53"/>
      <c r="M896" s="53"/>
      <c r="N896" s="53"/>
      <c r="O896" s="53"/>
      <c r="P896" s="53"/>
      <c r="Q896" s="53"/>
      <c r="R896" s="53"/>
      <c r="S896" s="53"/>
      <c r="T896" s="53"/>
      <c r="U896" s="53"/>
      <c r="V896" s="53"/>
      <c r="W896" s="53"/>
      <c r="X896" s="53"/>
      <c r="Y896" s="53"/>
      <c r="Z896" s="53"/>
    </row>
    <row r="897">
      <c r="A897" s="53"/>
      <c r="B897" s="53"/>
      <c r="C897" s="53"/>
      <c r="D897" s="53"/>
      <c r="E897" s="53"/>
      <c r="F897" s="53"/>
      <c r="G897" s="54"/>
      <c r="H897" s="53"/>
      <c r="I897" s="53"/>
      <c r="J897" s="54"/>
      <c r="K897" s="53"/>
      <c r="L897" s="53"/>
      <c r="M897" s="53"/>
      <c r="N897" s="53"/>
      <c r="O897" s="53"/>
      <c r="P897" s="53"/>
      <c r="Q897" s="53"/>
      <c r="R897" s="53"/>
      <c r="S897" s="53"/>
      <c r="T897" s="53"/>
      <c r="U897" s="53"/>
      <c r="V897" s="53"/>
      <c r="W897" s="53"/>
      <c r="X897" s="53"/>
      <c r="Y897" s="53"/>
      <c r="Z897" s="53"/>
    </row>
    <row r="898">
      <c r="A898" s="53"/>
      <c r="B898" s="53"/>
      <c r="C898" s="53"/>
      <c r="D898" s="53"/>
      <c r="E898" s="53"/>
      <c r="F898" s="53"/>
      <c r="G898" s="54"/>
      <c r="H898" s="53"/>
      <c r="I898" s="53"/>
      <c r="J898" s="54"/>
      <c r="K898" s="53"/>
      <c r="L898" s="53"/>
      <c r="M898" s="53"/>
      <c r="N898" s="53"/>
      <c r="O898" s="53"/>
      <c r="P898" s="53"/>
      <c r="Q898" s="53"/>
      <c r="R898" s="53"/>
      <c r="S898" s="53"/>
      <c r="T898" s="53"/>
      <c r="U898" s="53"/>
      <c r="V898" s="53"/>
      <c r="W898" s="53"/>
      <c r="X898" s="53"/>
      <c r="Y898" s="53"/>
      <c r="Z898" s="53"/>
    </row>
    <row r="899">
      <c r="A899" s="53"/>
      <c r="B899" s="53"/>
      <c r="C899" s="53"/>
      <c r="D899" s="53"/>
      <c r="E899" s="53"/>
      <c r="F899" s="53"/>
      <c r="G899" s="54"/>
      <c r="H899" s="53"/>
      <c r="I899" s="53"/>
      <c r="J899" s="54"/>
      <c r="K899" s="53"/>
      <c r="L899" s="53"/>
      <c r="M899" s="53"/>
      <c r="N899" s="53"/>
      <c r="O899" s="53"/>
      <c r="P899" s="53"/>
      <c r="Q899" s="53"/>
      <c r="R899" s="53"/>
      <c r="S899" s="53"/>
      <c r="T899" s="53"/>
      <c r="U899" s="53"/>
      <c r="V899" s="53"/>
      <c r="W899" s="53"/>
      <c r="X899" s="53"/>
      <c r="Y899" s="53"/>
      <c r="Z899" s="53"/>
    </row>
    <row r="900">
      <c r="A900" s="53"/>
      <c r="B900" s="53"/>
      <c r="C900" s="53"/>
      <c r="D900" s="53"/>
      <c r="E900" s="53"/>
      <c r="F900" s="53"/>
      <c r="G900" s="54"/>
      <c r="H900" s="53"/>
      <c r="I900" s="53"/>
      <c r="J900" s="54"/>
      <c r="K900" s="53"/>
      <c r="L900" s="53"/>
      <c r="M900" s="53"/>
      <c r="N900" s="53"/>
      <c r="O900" s="53"/>
      <c r="P900" s="53"/>
      <c r="Q900" s="53"/>
      <c r="R900" s="53"/>
      <c r="S900" s="53"/>
      <c r="T900" s="53"/>
      <c r="U900" s="53"/>
      <c r="V900" s="53"/>
      <c r="W900" s="53"/>
      <c r="X900" s="53"/>
      <c r="Y900" s="53"/>
      <c r="Z900" s="53"/>
    </row>
    <row r="901">
      <c r="A901" s="53"/>
      <c r="B901" s="53"/>
      <c r="C901" s="53"/>
      <c r="D901" s="53"/>
      <c r="E901" s="53"/>
      <c r="F901" s="53"/>
      <c r="G901" s="54"/>
      <c r="H901" s="53"/>
      <c r="I901" s="53"/>
      <c r="J901" s="54"/>
      <c r="K901" s="53"/>
      <c r="L901" s="53"/>
      <c r="M901" s="53"/>
      <c r="N901" s="53"/>
      <c r="O901" s="53"/>
      <c r="P901" s="53"/>
      <c r="Q901" s="53"/>
      <c r="R901" s="53"/>
      <c r="S901" s="53"/>
      <c r="T901" s="53"/>
      <c r="U901" s="53"/>
      <c r="V901" s="53"/>
      <c r="W901" s="53"/>
      <c r="X901" s="53"/>
      <c r="Y901" s="53"/>
      <c r="Z901" s="53"/>
    </row>
    <row r="902">
      <c r="A902" s="53"/>
      <c r="B902" s="53"/>
      <c r="C902" s="53"/>
      <c r="D902" s="53"/>
      <c r="E902" s="53"/>
      <c r="F902" s="53"/>
      <c r="G902" s="54"/>
      <c r="H902" s="53"/>
      <c r="I902" s="53"/>
      <c r="J902" s="54"/>
      <c r="K902" s="53"/>
      <c r="L902" s="53"/>
      <c r="M902" s="53"/>
      <c r="N902" s="53"/>
      <c r="O902" s="53"/>
      <c r="P902" s="53"/>
      <c r="Q902" s="53"/>
      <c r="R902" s="53"/>
      <c r="S902" s="53"/>
      <c r="T902" s="53"/>
      <c r="U902" s="53"/>
      <c r="V902" s="53"/>
      <c r="W902" s="53"/>
      <c r="X902" s="53"/>
      <c r="Y902" s="53"/>
      <c r="Z902" s="53"/>
    </row>
    <row r="903">
      <c r="A903" s="53"/>
      <c r="B903" s="53"/>
      <c r="C903" s="53"/>
      <c r="D903" s="53"/>
      <c r="E903" s="53"/>
      <c r="F903" s="53"/>
      <c r="G903" s="54"/>
      <c r="H903" s="53"/>
      <c r="I903" s="53"/>
      <c r="J903" s="54"/>
      <c r="K903" s="53"/>
      <c r="L903" s="53"/>
      <c r="M903" s="53"/>
      <c r="N903" s="53"/>
      <c r="O903" s="53"/>
      <c r="P903" s="53"/>
      <c r="Q903" s="53"/>
      <c r="R903" s="53"/>
      <c r="S903" s="53"/>
      <c r="T903" s="53"/>
      <c r="U903" s="53"/>
      <c r="V903" s="53"/>
      <c r="W903" s="53"/>
      <c r="X903" s="53"/>
      <c r="Y903" s="53"/>
      <c r="Z903" s="53"/>
    </row>
    <row r="904">
      <c r="A904" s="53"/>
      <c r="B904" s="53"/>
      <c r="C904" s="53"/>
      <c r="D904" s="53"/>
      <c r="E904" s="53"/>
      <c r="F904" s="53"/>
      <c r="G904" s="54"/>
      <c r="H904" s="53"/>
      <c r="I904" s="53"/>
      <c r="J904" s="54"/>
      <c r="K904" s="53"/>
      <c r="L904" s="53"/>
      <c r="M904" s="53"/>
      <c r="N904" s="53"/>
      <c r="O904" s="53"/>
      <c r="P904" s="53"/>
      <c r="Q904" s="53"/>
      <c r="R904" s="53"/>
      <c r="S904" s="53"/>
      <c r="T904" s="53"/>
      <c r="U904" s="53"/>
      <c r="V904" s="53"/>
      <c r="W904" s="53"/>
      <c r="X904" s="53"/>
      <c r="Y904" s="53"/>
      <c r="Z904" s="53"/>
    </row>
    <row r="905">
      <c r="A905" s="53"/>
      <c r="B905" s="53"/>
      <c r="C905" s="53"/>
      <c r="D905" s="53"/>
      <c r="E905" s="53"/>
      <c r="F905" s="53"/>
      <c r="G905" s="54"/>
      <c r="H905" s="53"/>
      <c r="I905" s="53"/>
      <c r="J905" s="54"/>
      <c r="K905" s="53"/>
      <c r="L905" s="53"/>
      <c r="M905" s="53"/>
      <c r="N905" s="53"/>
      <c r="O905" s="53"/>
      <c r="P905" s="53"/>
      <c r="Q905" s="53"/>
      <c r="R905" s="53"/>
      <c r="S905" s="53"/>
      <c r="T905" s="53"/>
      <c r="U905" s="53"/>
      <c r="V905" s="53"/>
      <c r="W905" s="53"/>
      <c r="X905" s="53"/>
      <c r="Y905" s="53"/>
      <c r="Z905" s="53"/>
    </row>
    <row r="906">
      <c r="A906" s="53"/>
      <c r="B906" s="53"/>
      <c r="C906" s="53"/>
      <c r="D906" s="53"/>
      <c r="E906" s="53"/>
      <c r="F906" s="53"/>
      <c r="G906" s="54"/>
      <c r="H906" s="53"/>
      <c r="I906" s="53"/>
      <c r="J906" s="54"/>
      <c r="K906" s="53"/>
      <c r="L906" s="53"/>
      <c r="M906" s="53"/>
      <c r="N906" s="53"/>
      <c r="O906" s="53"/>
      <c r="P906" s="53"/>
      <c r="Q906" s="53"/>
      <c r="R906" s="53"/>
      <c r="S906" s="53"/>
      <c r="T906" s="53"/>
      <c r="U906" s="53"/>
      <c r="V906" s="53"/>
      <c r="W906" s="53"/>
      <c r="X906" s="53"/>
      <c r="Y906" s="53"/>
      <c r="Z906" s="53"/>
    </row>
    <row r="907">
      <c r="A907" s="53"/>
      <c r="B907" s="53"/>
      <c r="C907" s="53"/>
      <c r="D907" s="53"/>
      <c r="E907" s="53"/>
      <c r="F907" s="53"/>
      <c r="G907" s="54"/>
      <c r="H907" s="53"/>
      <c r="I907" s="53"/>
      <c r="J907" s="54"/>
      <c r="K907" s="53"/>
      <c r="L907" s="53"/>
      <c r="M907" s="53"/>
      <c r="N907" s="53"/>
      <c r="O907" s="53"/>
      <c r="P907" s="53"/>
      <c r="Q907" s="53"/>
      <c r="R907" s="53"/>
      <c r="S907" s="53"/>
      <c r="T907" s="53"/>
      <c r="U907" s="53"/>
      <c r="V907" s="53"/>
      <c r="W907" s="53"/>
      <c r="X907" s="53"/>
      <c r="Y907" s="53"/>
      <c r="Z907" s="53"/>
    </row>
    <row r="908">
      <c r="A908" s="53"/>
      <c r="B908" s="53"/>
      <c r="C908" s="53"/>
      <c r="D908" s="53"/>
      <c r="E908" s="53"/>
      <c r="F908" s="53"/>
      <c r="G908" s="54"/>
      <c r="H908" s="53"/>
      <c r="I908" s="53"/>
      <c r="J908" s="54"/>
      <c r="K908" s="53"/>
      <c r="L908" s="53"/>
      <c r="M908" s="53"/>
      <c r="N908" s="53"/>
      <c r="O908" s="53"/>
      <c r="P908" s="53"/>
      <c r="Q908" s="53"/>
      <c r="R908" s="53"/>
      <c r="S908" s="53"/>
      <c r="T908" s="53"/>
      <c r="U908" s="53"/>
      <c r="V908" s="53"/>
      <c r="W908" s="53"/>
      <c r="X908" s="53"/>
      <c r="Y908" s="53"/>
      <c r="Z908" s="53"/>
    </row>
    <row r="909">
      <c r="A909" s="53"/>
      <c r="B909" s="53"/>
      <c r="C909" s="53"/>
      <c r="D909" s="53"/>
      <c r="E909" s="53"/>
      <c r="F909" s="53"/>
      <c r="G909" s="54"/>
      <c r="H909" s="53"/>
      <c r="I909" s="53"/>
      <c r="J909" s="54"/>
      <c r="K909" s="53"/>
      <c r="L909" s="53"/>
      <c r="M909" s="53"/>
      <c r="N909" s="53"/>
      <c r="O909" s="53"/>
      <c r="P909" s="53"/>
      <c r="Q909" s="53"/>
      <c r="R909" s="53"/>
      <c r="S909" s="53"/>
      <c r="T909" s="53"/>
      <c r="U909" s="53"/>
      <c r="V909" s="53"/>
      <c r="W909" s="53"/>
      <c r="X909" s="53"/>
      <c r="Y909" s="53"/>
      <c r="Z909" s="53"/>
    </row>
    <row r="910">
      <c r="A910" s="53"/>
      <c r="B910" s="53"/>
      <c r="C910" s="53"/>
      <c r="D910" s="53"/>
      <c r="E910" s="53"/>
      <c r="F910" s="53"/>
      <c r="G910" s="54"/>
      <c r="H910" s="53"/>
      <c r="I910" s="53"/>
      <c r="J910" s="54"/>
      <c r="K910" s="53"/>
      <c r="L910" s="53"/>
      <c r="M910" s="53"/>
      <c r="N910" s="53"/>
      <c r="O910" s="53"/>
      <c r="P910" s="53"/>
      <c r="Q910" s="53"/>
      <c r="R910" s="53"/>
      <c r="S910" s="53"/>
      <c r="T910" s="53"/>
      <c r="U910" s="53"/>
      <c r="V910" s="53"/>
      <c r="W910" s="53"/>
      <c r="X910" s="53"/>
      <c r="Y910" s="53"/>
      <c r="Z910" s="53"/>
    </row>
    <row r="911">
      <c r="A911" s="53"/>
      <c r="B911" s="53"/>
      <c r="C911" s="53"/>
      <c r="D911" s="53"/>
      <c r="E911" s="53"/>
      <c r="F911" s="53"/>
      <c r="G911" s="54"/>
      <c r="H911" s="53"/>
      <c r="I911" s="53"/>
      <c r="J911" s="54"/>
      <c r="K911" s="53"/>
      <c r="L911" s="53"/>
      <c r="M911" s="53"/>
      <c r="N911" s="53"/>
      <c r="O911" s="53"/>
      <c r="P911" s="53"/>
      <c r="Q911" s="53"/>
      <c r="R911" s="53"/>
      <c r="S911" s="53"/>
      <c r="T911" s="53"/>
      <c r="U911" s="53"/>
      <c r="V911" s="53"/>
      <c r="W911" s="53"/>
      <c r="X911" s="53"/>
      <c r="Y911" s="53"/>
      <c r="Z911" s="53"/>
    </row>
    <row r="912">
      <c r="A912" s="53"/>
      <c r="B912" s="53"/>
      <c r="C912" s="53"/>
      <c r="D912" s="53"/>
      <c r="E912" s="53"/>
      <c r="F912" s="53"/>
      <c r="G912" s="54"/>
      <c r="H912" s="53"/>
      <c r="I912" s="53"/>
      <c r="J912" s="54"/>
      <c r="K912" s="53"/>
      <c r="L912" s="53"/>
      <c r="M912" s="53"/>
      <c r="N912" s="53"/>
      <c r="O912" s="53"/>
      <c r="P912" s="53"/>
      <c r="Q912" s="53"/>
      <c r="R912" s="53"/>
      <c r="S912" s="53"/>
      <c r="T912" s="53"/>
      <c r="U912" s="53"/>
      <c r="V912" s="53"/>
      <c r="W912" s="53"/>
      <c r="X912" s="53"/>
      <c r="Y912" s="53"/>
      <c r="Z912" s="53"/>
    </row>
    <row r="913">
      <c r="A913" s="53"/>
      <c r="B913" s="53"/>
      <c r="C913" s="53"/>
      <c r="D913" s="53"/>
      <c r="E913" s="53"/>
      <c r="F913" s="53"/>
      <c r="G913" s="54"/>
      <c r="H913" s="53"/>
      <c r="I913" s="53"/>
      <c r="J913" s="54"/>
      <c r="K913" s="53"/>
      <c r="L913" s="53"/>
      <c r="M913" s="53"/>
      <c r="N913" s="53"/>
      <c r="O913" s="53"/>
      <c r="P913" s="53"/>
      <c r="Q913" s="53"/>
      <c r="R913" s="53"/>
      <c r="S913" s="53"/>
      <c r="T913" s="53"/>
      <c r="U913" s="53"/>
      <c r="V913" s="53"/>
      <c r="W913" s="53"/>
      <c r="X913" s="53"/>
      <c r="Y913" s="53"/>
      <c r="Z913" s="53"/>
    </row>
    <row r="914">
      <c r="A914" s="53"/>
      <c r="B914" s="53"/>
      <c r="C914" s="53"/>
      <c r="D914" s="53"/>
      <c r="E914" s="53"/>
      <c r="F914" s="53"/>
      <c r="G914" s="54"/>
      <c r="H914" s="53"/>
      <c r="I914" s="53"/>
      <c r="J914" s="54"/>
      <c r="K914" s="53"/>
      <c r="L914" s="53"/>
      <c r="M914" s="53"/>
      <c r="N914" s="53"/>
      <c r="O914" s="53"/>
      <c r="P914" s="53"/>
      <c r="Q914" s="53"/>
      <c r="R914" s="53"/>
      <c r="S914" s="53"/>
      <c r="T914" s="53"/>
      <c r="U914" s="53"/>
      <c r="V914" s="53"/>
      <c r="W914" s="53"/>
      <c r="X914" s="53"/>
      <c r="Y914" s="53"/>
      <c r="Z914" s="53"/>
    </row>
    <row r="915">
      <c r="A915" s="53"/>
      <c r="B915" s="53"/>
      <c r="C915" s="53"/>
      <c r="D915" s="53"/>
      <c r="E915" s="53"/>
      <c r="F915" s="53"/>
      <c r="G915" s="54"/>
      <c r="H915" s="53"/>
      <c r="I915" s="53"/>
      <c r="J915" s="54"/>
      <c r="K915" s="53"/>
      <c r="L915" s="53"/>
      <c r="M915" s="53"/>
      <c r="N915" s="53"/>
      <c r="O915" s="53"/>
      <c r="P915" s="53"/>
      <c r="Q915" s="53"/>
      <c r="R915" s="53"/>
      <c r="S915" s="53"/>
      <c r="T915" s="53"/>
      <c r="U915" s="53"/>
      <c r="V915" s="53"/>
      <c r="W915" s="53"/>
      <c r="X915" s="53"/>
      <c r="Y915" s="53"/>
      <c r="Z915" s="53"/>
    </row>
    <row r="916">
      <c r="A916" s="53"/>
      <c r="B916" s="53"/>
      <c r="C916" s="53"/>
      <c r="D916" s="53"/>
      <c r="E916" s="53"/>
      <c r="F916" s="53"/>
      <c r="G916" s="54"/>
      <c r="H916" s="53"/>
      <c r="I916" s="53"/>
      <c r="J916" s="54"/>
      <c r="K916" s="53"/>
      <c r="L916" s="53"/>
      <c r="M916" s="53"/>
      <c r="N916" s="53"/>
      <c r="O916" s="53"/>
      <c r="P916" s="53"/>
      <c r="Q916" s="53"/>
      <c r="R916" s="53"/>
      <c r="S916" s="53"/>
      <c r="T916" s="53"/>
      <c r="U916" s="53"/>
      <c r="V916" s="53"/>
      <c r="W916" s="53"/>
      <c r="X916" s="53"/>
      <c r="Y916" s="53"/>
      <c r="Z916" s="53"/>
    </row>
    <row r="917">
      <c r="A917" s="53"/>
      <c r="B917" s="53"/>
      <c r="C917" s="53"/>
      <c r="D917" s="53"/>
      <c r="E917" s="53"/>
      <c r="F917" s="53"/>
      <c r="G917" s="54"/>
      <c r="H917" s="53"/>
      <c r="I917" s="53"/>
      <c r="J917" s="54"/>
      <c r="K917" s="53"/>
      <c r="L917" s="53"/>
      <c r="M917" s="53"/>
      <c r="N917" s="53"/>
      <c r="O917" s="53"/>
      <c r="P917" s="53"/>
      <c r="Q917" s="53"/>
      <c r="R917" s="53"/>
      <c r="S917" s="53"/>
      <c r="T917" s="53"/>
      <c r="U917" s="53"/>
      <c r="V917" s="53"/>
      <c r="W917" s="53"/>
      <c r="X917" s="53"/>
      <c r="Y917" s="53"/>
      <c r="Z917" s="53"/>
    </row>
    <row r="918">
      <c r="A918" s="53"/>
      <c r="B918" s="53"/>
      <c r="C918" s="53"/>
      <c r="D918" s="53"/>
      <c r="E918" s="53"/>
      <c r="F918" s="53"/>
      <c r="G918" s="54"/>
      <c r="H918" s="53"/>
      <c r="I918" s="53"/>
      <c r="J918" s="54"/>
      <c r="K918" s="53"/>
      <c r="L918" s="53"/>
      <c r="M918" s="53"/>
      <c r="N918" s="53"/>
      <c r="O918" s="53"/>
      <c r="P918" s="53"/>
      <c r="Q918" s="53"/>
      <c r="R918" s="53"/>
      <c r="S918" s="53"/>
      <c r="T918" s="53"/>
      <c r="U918" s="53"/>
      <c r="V918" s="53"/>
      <c r="W918" s="53"/>
      <c r="X918" s="53"/>
      <c r="Y918" s="53"/>
      <c r="Z918" s="53"/>
    </row>
    <row r="919">
      <c r="A919" s="53"/>
      <c r="B919" s="53"/>
      <c r="C919" s="53"/>
      <c r="D919" s="53"/>
      <c r="E919" s="53"/>
      <c r="F919" s="53"/>
      <c r="G919" s="54"/>
      <c r="H919" s="53"/>
      <c r="I919" s="53"/>
      <c r="J919" s="54"/>
      <c r="K919" s="53"/>
      <c r="L919" s="53"/>
      <c r="M919" s="53"/>
      <c r="N919" s="53"/>
      <c r="O919" s="53"/>
      <c r="P919" s="53"/>
      <c r="Q919" s="53"/>
      <c r="R919" s="53"/>
      <c r="S919" s="53"/>
      <c r="T919" s="53"/>
      <c r="U919" s="53"/>
      <c r="V919" s="53"/>
      <c r="W919" s="53"/>
      <c r="X919" s="53"/>
      <c r="Y919" s="53"/>
      <c r="Z919" s="53"/>
    </row>
    <row r="920">
      <c r="A920" s="53"/>
      <c r="B920" s="53"/>
      <c r="C920" s="53"/>
      <c r="D920" s="53"/>
      <c r="E920" s="53"/>
      <c r="F920" s="53"/>
      <c r="G920" s="54"/>
      <c r="H920" s="53"/>
      <c r="I920" s="53"/>
      <c r="J920" s="54"/>
      <c r="K920" s="53"/>
      <c r="L920" s="53"/>
      <c r="M920" s="53"/>
      <c r="N920" s="53"/>
      <c r="O920" s="53"/>
      <c r="P920" s="53"/>
      <c r="Q920" s="53"/>
      <c r="R920" s="53"/>
      <c r="S920" s="53"/>
      <c r="T920" s="53"/>
      <c r="U920" s="53"/>
      <c r="V920" s="53"/>
      <c r="W920" s="53"/>
      <c r="X920" s="53"/>
      <c r="Y920" s="53"/>
      <c r="Z920" s="53"/>
    </row>
    <row r="921">
      <c r="A921" s="53"/>
      <c r="B921" s="53"/>
      <c r="C921" s="53"/>
      <c r="D921" s="53"/>
      <c r="E921" s="53"/>
      <c r="F921" s="53"/>
      <c r="G921" s="54"/>
      <c r="H921" s="53"/>
      <c r="I921" s="53"/>
      <c r="J921" s="54"/>
      <c r="K921" s="53"/>
      <c r="L921" s="53"/>
      <c r="M921" s="53"/>
      <c r="N921" s="53"/>
      <c r="O921" s="53"/>
      <c r="P921" s="53"/>
      <c r="Q921" s="53"/>
      <c r="R921" s="53"/>
      <c r="S921" s="53"/>
      <c r="T921" s="53"/>
      <c r="U921" s="53"/>
      <c r="V921" s="53"/>
      <c r="W921" s="53"/>
      <c r="X921" s="53"/>
      <c r="Y921" s="53"/>
      <c r="Z921" s="53"/>
    </row>
    <row r="922">
      <c r="A922" s="53"/>
      <c r="B922" s="53"/>
      <c r="C922" s="53"/>
      <c r="D922" s="53"/>
      <c r="E922" s="53"/>
      <c r="F922" s="53"/>
      <c r="G922" s="54"/>
      <c r="H922" s="53"/>
      <c r="I922" s="53"/>
      <c r="J922" s="54"/>
      <c r="K922" s="53"/>
      <c r="L922" s="53"/>
      <c r="M922" s="53"/>
      <c r="N922" s="53"/>
      <c r="O922" s="53"/>
      <c r="P922" s="53"/>
      <c r="Q922" s="53"/>
      <c r="R922" s="53"/>
      <c r="S922" s="53"/>
      <c r="T922" s="53"/>
      <c r="U922" s="53"/>
      <c r="V922" s="53"/>
      <c r="W922" s="53"/>
      <c r="X922" s="53"/>
      <c r="Y922" s="53"/>
      <c r="Z922" s="53"/>
    </row>
    <row r="923">
      <c r="A923" s="53"/>
      <c r="B923" s="53"/>
      <c r="C923" s="53"/>
      <c r="D923" s="53"/>
      <c r="E923" s="53"/>
      <c r="F923" s="53"/>
      <c r="G923" s="54"/>
      <c r="H923" s="53"/>
      <c r="I923" s="53"/>
      <c r="J923" s="54"/>
      <c r="K923" s="53"/>
      <c r="L923" s="53"/>
      <c r="M923" s="53"/>
      <c r="N923" s="53"/>
      <c r="O923" s="53"/>
      <c r="P923" s="53"/>
      <c r="Q923" s="53"/>
      <c r="R923" s="53"/>
      <c r="S923" s="53"/>
      <c r="T923" s="53"/>
      <c r="U923" s="53"/>
      <c r="V923" s="53"/>
      <c r="W923" s="53"/>
      <c r="X923" s="53"/>
      <c r="Y923" s="53"/>
      <c r="Z923" s="53"/>
    </row>
    <row r="924">
      <c r="A924" s="53"/>
      <c r="B924" s="53"/>
      <c r="C924" s="53"/>
      <c r="D924" s="53"/>
      <c r="E924" s="53"/>
      <c r="F924" s="53"/>
      <c r="G924" s="54"/>
      <c r="H924" s="53"/>
      <c r="I924" s="53"/>
      <c r="J924" s="54"/>
      <c r="K924" s="53"/>
      <c r="L924" s="53"/>
      <c r="M924" s="53"/>
      <c r="N924" s="53"/>
      <c r="O924" s="53"/>
      <c r="P924" s="53"/>
      <c r="Q924" s="53"/>
      <c r="R924" s="53"/>
      <c r="S924" s="53"/>
      <c r="T924" s="53"/>
      <c r="U924" s="53"/>
      <c r="V924" s="53"/>
      <c r="W924" s="53"/>
      <c r="X924" s="53"/>
      <c r="Y924" s="53"/>
      <c r="Z924" s="53"/>
    </row>
    <row r="925">
      <c r="A925" s="53"/>
      <c r="B925" s="53"/>
      <c r="C925" s="53"/>
      <c r="D925" s="53"/>
      <c r="E925" s="53"/>
      <c r="F925" s="53"/>
      <c r="G925" s="54"/>
      <c r="H925" s="53"/>
      <c r="I925" s="53"/>
      <c r="J925" s="54"/>
      <c r="K925" s="53"/>
      <c r="L925" s="53"/>
      <c r="M925" s="53"/>
      <c r="N925" s="53"/>
      <c r="O925" s="53"/>
      <c r="P925" s="53"/>
      <c r="Q925" s="53"/>
      <c r="R925" s="53"/>
      <c r="S925" s="53"/>
      <c r="T925" s="53"/>
      <c r="U925" s="53"/>
      <c r="V925" s="53"/>
      <c r="W925" s="53"/>
      <c r="X925" s="53"/>
      <c r="Y925" s="53"/>
      <c r="Z925" s="53"/>
    </row>
    <row r="926">
      <c r="A926" s="53"/>
      <c r="B926" s="53"/>
      <c r="C926" s="53"/>
      <c r="D926" s="53"/>
      <c r="E926" s="53"/>
      <c r="F926" s="53"/>
      <c r="G926" s="54"/>
      <c r="H926" s="53"/>
      <c r="I926" s="53"/>
      <c r="J926" s="54"/>
      <c r="K926" s="53"/>
      <c r="L926" s="53"/>
      <c r="M926" s="53"/>
      <c r="N926" s="53"/>
      <c r="O926" s="53"/>
      <c r="P926" s="53"/>
      <c r="Q926" s="53"/>
      <c r="R926" s="53"/>
      <c r="S926" s="53"/>
      <c r="T926" s="53"/>
      <c r="U926" s="53"/>
      <c r="V926" s="53"/>
      <c r="W926" s="53"/>
      <c r="X926" s="53"/>
      <c r="Y926" s="53"/>
      <c r="Z926" s="53"/>
    </row>
    <row r="927">
      <c r="A927" s="53"/>
      <c r="B927" s="53"/>
      <c r="C927" s="53"/>
      <c r="D927" s="53"/>
      <c r="E927" s="53"/>
      <c r="F927" s="53"/>
      <c r="G927" s="54"/>
      <c r="H927" s="53"/>
      <c r="I927" s="53"/>
      <c r="J927" s="54"/>
      <c r="K927" s="53"/>
      <c r="L927" s="53"/>
      <c r="M927" s="53"/>
      <c r="N927" s="53"/>
      <c r="O927" s="53"/>
      <c r="P927" s="53"/>
      <c r="Q927" s="53"/>
      <c r="R927" s="53"/>
      <c r="S927" s="53"/>
      <c r="T927" s="53"/>
      <c r="U927" s="53"/>
      <c r="V927" s="53"/>
      <c r="W927" s="53"/>
      <c r="X927" s="53"/>
      <c r="Y927" s="53"/>
      <c r="Z927" s="53"/>
    </row>
    <row r="928">
      <c r="A928" s="53"/>
      <c r="B928" s="53"/>
      <c r="C928" s="53"/>
      <c r="D928" s="53"/>
      <c r="E928" s="53"/>
      <c r="F928" s="53"/>
      <c r="G928" s="54"/>
      <c r="H928" s="53"/>
      <c r="I928" s="53"/>
      <c r="J928" s="54"/>
      <c r="K928" s="53"/>
      <c r="L928" s="53"/>
      <c r="M928" s="53"/>
      <c r="N928" s="53"/>
      <c r="O928" s="53"/>
      <c r="P928" s="53"/>
      <c r="Q928" s="53"/>
      <c r="R928" s="53"/>
      <c r="S928" s="53"/>
      <c r="T928" s="53"/>
      <c r="U928" s="53"/>
      <c r="V928" s="53"/>
      <c r="W928" s="53"/>
      <c r="X928" s="53"/>
      <c r="Y928" s="53"/>
      <c r="Z928" s="53"/>
    </row>
    <row r="929">
      <c r="A929" s="53"/>
      <c r="B929" s="53"/>
      <c r="C929" s="53"/>
      <c r="D929" s="53"/>
      <c r="E929" s="53"/>
      <c r="F929" s="53"/>
      <c r="G929" s="54"/>
      <c r="H929" s="53"/>
      <c r="I929" s="53"/>
      <c r="J929" s="54"/>
      <c r="K929" s="53"/>
      <c r="L929" s="53"/>
      <c r="M929" s="53"/>
      <c r="N929" s="53"/>
      <c r="O929" s="53"/>
      <c r="P929" s="53"/>
      <c r="Q929" s="53"/>
      <c r="R929" s="53"/>
      <c r="S929" s="53"/>
      <c r="T929" s="53"/>
      <c r="U929" s="53"/>
      <c r="V929" s="53"/>
      <c r="W929" s="53"/>
      <c r="X929" s="53"/>
      <c r="Y929" s="53"/>
      <c r="Z929" s="53"/>
    </row>
    <row r="930">
      <c r="A930" s="53"/>
      <c r="B930" s="53"/>
      <c r="C930" s="53"/>
      <c r="D930" s="53"/>
      <c r="E930" s="53"/>
      <c r="F930" s="53"/>
      <c r="G930" s="54"/>
      <c r="H930" s="53"/>
      <c r="I930" s="53"/>
      <c r="J930" s="54"/>
      <c r="K930" s="53"/>
      <c r="L930" s="53"/>
      <c r="M930" s="53"/>
      <c r="N930" s="53"/>
      <c r="O930" s="53"/>
      <c r="P930" s="53"/>
      <c r="Q930" s="53"/>
      <c r="R930" s="53"/>
      <c r="S930" s="53"/>
      <c r="T930" s="53"/>
      <c r="U930" s="53"/>
      <c r="V930" s="53"/>
      <c r="W930" s="53"/>
      <c r="X930" s="53"/>
      <c r="Y930" s="53"/>
      <c r="Z930" s="53"/>
    </row>
    <row r="931">
      <c r="A931" s="53"/>
      <c r="B931" s="53"/>
      <c r="C931" s="53"/>
      <c r="D931" s="53"/>
      <c r="E931" s="53"/>
      <c r="F931" s="53"/>
      <c r="G931" s="54"/>
      <c r="H931" s="53"/>
      <c r="I931" s="53"/>
      <c r="J931" s="54"/>
      <c r="K931" s="53"/>
      <c r="L931" s="53"/>
      <c r="M931" s="53"/>
      <c r="N931" s="53"/>
      <c r="O931" s="53"/>
      <c r="P931" s="53"/>
      <c r="Q931" s="53"/>
      <c r="R931" s="53"/>
      <c r="S931" s="53"/>
      <c r="T931" s="53"/>
      <c r="U931" s="53"/>
      <c r="V931" s="53"/>
      <c r="W931" s="53"/>
      <c r="X931" s="53"/>
      <c r="Y931" s="53"/>
      <c r="Z931" s="53"/>
    </row>
    <row r="932">
      <c r="A932" s="53"/>
      <c r="B932" s="53"/>
      <c r="C932" s="53"/>
      <c r="D932" s="53"/>
      <c r="E932" s="53"/>
      <c r="F932" s="53"/>
      <c r="G932" s="54"/>
      <c r="H932" s="53"/>
      <c r="I932" s="53"/>
      <c r="J932" s="54"/>
      <c r="K932" s="53"/>
      <c r="L932" s="53"/>
      <c r="M932" s="53"/>
      <c r="N932" s="53"/>
      <c r="O932" s="53"/>
      <c r="P932" s="53"/>
      <c r="Q932" s="53"/>
      <c r="R932" s="53"/>
      <c r="S932" s="53"/>
      <c r="T932" s="53"/>
      <c r="U932" s="53"/>
      <c r="V932" s="53"/>
      <c r="W932" s="53"/>
      <c r="X932" s="53"/>
      <c r="Y932" s="53"/>
      <c r="Z932" s="53"/>
    </row>
    <row r="933">
      <c r="A933" s="53"/>
      <c r="B933" s="53"/>
      <c r="C933" s="53"/>
      <c r="D933" s="53"/>
      <c r="E933" s="53"/>
      <c r="F933" s="53"/>
      <c r="G933" s="54"/>
      <c r="H933" s="53"/>
      <c r="I933" s="53"/>
      <c r="J933" s="54"/>
      <c r="K933" s="53"/>
      <c r="L933" s="53"/>
      <c r="M933" s="53"/>
      <c r="N933" s="53"/>
      <c r="O933" s="53"/>
      <c r="P933" s="53"/>
      <c r="Q933" s="53"/>
      <c r="R933" s="53"/>
      <c r="S933" s="53"/>
      <c r="T933" s="53"/>
      <c r="U933" s="53"/>
      <c r="V933" s="53"/>
      <c r="W933" s="53"/>
      <c r="X933" s="53"/>
      <c r="Y933" s="53"/>
      <c r="Z933" s="53"/>
    </row>
    <row r="934">
      <c r="A934" s="53"/>
      <c r="B934" s="53"/>
      <c r="C934" s="53"/>
      <c r="D934" s="53"/>
      <c r="E934" s="53"/>
      <c r="F934" s="53"/>
      <c r="G934" s="54"/>
      <c r="H934" s="53"/>
      <c r="I934" s="53"/>
      <c r="J934" s="54"/>
      <c r="K934" s="53"/>
      <c r="L934" s="53"/>
      <c r="M934" s="53"/>
      <c r="N934" s="53"/>
      <c r="O934" s="53"/>
      <c r="P934" s="53"/>
      <c r="Q934" s="53"/>
      <c r="R934" s="53"/>
      <c r="S934" s="53"/>
      <c r="T934" s="53"/>
      <c r="U934" s="53"/>
      <c r="V934" s="53"/>
      <c r="W934" s="53"/>
      <c r="X934" s="53"/>
      <c r="Y934" s="53"/>
      <c r="Z934" s="53"/>
    </row>
    <row r="935">
      <c r="A935" s="53"/>
      <c r="B935" s="53"/>
      <c r="C935" s="53"/>
      <c r="D935" s="53"/>
      <c r="E935" s="53"/>
      <c r="F935" s="53"/>
      <c r="G935" s="54"/>
      <c r="H935" s="53"/>
      <c r="I935" s="53"/>
      <c r="J935" s="54"/>
      <c r="K935" s="53"/>
      <c r="L935" s="53"/>
      <c r="M935" s="53"/>
      <c r="N935" s="53"/>
      <c r="O935" s="53"/>
      <c r="P935" s="53"/>
      <c r="Q935" s="53"/>
      <c r="R935" s="53"/>
      <c r="S935" s="53"/>
      <c r="T935" s="53"/>
      <c r="U935" s="53"/>
      <c r="V935" s="53"/>
      <c r="W935" s="53"/>
      <c r="X935" s="53"/>
      <c r="Y935" s="53"/>
      <c r="Z935" s="53"/>
    </row>
    <row r="936">
      <c r="A936" s="53"/>
      <c r="B936" s="53"/>
      <c r="C936" s="53"/>
      <c r="D936" s="53"/>
      <c r="E936" s="53"/>
      <c r="F936" s="53"/>
      <c r="G936" s="54"/>
      <c r="H936" s="53"/>
      <c r="I936" s="53"/>
      <c r="J936" s="54"/>
      <c r="K936" s="53"/>
      <c r="L936" s="53"/>
      <c r="M936" s="53"/>
      <c r="N936" s="53"/>
      <c r="O936" s="53"/>
      <c r="P936" s="53"/>
      <c r="Q936" s="53"/>
      <c r="R936" s="53"/>
      <c r="S936" s="53"/>
      <c r="T936" s="53"/>
      <c r="U936" s="53"/>
      <c r="V936" s="53"/>
      <c r="W936" s="53"/>
      <c r="X936" s="53"/>
      <c r="Y936" s="53"/>
      <c r="Z936" s="53"/>
    </row>
    <row r="937">
      <c r="A937" s="53"/>
      <c r="B937" s="53"/>
      <c r="C937" s="53"/>
      <c r="D937" s="53"/>
      <c r="E937" s="53"/>
      <c r="F937" s="53"/>
      <c r="G937" s="54"/>
      <c r="H937" s="53"/>
      <c r="I937" s="53"/>
      <c r="J937" s="54"/>
      <c r="K937" s="53"/>
      <c r="L937" s="53"/>
      <c r="M937" s="53"/>
      <c r="N937" s="53"/>
      <c r="O937" s="53"/>
      <c r="P937" s="53"/>
      <c r="Q937" s="53"/>
      <c r="R937" s="53"/>
      <c r="S937" s="53"/>
      <c r="T937" s="53"/>
      <c r="U937" s="53"/>
      <c r="V937" s="53"/>
      <c r="W937" s="53"/>
      <c r="X937" s="53"/>
      <c r="Y937" s="53"/>
      <c r="Z937" s="53"/>
    </row>
    <row r="938">
      <c r="A938" s="53"/>
      <c r="B938" s="53"/>
      <c r="C938" s="53"/>
      <c r="D938" s="53"/>
      <c r="E938" s="53"/>
      <c r="F938" s="53"/>
      <c r="G938" s="54"/>
      <c r="H938" s="53"/>
      <c r="I938" s="53"/>
      <c r="J938" s="54"/>
      <c r="K938" s="53"/>
      <c r="L938" s="53"/>
      <c r="M938" s="53"/>
      <c r="N938" s="53"/>
      <c r="O938" s="53"/>
      <c r="P938" s="53"/>
      <c r="Q938" s="53"/>
      <c r="R938" s="53"/>
      <c r="S938" s="53"/>
      <c r="T938" s="53"/>
      <c r="U938" s="53"/>
      <c r="V938" s="53"/>
      <c r="W938" s="53"/>
      <c r="X938" s="53"/>
      <c r="Y938" s="53"/>
      <c r="Z938" s="53"/>
    </row>
    <row r="939">
      <c r="A939" s="53"/>
      <c r="B939" s="53"/>
      <c r="C939" s="53"/>
      <c r="D939" s="53"/>
      <c r="E939" s="53"/>
      <c r="F939" s="53"/>
      <c r="G939" s="54"/>
      <c r="H939" s="53"/>
      <c r="I939" s="53"/>
      <c r="J939" s="54"/>
      <c r="K939" s="53"/>
      <c r="L939" s="53"/>
      <c r="M939" s="53"/>
      <c r="N939" s="53"/>
      <c r="O939" s="53"/>
      <c r="P939" s="53"/>
      <c r="Q939" s="53"/>
      <c r="R939" s="53"/>
      <c r="S939" s="53"/>
      <c r="T939" s="53"/>
      <c r="U939" s="53"/>
      <c r="V939" s="53"/>
      <c r="W939" s="53"/>
      <c r="X939" s="53"/>
      <c r="Y939" s="53"/>
      <c r="Z939" s="53"/>
    </row>
    <row r="940">
      <c r="A940" s="53"/>
      <c r="B940" s="53"/>
      <c r="C940" s="53"/>
      <c r="D940" s="53"/>
      <c r="E940" s="53"/>
      <c r="F940" s="53"/>
      <c r="G940" s="54"/>
      <c r="H940" s="53"/>
      <c r="I940" s="53"/>
      <c r="J940" s="54"/>
      <c r="K940" s="53"/>
      <c r="L940" s="53"/>
      <c r="M940" s="53"/>
      <c r="N940" s="53"/>
      <c r="O940" s="53"/>
      <c r="P940" s="53"/>
      <c r="Q940" s="53"/>
      <c r="R940" s="53"/>
      <c r="S940" s="53"/>
      <c r="T940" s="53"/>
      <c r="U940" s="53"/>
      <c r="V940" s="53"/>
      <c r="W940" s="53"/>
      <c r="X940" s="53"/>
      <c r="Y940" s="53"/>
      <c r="Z940" s="53"/>
    </row>
    <row r="941">
      <c r="A941" s="53"/>
      <c r="B941" s="53"/>
      <c r="C941" s="53"/>
      <c r="D941" s="53"/>
      <c r="E941" s="53"/>
      <c r="F941" s="53"/>
      <c r="G941" s="54"/>
      <c r="H941" s="53"/>
      <c r="I941" s="53"/>
      <c r="J941" s="54"/>
      <c r="K941" s="53"/>
      <c r="L941" s="53"/>
      <c r="M941" s="53"/>
      <c r="N941" s="53"/>
      <c r="O941" s="53"/>
      <c r="P941" s="53"/>
      <c r="Q941" s="53"/>
      <c r="R941" s="53"/>
      <c r="S941" s="53"/>
      <c r="T941" s="53"/>
      <c r="U941" s="53"/>
      <c r="V941" s="53"/>
      <c r="W941" s="53"/>
      <c r="X941" s="53"/>
      <c r="Y941" s="53"/>
      <c r="Z941" s="53"/>
    </row>
    <row r="942">
      <c r="A942" s="53"/>
      <c r="B942" s="53"/>
      <c r="C942" s="53"/>
      <c r="D942" s="53"/>
      <c r="E942" s="53"/>
      <c r="F942" s="53"/>
      <c r="G942" s="54"/>
      <c r="H942" s="53"/>
      <c r="I942" s="53"/>
      <c r="J942" s="54"/>
      <c r="K942" s="53"/>
      <c r="L942" s="53"/>
      <c r="M942" s="53"/>
      <c r="N942" s="53"/>
      <c r="O942" s="53"/>
      <c r="P942" s="53"/>
      <c r="Q942" s="53"/>
      <c r="R942" s="53"/>
      <c r="S942" s="53"/>
      <c r="T942" s="53"/>
      <c r="U942" s="53"/>
      <c r="V942" s="53"/>
      <c r="W942" s="53"/>
      <c r="X942" s="53"/>
      <c r="Y942" s="53"/>
      <c r="Z942" s="53"/>
    </row>
    <row r="943">
      <c r="A943" s="53"/>
      <c r="B943" s="53"/>
      <c r="C943" s="53"/>
      <c r="D943" s="53"/>
      <c r="E943" s="53"/>
      <c r="F943" s="53"/>
      <c r="G943" s="54"/>
      <c r="H943" s="53"/>
      <c r="I943" s="53"/>
      <c r="J943" s="54"/>
      <c r="K943" s="53"/>
      <c r="L943" s="53"/>
      <c r="M943" s="53"/>
      <c r="N943" s="53"/>
      <c r="O943" s="53"/>
      <c r="P943" s="53"/>
      <c r="Q943" s="53"/>
      <c r="R943" s="53"/>
      <c r="S943" s="53"/>
      <c r="T943" s="53"/>
      <c r="U943" s="53"/>
      <c r="V943" s="53"/>
      <c r="W943" s="53"/>
      <c r="X943" s="53"/>
      <c r="Y943" s="53"/>
      <c r="Z943" s="53"/>
    </row>
    <row r="944">
      <c r="A944" s="53"/>
      <c r="B944" s="53"/>
      <c r="C944" s="53"/>
      <c r="D944" s="53"/>
      <c r="E944" s="53"/>
      <c r="F944" s="53"/>
      <c r="G944" s="54"/>
      <c r="H944" s="53"/>
      <c r="I944" s="53"/>
      <c r="J944" s="54"/>
      <c r="K944" s="53"/>
      <c r="L944" s="53"/>
      <c r="M944" s="53"/>
      <c r="N944" s="53"/>
      <c r="O944" s="53"/>
      <c r="P944" s="53"/>
      <c r="Q944" s="53"/>
      <c r="R944" s="53"/>
      <c r="S944" s="53"/>
      <c r="T944" s="53"/>
      <c r="U944" s="53"/>
      <c r="V944" s="53"/>
      <c r="W944" s="53"/>
      <c r="X944" s="53"/>
      <c r="Y944" s="53"/>
      <c r="Z944" s="53"/>
    </row>
    <row r="945">
      <c r="A945" s="53"/>
      <c r="B945" s="53"/>
      <c r="C945" s="53"/>
      <c r="D945" s="53"/>
      <c r="E945" s="53"/>
      <c r="F945" s="53"/>
      <c r="G945" s="54"/>
      <c r="H945" s="53"/>
      <c r="I945" s="53"/>
      <c r="J945" s="54"/>
      <c r="K945" s="53"/>
      <c r="L945" s="53"/>
      <c r="M945" s="53"/>
      <c r="N945" s="53"/>
      <c r="O945" s="53"/>
      <c r="P945" s="53"/>
      <c r="Q945" s="53"/>
      <c r="R945" s="53"/>
      <c r="S945" s="53"/>
      <c r="T945" s="53"/>
      <c r="U945" s="53"/>
      <c r="V945" s="53"/>
      <c r="W945" s="53"/>
      <c r="X945" s="53"/>
      <c r="Y945" s="53"/>
      <c r="Z945" s="53"/>
    </row>
    <row r="946">
      <c r="A946" s="53"/>
      <c r="B946" s="53"/>
      <c r="C946" s="53"/>
      <c r="D946" s="53"/>
      <c r="E946" s="53"/>
      <c r="F946" s="53"/>
      <c r="G946" s="54"/>
      <c r="H946" s="53"/>
      <c r="I946" s="53"/>
      <c r="J946" s="54"/>
      <c r="K946" s="53"/>
      <c r="L946" s="53"/>
      <c r="M946" s="53"/>
      <c r="N946" s="53"/>
      <c r="O946" s="53"/>
      <c r="P946" s="53"/>
      <c r="Q946" s="53"/>
      <c r="R946" s="53"/>
      <c r="S946" s="53"/>
      <c r="T946" s="53"/>
      <c r="U946" s="53"/>
      <c r="V946" s="53"/>
      <c r="W946" s="53"/>
      <c r="X946" s="53"/>
      <c r="Y946" s="53"/>
      <c r="Z946" s="53"/>
    </row>
    <row r="947">
      <c r="A947" s="53"/>
      <c r="B947" s="53"/>
      <c r="C947" s="53"/>
      <c r="D947" s="53"/>
      <c r="E947" s="53"/>
      <c r="F947" s="53"/>
      <c r="G947" s="54"/>
      <c r="H947" s="53"/>
      <c r="I947" s="53"/>
      <c r="J947" s="54"/>
      <c r="K947" s="53"/>
      <c r="L947" s="53"/>
      <c r="M947" s="53"/>
      <c r="N947" s="53"/>
      <c r="O947" s="53"/>
      <c r="P947" s="53"/>
      <c r="Q947" s="53"/>
      <c r="R947" s="53"/>
      <c r="S947" s="53"/>
      <c r="T947" s="53"/>
      <c r="U947" s="53"/>
      <c r="V947" s="53"/>
      <c r="W947" s="53"/>
      <c r="X947" s="53"/>
      <c r="Y947" s="53"/>
      <c r="Z947" s="53"/>
    </row>
    <row r="948">
      <c r="A948" s="53"/>
      <c r="B948" s="53"/>
      <c r="C948" s="53"/>
      <c r="D948" s="53"/>
      <c r="E948" s="53"/>
      <c r="F948" s="53"/>
      <c r="G948" s="54"/>
      <c r="H948" s="53"/>
      <c r="I948" s="53"/>
      <c r="J948" s="54"/>
      <c r="K948" s="53"/>
      <c r="L948" s="53"/>
      <c r="M948" s="53"/>
      <c r="N948" s="53"/>
      <c r="O948" s="53"/>
      <c r="P948" s="53"/>
      <c r="Q948" s="53"/>
      <c r="R948" s="53"/>
      <c r="S948" s="53"/>
      <c r="T948" s="53"/>
      <c r="U948" s="53"/>
      <c r="V948" s="53"/>
      <c r="W948" s="53"/>
      <c r="X948" s="53"/>
      <c r="Y948" s="53"/>
      <c r="Z948" s="53"/>
    </row>
    <row r="949">
      <c r="A949" s="53"/>
      <c r="B949" s="53"/>
      <c r="C949" s="53"/>
      <c r="D949" s="53"/>
      <c r="E949" s="53"/>
      <c r="F949" s="53"/>
      <c r="G949" s="54"/>
      <c r="H949" s="53"/>
      <c r="I949" s="53"/>
      <c r="J949" s="54"/>
      <c r="K949" s="53"/>
      <c r="L949" s="53"/>
      <c r="M949" s="53"/>
      <c r="N949" s="53"/>
      <c r="O949" s="53"/>
      <c r="P949" s="53"/>
      <c r="Q949" s="53"/>
      <c r="R949" s="53"/>
      <c r="S949" s="53"/>
      <c r="T949" s="53"/>
      <c r="U949" s="53"/>
      <c r="V949" s="53"/>
      <c r="W949" s="53"/>
      <c r="X949" s="53"/>
      <c r="Y949" s="53"/>
      <c r="Z949" s="53"/>
    </row>
    <row r="950">
      <c r="A950" s="53"/>
      <c r="B950" s="53"/>
      <c r="C950" s="53"/>
      <c r="D950" s="53"/>
      <c r="E950" s="53"/>
      <c r="F950" s="53"/>
      <c r="G950" s="54"/>
      <c r="H950" s="53"/>
      <c r="I950" s="53"/>
      <c r="J950" s="54"/>
      <c r="K950" s="53"/>
      <c r="L950" s="53"/>
      <c r="M950" s="53"/>
      <c r="N950" s="53"/>
      <c r="O950" s="53"/>
      <c r="P950" s="53"/>
      <c r="Q950" s="53"/>
      <c r="R950" s="53"/>
      <c r="S950" s="53"/>
      <c r="T950" s="53"/>
      <c r="U950" s="53"/>
      <c r="V950" s="53"/>
      <c r="W950" s="53"/>
      <c r="X950" s="53"/>
      <c r="Y950" s="53"/>
      <c r="Z950" s="53"/>
    </row>
    <row r="951">
      <c r="A951" s="53"/>
      <c r="B951" s="53"/>
      <c r="C951" s="53"/>
      <c r="D951" s="53"/>
      <c r="E951" s="53"/>
      <c r="F951" s="53"/>
      <c r="G951" s="54"/>
      <c r="H951" s="53"/>
      <c r="I951" s="53"/>
      <c r="J951" s="54"/>
      <c r="K951" s="53"/>
      <c r="L951" s="53"/>
      <c r="M951" s="53"/>
      <c r="N951" s="53"/>
      <c r="O951" s="53"/>
      <c r="P951" s="53"/>
      <c r="Q951" s="53"/>
      <c r="R951" s="53"/>
      <c r="S951" s="53"/>
      <c r="T951" s="53"/>
      <c r="U951" s="53"/>
      <c r="V951" s="53"/>
      <c r="W951" s="53"/>
      <c r="X951" s="53"/>
      <c r="Y951" s="53"/>
      <c r="Z951" s="53"/>
    </row>
    <row r="952">
      <c r="A952" s="53"/>
      <c r="B952" s="53"/>
      <c r="C952" s="53"/>
      <c r="D952" s="53"/>
      <c r="E952" s="53"/>
      <c r="F952" s="53"/>
      <c r="G952" s="54"/>
      <c r="H952" s="53"/>
      <c r="I952" s="53"/>
      <c r="J952" s="54"/>
      <c r="K952" s="53"/>
      <c r="L952" s="53"/>
      <c r="M952" s="53"/>
      <c r="N952" s="53"/>
      <c r="O952" s="53"/>
      <c r="P952" s="53"/>
      <c r="Q952" s="53"/>
      <c r="R952" s="53"/>
      <c r="S952" s="53"/>
      <c r="T952" s="53"/>
      <c r="U952" s="53"/>
      <c r="V952" s="53"/>
      <c r="W952" s="53"/>
      <c r="X952" s="53"/>
      <c r="Y952" s="53"/>
      <c r="Z952" s="53"/>
    </row>
    <row r="953">
      <c r="A953" s="53"/>
      <c r="B953" s="53"/>
      <c r="C953" s="53"/>
      <c r="D953" s="53"/>
      <c r="E953" s="53"/>
      <c r="F953" s="53"/>
      <c r="G953" s="54"/>
      <c r="H953" s="53"/>
      <c r="I953" s="53"/>
      <c r="J953" s="54"/>
      <c r="K953" s="53"/>
      <c r="L953" s="53"/>
      <c r="M953" s="53"/>
      <c r="N953" s="53"/>
      <c r="O953" s="53"/>
      <c r="P953" s="53"/>
      <c r="Q953" s="53"/>
      <c r="R953" s="53"/>
      <c r="S953" s="53"/>
      <c r="T953" s="53"/>
      <c r="U953" s="53"/>
      <c r="V953" s="53"/>
      <c r="W953" s="53"/>
      <c r="X953" s="53"/>
      <c r="Y953" s="53"/>
      <c r="Z953" s="53"/>
    </row>
    <row r="954">
      <c r="A954" s="53"/>
      <c r="B954" s="53"/>
      <c r="C954" s="53"/>
      <c r="D954" s="53"/>
      <c r="E954" s="53"/>
      <c r="F954" s="53"/>
      <c r="G954" s="54"/>
      <c r="H954" s="53"/>
      <c r="I954" s="53"/>
      <c r="J954" s="54"/>
      <c r="K954" s="53"/>
      <c r="L954" s="53"/>
      <c r="M954" s="53"/>
      <c r="N954" s="53"/>
      <c r="O954" s="53"/>
      <c r="P954" s="53"/>
      <c r="Q954" s="53"/>
      <c r="R954" s="53"/>
      <c r="S954" s="53"/>
      <c r="T954" s="53"/>
      <c r="U954" s="53"/>
      <c r="V954" s="53"/>
      <c r="W954" s="53"/>
      <c r="X954" s="53"/>
      <c r="Y954" s="53"/>
      <c r="Z954" s="53"/>
    </row>
    <row r="955">
      <c r="A955" s="53"/>
      <c r="B955" s="53"/>
      <c r="C955" s="53"/>
      <c r="D955" s="53"/>
      <c r="E955" s="53"/>
      <c r="F955" s="53"/>
      <c r="G955" s="54"/>
      <c r="H955" s="53"/>
      <c r="I955" s="53"/>
      <c r="J955" s="54"/>
      <c r="K955" s="53"/>
      <c r="L955" s="53"/>
      <c r="M955" s="53"/>
      <c r="N955" s="53"/>
      <c r="O955" s="53"/>
      <c r="P955" s="53"/>
      <c r="Q955" s="53"/>
      <c r="R955" s="53"/>
      <c r="S955" s="53"/>
      <c r="T955" s="53"/>
      <c r="U955" s="53"/>
      <c r="V955" s="53"/>
      <c r="W955" s="53"/>
      <c r="X955" s="53"/>
      <c r="Y955" s="53"/>
      <c r="Z955" s="53"/>
    </row>
    <row r="956">
      <c r="A956" s="53"/>
      <c r="B956" s="53"/>
      <c r="C956" s="53"/>
      <c r="D956" s="53"/>
      <c r="E956" s="53"/>
      <c r="F956" s="53"/>
      <c r="G956" s="54"/>
      <c r="H956" s="53"/>
      <c r="I956" s="53"/>
      <c r="J956" s="54"/>
      <c r="K956" s="53"/>
      <c r="L956" s="53"/>
      <c r="M956" s="53"/>
      <c r="N956" s="53"/>
      <c r="O956" s="53"/>
      <c r="P956" s="53"/>
      <c r="Q956" s="53"/>
      <c r="R956" s="53"/>
      <c r="S956" s="53"/>
      <c r="T956" s="53"/>
      <c r="U956" s="53"/>
      <c r="V956" s="53"/>
      <c r="W956" s="53"/>
      <c r="X956" s="53"/>
      <c r="Y956" s="53"/>
      <c r="Z956" s="53"/>
    </row>
    <row r="957">
      <c r="A957" s="53"/>
      <c r="B957" s="53"/>
      <c r="C957" s="53"/>
      <c r="D957" s="53"/>
      <c r="E957" s="53"/>
      <c r="F957" s="53"/>
      <c r="G957" s="54"/>
      <c r="H957" s="53"/>
      <c r="I957" s="53"/>
      <c r="J957" s="54"/>
      <c r="K957" s="53"/>
      <c r="L957" s="53"/>
      <c r="M957" s="53"/>
      <c r="N957" s="53"/>
      <c r="O957" s="53"/>
      <c r="P957" s="53"/>
      <c r="Q957" s="53"/>
      <c r="R957" s="53"/>
      <c r="S957" s="53"/>
      <c r="T957" s="53"/>
      <c r="U957" s="53"/>
      <c r="V957" s="53"/>
      <c r="W957" s="53"/>
      <c r="X957" s="53"/>
      <c r="Y957" s="53"/>
      <c r="Z957" s="53"/>
    </row>
    <row r="958">
      <c r="A958" s="53"/>
      <c r="B958" s="53"/>
      <c r="C958" s="53"/>
      <c r="D958" s="53"/>
      <c r="E958" s="53"/>
      <c r="F958" s="53"/>
      <c r="G958" s="54"/>
      <c r="H958" s="53"/>
      <c r="I958" s="53"/>
      <c r="J958" s="54"/>
      <c r="K958" s="53"/>
      <c r="L958" s="53"/>
      <c r="M958" s="53"/>
      <c r="N958" s="53"/>
      <c r="O958" s="53"/>
      <c r="P958" s="53"/>
      <c r="Q958" s="53"/>
      <c r="R958" s="53"/>
      <c r="S958" s="53"/>
      <c r="T958" s="53"/>
      <c r="U958" s="53"/>
      <c r="V958" s="53"/>
      <c r="W958" s="53"/>
      <c r="X958" s="53"/>
      <c r="Y958" s="53"/>
      <c r="Z958" s="53"/>
    </row>
    <row r="959">
      <c r="A959" s="53"/>
      <c r="B959" s="53"/>
      <c r="C959" s="53"/>
      <c r="D959" s="53"/>
      <c r="E959" s="53"/>
      <c r="F959" s="53"/>
      <c r="G959" s="54"/>
      <c r="H959" s="53"/>
      <c r="I959" s="53"/>
      <c r="J959" s="54"/>
      <c r="K959" s="53"/>
      <c r="L959" s="53"/>
      <c r="M959" s="53"/>
      <c r="N959" s="53"/>
      <c r="O959" s="53"/>
      <c r="P959" s="53"/>
      <c r="Q959" s="53"/>
      <c r="R959" s="53"/>
      <c r="S959" s="53"/>
      <c r="T959" s="53"/>
      <c r="U959" s="53"/>
      <c r="V959" s="53"/>
      <c r="W959" s="53"/>
      <c r="X959" s="53"/>
      <c r="Y959" s="53"/>
      <c r="Z959" s="53"/>
    </row>
    <row r="960">
      <c r="A960" s="53"/>
      <c r="B960" s="53"/>
      <c r="C960" s="53"/>
      <c r="D960" s="53"/>
      <c r="E960" s="53"/>
      <c r="F960" s="53"/>
      <c r="G960" s="54"/>
      <c r="H960" s="53"/>
      <c r="I960" s="53"/>
      <c r="J960" s="54"/>
      <c r="K960" s="53"/>
      <c r="L960" s="53"/>
      <c r="M960" s="53"/>
      <c r="N960" s="53"/>
      <c r="O960" s="53"/>
      <c r="P960" s="53"/>
      <c r="Q960" s="53"/>
      <c r="R960" s="53"/>
      <c r="S960" s="53"/>
      <c r="T960" s="53"/>
      <c r="U960" s="53"/>
      <c r="V960" s="53"/>
      <c r="W960" s="53"/>
      <c r="X960" s="53"/>
      <c r="Y960" s="53"/>
      <c r="Z960" s="53"/>
    </row>
    <row r="961">
      <c r="A961" s="53"/>
      <c r="B961" s="53"/>
      <c r="C961" s="53"/>
      <c r="D961" s="53"/>
      <c r="E961" s="53"/>
      <c r="F961" s="53"/>
      <c r="G961" s="54"/>
      <c r="H961" s="53"/>
      <c r="I961" s="53"/>
      <c r="J961" s="54"/>
      <c r="K961" s="53"/>
      <c r="L961" s="53"/>
      <c r="M961" s="53"/>
      <c r="N961" s="53"/>
      <c r="O961" s="53"/>
      <c r="P961" s="53"/>
      <c r="Q961" s="53"/>
      <c r="R961" s="53"/>
      <c r="S961" s="53"/>
      <c r="T961" s="53"/>
      <c r="U961" s="53"/>
      <c r="V961" s="53"/>
      <c r="W961" s="53"/>
      <c r="X961" s="53"/>
      <c r="Y961" s="53"/>
      <c r="Z961" s="53"/>
    </row>
    <row r="962">
      <c r="A962" s="53"/>
      <c r="B962" s="53"/>
      <c r="C962" s="53"/>
      <c r="D962" s="53"/>
      <c r="E962" s="53"/>
      <c r="F962" s="53"/>
      <c r="G962" s="54"/>
      <c r="H962" s="53"/>
      <c r="I962" s="53"/>
      <c r="J962" s="54"/>
      <c r="K962" s="53"/>
      <c r="L962" s="53"/>
      <c r="M962" s="53"/>
      <c r="N962" s="53"/>
      <c r="O962" s="53"/>
      <c r="P962" s="53"/>
      <c r="Q962" s="53"/>
      <c r="R962" s="53"/>
      <c r="S962" s="53"/>
      <c r="T962" s="53"/>
      <c r="U962" s="53"/>
      <c r="V962" s="53"/>
      <c r="W962" s="53"/>
      <c r="X962" s="53"/>
      <c r="Y962" s="53"/>
      <c r="Z962" s="53"/>
    </row>
    <row r="963">
      <c r="A963" s="53"/>
      <c r="B963" s="53"/>
      <c r="C963" s="53"/>
      <c r="D963" s="53"/>
      <c r="E963" s="53"/>
      <c r="F963" s="53"/>
      <c r="G963" s="54"/>
      <c r="H963" s="53"/>
      <c r="I963" s="53"/>
      <c r="J963" s="54"/>
      <c r="K963" s="53"/>
      <c r="L963" s="53"/>
      <c r="M963" s="53"/>
      <c r="N963" s="53"/>
      <c r="O963" s="53"/>
      <c r="P963" s="53"/>
      <c r="Q963" s="53"/>
      <c r="R963" s="53"/>
      <c r="S963" s="53"/>
      <c r="T963" s="53"/>
      <c r="U963" s="53"/>
      <c r="V963" s="53"/>
      <c r="W963" s="53"/>
      <c r="X963" s="53"/>
      <c r="Y963" s="53"/>
      <c r="Z963" s="53"/>
    </row>
    <row r="964">
      <c r="A964" s="53"/>
      <c r="B964" s="53"/>
      <c r="C964" s="53"/>
      <c r="D964" s="53"/>
      <c r="E964" s="53"/>
      <c r="F964" s="53"/>
      <c r="G964" s="54"/>
      <c r="H964" s="53"/>
      <c r="I964" s="53"/>
      <c r="J964" s="54"/>
      <c r="K964" s="53"/>
      <c r="L964" s="53"/>
      <c r="M964" s="53"/>
      <c r="N964" s="53"/>
      <c r="O964" s="53"/>
      <c r="P964" s="53"/>
      <c r="Q964" s="53"/>
      <c r="R964" s="53"/>
      <c r="S964" s="53"/>
      <c r="T964" s="53"/>
      <c r="U964" s="53"/>
      <c r="V964" s="53"/>
      <c r="W964" s="53"/>
      <c r="X964" s="53"/>
      <c r="Y964" s="53"/>
      <c r="Z964" s="53"/>
    </row>
    <row r="965">
      <c r="A965" s="53"/>
      <c r="B965" s="53"/>
      <c r="C965" s="53"/>
      <c r="D965" s="53"/>
      <c r="E965" s="53"/>
      <c r="F965" s="53"/>
      <c r="G965" s="54"/>
      <c r="H965" s="53"/>
      <c r="I965" s="53"/>
      <c r="J965" s="54"/>
      <c r="K965" s="53"/>
      <c r="L965" s="53"/>
      <c r="M965" s="53"/>
      <c r="N965" s="53"/>
      <c r="O965" s="53"/>
      <c r="P965" s="53"/>
      <c r="Q965" s="53"/>
      <c r="R965" s="53"/>
      <c r="S965" s="53"/>
      <c r="T965" s="53"/>
      <c r="U965" s="53"/>
      <c r="V965" s="53"/>
      <c r="W965" s="53"/>
      <c r="X965" s="53"/>
      <c r="Y965" s="53"/>
      <c r="Z965" s="53"/>
    </row>
    <row r="966">
      <c r="A966" s="53"/>
      <c r="B966" s="53"/>
      <c r="C966" s="53"/>
      <c r="D966" s="53"/>
      <c r="E966" s="53"/>
      <c r="F966" s="53"/>
      <c r="G966" s="54"/>
      <c r="H966" s="53"/>
      <c r="I966" s="53"/>
      <c r="J966" s="54"/>
      <c r="K966" s="53"/>
      <c r="L966" s="53"/>
      <c r="M966" s="53"/>
      <c r="N966" s="53"/>
      <c r="O966" s="53"/>
      <c r="P966" s="53"/>
      <c r="Q966" s="53"/>
      <c r="R966" s="53"/>
      <c r="S966" s="53"/>
      <c r="T966" s="53"/>
      <c r="U966" s="53"/>
      <c r="V966" s="53"/>
      <c r="W966" s="53"/>
      <c r="X966" s="53"/>
      <c r="Y966" s="53"/>
      <c r="Z966" s="53"/>
    </row>
    <row r="967">
      <c r="A967" s="53"/>
      <c r="B967" s="53"/>
      <c r="C967" s="53"/>
      <c r="D967" s="53"/>
      <c r="E967" s="53"/>
      <c r="F967" s="53"/>
      <c r="G967" s="54"/>
      <c r="H967" s="53"/>
      <c r="I967" s="53"/>
      <c r="J967" s="54"/>
      <c r="K967" s="53"/>
      <c r="L967" s="53"/>
      <c r="M967" s="53"/>
      <c r="N967" s="53"/>
      <c r="O967" s="53"/>
      <c r="P967" s="53"/>
      <c r="Q967" s="53"/>
      <c r="R967" s="53"/>
      <c r="S967" s="53"/>
      <c r="T967" s="53"/>
      <c r="U967" s="53"/>
      <c r="V967" s="53"/>
      <c r="W967" s="53"/>
      <c r="X967" s="53"/>
      <c r="Y967" s="53"/>
      <c r="Z967" s="53"/>
    </row>
    <row r="968">
      <c r="A968" s="53"/>
      <c r="B968" s="53"/>
      <c r="C968" s="53"/>
      <c r="D968" s="53"/>
      <c r="E968" s="53"/>
      <c r="F968" s="53"/>
      <c r="G968" s="54"/>
      <c r="H968" s="53"/>
      <c r="I968" s="53"/>
      <c r="J968" s="54"/>
      <c r="K968" s="53"/>
      <c r="L968" s="53"/>
      <c r="M968" s="53"/>
      <c r="N968" s="53"/>
      <c r="O968" s="53"/>
      <c r="P968" s="53"/>
      <c r="Q968" s="53"/>
      <c r="R968" s="53"/>
      <c r="S968" s="53"/>
      <c r="T968" s="53"/>
      <c r="U968" s="53"/>
      <c r="V968" s="53"/>
      <c r="W968" s="53"/>
      <c r="X968" s="53"/>
      <c r="Y968" s="53"/>
      <c r="Z968" s="53"/>
    </row>
    <row r="969">
      <c r="A969" s="53"/>
      <c r="B969" s="53"/>
      <c r="C969" s="53"/>
      <c r="D969" s="53"/>
      <c r="E969" s="53"/>
      <c r="F969" s="53"/>
      <c r="G969" s="54"/>
      <c r="H969" s="53"/>
      <c r="I969" s="53"/>
      <c r="J969" s="54"/>
      <c r="K969" s="53"/>
      <c r="L969" s="53"/>
      <c r="M969" s="53"/>
      <c r="N969" s="53"/>
      <c r="O969" s="53"/>
      <c r="P969" s="53"/>
      <c r="Q969" s="53"/>
      <c r="R969" s="53"/>
      <c r="S969" s="53"/>
      <c r="T969" s="53"/>
      <c r="U969" s="53"/>
      <c r="V969" s="53"/>
      <c r="W969" s="53"/>
      <c r="X969" s="53"/>
      <c r="Y969" s="53"/>
      <c r="Z969" s="53"/>
    </row>
    <row r="970">
      <c r="A970" s="53"/>
      <c r="B970" s="53"/>
      <c r="C970" s="53"/>
      <c r="D970" s="53"/>
      <c r="E970" s="53"/>
      <c r="F970" s="53"/>
      <c r="G970" s="54"/>
      <c r="H970" s="53"/>
      <c r="I970" s="53"/>
      <c r="J970" s="54"/>
      <c r="K970" s="53"/>
      <c r="L970" s="53"/>
      <c r="M970" s="53"/>
      <c r="N970" s="53"/>
      <c r="O970" s="53"/>
      <c r="P970" s="53"/>
      <c r="Q970" s="53"/>
      <c r="R970" s="53"/>
      <c r="S970" s="53"/>
      <c r="T970" s="53"/>
      <c r="U970" s="53"/>
      <c r="V970" s="53"/>
      <c r="W970" s="53"/>
      <c r="X970" s="53"/>
      <c r="Y970" s="53"/>
      <c r="Z970" s="53"/>
    </row>
    <row r="971">
      <c r="A971" s="53"/>
      <c r="B971" s="53"/>
      <c r="C971" s="53"/>
      <c r="D971" s="53"/>
      <c r="E971" s="53"/>
      <c r="F971" s="53"/>
      <c r="G971" s="54"/>
      <c r="H971" s="53"/>
      <c r="I971" s="53"/>
      <c r="J971" s="54"/>
      <c r="K971" s="53"/>
      <c r="L971" s="53"/>
      <c r="M971" s="53"/>
      <c r="N971" s="53"/>
      <c r="O971" s="53"/>
      <c r="P971" s="53"/>
      <c r="Q971" s="53"/>
      <c r="R971" s="53"/>
      <c r="S971" s="53"/>
      <c r="T971" s="53"/>
      <c r="U971" s="53"/>
      <c r="V971" s="53"/>
      <c r="W971" s="53"/>
      <c r="X971" s="53"/>
      <c r="Y971" s="53"/>
      <c r="Z971" s="53"/>
    </row>
    <row r="972">
      <c r="A972" s="53"/>
      <c r="B972" s="53"/>
      <c r="C972" s="53"/>
      <c r="D972" s="53"/>
      <c r="E972" s="53"/>
      <c r="F972" s="53"/>
      <c r="G972" s="54"/>
      <c r="H972" s="53"/>
      <c r="I972" s="53"/>
      <c r="J972" s="54"/>
      <c r="K972" s="53"/>
      <c r="L972" s="53"/>
      <c r="M972" s="53"/>
      <c r="N972" s="53"/>
      <c r="O972" s="53"/>
      <c r="P972" s="53"/>
      <c r="Q972" s="53"/>
      <c r="R972" s="53"/>
      <c r="S972" s="53"/>
      <c r="T972" s="53"/>
      <c r="U972" s="53"/>
      <c r="V972" s="53"/>
      <c r="W972" s="53"/>
      <c r="X972" s="53"/>
      <c r="Y972" s="53"/>
      <c r="Z972" s="53"/>
    </row>
    <row r="973">
      <c r="A973" s="53"/>
      <c r="B973" s="53"/>
      <c r="C973" s="53"/>
      <c r="D973" s="53"/>
      <c r="E973" s="53"/>
      <c r="F973" s="53"/>
      <c r="G973" s="54"/>
      <c r="H973" s="53"/>
      <c r="I973" s="53"/>
      <c r="J973" s="54"/>
      <c r="K973" s="53"/>
      <c r="L973" s="53"/>
      <c r="M973" s="53"/>
      <c r="N973" s="53"/>
      <c r="O973" s="53"/>
      <c r="P973" s="53"/>
      <c r="Q973" s="53"/>
      <c r="R973" s="53"/>
      <c r="S973" s="53"/>
      <c r="T973" s="53"/>
      <c r="U973" s="53"/>
      <c r="V973" s="53"/>
      <c r="W973" s="53"/>
      <c r="X973" s="53"/>
      <c r="Y973" s="53"/>
      <c r="Z973" s="53"/>
    </row>
    <row r="974">
      <c r="A974" s="53"/>
      <c r="B974" s="53"/>
      <c r="C974" s="53"/>
      <c r="D974" s="53"/>
      <c r="E974" s="53"/>
      <c r="F974" s="53"/>
      <c r="G974" s="54"/>
      <c r="H974" s="53"/>
      <c r="I974" s="53"/>
      <c r="J974" s="54"/>
      <c r="K974" s="53"/>
      <c r="L974" s="53"/>
      <c r="M974" s="53"/>
      <c r="N974" s="53"/>
      <c r="O974" s="53"/>
      <c r="P974" s="53"/>
      <c r="Q974" s="53"/>
      <c r="R974" s="53"/>
      <c r="S974" s="53"/>
      <c r="T974" s="53"/>
      <c r="U974" s="53"/>
      <c r="V974" s="53"/>
      <c r="W974" s="53"/>
      <c r="X974" s="53"/>
      <c r="Y974" s="53"/>
      <c r="Z974" s="53"/>
    </row>
    <row r="975">
      <c r="A975" s="53"/>
      <c r="B975" s="53"/>
      <c r="C975" s="53"/>
      <c r="D975" s="53"/>
      <c r="E975" s="53"/>
      <c r="F975" s="53"/>
      <c r="G975" s="54"/>
      <c r="H975" s="53"/>
      <c r="I975" s="53"/>
      <c r="J975" s="54"/>
      <c r="K975" s="53"/>
      <c r="L975" s="53"/>
      <c r="M975" s="53"/>
      <c r="N975" s="53"/>
      <c r="O975" s="53"/>
      <c r="P975" s="53"/>
      <c r="Q975" s="53"/>
      <c r="R975" s="53"/>
      <c r="S975" s="53"/>
      <c r="T975" s="53"/>
      <c r="U975" s="53"/>
      <c r="V975" s="53"/>
      <c r="W975" s="53"/>
      <c r="X975" s="53"/>
      <c r="Y975" s="53"/>
      <c r="Z975" s="53"/>
    </row>
    <row r="976">
      <c r="A976" s="53"/>
      <c r="B976" s="53"/>
      <c r="C976" s="53"/>
      <c r="D976" s="53"/>
      <c r="E976" s="53"/>
      <c r="F976" s="53"/>
      <c r="G976" s="54"/>
      <c r="H976" s="53"/>
      <c r="I976" s="53"/>
      <c r="J976" s="54"/>
      <c r="K976" s="53"/>
      <c r="L976" s="53"/>
      <c r="M976" s="53"/>
      <c r="N976" s="53"/>
      <c r="O976" s="53"/>
      <c r="P976" s="53"/>
      <c r="Q976" s="53"/>
      <c r="R976" s="53"/>
      <c r="S976" s="53"/>
      <c r="T976" s="53"/>
      <c r="U976" s="53"/>
      <c r="V976" s="53"/>
      <c r="W976" s="53"/>
      <c r="X976" s="53"/>
      <c r="Y976" s="53"/>
      <c r="Z976" s="53"/>
    </row>
    <row r="977">
      <c r="A977" s="53"/>
      <c r="B977" s="53"/>
      <c r="C977" s="53"/>
      <c r="D977" s="53"/>
      <c r="E977" s="53"/>
      <c r="F977" s="53"/>
      <c r="G977" s="54"/>
      <c r="H977" s="53"/>
      <c r="I977" s="53"/>
      <c r="J977" s="54"/>
      <c r="K977" s="53"/>
      <c r="L977" s="53"/>
      <c r="M977" s="53"/>
      <c r="N977" s="53"/>
      <c r="O977" s="53"/>
      <c r="P977" s="53"/>
      <c r="Q977" s="53"/>
      <c r="R977" s="53"/>
      <c r="S977" s="53"/>
      <c r="T977" s="53"/>
      <c r="U977" s="53"/>
      <c r="V977" s="53"/>
      <c r="W977" s="53"/>
      <c r="X977" s="53"/>
      <c r="Y977" s="53"/>
      <c r="Z977" s="53"/>
    </row>
    <row r="978">
      <c r="A978" s="53"/>
      <c r="B978" s="53"/>
      <c r="C978" s="53"/>
      <c r="D978" s="53"/>
      <c r="E978" s="53"/>
      <c r="F978" s="53"/>
      <c r="G978" s="54"/>
      <c r="H978" s="53"/>
      <c r="I978" s="53"/>
      <c r="J978" s="54"/>
      <c r="K978" s="53"/>
      <c r="L978" s="53"/>
      <c r="M978" s="53"/>
      <c r="N978" s="53"/>
      <c r="O978" s="53"/>
      <c r="P978" s="53"/>
      <c r="Q978" s="53"/>
      <c r="R978" s="53"/>
      <c r="S978" s="53"/>
      <c r="T978" s="53"/>
      <c r="U978" s="53"/>
      <c r="V978" s="53"/>
      <c r="W978" s="53"/>
      <c r="X978" s="53"/>
      <c r="Y978" s="53"/>
      <c r="Z978" s="53"/>
    </row>
    <row r="979">
      <c r="A979" s="53"/>
      <c r="B979" s="53"/>
      <c r="C979" s="53"/>
      <c r="D979" s="53"/>
      <c r="E979" s="53"/>
      <c r="F979" s="53"/>
      <c r="G979" s="54"/>
      <c r="H979" s="53"/>
      <c r="I979" s="53"/>
      <c r="J979" s="54"/>
      <c r="K979" s="53"/>
      <c r="L979" s="53"/>
      <c r="M979" s="53"/>
      <c r="N979" s="53"/>
      <c r="O979" s="53"/>
      <c r="P979" s="53"/>
      <c r="Q979" s="53"/>
      <c r="R979" s="53"/>
      <c r="S979" s="53"/>
      <c r="T979" s="53"/>
      <c r="U979" s="53"/>
      <c r="V979" s="53"/>
      <c r="W979" s="53"/>
      <c r="X979" s="53"/>
      <c r="Y979" s="53"/>
      <c r="Z979" s="53"/>
    </row>
    <row r="980">
      <c r="A980" s="53"/>
      <c r="B980" s="53"/>
      <c r="C980" s="53"/>
      <c r="D980" s="53"/>
      <c r="E980" s="53"/>
      <c r="F980" s="53"/>
      <c r="G980" s="54"/>
      <c r="H980" s="53"/>
      <c r="I980" s="53"/>
      <c r="J980" s="54"/>
      <c r="K980" s="53"/>
      <c r="L980" s="53"/>
      <c r="M980" s="53"/>
      <c r="N980" s="53"/>
      <c r="O980" s="53"/>
      <c r="P980" s="53"/>
      <c r="Q980" s="53"/>
      <c r="R980" s="53"/>
      <c r="S980" s="53"/>
      <c r="T980" s="53"/>
      <c r="U980" s="53"/>
      <c r="V980" s="53"/>
      <c r="W980" s="53"/>
      <c r="X980" s="53"/>
      <c r="Y980" s="53"/>
      <c r="Z980" s="53"/>
    </row>
    <row r="981">
      <c r="A981" s="53"/>
      <c r="B981" s="53"/>
      <c r="C981" s="53"/>
      <c r="D981" s="53"/>
      <c r="E981" s="53"/>
      <c r="F981" s="53"/>
      <c r="G981" s="54"/>
      <c r="H981" s="53"/>
      <c r="I981" s="53"/>
      <c r="J981" s="54"/>
      <c r="K981" s="53"/>
      <c r="L981" s="53"/>
      <c r="M981" s="53"/>
      <c r="N981" s="53"/>
      <c r="O981" s="53"/>
      <c r="P981" s="53"/>
      <c r="Q981" s="53"/>
      <c r="R981" s="53"/>
      <c r="S981" s="53"/>
      <c r="T981" s="53"/>
      <c r="U981" s="53"/>
      <c r="V981" s="53"/>
      <c r="W981" s="53"/>
      <c r="X981" s="53"/>
      <c r="Y981" s="53"/>
      <c r="Z981" s="53"/>
    </row>
    <row r="982">
      <c r="A982" s="53"/>
      <c r="B982" s="53"/>
      <c r="C982" s="53"/>
      <c r="D982" s="53"/>
      <c r="E982" s="53"/>
      <c r="F982" s="53"/>
      <c r="G982" s="54"/>
      <c r="H982" s="53"/>
      <c r="I982" s="53"/>
      <c r="J982" s="54"/>
      <c r="K982" s="53"/>
      <c r="L982" s="53"/>
      <c r="M982" s="53"/>
      <c r="N982" s="53"/>
      <c r="O982" s="53"/>
      <c r="P982" s="53"/>
      <c r="Q982" s="53"/>
      <c r="R982" s="53"/>
      <c r="S982" s="53"/>
      <c r="T982" s="53"/>
      <c r="U982" s="53"/>
      <c r="V982" s="53"/>
      <c r="W982" s="53"/>
      <c r="X982" s="53"/>
      <c r="Y982" s="53"/>
      <c r="Z982" s="53"/>
    </row>
    <row r="983">
      <c r="A983" s="53"/>
      <c r="B983" s="53"/>
      <c r="C983" s="53"/>
      <c r="D983" s="53"/>
      <c r="E983" s="53"/>
      <c r="F983" s="53"/>
      <c r="G983" s="54"/>
      <c r="H983" s="53"/>
      <c r="I983" s="53"/>
      <c r="J983" s="54"/>
      <c r="K983" s="53"/>
      <c r="L983" s="53"/>
      <c r="M983" s="53"/>
      <c r="N983" s="53"/>
      <c r="O983" s="53"/>
      <c r="P983" s="53"/>
      <c r="Q983" s="53"/>
      <c r="R983" s="53"/>
      <c r="S983" s="53"/>
      <c r="T983" s="53"/>
      <c r="U983" s="53"/>
      <c r="V983" s="53"/>
      <c r="W983" s="53"/>
      <c r="X983" s="53"/>
      <c r="Y983" s="53"/>
      <c r="Z983" s="53"/>
    </row>
    <row r="984">
      <c r="A984" s="53"/>
      <c r="B984" s="53"/>
      <c r="C984" s="53"/>
      <c r="D984" s="53"/>
      <c r="E984" s="53"/>
      <c r="F984" s="53"/>
      <c r="G984" s="54"/>
      <c r="H984" s="53"/>
      <c r="I984" s="53"/>
      <c r="J984" s="54"/>
      <c r="K984" s="53"/>
      <c r="L984" s="53"/>
      <c r="M984" s="53"/>
      <c r="N984" s="53"/>
      <c r="O984" s="53"/>
      <c r="P984" s="53"/>
      <c r="Q984" s="53"/>
      <c r="R984" s="53"/>
      <c r="S984" s="53"/>
      <c r="T984" s="53"/>
      <c r="U984" s="53"/>
      <c r="V984" s="53"/>
      <c r="W984" s="53"/>
      <c r="X984" s="53"/>
      <c r="Y984" s="53"/>
      <c r="Z984" s="53"/>
    </row>
    <row r="985">
      <c r="A985" s="53"/>
      <c r="B985" s="53"/>
      <c r="C985" s="53"/>
      <c r="D985" s="53"/>
      <c r="E985" s="53"/>
      <c r="F985" s="53"/>
      <c r="G985" s="54"/>
      <c r="H985" s="53"/>
      <c r="I985" s="53"/>
      <c r="J985" s="54"/>
      <c r="K985" s="53"/>
      <c r="L985" s="53"/>
      <c r="M985" s="53"/>
      <c r="N985" s="53"/>
      <c r="O985" s="53"/>
      <c r="P985" s="53"/>
      <c r="Q985" s="53"/>
      <c r="R985" s="53"/>
      <c r="S985" s="53"/>
      <c r="T985" s="53"/>
      <c r="U985" s="53"/>
      <c r="V985" s="53"/>
      <c r="W985" s="53"/>
      <c r="X985" s="53"/>
      <c r="Y985" s="53"/>
      <c r="Z985" s="53"/>
    </row>
    <row r="986">
      <c r="A986" s="53"/>
      <c r="B986" s="53"/>
      <c r="C986" s="53"/>
      <c r="D986" s="53"/>
      <c r="E986" s="53"/>
      <c r="F986" s="53"/>
      <c r="G986" s="54"/>
      <c r="H986" s="53"/>
      <c r="I986" s="53"/>
      <c r="J986" s="54"/>
      <c r="K986" s="53"/>
      <c r="L986" s="53"/>
      <c r="M986" s="53"/>
      <c r="N986" s="53"/>
      <c r="O986" s="53"/>
      <c r="P986" s="53"/>
      <c r="Q986" s="53"/>
      <c r="R986" s="53"/>
      <c r="S986" s="53"/>
      <c r="T986" s="53"/>
      <c r="U986" s="53"/>
      <c r="V986" s="53"/>
      <c r="W986" s="53"/>
      <c r="X986" s="53"/>
      <c r="Y986" s="53"/>
      <c r="Z986" s="53"/>
    </row>
    <row r="987">
      <c r="A987" s="53"/>
      <c r="B987" s="53"/>
      <c r="C987" s="53"/>
      <c r="D987" s="53"/>
      <c r="E987" s="53"/>
      <c r="F987" s="53"/>
      <c r="G987" s="54"/>
      <c r="H987" s="53"/>
      <c r="I987" s="53"/>
      <c r="J987" s="54"/>
      <c r="K987" s="53"/>
      <c r="L987" s="53"/>
      <c r="M987" s="53"/>
      <c r="N987" s="53"/>
      <c r="O987" s="53"/>
      <c r="P987" s="53"/>
      <c r="Q987" s="53"/>
      <c r="R987" s="53"/>
      <c r="S987" s="53"/>
      <c r="T987" s="53"/>
      <c r="U987" s="53"/>
      <c r="V987" s="53"/>
      <c r="W987" s="53"/>
      <c r="X987" s="53"/>
      <c r="Y987" s="53"/>
      <c r="Z987" s="53"/>
    </row>
    <row r="988">
      <c r="A988" s="53"/>
      <c r="B988" s="53"/>
      <c r="C988" s="53"/>
      <c r="D988" s="53"/>
      <c r="E988" s="53"/>
      <c r="F988" s="53"/>
      <c r="G988" s="54"/>
      <c r="H988" s="53"/>
      <c r="I988" s="53"/>
      <c r="J988" s="54"/>
      <c r="K988" s="53"/>
      <c r="L988" s="53"/>
      <c r="M988" s="53"/>
      <c r="N988" s="53"/>
      <c r="O988" s="53"/>
      <c r="P988" s="53"/>
      <c r="Q988" s="53"/>
      <c r="R988" s="53"/>
      <c r="S988" s="53"/>
      <c r="T988" s="53"/>
      <c r="U988" s="53"/>
      <c r="V988" s="53"/>
      <c r="W988" s="53"/>
      <c r="X988" s="53"/>
      <c r="Y988" s="53"/>
      <c r="Z988" s="53"/>
    </row>
    <row r="989">
      <c r="A989" s="53"/>
      <c r="B989" s="53"/>
      <c r="C989" s="53"/>
      <c r="D989" s="53"/>
      <c r="E989" s="53"/>
      <c r="F989" s="53"/>
      <c r="G989" s="54"/>
      <c r="H989" s="53"/>
      <c r="I989" s="53"/>
      <c r="J989" s="54"/>
      <c r="K989" s="53"/>
      <c r="L989" s="53"/>
      <c r="M989" s="53"/>
      <c r="N989" s="53"/>
      <c r="O989" s="53"/>
      <c r="P989" s="53"/>
      <c r="Q989" s="53"/>
      <c r="R989" s="53"/>
      <c r="S989" s="53"/>
      <c r="T989" s="53"/>
      <c r="U989" s="53"/>
      <c r="V989" s="53"/>
      <c r="W989" s="53"/>
      <c r="X989" s="53"/>
      <c r="Y989" s="53"/>
      <c r="Z989" s="53"/>
    </row>
    <row r="990">
      <c r="A990" s="53"/>
      <c r="B990" s="53"/>
      <c r="C990" s="53"/>
      <c r="D990" s="53"/>
      <c r="E990" s="53"/>
      <c r="F990" s="53"/>
      <c r="G990" s="54"/>
      <c r="H990" s="53"/>
      <c r="I990" s="53"/>
      <c r="J990" s="54"/>
      <c r="K990" s="53"/>
      <c r="L990" s="53"/>
      <c r="M990" s="53"/>
      <c r="N990" s="53"/>
      <c r="O990" s="53"/>
      <c r="P990" s="53"/>
      <c r="Q990" s="53"/>
      <c r="R990" s="53"/>
      <c r="S990" s="53"/>
      <c r="T990" s="53"/>
      <c r="U990" s="53"/>
      <c r="V990" s="53"/>
      <c r="W990" s="53"/>
      <c r="X990" s="53"/>
      <c r="Y990" s="53"/>
      <c r="Z990" s="53"/>
    </row>
    <row r="991">
      <c r="A991" s="53"/>
      <c r="B991" s="53"/>
      <c r="C991" s="53"/>
      <c r="D991" s="53"/>
      <c r="E991" s="53"/>
      <c r="F991" s="53"/>
      <c r="G991" s="54"/>
      <c r="H991" s="53"/>
      <c r="I991" s="53"/>
      <c r="J991" s="54"/>
      <c r="K991" s="53"/>
      <c r="L991" s="53"/>
      <c r="M991" s="53"/>
      <c r="N991" s="53"/>
      <c r="O991" s="53"/>
      <c r="P991" s="53"/>
      <c r="Q991" s="53"/>
      <c r="R991" s="53"/>
      <c r="S991" s="53"/>
      <c r="T991" s="53"/>
      <c r="U991" s="53"/>
      <c r="V991" s="53"/>
      <c r="W991" s="53"/>
      <c r="X991" s="53"/>
      <c r="Y991" s="53"/>
      <c r="Z991" s="53"/>
    </row>
    <row r="992">
      <c r="A992" s="53"/>
      <c r="B992" s="53"/>
      <c r="C992" s="53"/>
      <c r="D992" s="53"/>
      <c r="E992" s="53"/>
      <c r="F992" s="53"/>
      <c r="G992" s="54"/>
      <c r="H992" s="53"/>
      <c r="I992" s="53"/>
      <c r="J992" s="54"/>
      <c r="K992" s="53"/>
      <c r="L992" s="53"/>
      <c r="M992" s="53"/>
      <c r="N992" s="53"/>
      <c r="O992" s="53"/>
      <c r="P992" s="53"/>
      <c r="Q992" s="53"/>
      <c r="R992" s="53"/>
      <c r="S992" s="53"/>
      <c r="T992" s="53"/>
      <c r="U992" s="53"/>
      <c r="V992" s="53"/>
      <c r="W992" s="53"/>
      <c r="X992" s="53"/>
      <c r="Y992" s="53"/>
      <c r="Z992" s="53"/>
    </row>
    <row r="993">
      <c r="A993" s="53"/>
      <c r="B993" s="53"/>
      <c r="C993" s="53"/>
      <c r="D993" s="53"/>
      <c r="E993" s="53"/>
      <c r="F993" s="53"/>
      <c r="G993" s="54"/>
      <c r="H993" s="53"/>
      <c r="I993" s="53"/>
      <c r="J993" s="54"/>
      <c r="K993" s="53"/>
      <c r="L993" s="53"/>
      <c r="M993" s="53"/>
      <c r="N993" s="53"/>
      <c r="O993" s="53"/>
      <c r="P993" s="53"/>
      <c r="Q993" s="53"/>
      <c r="R993" s="53"/>
      <c r="S993" s="53"/>
      <c r="T993" s="53"/>
      <c r="U993" s="53"/>
      <c r="V993" s="53"/>
      <c r="W993" s="53"/>
      <c r="X993" s="53"/>
      <c r="Y993" s="53"/>
      <c r="Z993" s="53"/>
    </row>
    <row r="994">
      <c r="A994" s="53"/>
      <c r="B994" s="53"/>
      <c r="C994" s="53"/>
      <c r="D994" s="53"/>
      <c r="E994" s="53"/>
      <c r="F994" s="53"/>
      <c r="G994" s="54"/>
      <c r="H994" s="53"/>
      <c r="I994" s="53"/>
      <c r="J994" s="54"/>
      <c r="K994" s="53"/>
      <c r="L994" s="53"/>
      <c r="M994" s="53"/>
      <c r="N994" s="53"/>
      <c r="O994" s="53"/>
      <c r="P994" s="53"/>
      <c r="Q994" s="53"/>
      <c r="R994" s="53"/>
      <c r="S994" s="53"/>
      <c r="T994" s="53"/>
      <c r="U994" s="53"/>
      <c r="V994" s="53"/>
      <c r="W994" s="53"/>
      <c r="X994" s="53"/>
      <c r="Y994" s="53"/>
      <c r="Z994" s="53"/>
    </row>
    <row r="995">
      <c r="A995" s="53"/>
      <c r="B995" s="53"/>
      <c r="C995" s="53"/>
      <c r="D995" s="53"/>
      <c r="E995" s="53"/>
      <c r="F995" s="53"/>
      <c r="G995" s="54"/>
      <c r="H995" s="53"/>
      <c r="I995" s="53"/>
      <c r="J995" s="54"/>
      <c r="K995" s="53"/>
      <c r="L995" s="53"/>
      <c r="M995" s="53"/>
      <c r="N995" s="53"/>
      <c r="O995" s="53"/>
      <c r="P995" s="53"/>
      <c r="Q995" s="53"/>
      <c r="R995" s="53"/>
      <c r="S995" s="53"/>
      <c r="T995" s="53"/>
      <c r="U995" s="53"/>
      <c r="V995" s="53"/>
      <c r="W995" s="53"/>
      <c r="X995" s="53"/>
      <c r="Y995" s="53"/>
      <c r="Z995" s="53"/>
    </row>
    <row r="996">
      <c r="A996" s="53"/>
      <c r="B996" s="53"/>
      <c r="C996" s="53"/>
      <c r="D996" s="53"/>
      <c r="E996" s="53"/>
      <c r="F996" s="53"/>
      <c r="G996" s="54"/>
      <c r="H996" s="53"/>
      <c r="I996" s="53"/>
      <c r="J996" s="54"/>
      <c r="K996" s="53"/>
      <c r="L996" s="53"/>
      <c r="M996" s="53"/>
      <c r="N996" s="53"/>
      <c r="O996" s="53"/>
      <c r="P996" s="53"/>
      <c r="Q996" s="53"/>
      <c r="R996" s="53"/>
      <c r="S996" s="53"/>
      <c r="T996" s="53"/>
      <c r="U996" s="53"/>
      <c r="V996" s="53"/>
      <c r="W996" s="53"/>
      <c r="X996" s="53"/>
      <c r="Y996" s="53"/>
      <c r="Z996" s="53"/>
    </row>
    <row r="997">
      <c r="A997" s="53"/>
      <c r="B997" s="53"/>
      <c r="C997" s="53"/>
      <c r="D997" s="53"/>
      <c r="E997" s="53"/>
      <c r="F997" s="53"/>
      <c r="G997" s="54"/>
      <c r="H997" s="53"/>
      <c r="I997" s="53"/>
      <c r="J997" s="54"/>
      <c r="K997" s="53"/>
      <c r="L997" s="53"/>
      <c r="M997" s="53"/>
      <c r="N997" s="53"/>
      <c r="O997" s="53"/>
      <c r="P997" s="53"/>
      <c r="Q997" s="53"/>
      <c r="R997" s="53"/>
      <c r="S997" s="53"/>
      <c r="T997" s="53"/>
      <c r="U997" s="53"/>
      <c r="V997" s="53"/>
      <c r="W997" s="53"/>
      <c r="X997" s="53"/>
      <c r="Y997" s="53"/>
      <c r="Z997" s="53"/>
    </row>
    <row r="998">
      <c r="A998" s="53"/>
      <c r="B998" s="53"/>
      <c r="C998" s="53"/>
      <c r="D998" s="53"/>
      <c r="E998" s="53"/>
      <c r="F998" s="53"/>
      <c r="G998" s="54"/>
      <c r="H998" s="53"/>
      <c r="I998" s="53"/>
      <c r="J998" s="54"/>
      <c r="K998" s="53"/>
      <c r="L998" s="53"/>
      <c r="M998" s="53"/>
      <c r="N998" s="53"/>
      <c r="O998" s="53"/>
      <c r="P998" s="53"/>
      <c r="Q998" s="53"/>
      <c r="R998" s="53"/>
      <c r="S998" s="53"/>
      <c r="T998" s="53"/>
      <c r="U998" s="53"/>
      <c r="V998" s="53"/>
      <c r="W998" s="53"/>
      <c r="X998" s="53"/>
      <c r="Y998" s="53"/>
      <c r="Z998" s="53"/>
    </row>
    <row r="999">
      <c r="A999" s="53"/>
      <c r="B999" s="53"/>
      <c r="C999" s="53"/>
      <c r="D999" s="53"/>
      <c r="E999" s="53"/>
      <c r="F999" s="53"/>
      <c r="G999" s="54"/>
      <c r="H999" s="53"/>
      <c r="I999" s="53"/>
      <c r="J999" s="54"/>
      <c r="K999" s="53"/>
      <c r="L999" s="53"/>
      <c r="M999" s="53"/>
      <c r="N999" s="53"/>
      <c r="O999" s="53"/>
      <c r="P999" s="53"/>
      <c r="Q999" s="53"/>
      <c r="R999" s="53"/>
      <c r="S999" s="53"/>
      <c r="T999" s="53"/>
      <c r="U999" s="53"/>
      <c r="V999" s="53"/>
      <c r="W999" s="53"/>
      <c r="X999" s="53"/>
      <c r="Y999" s="53"/>
      <c r="Z999" s="53"/>
    </row>
    <row r="1000">
      <c r="A1000" s="53"/>
      <c r="B1000" s="53"/>
      <c r="C1000" s="53"/>
      <c r="D1000" s="53"/>
      <c r="E1000" s="53"/>
      <c r="F1000" s="53"/>
      <c r="G1000" s="54"/>
      <c r="H1000" s="53"/>
      <c r="I1000" s="53"/>
      <c r="J1000" s="54"/>
      <c r="K1000" s="53"/>
      <c r="L1000" s="53"/>
      <c r="M1000" s="53"/>
      <c r="N1000" s="53"/>
      <c r="O1000" s="53"/>
      <c r="P1000" s="53"/>
      <c r="Q1000" s="53"/>
      <c r="R1000" s="53"/>
      <c r="S1000" s="53"/>
      <c r="T1000" s="53"/>
      <c r="U1000" s="53"/>
      <c r="V1000" s="53"/>
      <c r="W1000" s="53"/>
      <c r="X1000" s="53"/>
      <c r="Y1000" s="53"/>
      <c r="Z1000" s="53"/>
    </row>
  </sheetData>
  <mergeCells count="6">
    <mergeCell ref="B6:D6"/>
    <mergeCell ref="B7:D7"/>
    <mergeCell ref="B8:D8"/>
    <mergeCell ref="B53:D53"/>
    <mergeCell ref="B54:D54"/>
    <mergeCell ref="B55:D55"/>
  </mergeCells>
  <printOptions horizontalCentered="1"/>
  <pageMargins bottom="0.1968503937007874" footer="0.0" header="0.0" left="0.11811023622047245" right="0.11811023622047245" top="0.2755905511811024"/>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outlineLevelCol="1"/>
  <cols>
    <col customWidth="1" min="1" max="1" width="9.71"/>
    <col customWidth="1" min="2" max="2" width="40.71"/>
    <col customWidth="1" min="3" max="14" width="20.71" outlineLevel="1"/>
    <col customWidth="1" min="15" max="15" width="20.71"/>
    <col customWidth="1" min="16" max="16" width="17.71"/>
    <col customWidth="1" min="17" max="17" width="18.71"/>
    <col customWidth="1" min="18" max="35" width="9.71"/>
  </cols>
  <sheetData>
    <row r="1" ht="18.0" customHeight="1">
      <c r="A1" s="2"/>
      <c r="B1" s="55"/>
      <c r="C1" s="6"/>
      <c r="D1" s="6"/>
      <c r="E1" s="56"/>
      <c r="F1" s="2"/>
      <c r="G1" s="2"/>
      <c r="H1" s="2"/>
      <c r="I1" s="2"/>
      <c r="J1" s="2"/>
      <c r="K1" s="57"/>
      <c r="L1" s="57"/>
      <c r="M1" s="57"/>
      <c r="N1" s="58" t="s">
        <v>0</v>
      </c>
      <c r="O1" s="12"/>
      <c r="P1" s="2"/>
      <c r="Q1" s="2"/>
      <c r="R1" s="2"/>
      <c r="S1" s="2"/>
      <c r="T1" s="2"/>
      <c r="U1" s="2"/>
      <c r="V1" s="2"/>
      <c r="W1" s="2"/>
      <c r="X1" s="2"/>
      <c r="Y1" s="2"/>
      <c r="Z1" s="2"/>
      <c r="AA1" s="2"/>
      <c r="AB1" s="2"/>
      <c r="AC1" s="2"/>
      <c r="AD1" s="2"/>
      <c r="AE1" s="2"/>
      <c r="AF1" s="2"/>
      <c r="AG1" s="2"/>
      <c r="AH1" s="2"/>
      <c r="AI1" s="2"/>
    </row>
    <row r="2" ht="18.0" customHeight="1">
      <c r="A2" s="2"/>
      <c r="B2" s="55"/>
      <c r="C2" s="2"/>
      <c r="D2" s="2"/>
      <c r="E2" s="59"/>
      <c r="F2" s="59"/>
      <c r="G2" s="59"/>
      <c r="H2" s="59"/>
      <c r="I2" s="59"/>
      <c r="J2" s="60"/>
      <c r="K2" s="57"/>
      <c r="L2" s="57"/>
      <c r="M2" s="57"/>
      <c r="N2" s="57"/>
      <c r="O2" s="61" t="s">
        <v>1</v>
      </c>
      <c r="P2" s="2"/>
      <c r="Q2" s="2"/>
      <c r="R2" s="2"/>
      <c r="S2" s="2"/>
      <c r="T2" s="2"/>
      <c r="U2" s="2"/>
      <c r="V2" s="2"/>
      <c r="W2" s="2"/>
      <c r="X2" s="2"/>
      <c r="Y2" s="2"/>
      <c r="Z2" s="2"/>
      <c r="AA2" s="2"/>
      <c r="AB2" s="2"/>
      <c r="AC2" s="2"/>
      <c r="AD2" s="2"/>
      <c r="AE2" s="2"/>
      <c r="AF2" s="2"/>
      <c r="AG2" s="2"/>
      <c r="AH2" s="2"/>
      <c r="AI2" s="2"/>
    </row>
    <row r="3" ht="18.0" customHeight="1">
      <c r="A3" s="2"/>
      <c r="B3" s="55"/>
      <c r="C3" s="56"/>
      <c r="D3" s="56"/>
      <c r="E3" s="62"/>
      <c r="F3" s="62"/>
      <c r="G3" s="62"/>
      <c r="H3" s="62"/>
      <c r="I3" s="62"/>
      <c r="J3" s="62"/>
      <c r="K3" s="57"/>
      <c r="L3" s="57"/>
      <c r="M3" s="57"/>
      <c r="N3" s="57"/>
      <c r="O3" s="61" t="s">
        <v>39</v>
      </c>
      <c r="P3" s="2"/>
      <c r="Q3" s="2"/>
      <c r="R3" s="2"/>
      <c r="S3" s="2"/>
      <c r="T3" s="2"/>
      <c r="U3" s="2"/>
      <c r="V3" s="2"/>
      <c r="W3" s="2"/>
      <c r="X3" s="2"/>
      <c r="Y3" s="2"/>
      <c r="Z3" s="2"/>
      <c r="AA3" s="2"/>
      <c r="AB3" s="2"/>
      <c r="AC3" s="2"/>
      <c r="AD3" s="2"/>
      <c r="AE3" s="2"/>
      <c r="AF3" s="2"/>
      <c r="AG3" s="2"/>
      <c r="AH3" s="2"/>
      <c r="AI3" s="2"/>
    </row>
    <row r="4">
      <c r="A4" s="2"/>
      <c r="B4" s="2"/>
      <c r="C4" s="2"/>
      <c r="D4" s="2"/>
      <c r="E4" s="2"/>
      <c r="F4" s="2"/>
      <c r="G4" s="2"/>
      <c r="H4" s="2"/>
      <c r="I4" s="2"/>
      <c r="J4" s="2"/>
      <c r="K4" s="57"/>
      <c r="L4" s="57"/>
      <c r="M4" s="57"/>
      <c r="N4" s="57"/>
      <c r="O4" s="57"/>
      <c r="P4" s="2"/>
      <c r="Q4" s="2"/>
      <c r="R4" s="2"/>
      <c r="S4" s="2"/>
      <c r="T4" s="2"/>
      <c r="U4" s="2"/>
      <c r="V4" s="2"/>
      <c r="W4" s="2"/>
      <c r="X4" s="2"/>
      <c r="Y4" s="2"/>
      <c r="Z4" s="2"/>
      <c r="AA4" s="2"/>
      <c r="AB4" s="2"/>
      <c r="AC4" s="2"/>
      <c r="AD4" s="2"/>
      <c r="AE4" s="2"/>
      <c r="AF4" s="2"/>
      <c r="AG4" s="2"/>
      <c r="AH4" s="2"/>
      <c r="AI4" s="2"/>
    </row>
    <row r="5">
      <c r="A5" s="2"/>
      <c r="B5" s="2"/>
      <c r="C5" s="2"/>
      <c r="D5" s="2"/>
      <c r="E5" s="2"/>
      <c r="F5" s="2"/>
      <c r="G5" s="2"/>
      <c r="H5" s="2"/>
      <c r="I5" s="2"/>
      <c r="J5" s="2"/>
      <c r="K5" s="57"/>
      <c r="L5" s="57"/>
      <c r="M5" s="57"/>
      <c r="N5" s="57"/>
      <c r="O5" s="57"/>
      <c r="P5" s="2"/>
      <c r="Q5" s="2"/>
      <c r="R5" s="2"/>
      <c r="S5" s="2"/>
      <c r="T5" s="2"/>
      <c r="U5" s="2"/>
      <c r="V5" s="2"/>
      <c r="W5" s="2"/>
      <c r="X5" s="2"/>
      <c r="Y5" s="2"/>
      <c r="Z5" s="2"/>
      <c r="AA5" s="2"/>
      <c r="AB5" s="2"/>
      <c r="AC5" s="2"/>
      <c r="AD5" s="2"/>
      <c r="AE5" s="2"/>
      <c r="AF5" s="2"/>
      <c r="AG5" s="2"/>
      <c r="AH5" s="2"/>
      <c r="AI5" s="2"/>
    </row>
    <row r="6">
      <c r="A6" s="2"/>
      <c r="B6" s="63" t="s">
        <v>3</v>
      </c>
      <c r="C6" s="11"/>
      <c r="D6" s="11"/>
      <c r="E6" s="11"/>
      <c r="F6" s="11"/>
      <c r="G6" s="11"/>
      <c r="H6" s="11"/>
      <c r="I6" s="11"/>
      <c r="J6" s="11"/>
      <c r="K6" s="11"/>
      <c r="L6" s="11"/>
      <c r="M6" s="11"/>
      <c r="N6" s="11"/>
      <c r="O6" s="12"/>
      <c r="P6" s="2"/>
      <c r="Q6" s="2"/>
      <c r="R6" s="2"/>
      <c r="S6" s="2"/>
      <c r="T6" s="2"/>
      <c r="U6" s="2"/>
      <c r="V6" s="2"/>
      <c r="W6" s="2"/>
      <c r="X6" s="2"/>
      <c r="Y6" s="2"/>
      <c r="Z6" s="2"/>
      <c r="AA6" s="2"/>
      <c r="AB6" s="2"/>
      <c r="AC6" s="2"/>
      <c r="AD6" s="2"/>
      <c r="AE6" s="2"/>
      <c r="AF6" s="2"/>
      <c r="AG6" s="2"/>
      <c r="AH6" s="2"/>
      <c r="AI6" s="2"/>
    </row>
    <row r="7">
      <c r="A7" s="2"/>
      <c r="B7" s="64" t="s">
        <v>40</v>
      </c>
      <c r="C7" s="11"/>
      <c r="D7" s="11"/>
      <c r="E7" s="11"/>
      <c r="F7" s="11"/>
      <c r="G7" s="11"/>
      <c r="H7" s="11"/>
      <c r="I7" s="11"/>
      <c r="J7" s="11"/>
      <c r="K7" s="11"/>
      <c r="L7" s="11"/>
      <c r="M7" s="11"/>
      <c r="N7" s="11"/>
      <c r="O7" s="12"/>
      <c r="P7" s="2"/>
      <c r="Q7" s="2"/>
      <c r="R7" s="2"/>
      <c r="S7" s="2"/>
      <c r="T7" s="2"/>
      <c r="U7" s="2"/>
      <c r="V7" s="2"/>
      <c r="W7" s="2"/>
      <c r="X7" s="2"/>
      <c r="Y7" s="2"/>
      <c r="Z7" s="2"/>
      <c r="AA7" s="2"/>
      <c r="AB7" s="2"/>
      <c r="AC7" s="2"/>
      <c r="AD7" s="2"/>
      <c r="AE7" s="2"/>
      <c r="AF7" s="2"/>
      <c r="AG7" s="2"/>
      <c r="AH7" s="2"/>
      <c r="AI7" s="2"/>
    </row>
    <row r="8">
      <c r="A8" s="2"/>
      <c r="B8" s="63" t="s">
        <v>41</v>
      </c>
      <c r="C8" s="11"/>
      <c r="D8" s="11"/>
      <c r="E8" s="11"/>
      <c r="F8" s="11"/>
      <c r="G8" s="11"/>
      <c r="H8" s="11"/>
      <c r="I8" s="11"/>
      <c r="J8" s="11"/>
      <c r="K8" s="11"/>
      <c r="L8" s="11"/>
      <c r="M8" s="11"/>
      <c r="N8" s="11"/>
      <c r="O8" s="12"/>
      <c r="P8" s="2"/>
      <c r="Q8" s="2"/>
      <c r="R8" s="2"/>
      <c r="S8" s="2"/>
      <c r="T8" s="2"/>
      <c r="U8" s="2"/>
      <c r="V8" s="2"/>
      <c r="W8" s="2"/>
      <c r="X8" s="2"/>
      <c r="Y8" s="2"/>
      <c r="Z8" s="2"/>
      <c r="AA8" s="2"/>
      <c r="AB8" s="2"/>
      <c r="AC8" s="2"/>
      <c r="AD8" s="2"/>
      <c r="AE8" s="2"/>
      <c r="AF8" s="2"/>
      <c r="AG8" s="2"/>
      <c r="AH8" s="2"/>
      <c r="AI8" s="2"/>
    </row>
    <row r="9">
      <c r="A9" s="2"/>
      <c r="B9" s="15" t="str">
        <f>[1]Status!A6</f>
        <v>#ERROR!</v>
      </c>
      <c r="C9" s="11"/>
      <c r="D9" s="11"/>
      <c r="E9" s="11"/>
      <c r="F9" s="11"/>
      <c r="G9" s="11"/>
      <c r="H9" s="11"/>
      <c r="I9" s="11"/>
      <c r="J9" s="11"/>
      <c r="K9" s="11"/>
      <c r="L9" s="11"/>
      <c r="M9" s="11"/>
      <c r="N9" s="11"/>
      <c r="O9" s="12"/>
      <c r="P9" s="2"/>
      <c r="Q9" s="2"/>
      <c r="R9" s="2"/>
      <c r="S9" s="2"/>
      <c r="T9" s="2"/>
      <c r="U9" s="2"/>
      <c r="V9" s="2"/>
      <c r="W9" s="2"/>
      <c r="X9" s="2"/>
      <c r="Y9" s="2"/>
      <c r="Z9" s="2"/>
      <c r="AA9" s="2"/>
      <c r="AB9" s="2"/>
      <c r="AC9" s="2"/>
      <c r="AD9" s="2"/>
      <c r="AE9" s="2"/>
      <c r="AF9" s="2"/>
      <c r="AG9" s="2"/>
      <c r="AH9" s="2"/>
      <c r="AI9" s="2"/>
    </row>
    <row r="10">
      <c r="A10" s="2"/>
      <c r="B10" s="65"/>
      <c r="C10" s="66"/>
      <c r="D10" s="66"/>
      <c r="E10" s="66"/>
      <c r="F10" s="66"/>
      <c r="G10" s="66"/>
      <c r="H10" s="66"/>
      <c r="I10" s="66"/>
      <c r="J10" s="66"/>
      <c r="K10" s="66"/>
      <c r="L10" s="66"/>
      <c r="M10" s="66"/>
      <c r="N10" s="66"/>
      <c r="O10" s="66"/>
      <c r="P10" s="2"/>
      <c r="Q10" s="2"/>
      <c r="R10" s="2"/>
      <c r="S10" s="2"/>
      <c r="T10" s="2"/>
      <c r="U10" s="2"/>
      <c r="V10" s="2"/>
      <c r="W10" s="2"/>
      <c r="X10" s="2"/>
      <c r="Y10" s="2"/>
      <c r="Z10" s="2"/>
      <c r="AA10" s="2"/>
      <c r="AB10" s="2"/>
      <c r="AC10" s="2"/>
      <c r="AD10" s="2"/>
      <c r="AE10" s="2"/>
      <c r="AF10" s="2"/>
      <c r="AG10" s="2"/>
      <c r="AH10" s="2"/>
      <c r="AI10" s="2"/>
    </row>
    <row r="11">
      <c r="A11" s="9"/>
      <c r="B11" s="67" t="s">
        <v>42</v>
      </c>
      <c r="C11" s="68" t="s">
        <v>43</v>
      </c>
      <c r="D11" s="69" t="s">
        <v>44</v>
      </c>
      <c r="E11" s="70" t="s">
        <v>45</v>
      </c>
      <c r="F11" s="68" t="s">
        <v>46</v>
      </c>
      <c r="G11" s="68" t="s">
        <v>47</v>
      </c>
      <c r="H11" s="68" t="s">
        <v>48</v>
      </c>
      <c r="I11" s="71" t="s">
        <v>49</v>
      </c>
      <c r="J11" s="71" t="s">
        <v>50</v>
      </c>
      <c r="K11" s="71" t="s">
        <v>51</v>
      </c>
      <c r="L11" s="72" t="s">
        <v>52</v>
      </c>
      <c r="M11" s="72" t="s">
        <v>53</v>
      </c>
      <c r="N11" s="72" t="s">
        <v>54</v>
      </c>
      <c r="O11" s="73" t="s">
        <v>55</v>
      </c>
      <c r="P11" s="9"/>
      <c r="Q11" s="9"/>
      <c r="R11" s="9"/>
      <c r="S11" s="9"/>
      <c r="T11" s="9"/>
      <c r="U11" s="9"/>
      <c r="V11" s="9"/>
      <c r="W11" s="9"/>
      <c r="X11" s="9"/>
      <c r="Y11" s="9"/>
      <c r="Z11" s="9"/>
      <c r="AA11" s="9"/>
      <c r="AB11" s="9"/>
      <c r="AC11" s="9"/>
      <c r="AD11" s="9"/>
      <c r="AE11" s="9"/>
      <c r="AF11" s="9"/>
      <c r="AG11" s="9"/>
      <c r="AH11" s="9"/>
      <c r="AI11" s="9"/>
    </row>
    <row r="12">
      <c r="A12" s="2"/>
      <c r="B12" s="74" t="s">
        <v>56</v>
      </c>
      <c r="C12" s="75">
        <f>YR1991_93!B59</f>
        <v>235029241</v>
      </c>
      <c r="D12" s="75">
        <f>YR1994_96!B59</f>
        <v>424841347</v>
      </c>
      <c r="E12" s="75">
        <f>YR1997_99!B59</f>
        <v>472567009</v>
      </c>
      <c r="F12" s="75">
        <f>YR2000_02!B51</f>
        <v>440000001</v>
      </c>
      <c r="G12" s="75">
        <f>YR2003_05!B51</f>
        <v>474000001.3</v>
      </c>
      <c r="H12" s="75">
        <f>YR2006_08!B54</f>
        <v>368028480.3</v>
      </c>
      <c r="I12" s="76">
        <f>YR2009_11!B56</f>
        <v>399640706.4</v>
      </c>
      <c r="J12" s="75">
        <f>YR2012_14!B58</f>
        <v>396815724.5</v>
      </c>
      <c r="K12" s="75">
        <f>YR2015_17!B58</f>
        <v>436198530.2</v>
      </c>
      <c r="L12" s="75">
        <f>YR2018_20!B58</f>
        <v>496274667</v>
      </c>
      <c r="M12" s="75">
        <f>YR2021_23!B58</f>
        <v>473714767</v>
      </c>
      <c r="N12" s="77">
        <f>'2024-26 Contributions'!C60</f>
        <v>175199999</v>
      </c>
      <c r="O12" s="78">
        <f>C12+D12+E12+F12+G12+H12+I12+J12+K12+L12+M12+N12</f>
        <v>4792310474</v>
      </c>
      <c r="P12" s="79"/>
      <c r="Q12" s="56"/>
      <c r="R12" s="2"/>
      <c r="S12" s="2"/>
      <c r="T12" s="2"/>
      <c r="U12" s="2"/>
      <c r="V12" s="2"/>
      <c r="W12" s="2"/>
      <c r="X12" s="2"/>
      <c r="Y12" s="2"/>
      <c r="Z12" s="2"/>
      <c r="AA12" s="2"/>
      <c r="AB12" s="2"/>
      <c r="AC12" s="2"/>
      <c r="AD12" s="2"/>
      <c r="AE12" s="2"/>
      <c r="AF12" s="2"/>
      <c r="AG12" s="2"/>
      <c r="AH12" s="2"/>
      <c r="AI12" s="2"/>
    </row>
    <row r="13">
      <c r="A13" s="2"/>
      <c r="B13" s="80" t="s">
        <v>57</v>
      </c>
      <c r="C13" s="81">
        <f>YR1991_93!C59</f>
        <v>206611034.1</v>
      </c>
      <c r="D13" s="81">
        <f>YR1994_96!C59</f>
        <v>381594829</v>
      </c>
      <c r="E13" s="81">
        <f>YR1997_99!C59</f>
        <v>418966144.3</v>
      </c>
      <c r="F13" s="81">
        <f>YR2000_02!C51</f>
        <v>406691769</v>
      </c>
      <c r="G13" s="81">
        <f>YR2003_05!C51</f>
        <v>421323975.8</v>
      </c>
      <c r="H13" s="81">
        <f>YR2006_08!C54</f>
        <v>339225803</v>
      </c>
      <c r="I13" s="81">
        <f>YR2009_11!C56</f>
        <v>376678075.1</v>
      </c>
      <c r="J13" s="81">
        <f>YR2012_14!C58</f>
        <v>379922492.5</v>
      </c>
      <c r="K13" s="81">
        <f>YR2015_17!C58</f>
        <v>418531677.3</v>
      </c>
      <c r="L13" s="81">
        <f>YR2018_20!C58</f>
        <v>478141866.6</v>
      </c>
      <c r="M13" s="81">
        <f>YR2021_23!C58</f>
        <v>436814356</v>
      </c>
      <c r="N13" s="82">
        <f>'2024-26 Contributions'!D60</f>
        <v>8240392.168</v>
      </c>
      <c r="O13" s="83">
        <f t="shared" ref="O13:O18" si="1">SUM(C13:N13)</f>
        <v>4272742415</v>
      </c>
      <c r="P13" s="79"/>
      <c r="Q13" s="56"/>
      <c r="R13" s="84"/>
      <c r="S13" s="2"/>
      <c r="T13" s="2"/>
      <c r="U13" s="2"/>
      <c r="V13" s="2"/>
      <c r="W13" s="2"/>
      <c r="X13" s="2"/>
      <c r="Y13" s="2"/>
      <c r="Z13" s="2"/>
      <c r="AA13" s="2"/>
      <c r="AB13" s="2"/>
      <c r="AC13" s="2"/>
      <c r="AD13" s="2"/>
      <c r="AE13" s="2"/>
      <c r="AF13" s="2"/>
      <c r="AG13" s="2"/>
      <c r="AH13" s="2"/>
      <c r="AI13" s="2"/>
    </row>
    <row r="14">
      <c r="A14" s="2"/>
      <c r="B14" s="80" t="s">
        <v>58</v>
      </c>
      <c r="C14" s="81">
        <f>YR1991_93!D59</f>
        <v>4366255</v>
      </c>
      <c r="D14" s="81">
        <f>YR1994_96!D59</f>
        <v>11870240</v>
      </c>
      <c r="E14" s="81">
        <f>YR1997_99!D59</f>
        <v>20836903.2</v>
      </c>
      <c r="F14" s="81">
        <f>YR2000_02!D51</f>
        <v>22591302.25</v>
      </c>
      <c r="G14" s="81">
        <f>YR2003_05!D51</f>
        <v>44246306.1</v>
      </c>
      <c r="H14" s="81">
        <f>YR2006_08!D54</f>
        <v>19671519.06</v>
      </c>
      <c r="I14" s="81">
        <f>YR2009_11!D56</f>
        <v>14151636.06</v>
      </c>
      <c r="J14" s="81">
        <f>YR2012_14!D58</f>
        <v>11412900.45</v>
      </c>
      <c r="K14" s="81">
        <f>YR2015_17!D58</f>
        <v>14168565</v>
      </c>
      <c r="L14" s="81">
        <f>YR2018_20!D58</f>
        <v>13681572</v>
      </c>
      <c r="M14" s="81">
        <f>YR2021_23!D58</f>
        <v>11762610</v>
      </c>
      <c r="N14" s="82">
        <f>'2024-26 Contributions'!E60</f>
        <v>0</v>
      </c>
      <c r="O14" s="83">
        <f t="shared" si="1"/>
        <v>188759809.1</v>
      </c>
      <c r="P14" s="79"/>
      <c r="Q14" s="56"/>
      <c r="R14" s="85"/>
      <c r="S14" s="2"/>
      <c r="T14" s="2"/>
      <c r="U14" s="2"/>
      <c r="V14" s="2"/>
      <c r="W14" s="2"/>
      <c r="X14" s="2"/>
      <c r="Y14" s="2"/>
      <c r="Z14" s="2"/>
      <c r="AA14" s="2"/>
      <c r="AB14" s="2"/>
      <c r="AC14" s="2"/>
      <c r="AD14" s="2"/>
      <c r="AE14" s="2"/>
      <c r="AF14" s="2"/>
      <c r="AG14" s="2"/>
      <c r="AH14" s="2"/>
      <c r="AI14" s="2"/>
    </row>
    <row r="15">
      <c r="A15" s="2"/>
      <c r="B15" s="80" t="s">
        <v>59</v>
      </c>
      <c r="C15" s="81">
        <f>YR1991_93!E59</f>
        <v>0</v>
      </c>
      <c r="D15" s="81">
        <f>YR1994_96!E59</f>
        <v>0</v>
      </c>
      <c r="E15" s="81">
        <f>YR1997_99!E59</f>
        <v>0</v>
      </c>
      <c r="F15" s="81">
        <f>YR2000_02!E51</f>
        <v>0</v>
      </c>
      <c r="G15" s="81">
        <f>YR2003_05!E51</f>
        <v>0.05000000005</v>
      </c>
      <c r="H15" s="81">
        <f>YR2006_08!E54</f>
        <v>-0.4400000004</v>
      </c>
      <c r="I15" s="86">
        <v>0.40999999875202775</v>
      </c>
      <c r="J15" s="81">
        <f>YR2012_14!E58</f>
        <v>-0.02360682935</v>
      </c>
      <c r="K15" s="81">
        <f>YR2015_17!E58</f>
        <v>-0.1062498107</v>
      </c>
      <c r="L15" s="81">
        <f>YR2018_20!E58</f>
        <v>0</v>
      </c>
      <c r="M15" s="81">
        <f>YR2021_23!E58</f>
        <v>0</v>
      </c>
      <c r="N15" s="82">
        <f>'2024-26 Contributions'!F60</f>
        <v>0</v>
      </c>
      <c r="O15" s="83">
        <f t="shared" si="1"/>
        <v>-0.1098566416</v>
      </c>
      <c r="P15" s="79"/>
      <c r="Q15" s="56"/>
      <c r="R15" s="87"/>
      <c r="S15" s="2"/>
      <c r="T15" s="2"/>
      <c r="U15" s="2"/>
      <c r="V15" s="2"/>
      <c r="W15" s="2"/>
      <c r="X15" s="2"/>
      <c r="Y15" s="2"/>
      <c r="Z15" s="2"/>
      <c r="AA15" s="2"/>
      <c r="AB15" s="2"/>
      <c r="AC15" s="2"/>
      <c r="AD15" s="2"/>
      <c r="AE15" s="2"/>
      <c r="AF15" s="2"/>
      <c r="AG15" s="2"/>
      <c r="AH15" s="2"/>
      <c r="AI15" s="2"/>
    </row>
    <row r="16">
      <c r="A16" s="88"/>
      <c r="B16" s="89" t="s">
        <v>60</v>
      </c>
      <c r="C16" s="90">
        <f t="shared" ref="C16:N16" si="2">SUM(C13:C15)</f>
        <v>210977289.1</v>
      </c>
      <c r="D16" s="90">
        <f t="shared" si="2"/>
        <v>393465069</v>
      </c>
      <c r="E16" s="90">
        <f t="shared" si="2"/>
        <v>439803047.5</v>
      </c>
      <c r="F16" s="90">
        <f t="shared" si="2"/>
        <v>429283071.3</v>
      </c>
      <c r="G16" s="90">
        <f t="shared" si="2"/>
        <v>465570282</v>
      </c>
      <c r="H16" s="90">
        <f t="shared" si="2"/>
        <v>358897321.6</v>
      </c>
      <c r="I16" s="91">
        <f t="shared" si="2"/>
        <v>390829711.6</v>
      </c>
      <c r="J16" s="90">
        <f t="shared" si="2"/>
        <v>391335393</v>
      </c>
      <c r="K16" s="91">
        <f t="shared" si="2"/>
        <v>432700242.2</v>
      </c>
      <c r="L16" s="91">
        <f t="shared" si="2"/>
        <v>491823438.6</v>
      </c>
      <c r="M16" s="91">
        <f t="shared" si="2"/>
        <v>448576966</v>
      </c>
      <c r="N16" s="91">
        <f t="shared" si="2"/>
        <v>8240392.168</v>
      </c>
      <c r="O16" s="92">
        <f t="shared" si="1"/>
        <v>4461502224</v>
      </c>
      <c r="P16" s="88"/>
      <c r="Q16" s="93"/>
      <c r="R16" s="88"/>
      <c r="S16" s="88"/>
      <c r="T16" s="88"/>
      <c r="U16" s="88"/>
      <c r="V16" s="88"/>
      <c r="W16" s="88"/>
      <c r="X16" s="88"/>
      <c r="Y16" s="88"/>
      <c r="Z16" s="88"/>
      <c r="AA16" s="88"/>
      <c r="AB16" s="88"/>
      <c r="AC16" s="88"/>
      <c r="AD16" s="88"/>
      <c r="AE16" s="88"/>
      <c r="AF16" s="88"/>
      <c r="AG16" s="88"/>
      <c r="AH16" s="88"/>
      <c r="AI16" s="88"/>
    </row>
    <row r="17">
      <c r="A17" s="2"/>
      <c r="B17" s="80" t="s">
        <v>61</v>
      </c>
      <c r="C17" s="81">
        <v>0.0</v>
      </c>
      <c r="D17" s="81">
        <f>YR1994_96!B60</f>
        <v>8098267</v>
      </c>
      <c r="E17" s="81">
        <v>0.0</v>
      </c>
      <c r="F17" s="81">
        <v>0.0</v>
      </c>
      <c r="G17" s="81">
        <v>0.0</v>
      </c>
      <c r="H17" s="81">
        <f>YR2006_08!B55</f>
        <v>32471642</v>
      </c>
      <c r="I17" s="94">
        <f>YR2009_11!B57</f>
        <v>405792</v>
      </c>
      <c r="J17" s="81">
        <f>YR2012_14!B59</f>
        <v>3477910.4</v>
      </c>
      <c r="K17" s="81">
        <f>YR2015_17!B59</f>
        <v>1301470</v>
      </c>
      <c r="L17" s="81">
        <f>YR2018_20!B59</f>
        <v>3725331</v>
      </c>
      <c r="M17" s="81">
        <f>YR2021_23!B59</f>
        <v>1285232</v>
      </c>
      <c r="N17" s="82">
        <f>'2024-26 Contributions'!C61</f>
        <v>0</v>
      </c>
      <c r="O17" s="83">
        <f t="shared" si="1"/>
        <v>50765644.4</v>
      </c>
      <c r="P17" s="2"/>
      <c r="Q17" s="95"/>
      <c r="R17" s="2"/>
      <c r="S17" s="2"/>
      <c r="T17" s="2"/>
      <c r="U17" s="2"/>
      <c r="V17" s="2"/>
      <c r="W17" s="2"/>
      <c r="X17" s="2"/>
      <c r="Y17" s="2"/>
      <c r="Z17" s="2"/>
      <c r="AA17" s="2"/>
      <c r="AB17" s="2"/>
      <c r="AC17" s="2"/>
      <c r="AD17" s="2"/>
      <c r="AE17" s="2"/>
      <c r="AF17" s="2"/>
      <c r="AG17" s="2"/>
      <c r="AH17" s="2"/>
      <c r="AI17" s="2"/>
    </row>
    <row r="18">
      <c r="A18" s="2"/>
      <c r="B18" s="80" t="s">
        <v>62</v>
      </c>
      <c r="C18" s="81">
        <f t="shared" ref="C18:K18" si="3">C12-C16</f>
        <v>24051951.9</v>
      </c>
      <c r="D18" s="81">
        <f t="shared" si="3"/>
        <v>31376278</v>
      </c>
      <c r="E18" s="81">
        <f t="shared" si="3"/>
        <v>32763961.47</v>
      </c>
      <c r="F18" s="81">
        <f t="shared" si="3"/>
        <v>10716929.72</v>
      </c>
      <c r="G18" s="81">
        <f t="shared" si="3"/>
        <v>8429719.295</v>
      </c>
      <c r="H18" s="81">
        <f t="shared" si="3"/>
        <v>9131158.7</v>
      </c>
      <c r="I18" s="94">
        <f t="shared" si="3"/>
        <v>8810994.81</v>
      </c>
      <c r="J18" s="81">
        <f t="shared" si="3"/>
        <v>5480331.569</v>
      </c>
      <c r="K18" s="94">
        <f t="shared" si="3"/>
        <v>3498287.976</v>
      </c>
      <c r="L18" s="94">
        <f>YR2018_20!F58</f>
        <v>4451228.36</v>
      </c>
      <c r="M18" s="94">
        <f>YR2021_23!F58</f>
        <v>25137800.97</v>
      </c>
      <c r="N18" s="96">
        <f>'2024-26 Contributions'!G60</f>
        <v>166959606.8</v>
      </c>
      <c r="O18" s="83">
        <f t="shared" si="1"/>
        <v>330808249.6</v>
      </c>
      <c r="P18" s="2"/>
      <c r="Q18" s="56"/>
      <c r="R18" s="2"/>
      <c r="S18" s="2"/>
      <c r="T18" s="2"/>
      <c r="U18" s="2"/>
      <c r="V18" s="2"/>
      <c r="W18" s="2"/>
      <c r="X18" s="2"/>
      <c r="Y18" s="2"/>
      <c r="Z18" s="2"/>
      <c r="AA18" s="2"/>
      <c r="AB18" s="2"/>
      <c r="AC18" s="2"/>
      <c r="AD18" s="2"/>
      <c r="AE18" s="2"/>
      <c r="AF18" s="2"/>
      <c r="AG18" s="2"/>
      <c r="AH18" s="2"/>
      <c r="AI18" s="2"/>
    </row>
    <row r="19">
      <c r="A19" s="2"/>
      <c r="B19" s="80" t="s">
        <v>63</v>
      </c>
      <c r="C19" s="97">
        <f t="shared" ref="C19:O19" si="4">C16/C12</f>
        <v>0.8976640022</v>
      </c>
      <c r="D19" s="97">
        <f t="shared" si="4"/>
        <v>0.9261458937</v>
      </c>
      <c r="E19" s="97">
        <f t="shared" si="4"/>
        <v>0.9306681151</v>
      </c>
      <c r="F19" s="97">
        <f t="shared" si="4"/>
        <v>0.9756433416</v>
      </c>
      <c r="G19" s="97">
        <f t="shared" si="4"/>
        <v>0.9822157821</v>
      </c>
      <c r="H19" s="97">
        <f t="shared" si="4"/>
        <v>0.9751889889</v>
      </c>
      <c r="I19" s="97">
        <f t="shared" si="4"/>
        <v>0.9779527093</v>
      </c>
      <c r="J19" s="97">
        <f t="shared" si="4"/>
        <v>0.9861892278</v>
      </c>
      <c r="K19" s="97">
        <f t="shared" si="4"/>
        <v>0.9919800556</v>
      </c>
      <c r="L19" s="97">
        <f t="shared" si="4"/>
        <v>0.9910307161</v>
      </c>
      <c r="M19" s="97">
        <f t="shared" si="4"/>
        <v>0.9469347322</v>
      </c>
      <c r="N19" s="97">
        <f t="shared" si="4"/>
        <v>0.04703420214</v>
      </c>
      <c r="O19" s="98">
        <f t="shared" si="4"/>
        <v>0.9309710313</v>
      </c>
      <c r="P19" s="2"/>
      <c r="Q19" s="2"/>
      <c r="R19" s="2"/>
      <c r="S19" s="2"/>
      <c r="T19" s="2"/>
      <c r="U19" s="2"/>
      <c r="V19" s="2"/>
      <c r="W19" s="2"/>
      <c r="X19" s="2"/>
      <c r="Y19" s="2"/>
      <c r="Z19" s="2"/>
      <c r="AA19" s="2"/>
      <c r="AB19" s="2"/>
      <c r="AC19" s="2"/>
      <c r="AD19" s="2"/>
      <c r="AE19" s="2"/>
      <c r="AF19" s="2"/>
      <c r="AG19" s="2"/>
      <c r="AH19" s="2"/>
      <c r="AI19" s="2"/>
    </row>
    <row r="20">
      <c r="A20" s="2"/>
      <c r="B20" s="99"/>
      <c r="C20" s="81"/>
      <c r="D20" s="81"/>
      <c r="E20" s="81"/>
      <c r="F20" s="81"/>
      <c r="G20" s="81"/>
      <c r="H20" s="81"/>
      <c r="I20" s="100"/>
      <c r="J20" s="81"/>
      <c r="K20" s="86"/>
      <c r="L20" s="86"/>
      <c r="M20" s="86"/>
      <c r="N20" s="101"/>
      <c r="O20" s="102"/>
      <c r="P20" s="2"/>
      <c r="Q20" s="2"/>
      <c r="R20" s="2"/>
      <c r="S20" s="2"/>
      <c r="T20" s="2"/>
      <c r="U20" s="2"/>
      <c r="V20" s="2"/>
      <c r="W20" s="2"/>
      <c r="X20" s="2"/>
      <c r="Y20" s="2"/>
      <c r="Z20" s="2"/>
      <c r="AA20" s="2"/>
      <c r="AB20" s="2"/>
      <c r="AC20" s="2"/>
      <c r="AD20" s="2"/>
      <c r="AE20" s="2"/>
      <c r="AF20" s="2"/>
      <c r="AG20" s="2"/>
      <c r="AH20" s="2"/>
      <c r="AI20" s="2"/>
    </row>
    <row r="21">
      <c r="A21" s="88"/>
      <c r="B21" s="103" t="s">
        <v>64</v>
      </c>
      <c r="C21" s="90">
        <f>540614+1757933+3025097</f>
        <v>5323644</v>
      </c>
      <c r="D21" s="90">
        <f>5701779+11211677+11612277</f>
        <v>28525733</v>
      </c>
      <c r="E21" s="90">
        <f>18328786+17676694+8680036</f>
        <v>44685516</v>
      </c>
      <c r="F21" s="90">
        <f>25264748+17588394+11093459</f>
        <v>53946601</v>
      </c>
      <c r="G21" s="90">
        <f>7227409+4662511+68190+7416339</f>
        <v>19374449</v>
      </c>
      <c r="H21" s="90">
        <f>13773709+18998156+11964896-1198947</f>
        <v>43537814</v>
      </c>
      <c r="I21" s="91">
        <f>4403437+3645451+258151+579758+642792+675973+339069</f>
        <v>10544631</v>
      </c>
      <c r="J21" s="91">
        <f>2347348.17+2369301.95+1898402.88</f>
        <v>6615053</v>
      </c>
      <c r="K21" s="104">
        <v>8836636.530000001</v>
      </c>
      <c r="L21" s="104">
        <v>2.529518584E7</v>
      </c>
      <c r="M21" s="104" t="str">
        <f>'[2]2021_23_Interest'!$D$68</f>
        <v>#REF!</v>
      </c>
      <c r="N21" s="105"/>
      <c r="O21" s="106" t="str">
        <f>SUM(C21:N21)</f>
        <v>#REF!</v>
      </c>
      <c r="P21" s="88"/>
      <c r="Q21" s="88"/>
      <c r="R21" s="88"/>
      <c r="S21" s="88"/>
      <c r="T21" s="88"/>
      <c r="U21" s="88"/>
      <c r="V21" s="88"/>
      <c r="W21" s="88"/>
      <c r="X21" s="88"/>
      <c r="Y21" s="88"/>
      <c r="Z21" s="88"/>
      <c r="AA21" s="88"/>
      <c r="AB21" s="88"/>
      <c r="AC21" s="88"/>
      <c r="AD21" s="88"/>
      <c r="AE21" s="88"/>
      <c r="AF21" s="88"/>
      <c r="AG21" s="88"/>
      <c r="AH21" s="88"/>
      <c r="AI21" s="88"/>
    </row>
    <row r="22">
      <c r="A22" s="2"/>
      <c r="B22" s="99" t="s">
        <v>65</v>
      </c>
      <c r="C22" s="81"/>
      <c r="D22" s="81"/>
      <c r="E22" s="81"/>
      <c r="F22" s="81"/>
      <c r="G22" s="81"/>
      <c r="H22" s="81"/>
      <c r="I22" s="94"/>
      <c r="J22" s="94"/>
      <c r="K22" s="86"/>
      <c r="L22" s="86"/>
      <c r="M22" s="86"/>
      <c r="N22" s="101"/>
      <c r="O22" s="102"/>
      <c r="P22" s="2"/>
      <c r="Q22" s="57"/>
      <c r="R22" s="2"/>
      <c r="S22" s="2"/>
      <c r="T22" s="2"/>
      <c r="U22" s="2"/>
      <c r="V22" s="2"/>
      <c r="W22" s="2"/>
      <c r="X22" s="2"/>
      <c r="Y22" s="2"/>
      <c r="Z22" s="2"/>
      <c r="AA22" s="2"/>
      <c r="AB22" s="2"/>
      <c r="AC22" s="2"/>
      <c r="AD22" s="2"/>
      <c r="AE22" s="2"/>
      <c r="AF22" s="2"/>
      <c r="AG22" s="2"/>
      <c r="AH22" s="2"/>
      <c r="AI22" s="2"/>
    </row>
    <row r="23">
      <c r="A23" s="88"/>
      <c r="B23" s="103" t="s">
        <v>66</v>
      </c>
      <c r="C23" s="90">
        <f>703333.93+522233.9+216535.43</f>
        <v>1442103.26</v>
      </c>
      <c r="D23" s="90">
        <f>651432.73+378571.43+267361.41</f>
        <v>1297365.57</v>
      </c>
      <c r="E23" s="90">
        <f>548524+375073.87+300000</f>
        <v>1223597.87</v>
      </c>
      <c r="F23" s="90">
        <f>300000+284089+(395193.99-45193+61935.29)+127722+1535</f>
        <v>1125282.28</v>
      </c>
      <c r="G23" s="90">
        <f>347600+457931+580646</f>
        <v>1386177</v>
      </c>
      <c r="H23" s="90">
        <f>1329111+1001142+(1172239-176347.98+51040.11)</f>
        <v>3377184.13</v>
      </c>
      <c r="I23" s="91">
        <f>968463+41623.79+125308.26+300000+298125.61+59363-51000+8988.84+940330-39883.18+31+731303+165000</f>
        <v>3547653.32</v>
      </c>
      <c r="J23" s="91">
        <f>1534909.14+1540797+2728703.86</f>
        <v>5804410</v>
      </c>
      <c r="K23" s="104">
        <f>1023142+575020.45+184671.71</f>
        <v>1782834.16</v>
      </c>
      <c r="L23" s="104">
        <f>854973+939817+871392</f>
        <v>2666182</v>
      </c>
      <c r="M23" s="104">
        <f>699622+1015163+1054878</f>
        <v>2769663</v>
      </c>
      <c r="N23" s="105"/>
      <c r="O23" s="106">
        <f>SUM(C23:M23)</f>
        <v>26422452.59</v>
      </c>
      <c r="P23" s="88"/>
      <c r="Q23" s="88"/>
      <c r="R23" s="88"/>
      <c r="S23" s="88"/>
      <c r="T23" s="88"/>
      <c r="U23" s="88"/>
      <c r="V23" s="88"/>
      <c r="W23" s="88"/>
      <c r="X23" s="88"/>
      <c r="Y23" s="88"/>
      <c r="Z23" s="88"/>
      <c r="AA23" s="88"/>
      <c r="AB23" s="88"/>
      <c r="AC23" s="88"/>
      <c r="AD23" s="88"/>
      <c r="AE23" s="88"/>
      <c r="AF23" s="88"/>
      <c r="AG23" s="88"/>
      <c r="AH23" s="88"/>
      <c r="AI23" s="88"/>
    </row>
    <row r="24">
      <c r="A24" s="2"/>
      <c r="B24" s="107"/>
      <c r="C24" s="108"/>
      <c r="D24" s="108"/>
      <c r="E24" s="109"/>
      <c r="F24" s="108"/>
      <c r="G24" s="108"/>
      <c r="H24" s="108"/>
      <c r="I24" s="110"/>
      <c r="J24" s="110"/>
      <c r="K24" s="111"/>
      <c r="L24" s="112"/>
      <c r="M24" s="112"/>
      <c r="N24" s="112"/>
      <c r="O24" s="113"/>
      <c r="P24" s="2"/>
      <c r="Q24" s="2"/>
      <c r="R24" s="2"/>
      <c r="S24" s="2"/>
      <c r="T24" s="2"/>
      <c r="U24" s="2"/>
      <c r="V24" s="2"/>
      <c r="W24" s="2"/>
      <c r="X24" s="2"/>
      <c r="Y24" s="2"/>
      <c r="Z24" s="2"/>
      <c r="AA24" s="2"/>
      <c r="AB24" s="2"/>
      <c r="AC24" s="2"/>
      <c r="AD24" s="2"/>
      <c r="AE24" s="2"/>
      <c r="AF24" s="2"/>
      <c r="AG24" s="2"/>
      <c r="AH24" s="2"/>
      <c r="AI24" s="2"/>
    </row>
    <row r="25">
      <c r="A25" s="88"/>
      <c r="B25" s="67" t="s">
        <v>67</v>
      </c>
      <c r="C25" s="114">
        <f t="shared" ref="C25:G25" si="5">C16+C21+C23</f>
        <v>217743036.4</v>
      </c>
      <c r="D25" s="114">
        <f t="shared" si="5"/>
        <v>423288167.6</v>
      </c>
      <c r="E25" s="115">
        <f t="shared" si="5"/>
        <v>485712161.4</v>
      </c>
      <c r="F25" s="114">
        <f t="shared" si="5"/>
        <v>484354954.6</v>
      </c>
      <c r="G25" s="114">
        <f t="shared" si="5"/>
        <v>486330908</v>
      </c>
      <c r="H25" s="114">
        <f t="shared" ref="H25:O25" si="6">H16+H21+H22+H23</f>
        <v>405812319.7</v>
      </c>
      <c r="I25" s="116">
        <f t="shared" si="6"/>
        <v>404921995.9</v>
      </c>
      <c r="J25" s="116">
        <f t="shared" si="6"/>
        <v>403754856</v>
      </c>
      <c r="K25" s="116">
        <f t="shared" si="6"/>
        <v>443319712.9</v>
      </c>
      <c r="L25" s="116">
        <f t="shared" si="6"/>
        <v>519784806.5</v>
      </c>
      <c r="M25" s="116" t="str">
        <f t="shared" si="6"/>
        <v>#REF!</v>
      </c>
      <c r="N25" s="116">
        <f t="shared" si="6"/>
        <v>8240392.168</v>
      </c>
      <c r="O25" s="117" t="str">
        <f t="shared" si="6"/>
        <v>#REF!</v>
      </c>
      <c r="P25" s="88"/>
      <c r="Q25" s="88"/>
      <c r="R25" s="88"/>
      <c r="S25" s="88"/>
      <c r="T25" s="88"/>
      <c r="U25" s="88"/>
      <c r="V25" s="88"/>
      <c r="W25" s="88"/>
      <c r="X25" s="88"/>
      <c r="Y25" s="88"/>
      <c r="Z25" s="88"/>
      <c r="AA25" s="88"/>
      <c r="AB25" s="88"/>
      <c r="AC25" s="88"/>
      <c r="AD25" s="88"/>
      <c r="AE25" s="88"/>
      <c r="AF25" s="88"/>
      <c r="AG25" s="88"/>
      <c r="AH25" s="88"/>
      <c r="AI25" s="88"/>
    </row>
    <row r="26">
      <c r="A26" s="2"/>
      <c r="B26" s="118"/>
      <c r="C26" s="75"/>
      <c r="D26" s="75"/>
      <c r="E26" s="119"/>
      <c r="F26" s="75"/>
      <c r="G26" s="75"/>
      <c r="H26" s="75"/>
      <c r="I26" s="120"/>
      <c r="J26" s="120"/>
      <c r="K26" s="121"/>
      <c r="L26" s="122"/>
      <c r="M26" s="122"/>
      <c r="N26" s="122"/>
      <c r="O26" s="123"/>
      <c r="P26" s="2"/>
      <c r="Q26" s="2"/>
      <c r="R26" s="2"/>
      <c r="S26" s="2"/>
      <c r="T26" s="2"/>
      <c r="U26" s="2"/>
      <c r="V26" s="2"/>
      <c r="W26" s="2"/>
      <c r="X26" s="2"/>
      <c r="Y26" s="2"/>
      <c r="Z26" s="2"/>
      <c r="AA26" s="2"/>
      <c r="AB26" s="2"/>
      <c r="AC26" s="2"/>
      <c r="AD26" s="2"/>
      <c r="AE26" s="2"/>
      <c r="AF26" s="2"/>
      <c r="AG26" s="2"/>
      <c r="AH26" s="2"/>
      <c r="AI26" s="2"/>
    </row>
    <row r="27">
      <c r="A27" s="2"/>
      <c r="B27" s="89" t="s">
        <v>68</v>
      </c>
      <c r="C27" s="124" t="s">
        <v>43</v>
      </c>
      <c r="D27" s="124" t="s">
        <v>44</v>
      </c>
      <c r="E27" s="124" t="s">
        <v>45</v>
      </c>
      <c r="F27" s="124" t="s">
        <v>46</v>
      </c>
      <c r="G27" s="124" t="s">
        <v>47</v>
      </c>
      <c r="H27" s="124" t="s">
        <v>48</v>
      </c>
      <c r="I27" s="125" t="s">
        <v>49</v>
      </c>
      <c r="J27" s="125" t="s">
        <v>50</v>
      </c>
      <c r="K27" s="125" t="s">
        <v>51</v>
      </c>
      <c r="L27" s="125" t="s">
        <v>52</v>
      </c>
      <c r="M27" s="125" t="s">
        <v>53</v>
      </c>
      <c r="N27" s="125" t="s">
        <v>54</v>
      </c>
      <c r="O27" s="126" t="s">
        <v>69</v>
      </c>
      <c r="P27" s="2"/>
      <c r="Q27" s="2"/>
      <c r="R27" s="2"/>
      <c r="S27" s="2"/>
      <c r="T27" s="2"/>
      <c r="U27" s="2"/>
      <c r="V27" s="2"/>
      <c r="W27" s="2"/>
      <c r="X27" s="2"/>
      <c r="Y27" s="2"/>
      <c r="Z27" s="2"/>
      <c r="AA27" s="2"/>
      <c r="AB27" s="2"/>
      <c r="AC27" s="2"/>
      <c r="AD27" s="2"/>
      <c r="AE27" s="2"/>
      <c r="AF27" s="2"/>
      <c r="AG27" s="2"/>
      <c r="AH27" s="2"/>
      <c r="AI27" s="2"/>
    </row>
    <row r="28">
      <c r="A28" s="2"/>
      <c r="B28" s="80" t="s">
        <v>70</v>
      </c>
      <c r="C28" s="81">
        <f t="shared" ref="C28:O28" si="7">C12</f>
        <v>235029241</v>
      </c>
      <c r="D28" s="81">
        <f t="shared" si="7"/>
        <v>424841347</v>
      </c>
      <c r="E28" s="81">
        <f t="shared" si="7"/>
        <v>472567009</v>
      </c>
      <c r="F28" s="81">
        <f t="shared" si="7"/>
        <v>440000001</v>
      </c>
      <c r="G28" s="81">
        <f t="shared" si="7"/>
        <v>474000001.3</v>
      </c>
      <c r="H28" s="81">
        <f t="shared" si="7"/>
        <v>368028480.3</v>
      </c>
      <c r="I28" s="94">
        <f t="shared" si="7"/>
        <v>399640706.4</v>
      </c>
      <c r="J28" s="94">
        <f t="shared" si="7"/>
        <v>396815724.5</v>
      </c>
      <c r="K28" s="94">
        <f t="shared" si="7"/>
        <v>436198530.2</v>
      </c>
      <c r="L28" s="94">
        <f t="shared" si="7"/>
        <v>496274667</v>
      </c>
      <c r="M28" s="94">
        <f t="shared" si="7"/>
        <v>473714767</v>
      </c>
      <c r="N28" s="94">
        <f t="shared" si="7"/>
        <v>175199999</v>
      </c>
      <c r="O28" s="127">
        <f t="shared" si="7"/>
        <v>4792310474</v>
      </c>
      <c r="P28" s="2"/>
      <c r="Q28" s="2"/>
      <c r="R28" s="2"/>
      <c r="S28" s="2"/>
      <c r="T28" s="2"/>
      <c r="U28" s="2"/>
      <c r="V28" s="2"/>
      <c r="W28" s="2"/>
      <c r="X28" s="2"/>
      <c r="Y28" s="2"/>
      <c r="Z28" s="2"/>
      <c r="AA28" s="2"/>
      <c r="AB28" s="2"/>
      <c r="AC28" s="2"/>
      <c r="AD28" s="2"/>
      <c r="AE28" s="2"/>
      <c r="AF28" s="2"/>
      <c r="AG28" s="2"/>
      <c r="AH28" s="2"/>
      <c r="AI28" s="2"/>
    </row>
    <row r="29">
      <c r="A29" s="2"/>
      <c r="B29" s="80" t="s">
        <v>60</v>
      </c>
      <c r="C29" s="81">
        <f t="shared" ref="C29:O29" si="8">C16</f>
        <v>210977289.1</v>
      </c>
      <c r="D29" s="81">
        <f t="shared" si="8"/>
        <v>393465069</v>
      </c>
      <c r="E29" s="81">
        <f t="shared" si="8"/>
        <v>439803047.5</v>
      </c>
      <c r="F29" s="81">
        <f t="shared" si="8"/>
        <v>429283071.3</v>
      </c>
      <c r="G29" s="81">
        <f t="shared" si="8"/>
        <v>465570282</v>
      </c>
      <c r="H29" s="81">
        <f t="shared" si="8"/>
        <v>358897321.6</v>
      </c>
      <c r="I29" s="94">
        <f t="shared" si="8"/>
        <v>390829711.6</v>
      </c>
      <c r="J29" s="94">
        <f t="shared" si="8"/>
        <v>391335393</v>
      </c>
      <c r="K29" s="94">
        <f t="shared" si="8"/>
        <v>432700242.2</v>
      </c>
      <c r="L29" s="94">
        <f t="shared" si="8"/>
        <v>491823438.6</v>
      </c>
      <c r="M29" s="94">
        <f t="shared" si="8"/>
        <v>448576966</v>
      </c>
      <c r="N29" s="94">
        <f t="shared" si="8"/>
        <v>8240392.168</v>
      </c>
      <c r="O29" s="127">
        <f t="shared" si="8"/>
        <v>4461502224</v>
      </c>
      <c r="P29" s="2"/>
      <c r="Q29" s="2"/>
      <c r="R29" s="2"/>
      <c r="S29" s="2"/>
      <c r="T29" s="2"/>
      <c r="U29" s="2"/>
      <c r="V29" s="2"/>
      <c r="W29" s="2"/>
      <c r="X29" s="2"/>
      <c r="Y29" s="2"/>
      <c r="Z29" s="2"/>
      <c r="AA29" s="2"/>
      <c r="AB29" s="2"/>
      <c r="AC29" s="2"/>
      <c r="AD29" s="2"/>
      <c r="AE29" s="2"/>
      <c r="AF29" s="2"/>
      <c r="AG29" s="2"/>
      <c r="AH29" s="2"/>
      <c r="AI29" s="2"/>
    </row>
    <row r="30">
      <c r="A30" s="2"/>
      <c r="B30" s="80" t="s">
        <v>63</v>
      </c>
      <c r="C30" s="97">
        <f t="shared" ref="C30:O30" si="9">C29/C28</f>
        <v>0.8976640022</v>
      </c>
      <c r="D30" s="97">
        <f t="shared" si="9"/>
        <v>0.9261458937</v>
      </c>
      <c r="E30" s="97">
        <f t="shared" si="9"/>
        <v>0.9306681151</v>
      </c>
      <c r="F30" s="97">
        <f t="shared" si="9"/>
        <v>0.9756433416</v>
      </c>
      <c r="G30" s="97">
        <f t="shared" si="9"/>
        <v>0.9822157821</v>
      </c>
      <c r="H30" s="97">
        <f t="shared" si="9"/>
        <v>0.9751889889</v>
      </c>
      <c r="I30" s="128">
        <f t="shared" si="9"/>
        <v>0.9779527093</v>
      </c>
      <c r="J30" s="128">
        <f t="shared" si="9"/>
        <v>0.9861892278</v>
      </c>
      <c r="K30" s="128">
        <f t="shared" si="9"/>
        <v>0.9919800556</v>
      </c>
      <c r="L30" s="128">
        <f t="shared" si="9"/>
        <v>0.9910307161</v>
      </c>
      <c r="M30" s="128">
        <f t="shared" si="9"/>
        <v>0.9469347322</v>
      </c>
      <c r="N30" s="128">
        <f t="shared" si="9"/>
        <v>0.04703420214</v>
      </c>
      <c r="O30" s="129">
        <f t="shared" si="9"/>
        <v>0.9309710313</v>
      </c>
      <c r="P30" s="2"/>
      <c r="Q30" s="2"/>
      <c r="R30" s="2"/>
      <c r="S30" s="2"/>
      <c r="T30" s="2"/>
      <c r="U30" s="2"/>
      <c r="V30" s="2"/>
      <c r="W30" s="2"/>
      <c r="X30" s="2"/>
      <c r="Y30" s="2"/>
      <c r="Z30" s="2"/>
      <c r="AA30" s="2"/>
      <c r="AB30" s="2"/>
      <c r="AC30" s="2"/>
      <c r="AD30" s="2"/>
      <c r="AE30" s="2"/>
      <c r="AF30" s="2"/>
      <c r="AG30" s="2"/>
      <c r="AH30" s="2"/>
      <c r="AI30" s="2"/>
    </row>
    <row r="31">
      <c r="A31" s="2"/>
      <c r="B31" s="80" t="s">
        <v>71</v>
      </c>
      <c r="C31" s="81">
        <f t="shared" ref="C31:O31" si="10">C25</f>
        <v>217743036.4</v>
      </c>
      <c r="D31" s="81">
        <f t="shared" si="10"/>
        <v>423288167.6</v>
      </c>
      <c r="E31" s="81">
        <f t="shared" si="10"/>
        <v>485712161.4</v>
      </c>
      <c r="F31" s="81">
        <f t="shared" si="10"/>
        <v>484354954.6</v>
      </c>
      <c r="G31" s="81">
        <f t="shared" si="10"/>
        <v>486330908</v>
      </c>
      <c r="H31" s="81">
        <f t="shared" si="10"/>
        <v>405812319.7</v>
      </c>
      <c r="I31" s="94">
        <f t="shared" si="10"/>
        <v>404921995.9</v>
      </c>
      <c r="J31" s="94">
        <f t="shared" si="10"/>
        <v>403754856</v>
      </c>
      <c r="K31" s="94">
        <f t="shared" si="10"/>
        <v>443319712.9</v>
      </c>
      <c r="L31" s="94">
        <f t="shared" si="10"/>
        <v>519784806.5</v>
      </c>
      <c r="M31" s="94" t="str">
        <f t="shared" si="10"/>
        <v>#REF!</v>
      </c>
      <c r="N31" s="94">
        <f t="shared" si="10"/>
        <v>8240392.168</v>
      </c>
      <c r="O31" s="127" t="str">
        <f t="shared" si="10"/>
        <v>#REF!</v>
      </c>
      <c r="P31" s="2"/>
      <c r="Q31" s="2"/>
      <c r="R31" s="2"/>
      <c r="S31" s="2"/>
      <c r="T31" s="2"/>
      <c r="U31" s="2"/>
      <c r="V31" s="2"/>
      <c r="W31" s="2"/>
      <c r="X31" s="2"/>
      <c r="Y31" s="2"/>
      <c r="Z31" s="2"/>
      <c r="AA31" s="2"/>
      <c r="AB31" s="2"/>
      <c r="AC31" s="2"/>
      <c r="AD31" s="2"/>
      <c r="AE31" s="2"/>
      <c r="AF31" s="2"/>
      <c r="AG31" s="2"/>
      <c r="AH31" s="2"/>
      <c r="AI31" s="2"/>
    </row>
    <row r="32">
      <c r="A32" s="2"/>
      <c r="B32" s="80" t="s">
        <v>72</v>
      </c>
      <c r="C32" s="81">
        <f t="shared" ref="C32:O32" si="11">C28-C29</f>
        <v>24051951.9</v>
      </c>
      <c r="D32" s="81">
        <f t="shared" si="11"/>
        <v>31376278</v>
      </c>
      <c r="E32" s="81">
        <f t="shared" si="11"/>
        <v>32763961.47</v>
      </c>
      <c r="F32" s="81">
        <f t="shared" si="11"/>
        <v>10716929.72</v>
      </c>
      <c r="G32" s="81">
        <f t="shared" si="11"/>
        <v>8429719.295</v>
      </c>
      <c r="H32" s="81">
        <f t="shared" si="11"/>
        <v>9131158.7</v>
      </c>
      <c r="I32" s="94">
        <f t="shared" si="11"/>
        <v>8810994.81</v>
      </c>
      <c r="J32" s="94">
        <f t="shared" si="11"/>
        <v>5480331.569</v>
      </c>
      <c r="K32" s="94">
        <f t="shared" si="11"/>
        <v>3498287.976</v>
      </c>
      <c r="L32" s="94">
        <f t="shared" si="11"/>
        <v>4451228.36</v>
      </c>
      <c r="M32" s="94">
        <f t="shared" si="11"/>
        <v>25137800.97</v>
      </c>
      <c r="N32" s="94">
        <f t="shared" si="11"/>
        <v>166959606.8</v>
      </c>
      <c r="O32" s="127">
        <f t="shared" si="11"/>
        <v>330808249.6</v>
      </c>
      <c r="P32" s="2"/>
      <c r="Q32" s="2"/>
      <c r="R32" s="2"/>
      <c r="S32" s="2"/>
      <c r="T32" s="2"/>
      <c r="U32" s="2"/>
      <c r="V32" s="2"/>
      <c r="W32" s="2"/>
      <c r="X32" s="2"/>
      <c r="Y32" s="2"/>
      <c r="Z32" s="2"/>
      <c r="AA32" s="2"/>
      <c r="AB32" s="2"/>
      <c r="AC32" s="2"/>
      <c r="AD32" s="2"/>
      <c r="AE32" s="2"/>
      <c r="AF32" s="2"/>
      <c r="AG32" s="2"/>
      <c r="AH32" s="2"/>
      <c r="AI32" s="2"/>
    </row>
    <row r="33">
      <c r="A33" s="2"/>
      <c r="B33" s="80" t="s">
        <v>73</v>
      </c>
      <c r="C33" s="81">
        <f t="shared" ref="C33:O33" si="12">C32/C28</f>
        <v>0.1023359978</v>
      </c>
      <c r="D33" s="81">
        <f t="shared" si="12"/>
        <v>0.0738541063</v>
      </c>
      <c r="E33" s="81">
        <f t="shared" si="12"/>
        <v>0.06933188489</v>
      </c>
      <c r="F33" s="81">
        <f t="shared" si="12"/>
        <v>0.0243566584</v>
      </c>
      <c r="G33" s="81">
        <f t="shared" si="12"/>
        <v>0.01778421787</v>
      </c>
      <c r="H33" s="81">
        <f t="shared" si="12"/>
        <v>0.02481101107</v>
      </c>
      <c r="I33" s="128">
        <f t="shared" si="12"/>
        <v>0.02204729065</v>
      </c>
      <c r="J33" s="128">
        <f t="shared" si="12"/>
        <v>0.01381077218</v>
      </c>
      <c r="K33" s="128">
        <f t="shared" si="12"/>
        <v>0.008019944438</v>
      </c>
      <c r="L33" s="128">
        <f t="shared" si="12"/>
        <v>0.008969283858</v>
      </c>
      <c r="M33" s="128">
        <f t="shared" si="12"/>
        <v>0.0530652678</v>
      </c>
      <c r="N33" s="128">
        <f t="shared" si="12"/>
        <v>0.9529657979</v>
      </c>
      <c r="O33" s="129">
        <f t="shared" si="12"/>
        <v>0.06902896868</v>
      </c>
      <c r="P33" s="2"/>
      <c r="Q33" s="2"/>
      <c r="R33" s="2"/>
      <c r="S33" s="2"/>
      <c r="T33" s="2"/>
      <c r="U33" s="2"/>
      <c r="V33" s="2"/>
      <c r="W33" s="2"/>
      <c r="X33" s="2"/>
      <c r="Y33" s="2"/>
      <c r="Z33" s="2"/>
      <c r="AA33" s="2"/>
      <c r="AB33" s="2"/>
      <c r="AC33" s="2"/>
      <c r="AD33" s="2"/>
      <c r="AE33" s="2"/>
      <c r="AF33" s="2"/>
      <c r="AG33" s="2"/>
      <c r="AH33" s="2"/>
      <c r="AI33" s="2"/>
    </row>
    <row r="34">
      <c r="A34" s="2"/>
      <c r="B34" s="130" t="s">
        <v>74</v>
      </c>
      <c r="C34" s="81">
        <f>YR1991_93!F65</f>
        <v>24051951.9</v>
      </c>
      <c r="D34" s="81">
        <f>YR1994_96!F65</f>
        <v>31376278</v>
      </c>
      <c r="E34" s="81">
        <f>YR1997_99!F65</f>
        <v>32763961.33</v>
      </c>
      <c r="F34" s="81">
        <f>YR2000_02!F57</f>
        <v>9811798</v>
      </c>
      <c r="G34" s="81">
        <f>YR2003_05!F57</f>
        <v>7511983.615</v>
      </c>
      <c r="H34" s="81">
        <f>YR2006_08!F62</f>
        <v>5940206.39</v>
      </c>
      <c r="I34" s="94">
        <f>YR2009_11!F62</f>
        <v>6211154.55</v>
      </c>
      <c r="J34" s="94">
        <f>YR2012_14!F64</f>
        <v>5000737.48</v>
      </c>
      <c r="K34" s="94">
        <f>YR2015_17!F63</f>
        <v>3405326.21</v>
      </c>
      <c r="L34" s="94">
        <f>YR2018_20!F64</f>
        <v>4037668.35</v>
      </c>
      <c r="M34" s="94">
        <f>YR2021_23!F63</f>
        <v>19838165.43</v>
      </c>
      <c r="N34" s="96">
        <f>'2024-26 Contributions'!G64</f>
        <v>11938884</v>
      </c>
      <c r="O34" s="127">
        <f>SUM(C34:N34)</f>
        <v>161888115.3</v>
      </c>
      <c r="P34" s="2"/>
      <c r="Q34" s="2"/>
      <c r="R34" s="2"/>
      <c r="S34" s="2"/>
      <c r="T34" s="2"/>
      <c r="U34" s="2"/>
      <c r="V34" s="2"/>
      <c r="W34" s="2"/>
      <c r="X34" s="2"/>
      <c r="Y34" s="2"/>
      <c r="Z34" s="2"/>
      <c r="AA34" s="2"/>
      <c r="AB34" s="2"/>
      <c r="AC34" s="2"/>
      <c r="AD34" s="2"/>
      <c r="AE34" s="2"/>
      <c r="AF34" s="2"/>
      <c r="AG34" s="2"/>
      <c r="AH34" s="2"/>
      <c r="AI34" s="2"/>
    </row>
    <row r="35">
      <c r="A35" s="2"/>
      <c r="B35" s="131" t="s">
        <v>75</v>
      </c>
      <c r="C35" s="132">
        <f t="shared" ref="C35:O35" si="13">C34/C28</f>
        <v>0.1023359978</v>
      </c>
      <c r="D35" s="132">
        <f t="shared" si="13"/>
        <v>0.0738541063</v>
      </c>
      <c r="E35" s="132">
        <f t="shared" si="13"/>
        <v>0.06933188459</v>
      </c>
      <c r="F35" s="132">
        <f t="shared" si="13"/>
        <v>0.02229954086</v>
      </c>
      <c r="G35" s="132">
        <f t="shared" si="13"/>
        <v>0.01584806666</v>
      </c>
      <c r="H35" s="132">
        <f t="shared" si="13"/>
        <v>0.01614061603</v>
      </c>
      <c r="I35" s="132">
        <f t="shared" si="13"/>
        <v>0.01554184659</v>
      </c>
      <c r="J35" s="132">
        <f t="shared" si="13"/>
        <v>0.01260216562</v>
      </c>
      <c r="K35" s="132">
        <f t="shared" si="13"/>
        <v>0.00780682642</v>
      </c>
      <c r="L35" s="132">
        <f t="shared" si="13"/>
        <v>0.008135954983</v>
      </c>
      <c r="M35" s="132">
        <f t="shared" si="13"/>
        <v>0.04187787</v>
      </c>
      <c r="N35" s="132">
        <f t="shared" si="13"/>
        <v>0.06814431546</v>
      </c>
      <c r="O35" s="133">
        <f t="shared" si="13"/>
        <v>0.03378080701</v>
      </c>
      <c r="P35" s="2"/>
      <c r="Q35" s="2"/>
      <c r="R35" s="2"/>
      <c r="S35" s="2"/>
      <c r="T35" s="2"/>
      <c r="U35" s="2"/>
      <c r="V35" s="2"/>
      <c r="W35" s="2"/>
      <c r="X35" s="2"/>
      <c r="Y35" s="2"/>
      <c r="Z35" s="2"/>
      <c r="AA35" s="2"/>
      <c r="AB35" s="2"/>
      <c r="AC35" s="2"/>
      <c r="AD35" s="2"/>
      <c r="AE35" s="2"/>
      <c r="AF35" s="2"/>
      <c r="AG35" s="2"/>
      <c r="AH35" s="2"/>
      <c r="AI35" s="2"/>
    </row>
    <row r="36">
      <c r="A36" s="2"/>
      <c r="B36" s="134" t="s">
        <v>76</v>
      </c>
      <c r="C36" s="135"/>
      <c r="D36" s="136"/>
      <c r="E36" s="135"/>
      <c r="F36" s="135"/>
      <c r="G36" s="135"/>
      <c r="H36" s="135"/>
      <c r="I36" s="137"/>
      <c r="J36" s="137"/>
      <c r="K36" s="138"/>
      <c r="L36" s="138"/>
      <c r="M36" s="138"/>
      <c r="N36" s="138"/>
      <c r="O36" s="138"/>
      <c r="P36" s="2"/>
      <c r="Q36" s="2"/>
      <c r="R36" s="2"/>
      <c r="S36" s="2"/>
      <c r="T36" s="2"/>
      <c r="U36" s="2"/>
      <c r="V36" s="2"/>
      <c r="W36" s="2"/>
      <c r="X36" s="2"/>
      <c r="Y36" s="2"/>
      <c r="Z36" s="2"/>
      <c r="AA36" s="2"/>
      <c r="AB36" s="2"/>
      <c r="AC36" s="2"/>
      <c r="AD36" s="2"/>
      <c r="AE36" s="2"/>
      <c r="AF36" s="2"/>
      <c r="AG36" s="2"/>
      <c r="AH36" s="2"/>
      <c r="AI36" s="2"/>
    </row>
    <row r="37">
      <c r="A37" s="2"/>
      <c r="B37" s="34"/>
      <c r="C37" s="34"/>
      <c r="D37" s="34"/>
      <c r="E37" s="34"/>
      <c r="F37" s="34"/>
      <c r="G37" s="34"/>
      <c r="H37" s="34"/>
      <c r="I37" s="2"/>
      <c r="J37" s="2"/>
      <c r="K37" s="57"/>
      <c r="L37" s="57"/>
      <c r="M37" s="57"/>
      <c r="N37" s="57"/>
      <c r="O37" s="57"/>
      <c r="P37" s="2"/>
      <c r="Q37" s="2"/>
      <c r="R37" s="2"/>
      <c r="S37" s="2"/>
      <c r="T37" s="2"/>
      <c r="U37" s="2"/>
      <c r="V37" s="2"/>
      <c r="W37" s="2"/>
      <c r="X37" s="2"/>
      <c r="Y37" s="2"/>
      <c r="Z37" s="2"/>
      <c r="AA37" s="2"/>
      <c r="AB37" s="2"/>
      <c r="AC37" s="2"/>
      <c r="AD37" s="2"/>
      <c r="AE37" s="2"/>
      <c r="AF37" s="2"/>
      <c r="AG37" s="2"/>
      <c r="AH37" s="2"/>
      <c r="AI37" s="2"/>
    </row>
    <row r="38">
      <c r="A38" s="2"/>
      <c r="B38" s="34"/>
      <c r="C38" s="34"/>
      <c r="D38" s="34"/>
      <c r="E38" s="34"/>
      <c r="F38" s="34"/>
      <c r="G38" s="34"/>
      <c r="H38" s="34"/>
      <c r="I38" s="2"/>
      <c r="J38" s="2"/>
      <c r="K38" s="57"/>
      <c r="L38" s="57"/>
      <c r="M38" s="57"/>
      <c r="N38" s="57"/>
      <c r="O38" s="57"/>
      <c r="P38" s="2"/>
      <c r="Q38" s="2"/>
      <c r="R38" s="2"/>
      <c r="S38" s="2"/>
      <c r="T38" s="2"/>
      <c r="U38" s="2"/>
      <c r="V38" s="2"/>
      <c r="W38" s="2"/>
      <c r="X38" s="2"/>
      <c r="Y38" s="2"/>
      <c r="Z38" s="2"/>
      <c r="AA38" s="2"/>
      <c r="AB38" s="2"/>
      <c r="AC38" s="2"/>
      <c r="AD38" s="2"/>
      <c r="AE38" s="2"/>
      <c r="AF38" s="2"/>
      <c r="AG38" s="2"/>
      <c r="AH38" s="2"/>
      <c r="AI38" s="2"/>
    </row>
    <row r="39">
      <c r="A39" s="2"/>
      <c r="B39" s="34"/>
      <c r="C39" s="34"/>
      <c r="D39" s="34"/>
      <c r="E39" s="34"/>
      <c r="F39" s="34"/>
      <c r="G39" s="34"/>
      <c r="H39" s="34"/>
      <c r="I39" s="2"/>
      <c r="J39" s="2"/>
      <c r="K39" s="57"/>
      <c r="L39" s="57"/>
      <c r="M39" s="57"/>
      <c r="N39" s="57"/>
      <c r="O39" s="57"/>
      <c r="P39" s="2"/>
      <c r="Q39" s="2"/>
      <c r="R39" s="2"/>
      <c r="S39" s="2"/>
      <c r="T39" s="2"/>
      <c r="U39" s="2"/>
      <c r="V39" s="2"/>
      <c r="W39" s="2"/>
      <c r="X39" s="2"/>
      <c r="Y39" s="2"/>
      <c r="Z39" s="2"/>
      <c r="AA39" s="2"/>
      <c r="AB39" s="2"/>
      <c r="AC39" s="2"/>
      <c r="AD39" s="2"/>
      <c r="AE39" s="2"/>
      <c r="AF39" s="2"/>
      <c r="AG39" s="2"/>
      <c r="AH39" s="2"/>
      <c r="AI39" s="2"/>
    </row>
    <row r="40">
      <c r="A40" s="2"/>
      <c r="B40" s="34"/>
      <c r="C40" s="34"/>
      <c r="D40" s="34"/>
      <c r="E40" s="34"/>
      <c r="F40" s="34"/>
      <c r="G40" s="34"/>
      <c r="H40" s="34"/>
      <c r="I40" s="2"/>
      <c r="J40" s="2"/>
      <c r="K40" s="57"/>
      <c r="L40" s="57"/>
      <c r="M40" s="57"/>
      <c r="N40" s="57"/>
      <c r="O40" s="57"/>
      <c r="P40" s="2"/>
      <c r="Q40" s="2"/>
      <c r="R40" s="2"/>
      <c r="S40" s="2"/>
      <c r="T40" s="2"/>
      <c r="U40" s="2"/>
      <c r="V40" s="2"/>
      <c r="W40" s="2"/>
      <c r="X40" s="2"/>
      <c r="Y40" s="2"/>
      <c r="Z40" s="2"/>
      <c r="AA40" s="2"/>
      <c r="AB40" s="2"/>
      <c r="AC40" s="2"/>
      <c r="AD40" s="2"/>
      <c r="AE40" s="2"/>
      <c r="AF40" s="2"/>
      <c r="AG40" s="2"/>
      <c r="AH40" s="2"/>
      <c r="AI40" s="2"/>
    </row>
    <row r="41">
      <c r="A41" s="2"/>
      <c r="B41" s="34"/>
      <c r="C41" s="34"/>
      <c r="D41" s="34"/>
      <c r="E41" s="34"/>
      <c r="F41" s="34"/>
      <c r="G41" s="34"/>
      <c r="H41" s="34"/>
      <c r="I41" s="2"/>
      <c r="J41" s="2"/>
      <c r="K41" s="57"/>
      <c r="L41" s="57"/>
      <c r="M41" s="57"/>
      <c r="N41" s="57"/>
      <c r="O41" s="57"/>
      <c r="P41" s="2"/>
      <c r="Q41" s="2"/>
      <c r="R41" s="2"/>
      <c r="S41" s="2"/>
      <c r="T41" s="2"/>
      <c r="U41" s="2"/>
      <c r="V41" s="2"/>
      <c r="W41" s="2"/>
      <c r="X41" s="2"/>
      <c r="Y41" s="2"/>
      <c r="Z41" s="2"/>
      <c r="AA41" s="2"/>
      <c r="AB41" s="2"/>
      <c r="AC41" s="2"/>
      <c r="AD41" s="2"/>
      <c r="AE41" s="2"/>
      <c r="AF41" s="2"/>
      <c r="AG41" s="2"/>
      <c r="AH41" s="2"/>
      <c r="AI41" s="2"/>
    </row>
    <row r="42">
      <c r="A42" s="2"/>
      <c r="B42" s="34"/>
      <c r="C42" s="34"/>
      <c r="D42" s="34"/>
      <c r="E42" s="34"/>
      <c r="F42" s="34"/>
      <c r="G42" s="34"/>
      <c r="H42" s="34"/>
      <c r="I42" s="2"/>
      <c r="J42" s="2"/>
      <c r="K42" s="57"/>
      <c r="L42" s="57"/>
      <c r="M42" s="57"/>
      <c r="N42" s="57"/>
      <c r="O42" s="57"/>
      <c r="P42" s="2"/>
      <c r="Q42" s="2"/>
      <c r="R42" s="2"/>
      <c r="S42" s="2"/>
      <c r="T42" s="2"/>
      <c r="U42" s="2"/>
      <c r="V42" s="2"/>
      <c r="W42" s="2"/>
      <c r="X42" s="2"/>
      <c r="Y42" s="2"/>
      <c r="Z42" s="2"/>
      <c r="AA42" s="2"/>
      <c r="AB42" s="2"/>
      <c r="AC42" s="2"/>
      <c r="AD42" s="2"/>
      <c r="AE42" s="2"/>
      <c r="AF42" s="2"/>
      <c r="AG42" s="2"/>
      <c r="AH42" s="2"/>
      <c r="AI42" s="2"/>
    </row>
    <row r="43">
      <c r="A43" s="2"/>
      <c r="B43" s="34"/>
      <c r="C43" s="34"/>
      <c r="D43" s="34"/>
      <c r="E43" s="34"/>
      <c r="F43" s="34"/>
      <c r="G43" s="34"/>
      <c r="H43" s="34"/>
      <c r="I43" s="2"/>
      <c r="J43" s="2"/>
      <c r="K43" s="57"/>
      <c r="L43" s="57"/>
      <c r="M43" s="57"/>
      <c r="N43" s="57"/>
      <c r="O43" s="57"/>
      <c r="P43" s="2"/>
      <c r="Q43" s="2"/>
      <c r="R43" s="2"/>
      <c r="S43" s="2"/>
      <c r="T43" s="2"/>
      <c r="U43" s="2"/>
      <c r="V43" s="2"/>
      <c r="W43" s="2"/>
      <c r="X43" s="2"/>
      <c r="Y43" s="2"/>
      <c r="Z43" s="2"/>
      <c r="AA43" s="2"/>
      <c r="AB43" s="2"/>
      <c r="AC43" s="2"/>
      <c r="AD43" s="2"/>
      <c r="AE43" s="2"/>
      <c r="AF43" s="2"/>
      <c r="AG43" s="2"/>
      <c r="AH43" s="2"/>
      <c r="AI43" s="2"/>
    </row>
    <row r="44">
      <c r="A44" s="2"/>
      <c r="B44" s="34"/>
      <c r="C44" s="34"/>
      <c r="D44" s="34"/>
      <c r="E44" s="34"/>
      <c r="F44" s="34"/>
      <c r="G44" s="34"/>
      <c r="H44" s="34"/>
      <c r="I44" s="2"/>
      <c r="J44" s="2"/>
      <c r="K44" s="57"/>
      <c r="L44" s="57"/>
      <c r="M44" s="57"/>
      <c r="N44" s="57"/>
      <c r="O44" s="57"/>
      <c r="P44" s="2"/>
      <c r="Q44" s="2"/>
      <c r="R44" s="2"/>
      <c r="S44" s="2"/>
      <c r="T44" s="2"/>
      <c r="U44" s="2"/>
      <c r="V44" s="2"/>
      <c r="W44" s="2"/>
      <c r="X44" s="2"/>
      <c r="Y44" s="2"/>
      <c r="Z44" s="2"/>
      <c r="AA44" s="2"/>
      <c r="AB44" s="2"/>
      <c r="AC44" s="2"/>
      <c r="AD44" s="2"/>
      <c r="AE44" s="2"/>
      <c r="AF44" s="2"/>
      <c r="AG44" s="2"/>
      <c r="AH44" s="2"/>
      <c r="AI44" s="2"/>
    </row>
    <row r="45">
      <c r="A45" s="2"/>
      <c r="B45" s="34"/>
      <c r="C45" s="34"/>
      <c r="D45" s="34"/>
      <c r="E45" s="34"/>
      <c r="F45" s="34"/>
      <c r="G45" s="34"/>
      <c r="H45" s="34"/>
      <c r="I45" s="2"/>
      <c r="J45" s="2"/>
      <c r="K45" s="57"/>
      <c r="L45" s="57"/>
      <c r="M45" s="57"/>
      <c r="N45" s="57"/>
      <c r="O45" s="57"/>
      <c r="P45" s="2"/>
      <c r="Q45" s="2"/>
      <c r="R45" s="2"/>
      <c r="S45" s="2"/>
      <c r="T45" s="2"/>
      <c r="U45" s="2"/>
      <c r="V45" s="2"/>
      <c r="W45" s="2"/>
      <c r="X45" s="2"/>
      <c r="Y45" s="2"/>
      <c r="Z45" s="2"/>
      <c r="AA45" s="2"/>
      <c r="AB45" s="2"/>
      <c r="AC45" s="2"/>
      <c r="AD45" s="2"/>
      <c r="AE45" s="2"/>
      <c r="AF45" s="2"/>
      <c r="AG45" s="2"/>
      <c r="AH45" s="2"/>
      <c r="AI45" s="2"/>
    </row>
    <row r="46">
      <c r="A46" s="2"/>
      <c r="B46" s="34"/>
      <c r="C46" s="34"/>
      <c r="D46" s="34"/>
      <c r="E46" s="34"/>
      <c r="F46" s="34"/>
      <c r="G46" s="34"/>
      <c r="H46" s="34"/>
      <c r="I46" s="2"/>
      <c r="J46" s="2"/>
      <c r="K46" s="57"/>
      <c r="L46" s="57"/>
      <c r="M46" s="57"/>
      <c r="N46" s="57"/>
      <c r="O46" s="57"/>
      <c r="P46" s="2"/>
      <c r="Q46" s="2"/>
      <c r="R46" s="2"/>
      <c r="S46" s="2"/>
      <c r="T46" s="2"/>
      <c r="U46" s="2"/>
      <c r="V46" s="2"/>
      <c r="W46" s="2"/>
      <c r="X46" s="2"/>
      <c r="Y46" s="2"/>
      <c r="Z46" s="2"/>
      <c r="AA46" s="2"/>
      <c r="AB46" s="2"/>
      <c r="AC46" s="2"/>
      <c r="AD46" s="2"/>
      <c r="AE46" s="2"/>
      <c r="AF46" s="2"/>
      <c r="AG46" s="2"/>
      <c r="AH46" s="2"/>
      <c r="AI46" s="2"/>
    </row>
    <row r="47">
      <c r="A47" s="2"/>
      <c r="B47" s="34"/>
      <c r="C47" s="34"/>
      <c r="D47" s="34"/>
      <c r="E47" s="34"/>
      <c r="F47" s="34"/>
      <c r="G47" s="34"/>
      <c r="H47" s="34"/>
      <c r="I47" s="2"/>
      <c r="J47" s="2"/>
      <c r="K47" s="57"/>
      <c r="L47" s="57"/>
      <c r="M47" s="57"/>
      <c r="N47" s="57"/>
      <c r="O47" s="57"/>
      <c r="P47" s="2"/>
      <c r="Q47" s="2"/>
      <c r="R47" s="2"/>
      <c r="S47" s="2"/>
      <c r="T47" s="2"/>
      <c r="U47" s="2"/>
      <c r="V47" s="2"/>
      <c r="W47" s="2"/>
      <c r="X47" s="2"/>
      <c r="Y47" s="2"/>
      <c r="Z47" s="2"/>
      <c r="AA47" s="2"/>
      <c r="AB47" s="2"/>
      <c r="AC47" s="2"/>
      <c r="AD47" s="2"/>
      <c r="AE47" s="2"/>
      <c r="AF47" s="2"/>
      <c r="AG47" s="2"/>
      <c r="AH47" s="2"/>
      <c r="AI47" s="2"/>
    </row>
    <row r="48">
      <c r="A48" s="2"/>
      <c r="B48" s="34"/>
      <c r="C48" s="34"/>
      <c r="D48" s="34"/>
      <c r="E48" s="34"/>
      <c r="F48" s="34"/>
      <c r="G48" s="34"/>
      <c r="H48" s="34"/>
      <c r="I48" s="2"/>
      <c r="J48" s="2"/>
      <c r="K48" s="57"/>
      <c r="L48" s="57"/>
      <c r="M48" s="57"/>
      <c r="N48" s="57"/>
      <c r="O48" s="57"/>
      <c r="P48" s="2"/>
      <c r="Q48" s="2"/>
      <c r="R48" s="2"/>
      <c r="S48" s="2"/>
      <c r="T48" s="2"/>
      <c r="U48" s="2"/>
      <c r="V48" s="2"/>
      <c r="W48" s="2"/>
      <c r="X48" s="2"/>
      <c r="Y48" s="2"/>
      <c r="Z48" s="2"/>
      <c r="AA48" s="2"/>
      <c r="AB48" s="2"/>
      <c r="AC48" s="2"/>
      <c r="AD48" s="2"/>
      <c r="AE48" s="2"/>
      <c r="AF48" s="2"/>
      <c r="AG48" s="2"/>
      <c r="AH48" s="2"/>
      <c r="AI48" s="2"/>
    </row>
    <row r="49">
      <c r="A49" s="2"/>
      <c r="B49" s="34"/>
      <c r="C49" s="34"/>
      <c r="D49" s="34"/>
      <c r="E49" s="34"/>
      <c r="F49" s="34"/>
      <c r="G49" s="34"/>
      <c r="H49" s="34"/>
      <c r="I49" s="2"/>
      <c r="J49" s="2"/>
      <c r="K49" s="57"/>
      <c r="L49" s="57"/>
      <c r="M49" s="57"/>
      <c r="N49" s="57"/>
      <c r="O49" s="57"/>
      <c r="P49" s="2"/>
      <c r="Q49" s="2"/>
      <c r="R49" s="2"/>
      <c r="S49" s="2"/>
      <c r="T49" s="2"/>
      <c r="U49" s="2"/>
      <c r="V49" s="2"/>
      <c r="W49" s="2"/>
      <c r="X49" s="2"/>
      <c r="Y49" s="2"/>
      <c r="Z49" s="2"/>
      <c r="AA49" s="2"/>
      <c r="AB49" s="2"/>
      <c r="AC49" s="2"/>
      <c r="AD49" s="2"/>
      <c r="AE49" s="2"/>
      <c r="AF49" s="2"/>
      <c r="AG49" s="2"/>
      <c r="AH49" s="2"/>
      <c r="AI49" s="2"/>
    </row>
    <row r="50">
      <c r="A50" s="2"/>
      <c r="B50" s="2"/>
      <c r="C50" s="2"/>
      <c r="D50" s="2"/>
      <c r="E50" s="2"/>
      <c r="F50" s="2"/>
      <c r="G50" s="2"/>
      <c r="H50" s="2"/>
      <c r="I50" s="2"/>
      <c r="J50" s="2"/>
      <c r="K50" s="57"/>
      <c r="L50" s="57"/>
      <c r="M50" s="57"/>
      <c r="N50" s="57"/>
      <c r="O50" s="57"/>
      <c r="P50" s="2"/>
      <c r="Q50" s="2"/>
      <c r="R50" s="2"/>
      <c r="S50" s="2"/>
      <c r="T50" s="2"/>
      <c r="U50" s="2"/>
      <c r="V50" s="2"/>
      <c r="W50" s="2"/>
      <c r="X50" s="2"/>
      <c r="Y50" s="2"/>
      <c r="Z50" s="2"/>
      <c r="AA50" s="2"/>
      <c r="AB50" s="2"/>
      <c r="AC50" s="2"/>
      <c r="AD50" s="2"/>
      <c r="AE50" s="2"/>
      <c r="AF50" s="2"/>
      <c r="AG50" s="2"/>
      <c r="AH50" s="2"/>
      <c r="AI50" s="2"/>
    </row>
    <row r="51">
      <c r="A51" s="2"/>
      <c r="B51" s="2"/>
      <c r="C51" s="2"/>
      <c r="D51" s="2"/>
      <c r="E51" s="2"/>
      <c r="F51" s="2"/>
      <c r="G51" s="2"/>
      <c r="H51" s="2"/>
      <c r="I51" s="2"/>
      <c r="J51" s="2"/>
      <c r="K51" s="57"/>
      <c r="L51" s="57"/>
      <c r="M51" s="57"/>
      <c r="N51" s="57"/>
      <c r="O51" s="57"/>
      <c r="P51" s="2"/>
      <c r="Q51" s="2"/>
      <c r="R51" s="2"/>
      <c r="S51" s="2"/>
      <c r="T51" s="2"/>
      <c r="U51" s="2"/>
      <c r="V51" s="2"/>
      <c r="W51" s="2"/>
      <c r="X51" s="2"/>
      <c r="Y51" s="2"/>
      <c r="Z51" s="2"/>
      <c r="AA51" s="2"/>
      <c r="AB51" s="2"/>
      <c r="AC51" s="2"/>
      <c r="AD51" s="2"/>
      <c r="AE51" s="2"/>
      <c r="AF51" s="2"/>
      <c r="AG51" s="2"/>
      <c r="AH51" s="2"/>
      <c r="AI51" s="2"/>
    </row>
    <row r="52">
      <c r="A52" s="2"/>
      <c r="B52" s="2"/>
      <c r="C52" s="2"/>
      <c r="D52" s="2"/>
      <c r="E52" s="2"/>
      <c r="F52" s="2"/>
      <c r="G52" s="2"/>
      <c r="H52" s="2"/>
      <c r="I52" s="2"/>
      <c r="J52" s="2"/>
      <c r="K52" s="57"/>
      <c r="L52" s="57"/>
      <c r="M52" s="57"/>
      <c r="N52" s="57"/>
      <c r="O52" s="57"/>
      <c r="P52" s="2"/>
      <c r="Q52" s="2"/>
      <c r="R52" s="2"/>
      <c r="S52" s="2"/>
      <c r="T52" s="2"/>
      <c r="U52" s="2"/>
      <c r="V52" s="2"/>
      <c r="W52" s="2"/>
      <c r="X52" s="2"/>
      <c r="Y52" s="2"/>
      <c r="Z52" s="2"/>
      <c r="AA52" s="2"/>
      <c r="AB52" s="2"/>
      <c r="AC52" s="2"/>
      <c r="AD52" s="2"/>
      <c r="AE52" s="2"/>
      <c r="AF52" s="2"/>
      <c r="AG52" s="2"/>
      <c r="AH52" s="2"/>
      <c r="AI52" s="2"/>
    </row>
    <row r="53">
      <c r="A53" s="2"/>
      <c r="B53" s="2"/>
      <c r="C53" s="2"/>
      <c r="D53" s="2"/>
      <c r="E53" s="2"/>
      <c r="F53" s="2"/>
      <c r="G53" s="2"/>
      <c r="H53" s="2"/>
      <c r="I53" s="2"/>
      <c r="J53" s="2"/>
      <c r="K53" s="57"/>
      <c r="L53" s="57"/>
      <c r="M53" s="57"/>
      <c r="N53" s="57"/>
      <c r="O53" s="57"/>
      <c r="P53" s="2"/>
      <c r="Q53" s="2"/>
      <c r="R53" s="2"/>
      <c r="S53" s="2"/>
      <c r="T53" s="2"/>
      <c r="U53" s="2"/>
      <c r="V53" s="2"/>
      <c r="W53" s="2"/>
      <c r="X53" s="2"/>
      <c r="Y53" s="2"/>
      <c r="Z53" s="2"/>
      <c r="AA53" s="2"/>
      <c r="AB53" s="2"/>
      <c r="AC53" s="2"/>
      <c r="AD53" s="2"/>
      <c r="AE53" s="2"/>
      <c r="AF53" s="2"/>
      <c r="AG53" s="2"/>
      <c r="AH53" s="2"/>
      <c r="AI53" s="2"/>
    </row>
    <row r="54">
      <c r="A54" s="2"/>
      <c r="B54" s="2"/>
      <c r="C54" s="2"/>
      <c r="D54" s="2"/>
      <c r="E54" s="2"/>
      <c r="F54" s="2"/>
      <c r="G54" s="2"/>
      <c r="H54" s="2"/>
      <c r="I54" s="2"/>
      <c r="J54" s="2"/>
      <c r="K54" s="57"/>
      <c r="L54" s="57"/>
      <c r="M54" s="57"/>
      <c r="N54" s="57"/>
      <c r="O54" s="57"/>
      <c r="P54" s="2"/>
      <c r="Q54" s="2"/>
      <c r="R54" s="2"/>
      <c r="S54" s="2"/>
      <c r="T54" s="2"/>
      <c r="U54" s="2"/>
      <c r="V54" s="2"/>
      <c r="W54" s="2"/>
      <c r="X54" s="2"/>
      <c r="Y54" s="2"/>
      <c r="Z54" s="2"/>
      <c r="AA54" s="2"/>
      <c r="AB54" s="2"/>
      <c r="AC54" s="2"/>
      <c r="AD54" s="2"/>
      <c r="AE54" s="2"/>
      <c r="AF54" s="2"/>
      <c r="AG54" s="2"/>
      <c r="AH54" s="2"/>
      <c r="AI54" s="2"/>
    </row>
    <row r="55">
      <c r="A55" s="2"/>
      <c r="B55" s="2"/>
      <c r="C55" s="2"/>
      <c r="D55" s="2"/>
      <c r="E55" s="2"/>
      <c r="F55" s="2"/>
      <c r="G55" s="2"/>
      <c r="H55" s="2"/>
      <c r="I55" s="2"/>
      <c r="J55" s="2"/>
      <c r="K55" s="57"/>
      <c r="L55" s="57"/>
      <c r="M55" s="57"/>
      <c r="N55" s="57"/>
      <c r="O55" s="57"/>
      <c r="P55" s="2"/>
      <c r="Q55" s="2"/>
      <c r="R55" s="2"/>
      <c r="S55" s="2"/>
      <c r="T55" s="2"/>
      <c r="U55" s="2"/>
      <c r="V55" s="2"/>
      <c r="W55" s="2"/>
      <c r="X55" s="2"/>
      <c r="Y55" s="2"/>
      <c r="Z55" s="2"/>
      <c r="AA55" s="2"/>
      <c r="AB55" s="2"/>
      <c r="AC55" s="2"/>
      <c r="AD55" s="2"/>
      <c r="AE55" s="2"/>
      <c r="AF55" s="2"/>
      <c r="AG55" s="2"/>
      <c r="AH55" s="2"/>
      <c r="AI55" s="2"/>
    </row>
    <row r="56">
      <c r="A56" s="2"/>
      <c r="B56" s="2"/>
      <c r="C56" s="2"/>
      <c r="D56" s="2"/>
      <c r="E56" s="2"/>
      <c r="F56" s="2"/>
      <c r="G56" s="2"/>
      <c r="H56" s="2"/>
      <c r="I56" s="2"/>
      <c r="J56" s="2"/>
      <c r="K56" s="57"/>
      <c r="L56" s="57"/>
      <c r="M56" s="57"/>
      <c r="N56" s="57"/>
      <c r="O56" s="57"/>
      <c r="P56" s="2"/>
      <c r="Q56" s="2"/>
      <c r="R56" s="2"/>
      <c r="S56" s="2"/>
      <c r="T56" s="2"/>
      <c r="U56" s="2"/>
      <c r="V56" s="2"/>
      <c r="W56" s="2"/>
      <c r="X56" s="2"/>
      <c r="Y56" s="2"/>
      <c r="Z56" s="2"/>
      <c r="AA56" s="2"/>
      <c r="AB56" s="2"/>
      <c r="AC56" s="2"/>
      <c r="AD56" s="2"/>
      <c r="AE56" s="2"/>
      <c r="AF56" s="2"/>
      <c r="AG56" s="2"/>
      <c r="AH56" s="2"/>
      <c r="AI56" s="2"/>
    </row>
    <row r="57">
      <c r="A57" s="2"/>
      <c r="B57" s="2"/>
      <c r="C57" s="2"/>
      <c r="D57" s="2"/>
      <c r="E57" s="2"/>
      <c r="F57" s="2"/>
      <c r="G57" s="2"/>
      <c r="H57" s="2"/>
      <c r="I57" s="2"/>
      <c r="J57" s="2"/>
      <c r="K57" s="57"/>
      <c r="L57" s="57"/>
      <c r="M57" s="57"/>
      <c r="N57" s="57"/>
      <c r="O57" s="57"/>
      <c r="P57" s="2"/>
      <c r="Q57" s="2"/>
      <c r="R57" s="2"/>
      <c r="S57" s="2"/>
      <c r="T57" s="2"/>
      <c r="U57" s="2"/>
      <c r="V57" s="2"/>
      <c r="W57" s="2"/>
      <c r="X57" s="2"/>
      <c r="Y57" s="2"/>
      <c r="Z57" s="2"/>
      <c r="AA57" s="2"/>
      <c r="AB57" s="2"/>
      <c r="AC57" s="2"/>
      <c r="AD57" s="2"/>
      <c r="AE57" s="2"/>
      <c r="AF57" s="2"/>
      <c r="AG57" s="2"/>
      <c r="AH57" s="2"/>
      <c r="AI57" s="2"/>
    </row>
    <row r="58">
      <c r="A58" s="2"/>
      <c r="B58" s="2"/>
      <c r="C58" s="2"/>
      <c r="D58" s="2"/>
      <c r="E58" s="2"/>
      <c r="F58" s="2"/>
      <c r="G58" s="2"/>
      <c r="H58" s="2"/>
      <c r="I58" s="2"/>
      <c r="J58" s="2"/>
      <c r="K58" s="57"/>
      <c r="L58" s="57"/>
      <c r="M58" s="57"/>
      <c r="N58" s="57"/>
      <c r="O58" s="57"/>
      <c r="P58" s="2"/>
      <c r="Q58" s="2"/>
      <c r="R58" s="2"/>
      <c r="S58" s="2"/>
      <c r="T58" s="2"/>
      <c r="U58" s="2"/>
      <c r="V58" s="2"/>
      <c r="W58" s="2"/>
      <c r="X58" s="2"/>
      <c r="Y58" s="2"/>
      <c r="Z58" s="2"/>
      <c r="AA58" s="2"/>
      <c r="AB58" s="2"/>
      <c r="AC58" s="2"/>
      <c r="AD58" s="2"/>
      <c r="AE58" s="2"/>
      <c r="AF58" s="2"/>
      <c r="AG58" s="2"/>
      <c r="AH58" s="2"/>
      <c r="AI58" s="2"/>
    </row>
    <row r="59">
      <c r="A59" s="2"/>
      <c r="B59" s="2"/>
      <c r="C59" s="2"/>
      <c r="D59" s="2"/>
      <c r="E59" s="2"/>
      <c r="F59" s="2"/>
      <c r="G59" s="2"/>
      <c r="H59" s="2"/>
      <c r="I59" s="2"/>
      <c r="J59" s="2"/>
      <c r="K59" s="57"/>
      <c r="L59" s="57"/>
      <c r="M59" s="57"/>
      <c r="N59" s="57"/>
      <c r="O59" s="57"/>
      <c r="P59" s="2"/>
      <c r="Q59" s="2"/>
      <c r="R59" s="2"/>
      <c r="S59" s="2"/>
      <c r="T59" s="2"/>
      <c r="U59" s="2"/>
      <c r="V59" s="2"/>
      <c r="W59" s="2"/>
      <c r="X59" s="2"/>
      <c r="Y59" s="2"/>
      <c r="Z59" s="2"/>
      <c r="AA59" s="2"/>
      <c r="AB59" s="2"/>
      <c r="AC59" s="2"/>
      <c r="AD59" s="2"/>
      <c r="AE59" s="2"/>
      <c r="AF59" s="2"/>
      <c r="AG59" s="2"/>
      <c r="AH59" s="2"/>
      <c r="AI59" s="2"/>
    </row>
    <row r="60">
      <c r="A60" s="2"/>
      <c r="B60" s="2"/>
      <c r="C60" s="2"/>
      <c r="D60" s="2"/>
      <c r="E60" s="2"/>
      <c r="F60" s="2"/>
      <c r="G60" s="2"/>
      <c r="H60" s="2"/>
      <c r="I60" s="2"/>
      <c r="J60" s="2"/>
      <c r="K60" s="57"/>
      <c r="L60" s="57"/>
      <c r="M60" s="57"/>
      <c r="N60" s="57"/>
      <c r="O60" s="57"/>
      <c r="P60" s="2"/>
      <c r="Q60" s="2"/>
      <c r="R60" s="2"/>
      <c r="S60" s="2"/>
      <c r="T60" s="2"/>
      <c r="U60" s="2"/>
      <c r="V60" s="2"/>
      <c r="W60" s="2"/>
      <c r="X60" s="2"/>
      <c r="Y60" s="2"/>
      <c r="Z60" s="2"/>
      <c r="AA60" s="2"/>
      <c r="AB60" s="2"/>
      <c r="AC60" s="2"/>
      <c r="AD60" s="2"/>
      <c r="AE60" s="2"/>
      <c r="AF60" s="2"/>
      <c r="AG60" s="2"/>
      <c r="AH60" s="2"/>
      <c r="AI60" s="2"/>
    </row>
    <row r="61">
      <c r="A61" s="2"/>
      <c r="B61" s="2"/>
      <c r="C61" s="2"/>
      <c r="D61" s="2"/>
      <c r="E61" s="2"/>
      <c r="F61" s="2"/>
      <c r="G61" s="2"/>
      <c r="H61" s="2"/>
      <c r="I61" s="2"/>
      <c r="J61" s="2"/>
      <c r="K61" s="57"/>
      <c r="L61" s="57"/>
      <c r="M61" s="57"/>
      <c r="N61" s="57"/>
      <c r="O61" s="57"/>
      <c r="P61" s="2"/>
      <c r="Q61" s="2"/>
      <c r="R61" s="2"/>
      <c r="S61" s="2"/>
      <c r="T61" s="2"/>
      <c r="U61" s="2"/>
      <c r="V61" s="2"/>
      <c r="W61" s="2"/>
      <c r="X61" s="2"/>
      <c r="Y61" s="2"/>
      <c r="Z61" s="2"/>
      <c r="AA61" s="2"/>
      <c r="AB61" s="2"/>
      <c r="AC61" s="2"/>
      <c r="AD61" s="2"/>
      <c r="AE61" s="2"/>
      <c r="AF61" s="2"/>
      <c r="AG61" s="2"/>
      <c r="AH61" s="2"/>
      <c r="AI61" s="2"/>
    </row>
    <row r="62">
      <c r="A62" s="2"/>
      <c r="B62" s="2"/>
      <c r="C62" s="2"/>
      <c r="D62" s="2"/>
      <c r="E62" s="2"/>
      <c r="F62" s="2"/>
      <c r="G62" s="2"/>
      <c r="H62" s="2"/>
      <c r="I62" s="2"/>
      <c r="J62" s="2"/>
      <c r="K62" s="57"/>
      <c r="L62" s="57"/>
      <c r="M62" s="57"/>
      <c r="N62" s="57"/>
      <c r="O62" s="57"/>
      <c r="P62" s="2"/>
      <c r="Q62" s="2"/>
      <c r="R62" s="2"/>
      <c r="S62" s="2"/>
      <c r="T62" s="2"/>
      <c r="U62" s="2"/>
      <c r="V62" s="2"/>
      <c r="W62" s="2"/>
      <c r="X62" s="2"/>
      <c r="Y62" s="2"/>
      <c r="Z62" s="2"/>
      <c r="AA62" s="2"/>
      <c r="AB62" s="2"/>
      <c r="AC62" s="2"/>
      <c r="AD62" s="2"/>
      <c r="AE62" s="2"/>
      <c r="AF62" s="2"/>
      <c r="AG62" s="2"/>
      <c r="AH62" s="2"/>
      <c r="AI62" s="2"/>
    </row>
    <row r="63">
      <c r="A63" s="2"/>
      <c r="B63" s="2"/>
      <c r="C63" s="2"/>
      <c r="D63" s="2"/>
      <c r="E63" s="2"/>
      <c r="F63" s="2"/>
      <c r="G63" s="2"/>
      <c r="H63" s="2"/>
      <c r="I63" s="2"/>
      <c r="J63" s="2"/>
      <c r="K63" s="57"/>
      <c r="L63" s="57"/>
      <c r="M63" s="57"/>
      <c r="N63" s="57"/>
      <c r="O63" s="57"/>
      <c r="P63" s="2"/>
      <c r="Q63" s="2"/>
      <c r="R63" s="2"/>
      <c r="S63" s="2"/>
      <c r="T63" s="2"/>
      <c r="U63" s="2"/>
      <c r="V63" s="2"/>
      <c r="W63" s="2"/>
      <c r="X63" s="2"/>
      <c r="Y63" s="2"/>
      <c r="Z63" s="2"/>
      <c r="AA63" s="2"/>
      <c r="AB63" s="2"/>
      <c r="AC63" s="2"/>
      <c r="AD63" s="2"/>
      <c r="AE63" s="2"/>
      <c r="AF63" s="2"/>
      <c r="AG63" s="2"/>
      <c r="AH63" s="2"/>
      <c r="AI63" s="2"/>
    </row>
    <row r="64">
      <c r="A64" s="2"/>
      <c r="B64" s="2"/>
      <c r="C64" s="2"/>
      <c r="D64" s="2"/>
      <c r="E64" s="2"/>
      <c r="F64" s="2"/>
      <c r="G64" s="2"/>
      <c r="H64" s="2"/>
      <c r="I64" s="2"/>
      <c r="J64" s="2"/>
      <c r="K64" s="57"/>
      <c r="L64" s="57"/>
      <c r="M64" s="57"/>
      <c r="N64" s="57"/>
      <c r="O64" s="57"/>
      <c r="P64" s="2"/>
      <c r="Q64" s="2"/>
      <c r="R64" s="2"/>
      <c r="S64" s="2"/>
      <c r="T64" s="2"/>
      <c r="U64" s="2"/>
      <c r="V64" s="2"/>
      <c r="W64" s="2"/>
      <c r="X64" s="2"/>
      <c r="Y64" s="2"/>
      <c r="Z64" s="2"/>
      <c r="AA64" s="2"/>
      <c r="AB64" s="2"/>
      <c r="AC64" s="2"/>
      <c r="AD64" s="2"/>
      <c r="AE64" s="2"/>
      <c r="AF64" s="2"/>
      <c r="AG64" s="2"/>
      <c r="AH64" s="2"/>
      <c r="AI64" s="2"/>
    </row>
    <row r="65">
      <c r="A65" s="2"/>
      <c r="B65" s="2"/>
      <c r="C65" s="2"/>
      <c r="D65" s="2"/>
      <c r="E65" s="2"/>
      <c r="F65" s="2"/>
      <c r="G65" s="2"/>
      <c r="H65" s="2"/>
      <c r="I65" s="2"/>
      <c r="J65" s="2"/>
      <c r="K65" s="57"/>
      <c r="L65" s="57"/>
      <c r="M65" s="57"/>
      <c r="N65" s="57"/>
      <c r="O65" s="57"/>
      <c r="P65" s="2"/>
      <c r="Q65" s="2"/>
      <c r="R65" s="2"/>
      <c r="S65" s="2"/>
      <c r="T65" s="2"/>
      <c r="U65" s="2"/>
      <c r="V65" s="2"/>
      <c r="W65" s="2"/>
      <c r="X65" s="2"/>
      <c r="Y65" s="2"/>
      <c r="Z65" s="2"/>
      <c r="AA65" s="2"/>
      <c r="AB65" s="2"/>
      <c r="AC65" s="2"/>
      <c r="AD65" s="2"/>
      <c r="AE65" s="2"/>
      <c r="AF65" s="2"/>
      <c r="AG65" s="2"/>
      <c r="AH65" s="2"/>
      <c r="AI65" s="2"/>
    </row>
    <row r="66">
      <c r="A66" s="2"/>
      <c r="B66" s="2"/>
      <c r="C66" s="2"/>
      <c r="D66" s="2"/>
      <c r="E66" s="2"/>
      <c r="F66" s="2"/>
      <c r="G66" s="2"/>
      <c r="H66" s="2"/>
      <c r="I66" s="2"/>
      <c r="J66" s="2"/>
      <c r="K66" s="57"/>
      <c r="L66" s="57"/>
      <c r="M66" s="57"/>
      <c r="N66" s="57"/>
      <c r="O66" s="57"/>
      <c r="P66" s="2"/>
      <c r="Q66" s="2"/>
      <c r="R66" s="2"/>
      <c r="S66" s="2"/>
      <c r="T66" s="2"/>
      <c r="U66" s="2"/>
      <c r="V66" s="2"/>
      <c r="W66" s="2"/>
      <c r="X66" s="2"/>
      <c r="Y66" s="2"/>
      <c r="Z66" s="2"/>
      <c r="AA66" s="2"/>
      <c r="AB66" s="2"/>
      <c r="AC66" s="2"/>
      <c r="AD66" s="2"/>
      <c r="AE66" s="2"/>
      <c r="AF66" s="2"/>
      <c r="AG66" s="2"/>
      <c r="AH66" s="2"/>
      <c r="AI66" s="2"/>
    </row>
    <row r="67">
      <c r="A67" s="2"/>
      <c r="B67" s="2"/>
      <c r="C67" s="2"/>
      <c r="D67" s="2"/>
      <c r="E67" s="2"/>
      <c r="F67" s="2"/>
      <c r="G67" s="2"/>
      <c r="H67" s="2"/>
      <c r="I67" s="2"/>
      <c r="J67" s="2"/>
      <c r="K67" s="57"/>
      <c r="L67" s="57"/>
      <c r="M67" s="57"/>
      <c r="N67" s="57"/>
      <c r="O67" s="57"/>
      <c r="P67" s="2"/>
      <c r="Q67" s="2"/>
      <c r="R67" s="2"/>
      <c r="S67" s="2"/>
      <c r="T67" s="2"/>
      <c r="U67" s="2"/>
      <c r="V67" s="2"/>
      <c r="W67" s="2"/>
      <c r="X67" s="2"/>
      <c r="Y67" s="2"/>
      <c r="Z67" s="2"/>
      <c r="AA67" s="2"/>
      <c r="AB67" s="2"/>
      <c r="AC67" s="2"/>
      <c r="AD67" s="2"/>
      <c r="AE67" s="2"/>
      <c r="AF67" s="2"/>
      <c r="AG67" s="2"/>
      <c r="AH67" s="2"/>
      <c r="AI67" s="2"/>
    </row>
    <row r="68">
      <c r="A68" s="2"/>
      <c r="B68" s="2"/>
      <c r="C68" s="2"/>
      <c r="D68" s="2"/>
      <c r="E68" s="2"/>
      <c r="F68" s="2"/>
      <c r="G68" s="2"/>
      <c r="H68" s="2"/>
      <c r="I68" s="2"/>
      <c r="J68" s="2"/>
      <c r="K68" s="57"/>
      <c r="L68" s="57"/>
      <c r="M68" s="57"/>
      <c r="N68" s="57"/>
      <c r="O68" s="57"/>
      <c r="P68" s="2"/>
      <c r="Q68" s="2"/>
      <c r="R68" s="2"/>
      <c r="S68" s="2"/>
      <c r="T68" s="2"/>
      <c r="U68" s="2"/>
      <c r="V68" s="2"/>
      <c r="W68" s="2"/>
      <c r="X68" s="2"/>
      <c r="Y68" s="2"/>
      <c r="Z68" s="2"/>
      <c r="AA68" s="2"/>
      <c r="AB68" s="2"/>
      <c r="AC68" s="2"/>
      <c r="AD68" s="2"/>
      <c r="AE68" s="2"/>
      <c r="AF68" s="2"/>
      <c r="AG68" s="2"/>
      <c r="AH68" s="2"/>
      <c r="AI68" s="2"/>
    </row>
    <row r="69">
      <c r="A69" s="2"/>
      <c r="B69" s="2"/>
      <c r="C69" s="2"/>
      <c r="D69" s="2"/>
      <c r="E69" s="2"/>
      <c r="F69" s="2"/>
      <c r="G69" s="2"/>
      <c r="H69" s="2"/>
      <c r="I69" s="2"/>
      <c r="J69" s="2"/>
      <c r="K69" s="57"/>
      <c r="L69" s="57"/>
      <c r="M69" s="57"/>
      <c r="N69" s="57"/>
      <c r="O69" s="57"/>
      <c r="P69" s="2"/>
      <c r="Q69" s="2"/>
      <c r="R69" s="2"/>
      <c r="S69" s="2"/>
      <c r="T69" s="2"/>
      <c r="U69" s="2"/>
      <c r="V69" s="2"/>
      <c r="W69" s="2"/>
      <c r="X69" s="2"/>
      <c r="Y69" s="2"/>
      <c r="Z69" s="2"/>
      <c r="AA69" s="2"/>
      <c r="AB69" s="2"/>
      <c r="AC69" s="2"/>
      <c r="AD69" s="2"/>
      <c r="AE69" s="2"/>
      <c r="AF69" s="2"/>
      <c r="AG69" s="2"/>
      <c r="AH69" s="2"/>
      <c r="AI69" s="2"/>
    </row>
    <row r="70">
      <c r="A70" s="2"/>
      <c r="B70" s="2"/>
      <c r="C70" s="2"/>
      <c r="D70" s="2"/>
      <c r="E70" s="2"/>
      <c r="F70" s="2"/>
      <c r="G70" s="2"/>
      <c r="H70" s="2"/>
      <c r="I70" s="2"/>
      <c r="J70" s="2"/>
      <c r="K70" s="57"/>
      <c r="L70" s="57"/>
      <c r="M70" s="57"/>
      <c r="N70" s="57"/>
      <c r="O70" s="57"/>
      <c r="P70" s="2"/>
      <c r="Q70" s="2"/>
      <c r="R70" s="2"/>
      <c r="S70" s="2"/>
      <c r="T70" s="2"/>
      <c r="U70" s="2"/>
      <c r="V70" s="2"/>
      <c r="W70" s="2"/>
      <c r="X70" s="2"/>
      <c r="Y70" s="2"/>
      <c r="Z70" s="2"/>
      <c r="AA70" s="2"/>
      <c r="AB70" s="2"/>
      <c r="AC70" s="2"/>
      <c r="AD70" s="2"/>
      <c r="AE70" s="2"/>
      <c r="AF70" s="2"/>
      <c r="AG70" s="2"/>
      <c r="AH70" s="2"/>
      <c r="AI70" s="2"/>
    </row>
    <row r="71">
      <c r="A71" s="2"/>
      <c r="B71" s="2"/>
      <c r="C71" s="2"/>
      <c r="D71" s="2"/>
      <c r="E71" s="2"/>
      <c r="F71" s="2"/>
      <c r="G71" s="2"/>
      <c r="H71" s="2"/>
      <c r="I71" s="2"/>
      <c r="J71" s="2"/>
      <c r="K71" s="57"/>
      <c r="L71" s="57"/>
      <c r="M71" s="57"/>
      <c r="N71" s="57"/>
      <c r="O71" s="57"/>
      <c r="P71" s="2"/>
      <c r="Q71" s="2"/>
      <c r="R71" s="2"/>
      <c r="S71" s="2"/>
      <c r="T71" s="2"/>
      <c r="U71" s="2"/>
      <c r="V71" s="2"/>
      <c r="W71" s="2"/>
      <c r="X71" s="2"/>
      <c r="Y71" s="2"/>
      <c r="Z71" s="2"/>
      <c r="AA71" s="2"/>
      <c r="AB71" s="2"/>
      <c r="AC71" s="2"/>
      <c r="AD71" s="2"/>
      <c r="AE71" s="2"/>
      <c r="AF71" s="2"/>
      <c r="AG71" s="2"/>
      <c r="AH71" s="2"/>
      <c r="AI71" s="2"/>
    </row>
    <row r="72">
      <c r="A72" s="2"/>
      <c r="B72" s="2"/>
      <c r="C72" s="2"/>
      <c r="D72" s="2"/>
      <c r="E72" s="2"/>
      <c r="F72" s="2"/>
      <c r="G72" s="2"/>
      <c r="H72" s="2"/>
      <c r="I72" s="2"/>
      <c r="J72" s="2"/>
      <c r="K72" s="57"/>
      <c r="L72" s="57"/>
      <c r="M72" s="57"/>
      <c r="N72" s="57"/>
      <c r="O72" s="57"/>
      <c r="P72" s="2"/>
      <c r="Q72" s="2"/>
      <c r="R72" s="2"/>
      <c r="S72" s="2"/>
      <c r="T72" s="2"/>
      <c r="U72" s="2"/>
      <c r="V72" s="2"/>
      <c r="W72" s="2"/>
      <c r="X72" s="2"/>
      <c r="Y72" s="2"/>
      <c r="Z72" s="2"/>
      <c r="AA72" s="2"/>
      <c r="AB72" s="2"/>
      <c r="AC72" s="2"/>
      <c r="AD72" s="2"/>
      <c r="AE72" s="2"/>
      <c r="AF72" s="2"/>
      <c r="AG72" s="2"/>
      <c r="AH72" s="2"/>
      <c r="AI72" s="2"/>
    </row>
    <row r="73">
      <c r="A73" s="2"/>
      <c r="B73" s="2"/>
      <c r="C73" s="2"/>
      <c r="D73" s="2"/>
      <c r="E73" s="2"/>
      <c r="F73" s="2"/>
      <c r="G73" s="2"/>
      <c r="H73" s="2"/>
      <c r="I73" s="2"/>
      <c r="J73" s="2"/>
      <c r="K73" s="57"/>
      <c r="L73" s="57"/>
      <c r="M73" s="57"/>
      <c r="N73" s="57"/>
      <c r="O73" s="57"/>
      <c r="P73" s="2"/>
      <c r="Q73" s="2"/>
      <c r="R73" s="2"/>
      <c r="S73" s="2"/>
      <c r="T73" s="2"/>
      <c r="U73" s="2"/>
      <c r="V73" s="2"/>
      <c r="W73" s="2"/>
      <c r="X73" s="2"/>
      <c r="Y73" s="2"/>
      <c r="Z73" s="2"/>
      <c r="AA73" s="2"/>
      <c r="AB73" s="2"/>
      <c r="AC73" s="2"/>
      <c r="AD73" s="2"/>
      <c r="AE73" s="2"/>
      <c r="AF73" s="2"/>
      <c r="AG73" s="2"/>
      <c r="AH73" s="2"/>
      <c r="AI73" s="2"/>
    </row>
    <row r="74">
      <c r="A74" s="2"/>
      <c r="B74" s="2"/>
      <c r="C74" s="2"/>
      <c r="D74" s="2"/>
      <c r="E74" s="2"/>
      <c r="F74" s="2"/>
      <c r="G74" s="2"/>
      <c r="H74" s="2"/>
      <c r="I74" s="2"/>
      <c r="J74" s="2"/>
      <c r="K74" s="57"/>
      <c r="L74" s="57"/>
      <c r="M74" s="57"/>
      <c r="N74" s="57"/>
      <c r="O74" s="57"/>
      <c r="P74" s="2"/>
      <c r="Q74" s="2"/>
      <c r="R74" s="2"/>
      <c r="S74" s="2"/>
      <c r="T74" s="2"/>
      <c r="U74" s="2"/>
      <c r="V74" s="2"/>
      <c r="W74" s="2"/>
      <c r="X74" s="2"/>
      <c r="Y74" s="2"/>
      <c r="Z74" s="2"/>
      <c r="AA74" s="2"/>
      <c r="AB74" s="2"/>
      <c r="AC74" s="2"/>
      <c r="AD74" s="2"/>
      <c r="AE74" s="2"/>
      <c r="AF74" s="2"/>
      <c r="AG74" s="2"/>
      <c r="AH74" s="2"/>
      <c r="AI74" s="2"/>
    </row>
    <row r="75">
      <c r="A75" s="2"/>
      <c r="B75" s="2"/>
      <c r="C75" s="2"/>
      <c r="D75" s="2"/>
      <c r="E75" s="2"/>
      <c r="F75" s="2"/>
      <c r="G75" s="2"/>
      <c r="H75" s="2"/>
      <c r="I75" s="2"/>
      <c r="J75" s="2"/>
      <c r="K75" s="57"/>
      <c r="L75" s="57"/>
      <c r="M75" s="57"/>
      <c r="N75" s="57"/>
      <c r="O75" s="57"/>
      <c r="P75" s="2"/>
      <c r="Q75" s="2"/>
      <c r="R75" s="2"/>
      <c r="S75" s="2"/>
      <c r="T75" s="2"/>
      <c r="U75" s="2"/>
      <c r="V75" s="2"/>
      <c r="W75" s="2"/>
      <c r="X75" s="2"/>
      <c r="Y75" s="2"/>
      <c r="Z75" s="2"/>
      <c r="AA75" s="2"/>
      <c r="AB75" s="2"/>
      <c r="AC75" s="2"/>
      <c r="AD75" s="2"/>
      <c r="AE75" s="2"/>
      <c r="AF75" s="2"/>
      <c r="AG75" s="2"/>
      <c r="AH75" s="2"/>
      <c r="AI75" s="2"/>
    </row>
    <row r="76">
      <c r="A76" s="2"/>
      <c r="B76" s="2"/>
      <c r="C76" s="2"/>
      <c r="D76" s="2"/>
      <c r="E76" s="2"/>
      <c r="F76" s="2"/>
      <c r="G76" s="2"/>
      <c r="H76" s="2"/>
      <c r="I76" s="2"/>
      <c r="J76" s="2"/>
      <c r="K76" s="57"/>
      <c r="L76" s="57"/>
      <c r="M76" s="57"/>
      <c r="N76" s="57"/>
      <c r="O76" s="57"/>
      <c r="P76" s="2"/>
      <c r="Q76" s="2"/>
      <c r="R76" s="2"/>
      <c r="S76" s="2"/>
      <c r="T76" s="2"/>
      <c r="U76" s="2"/>
      <c r="V76" s="2"/>
      <c r="W76" s="2"/>
      <c r="X76" s="2"/>
      <c r="Y76" s="2"/>
      <c r="Z76" s="2"/>
      <c r="AA76" s="2"/>
      <c r="AB76" s="2"/>
      <c r="AC76" s="2"/>
      <c r="AD76" s="2"/>
      <c r="AE76" s="2"/>
      <c r="AF76" s="2"/>
      <c r="AG76" s="2"/>
      <c r="AH76" s="2"/>
      <c r="AI76" s="2"/>
    </row>
    <row r="77">
      <c r="A77" s="2"/>
      <c r="B77" s="2"/>
      <c r="C77" s="2"/>
      <c r="D77" s="2"/>
      <c r="E77" s="2"/>
      <c r="F77" s="2"/>
      <c r="G77" s="2"/>
      <c r="H77" s="2"/>
      <c r="I77" s="2"/>
      <c r="J77" s="2"/>
      <c r="K77" s="57"/>
      <c r="L77" s="57"/>
      <c r="M77" s="57"/>
      <c r="N77" s="57"/>
      <c r="O77" s="57"/>
      <c r="P77" s="2"/>
      <c r="Q77" s="2"/>
      <c r="R77" s="2"/>
      <c r="S77" s="2"/>
      <c r="T77" s="2"/>
      <c r="U77" s="2"/>
      <c r="V77" s="2"/>
      <c r="W77" s="2"/>
      <c r="X77" s="2"/>
      <c r="Y77" s="2"/>
      <c r="Z77" s="2"/>
      <c r="AA77" s="2"/>
      <c r="AB77" s="2"/>
      <c r="AC77" s="2"/>
      <c r="AD77" s="2"/>
      <c r="AE77" s="2"/>
      <c r="AF77" s="2"/>
      <c r="AG77" s="2"/>
      <c r="AH77" s="2"/>
      <c r="AI77" s="2"/>
    </row>
    <row r="78">
      <c r="A78" s="2"/>
      <c r="B78" s="2"/>
      <c r="C78" s="2"/>
      <c r="D78" s="2"/>
      <c r="E78" s="2"/>
      <c r="F78" s="2"/>
      <c r="G78" s="2"/>
      <c r="H78" s="2"/>
      <c r="I78" s="2"/>
      <c r="J78" s="2"/>
      <c r="K78" s="57"/>
      <c r="L78" s="57"/>
      <c r="M78" s="57"/>
      <c r="N78" s="57"/>
      <c r="O78" s="57"/>
      <c r="P78" s="2"/>
      <c r="Q78" s="2"/>
      <c r="R78" s="2"/>
      <c r="S78" s="2"/>
      <c r="T78" s="2"/>
      <c r="U78" s="2"/>
      <c r="V78" s="2"/>
      <c r="W78" s="2"/>
      <c r="X78" s="2"/>
      <c r="Y78" s="2"/>
      <c r="Z78" s="2"/>
      <c r="AA78" s="2"/>
      <c r="AB78" s="2"/>
      <c r="AC78" s="2"/>
      <c r="AD78" s="2"/>
      <c r="AE78" s="2"/>
      <c r="AF78" s="2"/>
      <c r="AG78" s="2"/>
      <c r="AH78" s="2"/>
      <c r="AI78" s="2"/>
    </row>
    <row r="79">
      <c r="A79" s="2"/>
      <c r="B79" s="2"/>
      <c r="C79" s="2"/>
      <c r="D79" s="2"/>
      <c r="E79" s="2"/>
      <c r="F79" s="2"/>
      <c r="G79" s="2"/>
      <c r="H79" s="2"/>
      <c r="I79" s="2"/>
      <c r="J79" s="2"/>
      <c r="K79" s="57"/>
      <c r="L79" s="57"/>
      <c r="M79" s="57"/>
      <c r="N79" s="57"/>
      <c r="O79" s="57"/>
      <c r="P79" s="2"/>
      <c r="Q79" s="2"/>
      <c r="R79" s="2"/>
      <c r="S79" s="2"/>
      <c r="T79" s="2"/>
      <c r="U79" s="2"/>
      <c r="V79" s="2"/>
      <c r="W79" s="2"/>
      <c r="X79" s="2"/>
      <c r="Y79" s="2"/>
      <c r="Z79" s="2"/>
      <c r="AA79" s="2"/>
      <c r="AB79" s="2"/>
      <c r="AC79" s="2"/>
      <c r="AD79" s="2"/>
      <c r="AE79" s="2"/>
      <c r="AF79" s="2"/>
      <c r="AG79" s="2"/>
      <c r="AH79" s="2"/>
      <c r="AI79" s="2"/>
    </row>
    <row r="80">
      <c r="A80" s="2"/>
      <c r="B80" s="2"/>
      <c r="C80" s="2"/>
      <c r="D80" s="2"/>
      <c r="E80" s="2"/>
      <c r="F80" s="2"/>
      <c r="G80" s="2"/>
      <c r="H80" s="2"/>
      <c r="I80" s="2"/>
      <c r="J80" s="2"/>
      <c r="K80" s="57"/>
      <c r="L80" s="57"/>
      <c r="M80" s="57"/>
      <c r="N80" s="57"/>
      <c r="O80" s="57"/>
      <c r="P80" s="2"/>
      <c r="Q80" s="2"/>
      <c r="R80" s="2"/>
      <c r="S80" s="2"/>
      <c r="T80" s="2"/>
      <c r="U80" s="2"/>
      <c r="V80" s="2"/>
      <c r="W80" s="2"/>
      <c r="X80" s="2"/>
      <c r="Y80" s="2"/>
      <c r="Z80" s="2"/>
      <c r="AA80" s="2"/>
      <c r="AB80" s="2"/>
      <c r="AC80" s="2"/>
      <c r="AD80" s="2"/>
      <c r="AE80" s="2"/>
      <c r="AF80" s="2"/>
      <c r="AG80" s="2"/>
      <c r="AH80" s="2"/>
      <c r="AI80" s="2"/>
    </row>
    <row r="81">
      <c r="A81" s="2"/>
      <c r="B81" s="2"/>
      <c r="C81" s="2"/>
      <c r="D81" s="2"/>
      <c r="E81" s="2"/>
      <c r="F81" s="2"/>
      <c r="G81" s="2"/>
      <c r="H81" s="2"/>
      <c r="I81" s="2"/>
      <c r="J81" s="2"/>
      <c r="K81" s="57"/>
      <c r="L81" s="57"/>
      <c r="M81" s="57"/>
      <c r="N81" s="57"/>
      <c r="O81" s="57"/>
      <c r="P81" s="2"/>
      <c r="Q81" s="2"/>
      <c r="R81" s="2"/>
      <c r="S81" s="2"/>
      <c r="T81" s="2"/>
      <c r="U81" s="2"/>
      <c r="V81" s="2"/>
      <c r="W81" s="2"/>
      <c r="X81" s="2"/>
      <c r="Y81" s="2"/>
      <c r="Z81" s="2"/>
      <c r="AA81" s="2"/>
      <c r="AB81" s="2"/>
      <c r="AC81" s="2"/>
      <c r="AD81" s="2"/>
      <c r="AE81" s="2"/>
      <c r="AF81" s="2"/>
      <c r="AG81" s="2"/>
      <c r="AH81" s="2"/>
      <c r="AI81" s="2"/>
    </row>
    <row r="82">
      <c r="A82" s="2"/>
      <c r="B82" s="2"/>
      <c r="C82" s="2"/>
      <c r="D82" s="2"/>
      <c r="E82" s="2"/>
      <c r="F82" s="2"/>
      <c r="G82" s="2"/>
      <c r="H82" s="2"/>
      <c r="I82" s="2"/>
      <c r="J82" s="2"/>
      <c r="K82" s="57"/>
      <c r="L82" s="57"/>
      <c r="M82" s="57"/>
      <c r="N82" s="57"/>
      <c r="O82" s="57"/>
      <c r="P82" s="2"/>
      <c r="Q82" s="2"/>
      <c r="R82" s="2"/>
      <c r="S82" s="2"/>
      <c r="T82" s="2"/>
      <c r="U82" s="2"/>
      <c r="V82" s="2"/>
      <c r="W82" s="2"/>
      <c r="X82" s="2"/>
      <c r="Y82" s="2"/>
      <c r="Z82" s="2"/>
      <c r="AA82" s="2"/>
      <c r="AB82" s="2"/>
      <c r="AC82" s="2"/>
      <c r="AD82" s="2"/>
      <c r="AE82" s="2"/>
      <c r="AF82" s="2"/>
      <c r="AG82" s="2"/>
      <c r="AH82" s="2"/>
      <c r="AI82" s="2"/>
    </row>
    <row r="83">
      <c r="A83" s="2"/>
      <c r="B83" s="2"/>
      <c r="C83" s="2"/>
      <c r="D83" s="2"/>
      <c r="E83" s="2"/>
      <c r="F83" s="2"/>
      <c r="G83" s="2"/>
      <c r="H83" s="2"/>
      <c r="I83" s="2"/>
      <c r="J83" s="2"/>
      <c r="K83" s="57"/>
      <c r="L83" s="57"/>
      <c r="M83" s="57"/>
      <c r="N83" s="57"/>
      <c r="O83" s="57"/>
      <c r="P83" s="2"/>
      <c r="Q83" s="2"/>
      <c r="R83" s="2"/>
      <c r="S83" s="2"/>
      <c r="T83" s="2"/>
      <c r="U83" s="2"/>
      <c r="V83" s="2"/>
      <c r="W83" s="2"/>
      <c r="X83" s="2"/>
      <c r="Y83" s="2"/>
      <c r="Z83" s="2"/>
      <c r="AA83" s="2"/>
      <c r="AB83" s="2"/>
      <c r="AC83" s="2"/>
      <c r="AD83" s="2"/>
      <c r="AE83" s="2"/>
      <c r="AF83" s="2"/>
      <c r="AG83" s="2"/>
      <c r="AH83" s="2"/>
      <c r="AI83" s="2"/>
    </row>
    <row r="84">
      <c r="A84" s="2"/>
      <c r="B84" s="2"/>
      <c r="C84" s="2"/>
      <c r="D84" s="2"/>
      <c r="E84" s="2"/>
      <c r="F84" s="2"/>
      <c r="G84" s="2"/>
      <c r="H84" s="2"/>
      <c r="I84" s="2"/>
      <c r="J84" s="2"/>
      <c r="K84" s="57"/>
      <c r="L84" s="57"/>
      <c r="M84" s="57"/>
      <c r="N84" s="57"/>
      <c r="O84" s="57"/>
      <c r="P84" s="2"/>
      <c r="Q84" s="2"/>
      <c r="R84" s="2"/>
      <c r="S84" s="2"/>
      <c r="T84" s="2"/>
      <c r="U84" s="2"/>
      <c r="V84" s="2"/>
      <c r="W84" s="2"/>
      <c r="X84" s="2"/>
      <c r="Y84" s="2"/>
      <c r="Z84" s="2"/>
      <c r="AA84" s="2"/>
      <c r="AB84" s="2"/>
      <c r="AC84" s="2"/>
      <c r="AD84" s="2"/>
      <c r="AE84" s="2"/>
      <c r="AF84" s="2"/>
      <c r="AG84" s="2"/>
      <c r="AH84" s="2"/>
      <c r="AI84" s="2"/>
    </row>
    <row r="85">
      <c r="A85" s="2"/>
      <c r="B85" s="2"/>
      <c r="C85" s="2"/>
      <c r="D85" s="2"/>
      <c r="E85" s="2"/>
      <c r="F85" s="2"/>
      <c r="G85" s="2"/>
      <c r="H85" s="2"/>
      <c r="I85" s="2"/>
      <c r="J85" s="2"/>
      <c r="K85" s="57"/>
      <c r="L85" s="57"/>
      <c r="M85" s="57"/>
      <c r="N85" s="57"/>
      <c r="O85" s="57"/>
      <c r="P85" s="2"/>
      <c r="Q85" s="2"/>
      <c r="R85" s="2"/>
      <c r="S85" s="2"/>
      <c r="T85" s="2"/>
      <c r="U85" s="2"/>
      <c r="V85" s="2"/>
      <c r="W85" s="2"/>
      <c r="X85" s="2"/>
      <c r="Y85" s="2"/>
      <c r="Z85" s="2"/>
      <c r="AA85" s="2"/>
      <c r="AB85" s="2"/>
      <c r="AC85" s="2"/>
      <c r="AD85" s="2"/>
      <c r="AE85" s="2"/>
      <c r="AF85" s="2"/>
      <c r="AG85" s="2"/>
      <c r="AH85" s="2"/>
      <c r="AI85" s="2"/>
    </row>
    <row r="86">
      <c r="A86" s="2"/>
      <c r="B86" s="2"/>
      <c r="C86" s="2"/>
      <c r="D86" s="2"/>
      <c r="E86" s="2"/>
      <c r="F86" s="2"/>
      <c r="G86" s="2"/>
      <c r="H86" s="2"/>
      <c r="I86" s="2"/>
      <c r="J86" s="2"/>
      <c r="K86" s="57"/>
      <c r="L86" s="57"/>
      <c r="M86" s="57"/>
      <c r="N86" s="57"/>
      <c r="O86" s="57"/>
      <c r="P86" s="2"/>
      <c r="Q86" s="2"/>
      <c r="R86" s="2"/>
      <c r="S86" s="2"/>
      <c r="T86" s="2"/>
      <c r="U86" s="2"/>
      <c r="V86" s="2"/>
      <c r="W86" s="2"/>
      <c r="X86" s="2"/>
      <c r="Y86" s="2"/>
      <c r="Z86" s="2"/>
      <c r="AA86" s="2"/>
      <c r="AB86" s="2"/>
      <c r="AC86" s="2"/>
      <c r="AD86" s="2"/>
      <c r="AE86" s="2"/>
      <c r="AF86" s="2"/>
      <c r="AG86" s="2"/>
      <c r="AH86" s="2"/>
      <c r="AI86" s="2"/>
    </row>
    <row r="87">
      <c r="A87" s="2"/>
      <c r="B87" s="2"/>
      <c r="C87" s="2"/>
      <c r="D87" s="2"/>
      <c r="E87" s="2"/>
      <c r="F87" s="2"/>
      <c r="G87" s="2"/>
      <c r="H87" s="2"/>
      <c r="I87" s="2"/>
      <c r="J87" s="2"/>
      <c r="K87" s="57"/>
      <c r="L87" s="57"/>
      <c r="M87" s="57"/>
      <c r="N87" s="57"/>
      <c r="O87" s="57"/>
      <c r="P87" s="2"/>
      <c r="Q87" s="2"/>
      <c r="R87" s="2"/>
      <c r="S87" s="2"/>
      <c r="T87" s="2"/>
      <c r="U87" s="2"/>
      <c r="V87" s="2"/>
      <c r="W87" s="2"/>
      <c r="X87" s="2"/>
      <c r="Y87" s="2"/>
      <c r="Z87" s="2"/>
      <c r="AA87" s="2"/>
      <c r="AB87" s="2"/>
      <c r="AC87" s="2"/>
      <c r="AD87" s="2"/>
      <c r="AE87" s="2"/>
      <c r="AF87" s="2"/>
      <c r="AG87" s="2"/>
      <c r="AH87" s="2"/>
      <c r="AI87" s="2"/>
    </row>
    <row r="88">
      <c r="A88" s="2"/>
      <c r="B88" s="2"/>
      <c r="C88" s="2"/>
      <c r="D88" s="2"/>
      <c r="E88" s="2"/>
      <c r="F88" s="2"/>
      <c r="G88" s="2"/>
      <c r="H88" s="2"/>
      <c r="I88" s="2"/>
      <c r="J88" s="2"/>
      <c r="K88" s="57"/>
      <c r="L88" s="57"/>
      <c r="M88" s="57"/>
      <c r="N88" s="57"/>
      <c r="O88" s="57"/>
      <c r="P88" s="2"/>
      <c r="Q88" s="2"/>
      <c r="R88" s="2"/>
      <c r="S88" s="2"/>
      <c r="T88" s="2"/>
      <c r="U88" s="2"/>
      <c r="V88" s="2"/>
      <c r="W88" s="2"/>
      <c r="X88" s="2"/>
      <c r="Y88" s="2"/>
      <c r="Z88" s="2"/>
      <c r="AA88" s="2"/>
      <c r="AB88" s="2"/>
      <c r="AC88" s="2"/>
      <c r="AD88" s="2"/>
      <c r="AE88" s="2"/>
      <c r="AF88" s="2"/>
      <c r="AG88" s="2"/>
      <c r="AH88" s="2"/>
      <c r="AI88" s="2"/>
    </row>
    <row r="89">
      <c r="A89" s="2"/>
      <c r="B89" s="2"/>
      <c r="C89" s="2"/>
      <c r="D89" s="2"/>
      <c r="E89" s="2"/>
      <c r="F89" s="2"/>
      <c r="G89" s="2"/>
      <c r="H89" s="2"/>
      <c r="I89" s="2"/>
      <c r="J89" s="2"/>
      <c r="K89" s="57"/>
      <c r="L89" s="57"/>
      <c r="M89" s="57"/>
      <c r="N89" s="57"/>
      <c r="O89" s="57"/>
      <c r="P89" s="2"/>
      <c r="Q89" s="2"/>
      <c r="R89" s="2"/>
      <c r="S89" s="2"/>
      <c r="T89" s="2"/>
      <c r="U89" s="2"/>
      <c r="V89" s="2"/>
      <c r="W89" s="2"/>
      <c r="X89" s="2"/>
      <c r="Y89" s="2"/>
      <c r="Z89" s="2"/>
      <c r="AA89" s="2"/>
      <c r="AB89" s="2"/>
      <c r="AC89" s="2"/>
      <c r="AD89" s="2"/>
      <c r="AE89" s="2"/>
      <c r="AF89" s="2"/>
      <c r="AG89" s="2"/>
      <c r="AH89" s="2"/>
      <c r="AI89" s="2"/>
    </row>
    <row r="90">
      <c r="A90" s="2"/>
      <c r="B90" s="2"/>
      <c r="C90" s="2"/>
      <c r="D90" s="2"/>
      <c r="E90" s="2"/>
      <c r="F90" s="2"/>
      <c r="G90" s="2"/>
      <c r="H90" s="2"/>
      <c r="I90" s="2"/>
      <c r="J90" s="2"/>
      <c r="K90" s="57"/>
      <c r="L90" s="57"/>
      <c r="M90" s="57"/>
      <c r="N90" s="57"/>
      <c r="O90" s="57"/>
      <c r="P90" s="2"/>
      <c r="Q90" s="2"/>
      <c r="R90" s="2"/>
      <c r="S90" s="2"/>
      <c r="T90" s="2"/>
      <c r="U90" s="2"/>
      <c r="V90" s="2"/>
      <c r="W90" s="2"/>
      <c r="X90" s="2"/>
      <c r="Y90" s="2"/>
      <c r="Z90" s="2"/>
      <c r="AA90" s="2"/>
      <c r="AB90" s="2"/>
      <c r="AC90" s="2"/>
      <c r="AD90" s="2"/>
      <c r="AE90" s="2"/>
      <c r="AF90" s="2"/>
      <c r="AG90" s="2"/>
      <c r="AH90" s="2"/>
      <c r="AI90" s="2"/>
    </row>
    <row r="91">
      <c r="A91" s="2"/>
      <c r="B91" s="2"/>
      <c r="C91" s="2"/>
      <c r="D91" s="2"/>
      <c r="E91" s="2"/>
      <c r="F91" s="2"/>
      <c r="G91" s="2"/>
      <c r="H91" s="2"/>
      <c r="I91" s="2"/>
      <c r="J91" s="2"/>
      <c r="K91" s="57"/>
      <c r="L91" s="57"/>
      <c r="M91" s="57"/>
      <c r="N91" s="57"/>
      <c r="O91" s="57"/>
      <c r="P91" s="2"/>
      <c r="Q91" s="2"/>
      <c r="R91" s="2"/>
      <c r="S91" s="2"/>
      <c r="T91" s="2"/>
      <c r="U91" s="2"/>
      <c r="V91" s="2"/>
      <c r="W91" s="2"/>
      <c r="X91" s="2"/>
      <c r="Y91" s="2"/>
      <c r="Z91" s="2"/>
      <c r="AA91" s="2"/>
      <c r="AB91" s="2"/>
      <c r="AC91" s="2"/>
      <c r="AD91" s="2"/>
      <c r="AE91" s="2"/>
      <c r="AF91" s="2"/>
      <c r="AG91" s="2"/>
      <c r="AH91" s="2"/>
      <c r="AI91" s="2"/>
    </row>
    <row r="92">
      <c r="A92" s="2"/>
      <c r="B92" s="2"/>
      <c r="C92" s="2"/>
      <c r="D92" s="2"/>
      <c r="E92" s="2"/>
      <c r="F92" s="2"/>
      <c r="G92" s="2"/>
      <c r="H92" s="2"/>
      <c r="I92" s="2"/>
      <c r="J92" s="2"/>
      <c r="K92" s="57"/>
      <c r="L92" s="57"/>
      <c r="M92" s="57"/>
      <c r="N92" s="57"/>
      <c r="O92" s="57"/>
      <c r="P92" s="2"/>
      <c r="Q92" s="2"/>
      <c r="R92" s="2"/>
      <c r="S92" s="2"/>
      <c r="T92" s="2"/>
      <c r="U92" s="2"/>
      <c r="V92" s="2"/>
      <c r="W92" s="2"/>
      <c r="X92" s="2"/>
      <c r="Y92" s="2"/>
      <c r="Z92" s="2"/>
      <c r="AA92" s="2"/>
      <c r="AB92" s="2"/>
      <c r="AC92" s="2"/>
      <c r="AD92" s="2"/>
      <c r="AE92" s="2"/>
      <c r="AF92" s="2"/>
      <c r="AG92" s="2"/>
      <c r="AH92" s="2"/>
      <c r="AI92" s="2"/>
    </row>
    <row r="93">
      <c r="A93" s="2"/>
      <c r="B93" s="2"/>
      <c r="C93" s="2"/>
      <c r="D93" s="2"/>
      <c r="E93" s="2"/>
      <c r="F93" s="2"/>
      <c r="G93" s="2"/>
      <c r="H93" s="2"/>
      <c r="I93" s="2"/>
      <c r="J93" s="2"/>
      <c r="K93" s="57"/>
      <c r="L93" s="57"/>
      <c r="M93" s="57"/>
      <c r="N93" s="57"/>
      <c r="O93" s="57"/>
      <c r="P93" s="2"/>
      <c r="Q93" s="2"/>
      <c r="R93" s="2"/>
      <c r="S93" s="2"/>
      <c r="T93" s="2"/>
      <c r="U93" s="2"/>
      <c r="V93" s="2"/>
      <c r="W93" s="2"/>
      <c r="X93" s="2"/>
      <c r="Y93" s="2"/>
      <c r="Z93" s="2"/>
      <c r="AA93" s="2"/>
      <c r="AB93" s="2"/>
      <c r="AC93" s="2"/>
      <c r="AD93" s="2"/>
      <c r="AE93" s="2"/>
      <c r="AF93" s="2"/>
      <c r="AG93" s="2"/>
      <c r="AH93" s="2"/>
      <c r="AI93" s="2"/>
    </row>
    <row r="94">
      <c r="A94" s="2"/>
      <c r="B94" s="2"/>
      <c r="C94" s="2"/>
      <c r="D94" s="2"/>
      <c r="E94" s="2"/>
      <c r="F94" s="2"/>
      <c r="G94" s="2"/>
      <c r="H94" s="2"/>
      <c r="I94" s="2"/>
      <c r="J94" s="2"/>
      <c r="K94" s="57"/>
      <c r="L94" s="57"/>
      <c r="M94" s="57"/>
      <c r="N94" s="57"/>
      <c r="O94" s="57"/>
      <c r="P94" s="2"/>
      <c r="Q94" s="2"/>
      <c r="R94" s="2"/>
      <c r="S94" s="2"/>
      <c r="T94" s="2"/>
      <c r="U94" s="2"/>
      <c r="V94" s="2"/>
      <c r="W94" s="2"/>
      <c r="X94" s="2"/>
      <c r="Y94" s="2"/>
      <c r="Z94" s="2"/>
      <c r="AA94" s="2"/>
      <c r="AB94" s="2"/>
      <c r="AC94" s="2"/>
      <c r="AD94" s="2"/>
      <c r="AE94" s="2"/>
      <c r="AF94" s="2"/>
      <c r="AG94" s="2"/>
      <c r="AH94" s="2"/>
      <c r="AI94" s="2"/>
    </row>
    <row r="95">
      <c r="A95" s="2"/>
      <c r="B95" s="2"/>
      <c r="C95" s="2"/>
      <c r="D95" s="2"/>
      <c r="E95" s="2"/>
      <c r="F95" s="2"/>
      <c r="G95" s="2"/>
      <c r="H95" s="2"/>
      <c r="I95" s="2"/>
      <c r="J95" s="2"/>
      <c r="K95" s="57"/>
      <c r="L95" s="57"/>
      <c r="M95" s="57"/>
      <c r="N95" s="57"/>
      <c r="O95" s="57"/>
      <c r="P95" s="2"/>
      <c r="Q95" s="2"/>
      <c r="R95" s="2"/>
      <c r="S95" s="2"/>
      <c r="T95" s="2"/>
      <c r="U95" s="2"/>
      <c r="V95" s="2"/>
      <c r="W95" s="2"/>
      <c r="X95" s="2"/>
      <c r="Y95" s="2"/>
      <c r="Z95" s="2"/>
      <c r="AA95" s="2"/>
      <c r="AB95" s="2"/>
      <c r="AC95" s="2"/>
      <c r="AD95" s="2"/>
      <c r="AE95" s="2"/>
      <c r="AF95" s="2"/>
      <c r="AG95" s="2"/>
      <c r="AH95" s="2"/>
      <c r="AI95" s="2"/>
    </row>
    <row r="96">
      <c r="A96" s="2"/>
      <c r="B96" s="2"/>
      <c r="C96" s="2"/>
      <c r="D96" s="2"/>
      <c r="E96" s="2"/>
      <c r="F96" s="2"/>
      <c r="G96" s="2"/>
      <c r="H96" s="2"/>
      <c r="I96" s="2"/>
      <c r="J96" s="2"/>
      <c r="K96" s="57"/>
      <c r="L96" s="57"/>
      <c r="M96" s="57"/>
      <c r="N96" s="57"/>
      <c r="O96" s="57"/>
      <c r="P96" s="2"/>
      <c r="Q96" s="2"/>
      <c r="R96" s="2"/>
      <c r="S96" s="2"/>
      <c r="T96" s="2"/>
      <c r="U96" s="2"/>
      <c r="V96" s="2"/>
      <c r="W96" s="2"/>
      <c r="X96" s="2"/>
      <c r="Y96" s="2"/>
      <c r="Z96" s="2"/>
      <c r="AA96" s="2"/>
      <c r="AB96" s="2"/>
      <c r="AC96" s="2"/>
      <c r="AD96" s="2"/>
      <c r="AE96" s="2"/>
      <c r="AF96" s="2"/>
      <c r="AG96" s="2"/>
      <c r="AH96" s="2"/>
      <c r="AI96" s="2"/>
    </row>
    <row r="97">
      <c r="A97" s="2"/>
      <c r="B97" s="2"/>
      <c r="C97" s="2"/>
      <c r="D97" s="2"/>
      <c r="E97" s="2"/>
      <c r="F97" s="2"/>
      <c r="G97" s="2"/>
      <c r="H97" s="2"/>
      <c r="I97" s="2"/>
      <c r="J97" s="2"/>
      <c r="K97" s="57"/>
      <c r="L97" s="57"/>
      <c r="M97" s="57"/>
      <c r="N97" s="57"/>
      <c r="O97" s="57"/>
      <c r="P97" s="2"/>
      <c r="Q97" s="2"/>
      <c r="R97" s="2"/>
      <c r="S97" s="2"/>
      <c r="T97" s="2"/>
      <c r="U97" s="2"/>
      <c r="V97" s="2"/>
      <c r="W97" s="2"/>
      <c r="X97" s="2"/>
      <c r="Y97" s="2"/>
      <c r="Z97" s="2"/>
      <c r="AA97" s="2"/>
      <c r="AB97" s="2"/>
      <c r="AC97" s="2"/>
      <c r="AD97" s="2"/>
      <c r="AE97" s="2"/>
      <c r="AF97" s="2"/>
      <c r="AG97" s="2"/>
      <c r="AH97" s="2"/>
      <c r="AI97" s="2"/>
    </row>
    <row r="98">
      <c r="A98" s="2"/>
      <c r="B98" s="2"/>
      <c r="C98" s="2"/>
      <c r="D98" s="2"/>
      <c r="E98" s="2"/>
      <c r="F98" s="2"/>
      <c r="G98" s="2"/>
      <c r="H98" s="2"/>
      <c r="I98" s="2"/>
      <c r="J98" s="2"/>
      <c r="K98" s="57"/>
      <c r="L98" s="57"/>
      <c r="M98" s="57"/>
      <c r="N98" s="57"/>
      <c r="O98" s="57"/>
      <c r="P98" s="2"/>
      <c r="Q98" s="2"/>
      <c r="R98" s="2"/>
      <c r="S98" s="2"/>
      <c r="T98" s="2"/>
      <c r="U98" s="2"/>
      <c r="V98" s="2"/>
      <c r="W98" s="2"/>
      <c r="X98" s="2"/>
      <c r="Y98" s="2"/>
      <c r="Z98" s="2"/>
      <c r="AA98" s="2"/>
      <c r="AB98" s="2"/>
      <c r="AC98" s="2"/>
      <c r="AD98" s="2"/>
      <c r="AE98" s="2"/>
      <c r="AF98" s="2"/>
      <c r="AG98" s="2"/>
      <c r="AH98" s="2"/>
      <c r="AI98" s="2"/>
    </row>
    <row r="99">
      <c r="A99" s="2"/>
      <c r="B99" s="2"/>
      <c r="C99" s="2"/>
      <c r="D99" s="2"/>
      <c r="E99" s="2"/>
      <c r="F99" s="2"/>
      <c r="G99" s="2"/>
      <c r="H99" s="2"/>
      <c r="I99" s="2"/>
      <c r="J99" s="2"/>
      <c r="K99" s="57"/>
      <c r="L99" s="57"/>
      <c r="M99" s="57"/>
      <c r="N99" s="57"/>
      <c r="O99" s="57"/>
      <c r="P99" s="2"/>
      <c r="Q99" s="2"/>
      <c r="R99" s="2"/>
      <c r="S99" s="2"/>
      <c r="T99" s="2"/>
      <c r="U99" s="2"/>
      <c r="V99" s="2"/>
      <c r="W99" s="2"/>
      <c r="X99" s="2"/>
      <c r="Y99" s="2"/>
      <c r="Z99" s="2"/>
      <c r="AA99" s="2"/>
      <c r="AB99" s="2"/>
      <c r="AC99" s="2"/>
      <c r="AD99" s="2"/>
      <c r="AE99" s="2"/>
      <c r="AF99" s="2"/>
      <c r="AG99" s="2"/>
      <c r="AH99" s="2"/>
      <c r="AI99" s="2"/>
    </row>
    <row r="100">
      <c r="A100" s="2"/>
      <c r="B100" s="2"/>
      <c r="C100" s="2"/>
      <c r="D100" s="2"/>
      <c r="E100" s="2"/>
      <c r="F100" s="2"/>
      <c r="G100" s="2"/>
      <c r="H100" s="2"/>
      <c r="I100" s="2"/>
      <c r="J100" s="2"/>
      <c r="K100" s="57"/>
      <c r="L100" s="57"/>
      <c r="M100" s="57"/>
      <c r="N100" s="57"/>
      <c r="O100" s="57"/>
      <c r="P100" s="2"/>
      <c r="Q100" s="2"/>
      <c r="R100" s="2"/>
      <c r="S100" s="2"/>
      <c r="T100" s="2"/>
      <c r="U100" s="2"/>
      <c r="V100" s="2"/>
      <c r="W100" s="2"/>
      <c r="X100" s="2"/>
      <c r="Y100" s="2"/>
      <c r="Z100" s="2"/>
      <c r="AA100" s="2"/>
      <c r="AB100" s="2"/>
      <c r="AC100" s="2"/>
      <c r="AD100" s="2"/>
      <c r="AE100" s="2"/>
      <c r="AF100" s="2"/>
      <c r="AG100" s="2"/>
      <c r="AH100" s="2"/>
      <c r="AI100" s="2"/>
    </row>
    <row r="101">
      <c r="A101" s="2"/>
      <c r="B101" s="2"/>
      <c r="C101" s="2"/>
      <c r="D101" s="2"/>
      <c r="E101" s="2"/>
      <c r="F101" s="2"/>
      <c r="G101" s="2"/>
      <c r="H101" s="2"/>
      <c r="I101" s="2"/>
      <c r="J101" s="2"/>
      <c r="K101" s="57"/>
      <c r="L101" s="57"/>
      <c r="M101" s="57"/>
      <c r="N101" s="57"/>
      <c r="O101" s="57"/>
      <c r="P101" s="2"/>
      <c r="Q101" s="2"/>
      <c r="R101" s="2"/>
      <c r="S101" s="2"/>
      <c r="T101" s="2"/>
      <c r="U101" s="2"/>
      <c r="V101" s="2"/>
      <c r="W101" s="2"/>
      <c r="X101" s="2"/>
      <c r="Y101" s="2"/>
      <c r="Z101" s="2"/>
      <c r="AA101" s="2"/>
      <c r="AB101" s="2"/>
      <c r="AC101" s="2"/>
      <c r="AD101" s="2"/>
      <c r="AE101" s="2"/>
      <c r="AF101" s="2"/>
      <c r="AG101" s="2"/>
      <c r="AH101" s="2"/>
      <c r="AI101" s="2"/>
    </row>
    <row r="102">
      <c r="A102" s="2"/>
      <c r="B102" s="2"/>
      <c r="C102" s="2"/>
      <c r="D102" s="2"/>
      <c r="E102" s="2"/>
      <c r="F102" s="2"/>
      <c r="G102" s="2"/>
      <c r="H102" s="2"/>
      <c r="I102" s="2"/>
      <c r="J102" s="2"/>
      <c r="K102" s="57"/>
      <c r="L102" s="57"/>
      <c r="M102" s="57"/>
      <c r="N102" s="57"/>
      <c r="O102" s="57"/>
      <c r="P102" s="2"/>
      <c r="Q102" s="2"/>
      <c r="R102" s="2"/>
      <c r="S102" s="2"/>
      <c r="T102" s="2"/>
      <c r="U102" s="2"/>
      <c r="V102" s="2"/>
      <c r="W102" s="2"/>
      <c r="X102" s="2"/>
      <c r="Y102" s="2"/>
      <c r="Z102" s="2"/>
      <c r="AA102" s="2"/>
      <c r="AB102" s="2"/>
      <c r="AC102" s="2"/>
      <c r="AD102" s="2"/>
      <c r="AE102" s="2"/>
      <c r="AF102" s="2"/>
      <c r="AG102" s="2"/>
      <c r="AH102" s="2"/>
      <c r="AI102" s="2"/>
    </row>
    <row r="103">
      <c r="A103" s="2"/>
      <c r="B103" s="2"/>
      <c r="C103" s="2"/>
      <c r="D103" s="2"/>
      <c r="E103" s="2"/>
      <c r="F103" s="2"/>
      <c r="G103" s="2"/>
      <c r="H103" s="2"/>
      <c r="I103" s="2"/>
      <c r="J103" s="2"/>
      <c r="K103" s="57"/>
      <c r="L103" s="57"/>
      <c r="M103" s="57"/>
      <c r="N103" s="57"/>
      <c r="O103" s="57"/>
      <c r="P103" s="2"/>
      <c r="Q103" s="2"/>
      <c r="R103" s="2"/>
      <c r="S103" s="2"/>
      <c r="T103" s="2"/>
      <c r="U103" s="2"/>
      <c r="V103" s="2"/>
      <c r="W103" s="2"/>
      <c r="X103" s="2"/>
      <c r="Y103" s="2"/>
      <c r="Z103" s="2"/>
      <c r="AA103" s="2"/>
      <c r="AB103" s="2"/>
      <c r="AC103" s="2"/>
      <c r="AD103" s="2"/>
      <c r="AE103" s="2"/>
      <c r="AF103" s="2"/>
      <c r="AG103" s="2"/>
      <c r="AH103" s="2"/>
      <c r="AI103" s="2"/>
    </row>
    <row r="104">
      <c r="A104" s="2"/>
      <c r="B104" s="2"/>
      <c r="C104" s="2"/>
      <c r="D104" s="2"/>
      <c r="E104" s="2"/>
      <c r="F104" s="2"/>
      <c r="G104" s="2"/>
      <c r="H104" s="2"/>
      <c r="I104" s="2"/>
      <c r="J104" s="2"/>
      <c r="K104" s="57"/>
      <c r="L104" s="57"/>
      <c r="M104" s="57"/>
      <c r="N104" s="57"/>
      <c r="O104" s="57"/>
      <c r="P104" s="2"/>
      <c r="Q104" s="2"/>
      <c r="R104" s="2"/>
      <c r="S104" s="2"/>
      <c r="T104" s="2"/>
      <c r="U104" s="2"/>
      <c r="V104" s="2"/>
      <c r="W104" s="2"/>
      <c r="X104" s="2"/>
      <c r="Y104" s="2"/>
      <c r="Z104" s="2"/>
      <c r="AA104" s="2"/>
      <c r="AB104" s="2"/>
      <c r="AC104" s="2"/>
      <c r="AD104" s="2"/>
      <c r="AE104" s="2"/>
      <c r="AF104" s="2"/>
      <c r="AG104" s="2"/>
      <c r="AH104" s="2"/>
      <c r="AI104" s="2"/>
    </row>
    <row r="105">
      <c r="A105" s="2"/>
      <c r="B105" s="2"/>
      <c r="C105" s="2"/>
      <c r="D105" s="2"/>
      <c r="E105" s="2"/>
      <c r="F105" s="2"/>
      <c r="G105" s="2"/>
      <c r="H105" s="2"/>
      <c r="I105" s="2"/>
      <c r="J105" s="2"/>
      <c r="K105" s="57"/>
      <c r="L105" s="57"/>
      <c r="M105" s="57"/>
      <c r="N105" s="57"/>
      <c r="O105" s="57"/>
      <c r="P105" s="2"/>
      <c r="Q105" s="2"/>
      <c r="R105" s="2"/>
      <c r="S105" s="2"/>
      <c r="T105" s="2"/>
      <c r="U105" s="2"/>
      <c r="V105" s="2"/>
      <c r="W105" s="2"/>
      <c r="X105" s="2"/>
      <c r="Y105" s="2"/>
      <c r="Z105" s="2"/>
      <c r="AA105" s="2"/>
      <c r="AB105" s="2"/>
      <c r="AC105" s="2"/>
      <c r="AD105" s="2"/>
      <c r="AE105" s="2"/>
      <c r="AF105" s="2"/>
      <c r="AG105" s="2"/>
      <c r="AH105" s="2"/>
      <c r="AI105" s="2"/>
    </row>
    <row r="106">
      <c r="A106" s="2"/>
      <c r="B106" s="2"/>
      <c r="C106" s="2"/>
      <c r="D106" s="2"/>
      <c r="E106" s="2"/>
      <c r="F106" s="2"/>
      <c r="G106" s="2"/>
      <c r="H106" s="2"/>
      <c r="I106" s="2"/>
      <c r="J106" s="2"/>
      <c r="K106" s="57"/>
      <c r="L106" s="57"/>
      <c r="M106" s="57"/>
      <c r="N106" s="57"/>
      <c r="O106" s="57"/>
      <c r="P106" s="2"/>
      <c r="Q106" s="2"/>
      <c r="R106" s="2"/>
      <c r="S106" s="2"/>
      <c r="T106" s="2"/>
      <c r="U106" s="2"/>
      <c r="V106" s="2"/>
      <c r="W106" s="2"/>
      <c r="X106" s="2"/>
      <c r="Y106" s="2"/>
      <c r="Z106" s="2"/>
      <c r="AA106" s="2"/>
      <c r="AB106" s="2"/>
      <c r="AC106" s="2"/>
      <c r="AD106" s="2"/>
      <c r="AE106" s="2"/>
      <c r="AF106" s="2"/>
      <c r="AG106" s="2"/>
      <c r="AH106" s="2"/>
      <c r="AI106" s="2"/>
    </row>
    <row r="107">
      <c r="A107" s="2"/>
      <c r="B107" s="2"/>
      <c r="C107" s="2"/>
      <c r="D107" s="2"/>
      <c r="E107" s="2"/>
      <c r="F107" s="2"/>
      <c r="G107" s="2"/>
      <c r="H107" s="2"/>
      <c r="I107" s="2"/>
      <c r="J107" s="2"/>
      <c r="K107" s="57"/>
      <c r="L107" s="57"/>
      <c r="M107" s="57"/>
      <c r="N107" s="57"/>
      <c r="O107" s="57"/>
      <c r="P107" s="2"/>
      <c r="Q107" s="2"/>
      <c r="R107" s="2"/>
      <c r="S107" s="2"/>
      <c r="T107" s="2"/>
      <c r="U107" s="2"/>
      <c r="V107" s="2"/>
      <c r="W107" s="2"/>
      <c r="X107" s="2"/>
      <c r="Y107" s="2"/>
      <c r="Z107" s="2"/>
      <c r="AA107" s="2"/>
      <c r="AB107" s="2"/>
      <c r="AC107" s="2"/>
      <c r="AD107" s="2"/>
      <c r="AE107" s="2"/>
      <c r="AF107" s="2"/>
      <c r="AG107" s="2"/>
      <c r="AH107" s="2"/>
      <c r="AI107" s="2"/>
    </row>
    <row r="108">
      <c r="A108" s="2"/>
      <c r="B108" s="2"/>
      <c r="C108" s="2"/>
      <c r="D108" s="2"/>
      <c r="E108" s="2"/>
      <c r="F108" s="2"/>
      <c r="G108" s="2"/>
      <c r="H108" s="2"/>
      <c r="I108" s="2"/>
      <c r="J108" s="2"/>
      <c r="K108" s="57"/>
      <c r="L108" s="57"/>
      <c r="M108" s="57"/>
      <c r="N108" s="57"/>
      <c r="O108" s="57"/>
      <c r="P108" s="2"/>
      <c r="Q108" s="2"/>
      <c r="R108" s="2"/>
      <c r="S108" s="2"/>
      <c r="T108" s="2"/>
      <c r="U108" s="2"/>
      <c r="V108" s="2"/>
      <c r="W108" s="2"/>
      <c r="X108" s="2"/>
      <c r="Y108" s="2"/>
      <c r="Z108" s="2"/>
      <c r="AA108" s="2"/>
      <c r="AB108" s="2"/>
      <c r="AC108" s="2"/>
      <c r="AD108" s="2"/>
      <c r="AE108" s="2"/>
      <c r="AF108" s="2"/>
      <c r="AG108" s="2"/>
      <c r="AH108" s="2"/>
      <c r="AI108" s="2"/>
    </row>
    <row r="109">
      <c r="A109" s="2"/>
      <c r="B109" s="2"/>
      <c r="C109" s="2"/>
      <c r="D109" s="2"/>
      <c r="E109" s="2"/>
      <c r="F109" s="2"/>
      <c r="G109" s="2"/>
      <c r="H109" s="2"/>
      <c r="I109" s="2"/>
      <c r="J109" s="2"/>
      <c r="K109" s="57"/>
      <c r="L109" s="57"/>
      <c r="M109" s="57"/>
      <c r="N109" s="57"/>
      <c r="O109" s="57"/>
      <c r="P109" s="2"/>
      <c r="Q109" s="2"/>
      <c r="R109" s="2"/>
      <c r="S109" s="2"/>
      <c r="T109" s="2"/>
      <c r="U109" s="2"/>
      <c r="V109" s="2"/>
      <c r="W109" s="2"/>
      <c r="X109" s="2"/>
      <c r="Y109" s="2"/>
      <c r="Z109" s="2"/>
      <c r="AA109" s="2"/>
      <c r="AB109" s="2"/>
      <c r="AC109" s="2"/>
      <c r="AD109" s="2"/>
      <c r="AE109" s="2"/>
      <c r="AF109" s="2"/>
      <c r="AG109" s="2"/>
      <c r="AH109" s="2"/>
      <c r="AI109" s="2"/>
    </row>
    <row r="110">
      <c r="A110" s="2"/>
      <c r="B110" s="2"/>
      <c r="C110" s="2"/>
      <c r="D110" s="2"/>
      <c r="E110" s="2"/>
      <c r="F110" s="2"/>
      <c r="G110" s="2"/>
      <c r="H110" s="2"/>
      <c r="I110" s="2"/>
      <c r="J110" s="2"/>
      <c r="K110" s="57"/>
      <c r="L110" s="57"/>
      <c r="M110" s="57"/>
      <c r="N110" s="57"/>
      <c r="O110" s="57"/>
      <c r="P110" s="2"/>
      <c r="Q110" s="2"/>
      <c r="R110" s="2"/>
      <c r="S110" s="2"/>
      <c r="T110" s="2"/>
      <c r="U110" s="2"/>
      <c r="V110" s="2"/>
      <c r="W110" s="2"/>
      <c r="X110" s="2"/>
      <c r="Y110" s="2"/>
      <c r="Z110" s="2"/>
      <c r="AA110" s="2"/>
      <c r="AB110" s="2"/>
      <c r="AC110" s="2"/>
      <c r="AD110" s="2"/>
      <c r="AE110" s="2"/>
      <c r="AF110" s="2"/>
      <c r="AG110" s="2"/>
      <c r="AH110" s="2"/>
      <c r="AI110" s="2"/>
    </row>
    <row r="111">
      <c r="A111" s="2"/>
      <c r="B111" s="2"/>
      <c r="C111" s="2"/>
      <c r="D111" s="2"/>
      <c r="E111" s="2"/>
      <c r="F111" s="2"/>
      <c r="G111" s="2"/>
      <c r="H111" s="2"/>
      <c r="I111" s="2"/>
      <c r="J111" s="2"/>
      <c r="K111" s="57"/>
      <c r="L111" s="57"/>
      <c r="M111" s="57"/>
      <c r="N111" s="57"/>
      <c r="O111" s="57"/>
      <c r="P111" s="2"/>
      <c r="Q111" s="2"/>
      <c r="R111" s="2"/>
      <c r="S111" s="2"/>
      <c r="T111" s="2"/>
      <c r="U111" s="2"/>
      <c r="V111" s="2"/>
      <c r="W111" s="2"/>
      <c r="X111" s="2"/>
      <c r="Y111" s="2"/>
      <c r="Z111" s="2"/>
      <c r="AA111" s="2"/>
      <c r="AB111" s="2"/>
      <c r="AC111" s="2"/>
      <c r="AD111" s="2"/>
      <c r="AE111" s="2"/>
      <c r="AF111" s="2"/>
      <c r="AG111" s="2"/>
      <c r="AH111" s="2"/>
      <c r="AI111" s="2"/>
    </row>
    <row r="112">
      <c r="A112" s="2"/>
      <c r="B112" s="2"/>
      <c r="C112" s="2"/>
      <c r="D112" s="2"/>
      <c r="E112" s="2"/>
      <c r="F112" s="2"/>
      <c r="G112" s="2"/>
      <c r="H112" s="2"/>
      <c r="I112" s="2"/>
      <c r="J112" s="2"/>
      <c r="K112" s="57"/>
      <c r="L112" s="57"/>
      <c r="M112" s="57"/>
      <c r="N112" s="57"/>
      <c r="O112" s="57"/>
      <c r="P112" s="2"/>
      <c r="Q112" s="2"/>
      <c r="R112" s="2"/>
      <c r="S112" s="2"/>
      <c r="T112" s="2"/>
      <c r="U112" s="2"/>
      <c r="V112" s="2"/>
      <c r="W112" s="2"/>
      <c r="X112" s="2"/>
      <c r="Y112" s="2"/>
      <c r="Z112" s="2"/>
      <c r="AA112" s="2"/>
      <c r="AB112" s="2"/>
      <c r="AC112" s="2"/>
      <c r="AD112" s="2"/>
      <c r="AE112" s="2"/>
      <c r="AF112" s="2"/>
      <c r="AG112" s="2"/>
      <c r="AH112" s="2"/>
      <c r="AI112" s="2"/>
    </row>
    <row r="113">
      <c r="A113" s="2"/>
      <c r="B113" s="2"/>
      <c r="C113" s="2"/>
      <c r="D113" s="2"/>
      <c r="E113" s="2"/>
      <c r="F113" s="2"/>
      <c r="G113" s="2"/>
      <c r="H113" s="2"/>
      <c r="I113" s="2"/>
      <c r="J113" s="2"/>
      <c r="K113" s="57"/>
      <c r="L113" s="57"/>
      <c r="M113" s="57"/>
      <c r="N113" s="57"/>
      <c r="O113" s="57"/>
      <c r="P113" s="2"/>
      <c r="Q113" s="2"/>
      <c r="R113" s="2"/>
      <c r="S113" s="2"/>
      <c r="T113" s="2"/>
      <c r="U113" s="2"/>
      <c r="V113" s="2"/>
      <c r="W113" s="2"/>
      <c r="X113" s="2"/>
      <c r="Y113" s="2"/>
      <c r="Z113" s="2"/>
      <c r="AA113" s="2"/>
      <c r="AB113" s="2"/>
      <c r="AC113" s="2"/>
      <c r="AD113" s="2"/>
      <c r="AE113" s="2"/>
      <c r="AF113" s="2"/>
      <c r="AG113" s="2"/>
      <c r="AH113" s="2"/>
      <c r="AI113" s="2"/>
    </row>
    <row r="114">
      <c r="A114" s="2"/>
      <c r="B114" s="2"/>
      <c r="C114" s="2"/>
      <c r="D114" s="2"/>
      <c r="E114" s="2"/>
      <c r="F114" s="2"/>
      <c r="G114" s="2"/>
      <c r="H114" s="2"/>
      <c r="I114" s="2"/>
      <c r="J114" s="2"/>
      <c r="K114" s="57"/>
      <c r="L114" s="57"/>
      <c r="M114" s="57"/>
      <c r="N114" s="57"/>
      <c r="O114" s="57"/>
      <c r="P114" s="2"/>
      <c r="Q114" s="2"/>
      <c r="R114" s="2"/>
      <c r="S114" s="2"/>
      <c r="T114" s="2"/>
      <c r="U114" s="2"/>
      <c r="V114" s="2"/>
      <c r="W114" s="2"/>
      <c r="X114" s="2"/>
      <c r="Y114" s="2"/>
      <c r="Z114" s="2"/>
      <c r="AA114" s="2"/>
      <c r="AB114" s="2"/>
      <c r="AC114" s="2"/>
      <c r="AD114" s="2"/>
      <c r="AE114" s="2"/>
      <c r="AF114" s="2"/>
      <c r="AG114" s="2"/>
      <c r="AH114" s="2"/>
      <c r="AI114" s="2"/>
    </row>
    <row r="115">
      <c r="A115" s="2"/>
      <c r="B115" s="2"/>
      <c r="C115" s="2"/>
      <c r="D115" s="2"/>
      <c r="E115" s="2"/>
      <c r="F115" s="2"/>
      <c r="G115" s="2"/>
      <c r="H115" s="2"/>
      <c r="I115" s="2"/>
      <c r="J115" s="2"/>
      <c r="K115" s="57"/>
      <c r="L115" s="57"/>
      <c r="M115" s="57"/>
      <c r="N115" s="57"/>
      <c r="O115" s="57"/>
      <c r="P115" s="2"/>
      <c r="Q115" s="2"/>
      <c r="R115" s="2"/>
      <c r="S115" s="2"/>
      <c r="T115" s="2"/>
      <c r="U115" s="2"/>
      <c r="V115" s="2"/>
      <c r="W115" s="2"/>
      <c r="X115" s="2"/>
      <c r="Y115" s="2"/>
      <c r="Z115" s="2"/>
      <c r="AA115" s="2"/>
      <c r="AB115" s="2"/>
      <c r="AC115" s="2"/>
      <c r="AD115" s="2"/>
      <c r="AE115" s="2"/>
      <c r="AF115" s="2"/>
      <c r="AG115" s="2"/>
      <c r="AH115" s="2"/>
      <c r="AI115" s="2"/>
    </row>
    <row r="116">
      <c r="A116" s="2"/>
      <c r="B116" s="2"/>
      <c r="C116" s="2"/>
      <c r="D116" s="2"/>
      <c r="E116" s="2"/>
      <c r="F116" s="2"/>
      <c r="G116" s="2"/>
      <c r="H116" s="2"/>
      <c r="I116" s="2"/>
      <c r="J116" s="2"/>
      <c r="K116" s="57"/>
      <c r="L116" s="57"/>
      <c r="M116" s="57"/>
      <c r="N116" s="57"/>
      <c r="O116" s="57"/>
      <c r="P116" s="2"/>
      <c r="Q116" s="2"/>
      <c r="R116" s="2"/>
      <c r="S116" s="2"/>
      <c r="T116" s="2"/>
      <c r="U116" s="2"/>
      <c r="V116" s="2"/>
      <c r="W116" s="2"/>
      <c r="X116" s="2"/>
      <c r="Y116" s="2"/>
      <c r="Z116" s="2"/>
      <c r="AA116" s="2"/>
      <c r="AB116" s="2"/>
      <c r="AC116" s="2"/>
      <c r="AD116" s="2"/>
      <c r="AE116" s="2"/>
      <c r="AF116" s="2"/>
      <c r="AG116" s="2"/>
      <c r="AH116" s="2"/>
      <c r="AI116" s="2"/>
    </row>
    <row r="117">
      <c r="A117" s="2"/>
      <c r="B117" s="2"/>
      <c r="C117" s="2"/>
      <c r="D117" s="2"/>
      <c r="E117" s="2"/>
      <c r="F117" s="2"/>
      <c r="G117" s="2"/>
      <c r="H117" s="2"/>
      <c r="I117" s="2"/>
      <c r="J117" s="2"/>
      <c r="K117" s="57"/>
      <c r="L117" s="57"/>
      <c r="M117" s="57"/>
      <c r="N117" s="57"/>
      <c r="O117" s="57"/>
      <c r="P117" s="2"/>
      <c r="Q117" s="2"/>
      <c r="R117" s="2"/>
      <c r="S117" s="2"/>
      <c r="T117" s="2"/>
      <c r="U117" s="2"/>
      <c r="V117" s="2"/>
      <c r="W117" s="2"/>
      <c r="X117" s="2"/>
      <c r="Y117" s="2"/>
      <c r="Z117" s="2"/>
      <c r="AA117" s="2"/>
      <c r="AB117" s="2"/>
      <c r="AC117" s="2"/>
      <c r="AD117" s="2"/>
      <c r="AE117" s="2"/>
      <c r="AF117" s="2"/>
      <c r="AG117" s="2"/>
      <c r="AH117" s="2"/>
      <c r="AI117" s="2"/>
    </row>
    <row r="118">
      <c r="A118" s="2"/>
      <c r="B118" s="2"/>
      <c r="C118" s="2"/>
      <c r="D118" s="2"/>
      <c r="E118" s="2"/>
      <c r="F118" s="2"/>
      <c r="G118" s="2"/>
      <c r="H118" s="2"/>
      <c r="I118" s="2"/>
      <c r="J118" s="2"/>
      <c r="K118" s="57"/>
      <c r="L118" s="57"/>
      <c r="M118" s="57"/>
      <c r="N118" s="57"/>
      <c r="O118" s="57"/>
      <c r="P118" s="2"/>
      <c r="Q118" s="2"/>
      <c r="R118" s="2"/>
      <c r="S118" s="2"/>
      <c r="T118" s="2"/>
      <c r="U118" s="2"/>
      <c r="V118" s="2"/>
      <c r="W118" s="2"/>
      <c r="X118" s="2"/>
      <c r="Y118" s="2"/>
      <c r="Z118" s="2"/>
      <c r="AA118" s="2"/>
      <c r="AB118" s="2"/>
      <c r="AC118" s="2"/>
      <c r="AD118" s="2"/>
      <c r="AE118" s="2"/>
      <c r="AF118" s="2"/>
      <c r="AG118" s="2"/>
      <c r="AH118" s="2"/>
      <c r="AI118" s="2"/>
    </row>
    <row r="119">
      <c r="A119" s="2"/>
      <c r="B119" s="2"/>
      <c r="C119" s="2"/>
      <c r="D119" s="2"/>
      <c r="E119" s="2"/>
      <c r="F119" s="2"/>
      <c r="G119" s="2"/>
      <c r="H119" s="2"/>
      <c r="I119" s="2"/>
      <c r="J119" s="2"/>
      <c r="K119" s="57"/>
      <c r="L119" s="57"/>
      <c r="M119" s="57"/>
      <c r="N119" s="57"/>
      <c r="O119" s="57"/>
      <c r="P119" s="2"/>
      <c r="Q119" s="2"/>
      <c r="R119" s="2"/>
      <c r="S119" s="2"/>
      <c r="T119" s="2"/>
      <c r="U119" s="2"/>
      <c r="V119" s="2"/>
      <c r="W119" s="2"/>
      <c r="X119" s="2"/>
      <c r="Y119" s="2"/>
      <c r="Z119" s="2"/>
      <c r="AA119" s="2"/>
      <c r="AB119" s="2"/>
      <c r="AC119" s="2"/>
      <c r="AD119" s="2"/>
      <c r="AE119" s="2"/>
      <c r="AF119" s="2"/>
      <c r="AG119" s="2"/>
      <c r="AH119" s="2"/>
      <c r="AI119" s="2"/>
    </row>
    <row r="120">
      <c r="A120" s="2"/>
      <c r="B120" s="2"/>
      <c r="C120" s="2"/>
      <c r="D120" s="2"/>
      <c r="E120" s="2"/>
      <c r="F120" s="2"/>
      <c r="G120" s="2"/>
      <c r="H120" s="2"/>
      <c r="I120" s="2"/>
      <c r="J120" s="2"/>
      <c r="K120" s="57"/>
      <c r="L120" s="57"/>
      <c r="M120" s="57"/>
      <c r="N120" s="57"/>
      <c r="O120" s="57"/>
      <c r="P120" s="2"/>
      <c r="Q120" s="2"/>
      <c r="R120" s="2"/>
      <c r="S120" s="2"/>
      <c r="T120" s="2"/>
      <c r="U120" s="2"/>
      <c r="V120" s="2"/>
      <c r="W120" s="2"/>
      <c r="X120" s="2"/>
      <c r="Y120" s="2"/>
      <c r="Z120" s="2"/>
      <c r="AA120" s="2"/>
      <c r="AB120" s="2"/>
      <c r="AC120" s="2"/>
      <c r="AD120" s="2"/>
      <c r="AE120" s="2"/>
      <c r="AF120" s="2"/>
      <c r="AG120" s="2"/>
      <c r="AH120" s="2"/>
      <c r="AI120" s="2"/>
    </row>
    <row r="121">
      <c r="A121" s="2"/>
      <c r="B121" s="2"/>
      <c r="C121" s="2"/>
      <c r="D121" s="2"/>
      <c r="E121" s="2"/>
      <c r="F121" s="2"/>
      <c r="G121" s="2"/>
      <c r="H121" s="2"/>
      <c r="I121" s="2"/>
      <c r="J121" s="2"/>
      <c r="K121" s="57"/>
      <c r="L121" s="57"/>
      <c r="M121" s="57"/>
      <c r="N121" s="57"/>
      <c r="O121" s="57"/>
      <c r="P121" s="2"/>
      <c r="Q121" s="2"/>
      <c r="R121" s="2"/>
      <c r="S121" s="2"/>
      <c r="T121" s="2"/>
      <c r="U121" s="2"/>
      <c r="V121" s="2"/>
      <c r="W121" s="2"/>
      <c r="X121" s="2"/>
      <c r="Y121" s="2"/>
      <c r="Z121" s="2"/>
      <c r="AA121" s="2"/>
      <c r="AB121" s="2"/>
      <c r="AC121" s="2"/>
      <c r="AD121" s="2"/>
      <c r="AE121" s="2"/>
      <c r="AF121" s="2"/>
      <c r="AG121" s="2"/>
      <c r="AH121" s="2"/>
      <c r="AI121" s="2"/>
    </row>
    <row r="122">
      <c r="A122" s="2"/>
      <c r="B122" s="2"/>
      <c r="C122" s="2"/>
      <c r="D122" s="2"/>
      <c r="E122" s="2"/>
      <c r="F122" s="2"/>
      <c r="G122" s="2"/>
      <c r="H122" s="2"/>
      <c r="I122" s="2"/>
      <c r="J122" s="2"/>
      <c r="K122" s="57"/>
      <c r="L122" s="57"/>
      <c r="M122" s="57"/>
      <c r="N122" s="57"/>
      <c r="O122" s="57"/>
      <c r="P122" s="2"/>
      <c r="Q122" s="2"/>
      <c r="R122" s="2"/>
      <c r="S122" s="2"/>
      <c r="T122" s="2"/>
      <c r="U122" s="2"/>
      <c r="V122" s="2"/>
      <c r="W122" s="2"/>
      <c r="X122" s="2"/>
      <c r="Y122" s="2"/>
      <c r="Z122" s="2"/>
      <c r="AA122" s="2"/>
      <c r="AB122" s="2"/>
      <c r="AC122" s="2"/>
      <c r="AD122" s="2"/>
      <c r="AE122" s="2"/>
      <c r="AF122" s="2"/>
      <c r="AG122" s="2"/>
      <c r="AH122" s="2"/>
      <c r="AI122" s="2"/>
    </row>
    <row r="123">
      <c r="A123" s="2"/>
      <c r="B123" s="2"/>
      <c r="C123" s="2"/>
      <c r="D123" s="2"/>
      <c r="E123" s="2"/>
      <c r="F123" s="2"/>
      <c r="G123" s="2"/>
      <c r="H123" s="2"/>
      <c r="I123" s="2"/>
      <c r="J123" s="2"/>
      <c r="K123" s="57"/>
      <c r="L123" s="57"/>
      <c r="M123" s="57"/>
      <c r="N123" s="57"/>
      <c r="O123" s="57"/>
      <c r="P123" s="2"/>
      <c r="Q123" s="2"/>
      <c r="R123" s="2"/>
      <c r="S123" s="2"/>
      <c r="T123" s="2"/>
      <c r="U123" s="2"/>
      <c r="V123" s="2"/>
      <c r="W123" s="2"/>
      <c r="X123" s="2"/>
      <c r="Y123" s="2"/>
      <c r="Z123" s="2"/>
      <c r="AA123" s="2"/>
      <c r="AB123" s="2"/>
      <c r="AC123" s="2"/>
      <c r="AD123" s="2"/>
      <c r="AE123" s="2"/>
      <c r="AF123" s="2"/>
      <c r="AG123" s="2"/>
      <c r="AH123" s="2"/>
      <c r="AI123" s="2"/>
    </row>
    <row r="124">
      <c r="A124" s="2"/>
      <c r="B124" s="2"/>
      <c r="C124" s="2"/>
      <c r="D124" s="2"/>
      <c r="E124" s="2"/>
      <c r="F124" s="2"/>
      <c r="G124" s="2"/>
      <c r="H124" s="2"/>
      <c r="I124" s="2"/>
      <c r="J124" s="2"/>
      <c r="K124" s="57"/>
      <c r="L124" s="57"/>
      <c r="M124" s="57"/>
      <c r="N124" s="57"/>
      <c r="O124" s="57"/>
      <c r="P124" s="2"/>
      <c r="Q124" s="2"/>
      <c r="R124" s="2"/>
      <c r="S124" s="2"/>
      <c r="T124" s="2"/>
      <c r="U124" s="2"/>
      <c r="V124" s="2"/>
      <c r="W124" s="2"/>
      <c r="X124" s="2"/>
      <c r="Y124" s="2"/>
      <c r="Z124" s="2"/>
      <c r="AA124" s="2"/>
      <c r="AB124" s="2"/>
      <c r="AC124" s="2"/>
      <c r="AD124" s="2"/>
      <c r="AE124" s="2"/>
      <c r="AF124" s="2"/>
      <c r="AG124" s="2"/>
      <c r="AH124" s="2"/>
      <c r="AI124" s="2"/>
    </row>
    <row r="125">
      <c r="A125" s="2"/>
      <c r="B125" s="2"/>
      <c r="C125" s="2"/>
      <c r="D125" s="2"/>
      <c r="E125" s="2"/>
      <c r="F125" s="2"/>
      <c r="G125" s="2"/>
      <c r="H125" s="2"/>
      <c r="I125" s="2"/>
      <c r="J125" s="2"/>
      <c r="K125" s="57"/>
      <c r="L125" s="57"/>
      <c r="M125" s="57"/>
      <c r="N125" s="57"/>
      <c r="O125" s="57"/>
      <c r="P125" s="2"/>
      <c r="Q125" s="2"/>
      <c r="R125" s="2"/>
      <c r="S125" s="2"/>
      <c r="T125" s="2"/>
      <c r="U125" s="2"/>
      <c r="V125" s="2"/>
      <c r="W125" s="2"/>
      <c r="X125" s="2"/>
      <c r="Y125" s="2"/>
      <c r="Z125" s="2"/>
      <c r="AA125" s="2"/>
      <c r="AB125" s="2"/>
      <c r="AC125" s="2"/>
      <c r="AD125" s="2"/>
      <c r="AE125" s="2"/>
      <c r="AF125" s="2"/>
      <c r="AG125" s="2"/>
      <c r="AH125" s="2"/>
      <c r="AI125" s="2"/>
    </row>
    <row r="126">
      <c r="A126" s="2"/>
      <c r="B126" s="2"/>
      <c r="C126" s="2"/>
      <c r="D126" s="2"/>
      <c r="E126" s="2"/>
      <c r="F126" s="2"/>
      <c r="G126" s="2"/>
      <c r="H126" s="2"/>
      <c r="I126" s="2"/>
      <c r="J126" s="2"/>
      <c r="K126" s="57"/>
      <c r="L126" s="57"/>
      <c r="M126" s="57"/>
      <c r="N126" s="57"/>
      <c r="O126" s="57"/>
      <c r="P126" s="2"/>
      <c r="Q126" s="2"/>
      <c r="R126" s="2"/>
      <c r="S126" s="2"/>
      <c r="T126" s="2"/>
      <c r="U126" s="2"/>
      <c r="V126" s="2"/>
      <c r="W126" s="2"/>
      <c r="X126" s="2"/>
      <c r="Y126" s="2"/>
      <c r="Z126" s="2"/>
      <c r="AA126" s="2"/>
      <c r="AB126" s="2"/>
      <c r="AC126" s="2"/>
      <c r="AD126" s="2"/>
      <c r="AE126" s="2"/>
      <c r="AF126" s="2"/>
      <c r="AG126" s="2"/>
      <c r="AH126" s="2"/>
      <c r="AI126" s="2"/>
    </row>
    <row r="127">
      <c r="A127" s="2"/>
      <c r="B127" s="2"/>
      <c r="C127" s="2"/>
      <c r="D127" s="2"/>
      <c r="E127" s="2"/>
      <c r="F127" s="2"/>
      <c r="G127" s="2"/>
      <c r="H127" s="2"/>
      <c r="I127" s="2"/>
      <c r="J127" s="2"/>
      <c r="K127" s="57"/>
      <c r="L127" s="57"/>
      <c r="M127" s="57"/>
      <c r="N127" s="57"/>
      <c r="O127" s="57"/>
      <c r="P127" s="2"/>
      <c r="Q127" s="2"/>
      <c r="R127" s="2"/>
      <c r="S127" s="2"/>
      <c r="T127" s="2"/>
      <c r="U127" s="2"/>
      <c r="V127" s="2"/>
      <c r="W127" s="2"/>
      <c r="X127" s="2"/>
      <c r="Y127" s="2"/>
      <c r="Z127" s="2"/>
      <c r="AA127" s="2"/>
      <c r="AB127" s="2"/>
      <c r="AC127" s="2"/>
      <c r="AD127" s="2"/>
      <c r="AE127" s="2"/>
      <c r="AF127" s="2"/>
      <c r="AG127" s="2"/>
      <c r="AH127" s="2"/>
      <c r="AI127" s="2"/>
    </row>
    <row r="128">
      <c r="A128" s="2"/>
      <c r="B128" s="2"/>
      <c r="C128" s="2"/>
      <c r="D128" s="2"/>
      <c r="E128" s="2"/>
      <c r="F128" s="2"/>
      <c r="G128" s="2"/>
      <c r="H128" s="2"/>
      <c r="I128" s="2"/>
      <c r="J128" s="2"/>
      <c r="K128" s="57"/>
      <c r="L128" s="57"/>
      <c r="M128" s="57"/>
      <c r="N128" s="57"/>
      <c r="O128" s="57"/>
      <c r="P128" s="2"/>
      <c r="Q128" s="2"/>
      <c r="R128" s="2"/>
      <c r="S128" s="2"/>
      <c r="T128" s="2"/>
      <c r="U128" s="2"/>
      <c r="V128" s="2"/>
      <c r="W128" s="2"/>
      <c r="X128" s="2"/>
      <c r="Y128" s="2"/>
      <c r="Z128" s="2"/>
      <c r="AA128" s="2"/>
      <c r="AB128" s="2"/>
      <c r="AC128" s="2"/>
      <c r="AD128" s="2"/>
      <c r="AE128" s="2"/>
      <c r="AF128" s="2"/>
      <c r="AG128" s="2"/>
      <c r="AH128" s="2"/>
      <c r="AI128" s="2"/>
    </row>
    <row r="129">
      <c r="A129" s="2"/>
      <c r="B129" s="2"/>
      <c r="C129" s="2"/>
      <c r="D129" s="2"/>
      <c r="E129" s="2"/>
      <c r="F129" s="2"/>
      <c r="G129" s="2"/>
      <c r="H129" s="2"/>
      <c r="I129" s="2"/>
      <c r="J129" s="2"/>
      <c r="K129" s="57"/>
      <c r="L129" s="57"/>
      <c r="M129" s="57"/>
      <c r="N129" s="57"/>
      <c r="O129" s="57"/>
      <c r="P129" s="2"/>
      <c r="Q129" s="2"/>
      <c r="R129" s="2"/>
      <c r="S129" s="2"/>
      <c r="T129" s="2"/>
      <c r="U129" s="2"/>
      <c r="V129" s="2"/>
      <c r="W129" s="2"/>
      <c r="X129" s="2"/>
      <c r="Y129" s="2"/>
      <c r="Z129" s="2"/>
      <c r="AA129" s="2"/>
      <c r="AB129" s="2"/>
      <c r="AC129" s="2"/>
      <c r="AD129" s="2"/>
      <c r="AE129" s="2"/>
      <c r="AF129" s="2"/>
      <c r="AG129" s="2"/>
      <c r="AH129" s="2"/>
      <c r="AI129" s="2"/>
    </row>
    <row r="130">
      <c r="A130" s="2"/>
      <c r="B130" s="2"/>
      <c r="C130" s="2"/>
      <c r="D130" s="2"/>
      <c r="E130" s="2"/>
      <c r="F130" s="2"/>
      <c r="G130" s="2"/>
      <c r="H130" s="2"/>
      <c r="I130" s="2"/>
      <c r="J130" s="2"/>
      <c r="K130" s="57"/>
      <c r="L130" s="57"/>
      <c r="M130" s="57"/>
      <c r="N130" s="57"/>
      <c r="O130" s="57"/>
      <c r="P130" s="2"/>
      <c r="Q130" s="2"/>
      <c r="R130" s="2"/>
      <c r="S130" s="2"/>
      <c r="T130" s="2"/>
      <c r="U130" s="2"/>
      <c r="V130" s="2"/>
      <c r="W130" s="2"/>
      <c r="X130" s="2"/>
      <c r="Y130" s="2"/>
      <c r="Z130" s="2"/>
      <c r="AA130" s="2"/>
      <c r="AB130" s="2"/>
      <c r="AC130" s="2"/>
      <c r="AD130" s="2"/>
      <c r="AE130" s="2"/>
      <c r="AF130" s="2"/>
      <c r="AG130" s="2"/>
      <c r="AH130" s="2"/>
      <c r="AI130" s="2"/>
    </row>
    <row r="131">
      <c r="A131" s="2"/>
      <c r="B131" s="2"/>
      <c r="C131" s="2"/>
      <c r="D131" s="2"/>
      <c r="E131" s="2"/>
      <c r="F131" s="2"/>
      <c r="G131" s="2"/>
      <c r="H131" s="2"/>
      <c r="I131" s="2"/>
      <c r="J131" s="2"/>
      <c r="K131" s="57"/>
      <c r="L131" s="57"/>
      <c r="M131" s="57"/>
      <c r="N131" s="57"/>
      <c r="O131" s="57"/>
      <c r="P131" s="2"/>
      <c r="Q131" s="2"/>
      <c r="R131" s="2"/>
      <c r="S131" s="2"/>
      <c r="T131" s="2"/>
      <c r="U131" s="2"/>
      <c r="V131" s="2"/>
      <c r="W131" s="2"/>
      <c r="X131" s="2"/>
      <c r="Y131" s="2"/>
      <c r="Z131" s="2"/>
      <c r="AA131" s="2"/>
      <c r="AB131" s="2"/>
      <c r="AC131" s="2"/>
      <c r="AD131" s="2"/>
      <c r="AE131" s="2"/>
      <c r="AF131" s="2"/>
      <c r="AG131" s="2"/>
      <c r="AH131" s="2"/>
      <c r="AI131" s="2"/>
    </row>
    <row r="132">
      <c r="A132" s="2"/>
      <c r="B132" s="2"/>
      <c r="C132" s="2"/>
      <c r="D132" s="2"/>
      <c r="E132" s="2"/>
      <c r="F132" s="2"/>
      <c r="G132" s="2"/>
      <c r="H132" s="2"/>
      <c r="I132" s="2"/>
      <c r="J132" s="2"/>
      <c r="K132" s="57"/>
      <c r="L132" s="57"/>
      <c r="M132" s="57"/>
      <c r="N132" s="57"/>
      <c r="O132" s="57"/>
      <c r="P132" s="2"/>
      <c r="Q132" s="2"/>
      <c r="R132" s="2"/>
      <c r="S132" s="2"/>
      <c r="T132" s="2"/>
      <c r="U132" s="2"/>
      <c r="V132" s="2"/>
      <c r="W132" s="2"/>
      <c r="X132" s="2"/>
      <c r="Y132" s="2"/>
      <c r="Z132" s="2"/>
      <c r="AA132" s="2"/>
      <c r="AB132" s="2"/>
      <c r="AC132" s="2"/>
      <c r="AD132" s="2"/>
      <c r="AE132" s="2"/>
      <c r="AF132" s="2"/>
      <c r="AG132" s="2"/>
      <c r="AH132" s="2"/>
      <c r="AI132" s="2"/>
    </row>
    <row r="133">
      <c r="A133" s="2"/>
      <c r="B133" s="2"/>
      <c r="C133" s="2"/>
      <c r="D133" s="2"/>
      <c r="E133" s="2"/>
      <c r="F133" s="2"/>
      <c r="G133" s="2"/>
      <c r="H133" s="2"/>
      <c r="I133" s="2"/>
      <c r="J133" s="2"/>
      <c r="K133" s="57"/>
      <c r="L133" s="57"/>
      <c r="M133" s="57"/>
      <c r="N133" s="57"/>
      <c r="O133" s="57"/>
      <c r="P133" s="2"/>
      <c r="Q133" s="2"/>
      <c r="R133" s="2"/>
      <c r="S133" s="2"/>
      <c r="T133" s="2"/>
      <c r="U133" s="2"/>
      <c r="V133" s="2"/>
      <c r="W133" s="2"/>
      <c r="X133" s="2"/>
      <c r="Y133" s="2"/>
      <c r="Z133" s="2"/>
      <c r="AA133" s="2"/>
      <c r="AB133" s="2"/>
      <c r="AC133" s="2"/>
      <c r="AD133" s="2"/>
      <c r="AE133" s="2"/>
      <c r="AF133" s="2"/>
      <c r="AG133" s="2"/>
      <c r="AH133" s="2"/>
      <c r="AI133" s="2"/>
    </row>
    <row r="134">
      <c r="A134" s="2"/>
      <c r="B134" s="2"/>
      <c r="C134" s="2"/>
      <c r="D134" s="2"/>
      <c r="E134" s="2"/>
      <c r="F134" s="2"/>
      <c r="G134" s="2"/>
      <c r="H134" s="2"/>
      <c r="I134" s="2"/>
      <c r="J134" s="2"/>
      <c r="K134" s="57"/>
      <c r="L134" s="57"/>
      <c r="M134" s="57"/>
      <c r="N134" s="57"/>
      <c r="O134" s="57"/>
      <c r="P134" s="2"/>
      <c r="Q134" s="2"/>
      <c r="R134" s="2"/>
      <c r="S134" s="2"/>
      <c r="T134" s="2"/>
      <c r="U134" s="2"/>
      <c r="V134" s="2"/>
      <c r="W134" s="2"/>
      <c r="X134" s="2"/>
      <c r="Y134" s="2"/>
      <c r="Z134" s="2"/>
      <c r="AA134" s="2"/>
      <c r="AB134" s="2"/>
      <c r="AC134" s="2"/>
      <c r="AD134" s="2"/>
      <c r="AE134" s="2"/>
      <c r="AF134" s="2"/>
      <c r="AG134" s="2"/>
      <c r="AH134" s="2"/>
      <c r="AI134" s="2"/>
    </row>
    <row r="135">
      <c r="A135" s="2"/>
      <c r="B135" s="2"/>
      <c r="C135" s="2"/>
      <c r="D135" s="2"/>
      <c r="E135" s="2"/>
      <c r="F135" s="2"/>
      <c r="G135" s="2"/>
      <c r="H135" s="2"/>
      <c r="I135" s="2"/>
      <c r="J135" s="2"/>
      <c r="K135" s="57"/>
      <c r="L135" s="57"/>
      <c r="M135" s="57"/>
      <c r="N135" s="57"/>
      <c r="O135" s="57"/>
      <c r="P135" s="2"/>
      <c r="Q135" s="2"/>
      <c r="R135" s="2"/>
      <c r="S135" s="2"/>
      <c r="T135" s="2"/>
      <c r="U135" s="2"/>
      <c r="V135" s="2"/>
      <c r="W135" s="2"/>
      <c r="X135" s="2"/>
      <c r="Y135" s="2"/>
      <c r="Z135" s="2"/>
      <c r="AA135" s="2"/>
      <c r="AB135" s="2"/>
      <c r="AC135" s="2"/>
      <c r="AD135" s="2"/>
      <c r="AE135" s="2"/>
      <c r="AF135" s="2"/>
      <c r="AG135" s="2"/>
      <c r="AH135" s="2"/>
      <c r="AI135" s="2"/>
    </row>
    <row r="136">
      <c r="A136" s="2"/>
      <c r="B136" s="2"/>
      <c r="C136" s="2"/>
      <c r="D136" s="2"/>
      <c r="E136" s="2"/>
      <c r="F136" s="2"/>
      <c r="G136" s="2"/>
      <c r="H136" s="2"/>
      <c r="I136" s="2"/>
      <c r="J136" s="2"/>
      <c r="K136" s="57"/>
      <c r="L136" s="57"/>
      <c r="M136" s="57"/>
      <c r="N136" s="57"/>
      <c r="O136" s="57"/>
      <c r="P136" s="2"/>
      <c r="Q136" s="2"/>
      <c r="R136" s="2"/>
      <c r="S136" s="2"/>
      <c r="T136" s="2"/>
      <c r="U136" s="2"/>
      <c r="V136" s="2"/>
      <c r="W136" s="2"/>
      <c r="X136" s="2"/>
      <c r="Y136" s="2"/>
      <c r="Z136" s="2"/>
      <c r="AA136" s="2"/>
      <c r="AB136" s="2"/>
      <c r="AC136" s="2"/>
      <c r="AD136" s="2"/>
      <c r="AE136" s="2"/>
      <c r="AF136" s="2"/>
      <c r="AG136" s="2"/>
      <c r="AH136" s="2"/>
      <c r="AI136" s="2"/>
    </row>
    <row r="137">
      <c r="A137" s="2"/>
      <c r="B137" s="2"/>
      <c r="C137" s="2"/>
      <c r="D137" s="2"/>
      <c r="E137" s="2"/>
      <c r="F137" s="2"/>
      <c r="G137" s="2"/>
      <c r="H137" s="2"/>
      <c r="I137" s="2"/>
      <c r="J137" s="2"/>
      <c r="K137" s="57"/>
      <c r="L137" s="57"/>
      <c r="M137" s="57"/>
      <c r="N137" s="57"/>
      <c r="O137" s="57"/>
      <c r="P137" s="2"/>
      <c r="Q137" s="2"/>
      <c r="R137" s="2"/>
      <c r="S137" s="2"/>
      <c r="T137" s="2"/>
      <c r="U137" s="2"/>
      <c r="V137" s="2"/>
      <c r="W137" s="2"/>
      <c r="X137" s="2"/>
      <c r="Y137" s="2"/>
      <c r="Z137" s="2"/>
      <c r="AA137" s="2"/>
      <c r="AB137" s="2"/>
      <c r="AC137" s="2"/>
      <c r="AD137" s="2"/>
      <c r="AE137" s="2"/>
      <c r="AF137" s="2"/>
      <c r="AG137" s="2"/>
      <c r="AH137" s="2"/>
      <c r="AI137" s="2"/>
    </row>
    <row r="138">
      <c r="A138" s="2"/>
      <c r="B138" s="2"/>
      <c r="C138" s="2"/>
      <c r="D138" s="2"/>
      <c r="E138" s="2"/>
      <c r="F138" s="2"/>
      <c r="G138" s="2"/>
      <c r="H138" s="2"/>
      <c r="I138" s="2"/>
      <c r="J138" s="2"/>
      <c r="K138" s="57"/>
      <c r="L138" s="57"/>
      <c r="M138" s="57"/>
      <c r="N138" s="57"/>
      <c r="O138" s="57"/>
      <c r="P138" s="2"/>
      <c r="Q138" s="2"/>
      <c r="R138" s="2"/>
      <c r="S138" s="2"/>
      <c r="T138" s="2"/>
      <c r="U138" s="2"/>
      <c r="V138" s="2"/>
      <c r="W138" s="2"/>
      <c r="X138" s="2"/>
      <c r="Y138" s="2"/>
      <c r="Z138" s="2"/>
      <c r="AA138" s="2"/>
      <c r="AB138" s="2"/>
      <c r="AC138" s="2"/>
      <c r="AD138" s="2"/>
      <c r="AE138" s="2"/>
      <c r="AF138" s="2"/>
      <c r="AG138" s="2"/>
      <c r="AH138" s="2"/>
      <c r="AI138" s="2"/>
    </row>
    <row r="139">
      <c r="A139" s="2"/>
      <c r="B139" s="2"/>
      <c r="C139" s="2"/>
      <c r="D139" s="2"/>
      <c r="E139" s="2"/>
      <c r="F139" s="2"/>
      <c r="G139" s="2"/>
      <c r="H139" s="2"/>
      <c r="I139" s="2"/>
      <c r="J139" s="2"/>
      <c r="K139" s="57"/>
      <c r="L139" s="57"/>
      <c r="M139" s="57"/>
      <c r="N139" s="57"/>
      <c r="O139" s="57"/>
      <c r="P139" s="2"/>
      <c r="Q139" s="2"/>
      <c r="R139" s="2"/>
      <c r="S139" s="2"/>
      <c r="T139" s="2"/>
      <c r="U139" s="2"/>
      <c r="V139" s="2"/>
      <c r="W139" s="2"/>
      <c r="X139" s="2"/>
      <c r="Y139" s="2"/>
      <c r="Z139" s="2"/>
      <c r="AA139" s="2"/>
      <c r="AB139" s="2"/>
      <c r="AC139" s="2"/>
      <c r="AD139" s="2"/>
      <c r="AE139" s="2"/>
      <c r="AF139" s="2"/>
      <c r="AG139" s="2"/>
      <c r="AH139" s="2"/>
      <c r="AI139" s="2"/>
    </row>
    <row r="140">
      <c r="A140" s="2"/>
      <c r="B140" s="2"/>
      <c r="C140" s="2"/>
      <c r="D140" s="2"/>
      <c r="E140" s="2"/>
      <c r="F140" s="2"/>
      <c r="G140" s="2"/>
      <c r="H140" s="2"/>
      <c r="I140" s="2"/>
      <c r="J140" s="2"/>
      <c r="K140" s="57"/>
      <c r="L140" s="57"/>
      <c r="M140" s="57"/>
      <c r="N140" s="57"/>
      <c r="O140" s="57"/>
      <c r="P140" s="2"/>
      <c r="Q140" s="2"/>
      <c r="R140" s="2"/>
      <c r="S140" s="2"/>
      <c r="T140" s="2"/>
      <c r="U140" s="2"/>
      <c r="V140" s="2"/>
      <c r="W140" s="2"/>
      <c r="X140" s="2"/>
      <c r="Y140" s="2"/>
      <c r="Z140" s="2"/>
      <c r="AA140" s="2"/>
      <c r="AB140" s="2"/>
      <c r="AC140" s="2"/>
      <c r="AD140" s="2"/>
      <c r="AE140" s="2"/>
      <c r="AF140" s="2"/>
      <c r="AG140" s="2"/>
      <c r="AH140" s="2"/>
      <c r="AI140" s="2"/>
    </row>
    <row r="141">
      <c r="A141" s="2"/>
      <c r="B141" s="2"/>
      <c r="C141" s="2"/>
      <c r="D141" s="2"/>
      <c r="E141" s="2"/>
      <c r="F141" s="2"/>
      <c r="G141" s="2"/>
      <c r="H141" s="2"/>
      <c r="I141" s="2"/>
      <c r="J141" s="2"/>
      <c r="K141" s="57"/>
      <c r="L141" s="57"/>
      <c r="M141" s="57"/>
      <c r="N141" s="57"/>
      <c r="O141" s="57"/>
      <c r="P141" s="2"/>
      <c r="Q141" s="2"/>
      <c r="R141" s="2"/>
      <c r="S141" s="2"/>
      <c r="T141" s="2"/>
      <c r="U141" s="2"/>
      <c r="V141" s="2"/>
      <c r="W141" s="2"/>
      <c r="X141" s="2"/>
      <c r="Y141" s="2"/>
      <c r="Z141" s="2"/>
      <c r="AA141" s="2"/>
      <c r="AB141" s="2"/>
      <c r="AC141" s="2"/>
      <c r="AD141" s="2"/>
      <c r="AE141" s="2"/>
      <c r="AF141" s="2"/>
      <c r="AG141" s="2"/>
      <c r="AH141" s="2"/>
      <c r="AI141" s="2"/>
    </row>
    <row r="142">
      <c r="A142" s="2"/>
      <c r="B142" s="2"/>
      <c r="C142" s="2"/>
      <c r="D142" s="2"/>
      <c r="E142" s="2"/>
      <c r="F142" s="2"/>
      <c r="G142" s="2"/>
      <c r="H142" s="2"/>
      <c r="I142" s="2"/>
      <c r="J142" s="2"/>
      <c r="K142" s="57"/>
      <c r="L142" s="57"/>
      <c r="M142" s="57"/>
      <c r="N142" s="57"/>
      <c r="O142" s="57"/>
      <c r="P142" s="2"/>
      <c r="Q142" s="2"/>
      <c r="R142" s="2"/>
      <c r="S142" s="2"/>
      <c r="T142" s="2"/>
      <c r="U142" s="2"/>
      <c r="V142" s="2"/>
      <c r="W142" s="2"/>
      <c r="X142" s="2"/>
      <c r="Y142" s="2"/>
      <c r="Z142" s="2"/>
      <c r="AA142" s="2"/>
      <c r="AB142" s="2"/>
      <c r="AC142" s="2"/>
      <c r="AD142" s="2"/>
      <c r="AE142" s="2"/>
      <c r="AF142" s="2"/>
      <c r="AG142" s="2"/>
      <c r="AH142" s="2"/>
      <c r="AI142" s="2"/>
    </row>
    <row r="143">
      <c r="A143" s="2"/>
      <c r="B143" s="2"/>
      <c r="C143" s="2"/>
      <c r="D143" s="2"/>
      <c r="E143" s="2"/>
      <c r="F143" s="2"/>
      <c r="G143" s="2"/>
      <c r="H143" s="2"/>
      <c r="I143" s="2"/>
      <c r="J143" s="2"/>
      <c r="K143" s="57"/>
      <c r="L143" s="57"/>
      <c r="M143" s="57"/>
      <c r="N143" s="57"/>
      <c r="O143" s="57"/>
      <c r="P143" s="2"/>
      <c r="Q143" s="2"/>
      <c r="R143" s="2"/>
      <c r="S143" s="2"/>
      <c r="T143" s="2"/>
      <c r="U143" s="2"/>
      <c r="V143" s="2"/>
      <c r="W143" s="2"/>
      <c r="X143" s="2"/>
      <c r="Y143" s="2"/>
      <c r="Z143" s="2"/>
      <c r="AA143" s="2"/>
      <c r="AB143" s="2"/>
      <c r="AC143" s="2"/>
      <c r="AD143" s="2"/>
      <c r="AE143" s="2"/>
      <c r="AF143" s="2"/>
      <c r="AG143" s="2"/>
      <c r="AH143" s="2"/>
      <c r="AI143" s="2"/>
    </row>
    <row r="144">
      <c r="A144" s="2"/>
      <c r="B144" s="2"/>
      <c r="C144" s="2"/>
      <c r="D144" s="2"/>
      <c r="E144" s="2"/>
      <c r="F144" s="2"/>
      <c r="G144" s="2"/>
      <c r="H144" s="2"/>
      <c r="I144" s="2"/>
      <c r="J144" s="2"/>
      <c r="K144" s="57"/>
      <c r="L144" s="57"/>
      <c r="M144" s="57"/>
      <c r="N144" s="57"/>
      <c r="O144" s="57"/>
      <c r="P144" s="2"/>
      <c r="Q144" s="2"/>
      <c r="R144" s="2"/>
      <c r="S144" s="2"/>
      <c r="T144" s="2"/>
      <c r="U144" s="2"/>
      <c r="V144" s="2"/>
      <c r="W144" s="2"/>
      <c r="X144" s="2"/>
      <c r="Y144" s="2"/>
      <c r="Z144" s="2"/>
      <c r="AA144" s="2"/>
      <c r="AB144" s="2"/>
      <c r="AC144" s="2"/>
      <c r="AD144" s="2"/>
      <c r="AE144" s="2"/>
      <c r="AF144" s="2"/>
      <c r="AG144" s="2"/>
      <c r="AH144" s="2"/>
      <c r="AI144" s="2"/>
    </row>
    <row r="145">
      <c r="A145" s="2"/>
      <c r="B145" s="2"/>
      <c r="C145" s="2"/>
      <c r="D145" s="2"/>
      <c r="E145" s="2"/>
      <c r="F145" s="2"/>
      <c r="G145" s="2"/>
      <c r="H145" s="2"/>
      <c r="I145" s="2"/>
      <c r="J145" s="2"/>
      <c r="K145" s="57"/>
      <c r="L145" s="57"/>
      <c r="M145" s="57"/>
      <c r="N145" s="57"/>
      <c r="O145" s="57"/>
      <c r="P145" s="2"/>
      <c r="Q145" s="2"/>
      <c r="R145" s="2"/>
      <c r="S145" s="2"/>
      <c r="T145" s="2"/>
      <c r="U145" s="2"/>
      <c r="V145" s="2"/>
      <c r="W145" s="2"/>
      <c r="X145" s="2"/>
      <c r="Y145" s="2"/>
      <c r="Z145" s="2"/>
      <c r="AA145" s="2"/>
      <c r="AB145" s="2"/>
      <c r="AC145" s="2"/>
      <c r="AD145" s="2"/>
      <c r="AE145" s="2"/>
      <c r="AF145" s="2"/>
      <c r="AG145" s="2"/>
      <c r="AH145" s="2"/>
      <c r="AI145" s="2"/>
    </row>
    <row r="146">
      <c r="A146" s="2"/>
      <c r="B146" s="2"/>
      <c r="C146" s="2"/>
      <c r="D146" s="2"/>
      <c r="E146" s="2"/>
      <c r="F146" s="2"/>
      <c r="G146" s="2"/>
      <c r="H146" s="2"/>
      <c r="I146" s="2"/>
      <c r="J146" s="2"/>
      <c r="K146" s="57"/>
      <c r="L146" s="57"/>
      <c r="M146" s="57"/>
      <c r="N146" s="57"/>
      <c r="O146" s="57"/>
      <c r="P146" s="2"/>
      <c r="Q146" s="2"/>
      <c r="R146" s="2"/>
      <c r="S146" s="2"/>
      <c r="T146" s="2"/>
      <c r="U146" s="2"/>
      <c r="V146" s="2"/>
      <c r="W146" s="2"/>
      <c r="X146" s="2"/>
      <c r="Y146" s="2"/>
      <c r="Z146" s="2"/>
      <c r="AA146" s="2"/>
      <c r="AB146" s="2"/>
      <c r="AC146" s="2"/>
      <c r="AD146" s="2"/>
      <c r="AE146" s="2"/>
      <c r="AF146" s="2"/>
      <c r="AG146" s="2"/>
      <c r="AH146" s="2"/>
      <c r="AI146" s="2"/>
    </row>
    <row r="147">
      <c r="A147" s="2"/>
      <c r="B147" s="2"/>
      <c r="C147" s="2"/>
      <c r="D147" s="2"/>
      <c r="E147" s="2"/>
      <c r="F147" s="2"/>
      <c r="G147" s="2"/>
      <c r="H147" s="2"/>
      <c r="I147" s="2"/>
      <c r="J147" s="2"/>
      <c r="K147" s="57"/>
      <c r="L147" s="57"/>
      <c r="M147" s="57"/>
      <c r="N147" s="57"/>
      <c r="O147" s="57"/>
      <c r="P147" s="2"/>
      <c r="Q147" s="2"/>
      <c r="R147" s="2"/>
      <c r="S147" s="2"/>
      <c r="T147" s="2"/>
      <c r="U147" s="2"/>
      <c r="V147" s="2"/>
      <c r="W147" s="2"/>
      <c r="X147" s="2"/>
      <c r="Y147" s="2"/>
      <c r="Z147" s="2"/>
      <c r="AA147" s="2"/>
      <c r="AB147" s="2"/>
      <c r="AC147" s="2"/>
      <c r="AD147" s="2"/>
      <c r="AE147" s="2"/>
      <c r="AF147" s="2"/>
      <c r="AG147" s="2"/>
      <c r="AH147" s="2"/>
      <c r="AI147" s="2"/>
    </row>
    <row r="148">
      <c r="A148" s="2"/>
      <c r="B148" s="2"/>
      <c r="C148" s="2"/>
      <c r="D148" s="2"/>
      <c r="E148" s="2"/>
      <c r="F148" s="2"/>
      <c r="G148" s="2"/>
      <c r="H148" s="2"/>
      <c r="I148" s="2"/>
      <c r="J148" s="2"/>
      <c r="K148" s="57"/>
      <c r="L148" s="57"/>
      <c r="M148" s="57"/>
      <c r="N148" s="57"/>
      <c r="O148" s="57"/>
      <c r="P148" s="2"/>
      <c r="Q148" s="2"/>
      <c r="R148" s="2"/>
      <c r="S148" s="2"/>
      <c r="T148" s="2"/>
      <c r="U148" s="2"/>
      <c r="V148" s="2"/>
      <c r="W148" s="2"/>
      <c r="X148" s="2"/>
      <c r="Y148" s="2"/>
      <c r="Z148" s="2"/>
      <c r="AA148" s="2"/>
      <c r="AB148" s="2"/>
      <c r="AC148" s="2"/>
      <c r="AD148" s="2"/>
      <c r="AE148" s="2"/>
      <c r="AF148" s="2"/>
      <c r="AG148" s="2"/>
      <c r="AH148" s="2"/>
      <c r="AI148" s="2"/>
    </row>
    <row r="149">
      <c r="A149" s="2"/>
      <c r="B149" s="2"/>
      <c r="C149" s="2"/>
      <c r="D149" s="2"/>
      <c r="E149" s="2"/>
      <c r="F149" s="2"/>
      <c r="G149" s="2"/>
      <c r="H149" s="2"/>
      <c r="I149" s="2"/>
      <c r="J149" s="2"/>
      <c r="K149" s="57"/>
      <c r="L149" s="57"/>
      <c r="M149" s="57"/>
      <c r="N149" s="57"/>
      <c r="O149" s="57"/>
      <c r="P149" s="2"/>
      <c r="Q149" s="2"/>
      <c r="R149" s="2"/>
      <c r="S149" s="2"/>
      <c r="T149" s="2"/>
      <c r="U149" s="2"/>
      <c r="V149" s="2"/>
      <c r="W149" s="2"/>
      <c r="X149" s="2"/>
      <c r="Y149" s="2"/>
      <c r="Z149" s="2"/>
      <c r="AA149" s="2"/>
      <c r="AB149" s="2"/>
      <c r="AC149" s="2"/>
      <c r="AD149" s="2"/>
      <c r="AE149" s="2"/>
      <c r="AF149" s="2"/>
      <c r="AG149" s="2"/>
      <c r="AH149" s="2"/>
      <c r="AI149" s="2"/>
    </row>
    <row r="150">
      <c r="A150" s="2"/>
      <c r="B150" s="2"/>
      <c r="C150" s="2"/>
      <c r="D150" s="2"/>
      <c r="E150" s="2"/>
      <c r="F150" s="2"/>
      <c r="G150" s="2"/>
      <c r="H150" s="2"/>
      <c r="I150" s="2"/>
      <c r="J150" s="2"/>
      <c r="K150" s="57"/>
      <c r="L150" s="57"/>
      <c r="M150" s="57"/>
      <c r="N150" s="57"/>
      <c r="O150" s="57"/>
      <c r="P150" s="2"/>
      <c r="Q150" s="2"/>
      <c r="R150" s="2"/>
      <c r="S150" s="2"/>
      <c r="T150" s="2"/>
      <c r="U150" s="2"/>
      <c r="V150" s="2"/>
      <c r="W150" s="2"/>
      <c r="X150" s="2"/>
      <c r="Y150" s="2"/>
      <c r="Z150" s="2"/>
      <c r="AA150" s="2"/>
      <c r="AB150" s="2"/>
      <c r="AC150" s="2"/>
      <c r="AD150" s="2"/>
      <c r="AE150" s="2"/>
      <c r="AF150" s="2"/>
      <c r="AG150" s="2"/>
      <c r="AH150" s="2"/>
      <c r="AI150" s="2"/>
    </row>
    <row r="151">
      <c r="A151" s="2"/>
      <c r="B151" s="2"/>
      <c r="C151" s="2"/>
      <c r="D151" s="2"/>
      <c r="E151" s="2"/>
      <c r="F151" s="2"/>
      <c r="G151" s="2"/>
      <c r="H151" s="2"/>
      <c r="I151" s="2"/>
      <c r="J151" s="2"/>
      <c r="K151" s="57"/>
      <c r="L151" s="57"/>
      <c r="M151" s="57"/>
      <c r="N151" s="57"/>
      <c r="O151" s="57"/>
      <c r="P151" s="2"/>
      <c r="Q151" s="2"/>
      <c r="R151" s="2"/>
      <c r="S151" s="2"/>
      <c r="T151" s="2"/>
      <c r="U151" s="2"/>
      <c r="V151" s="2"/>
      <c r="W151" s="2"/>
      <c r="X151" s="2"/>
      <c r="Y151" s="2"/>
      <c r="Z151" s="2"/>
      <c r="AA151" s="2"/>
      <c r="AB151" s="2"/>
      <c r="AC151" s="2"/>
      <c r="AD151" s="2"/>
      <c r="AE151" s="2"/>
      <c r="AF151" s="2"/>
      <c r="AG151" s="2"/>
      <c r="AH151" s="2"/>
      <c r="AI151" s="2"/>
    </row>
    <row r="152">
      <c r="A152" s="2"/>
      <c r="B152" s="2"/>
      <c r="C152" s="2"/>
      <c r="D152" s="2"/>
      <c r="E152" s="2"/>
      <c r="F152" s="2"/>
      <c r="G152" s="2"/>
      <c r="H152" s="2"/>
      <c r="I152" s="2"/>
      <c r="J152" s="2"/>
      <c r="K152" s="57"/>
      <c r="L152" s="57"/>
      <c r="M152" s="57"/>
      <c r="N152" s="57"/>
      <c r="O152" s="57"/>
      <c r="P152" s="2"/>
      <c r="Q152" s="2"/>
      <c r="R152" s="2"/>
      <c r="S152" s="2"/>
      <c r="T152" s="2"/>
      <c r="U152" s="2"/>
      <c r="V152" s="2"/>
      <c r="W152" s="2"/>
      <c r="X152" s="2"/>
      <c r="Y152" s="2"/>
      <c r="Z152" s="2"/>
      <c r="AA152" s="2"/>
      <c r="AB152" s="2"/>
      <c r="AC152" s="2"/>
      <c r="AD152" s="2"/>
      <c r="AE152" s="2"/>
      <c r="AF152" s="2"/>
      <c r="AG152" s="2"/>
      <c r="AH152" s="2"/>
      <c r="AI152" s="2"/>
    </row>
    <row r="153">
      <c r="A153" s="2"/>
      <c r="B153" s="2"/>
      <c r="C153" s="2"/>
      <c r="D153" s="2"/>
      <c r="E153" s="2"/>
      <c r="F153" s="2"/>
      <c r="G153" s="2"/>
      <c r="H153" s="2"/>
      <c r="I153" s="2"/>
      <c r="J153" s="2"/>
      <c r="K153" s="57"/>
      <c r="L153" s="57"/>
      <c r="M153" s="57"/>
      <c r="N153" s="57"/>
      <c r="O153" s="57"/>
      <c r="P153" s="2"/>
      <c r="Q153" s="2"/>
      <c r="R153" s="2"/>
      <c r="S153" s="2"/>
      <c r="T153" s="2"/>
      <c r="U153" s="2"/>
      <c r="V153" s="2"/>
      <c r="W153" s="2"/>
      <c r="X153" s="2"/>
      <c r="Y153" s="2"/>
      <c r="Z153" s="2"/>
      <c r="AA153" s="2"/>
      <c r="AB153" s="2"/>
      <c r="AC153" s="2"/>
      <c r="AD153" s="2"/>
      <c r="AE153" s="2"/>
      <c r="AF153" s="2"/>
      <c r="AG153" s="2"/>
      <c r="AH153" s="2"/>
      <c r="AI153" s="2"/>
    </row>
    <row r="154">
      <c r="A154" s="2"/>
      <c r="B154" s="2"/>
      <c r="C154" s="2"/>
      <c r="D154" s="2"/>
      <c r="E154" s="2"/>
      <c r="F154" s="2"/>
      <c r="G154" s="2"/>
      <c r="H154" s="2"/>
      <c r="I154" s="2"/>
      <c r="J154" s="2"/>
      <c r="K154" s="57"/>
      <c r="L154" s="57"/>
      <c r="M154" s="57"/>
      <c r="N154" s="57"/>
      <c r="O154" s="57"/>
      <c r="P154" s="2"/>
      <c r="Q154" s="2"/>
      <c r="R154" s="2"/>
      <c r="S154" s="2"/>
      <c r="T154" s="2"/>
      <c r="U154" s="2"/>
      <c r="V154" s="2"/>
      <c r="W154" s="2"/>
      <c r="X154" s="2"/>
      <c r="Y154" s="2"/>
      <c r="Z154" s="2"/>
      <c r="AA154" s="2"/>
      <c r="AB154" s="2"/>
      <c r="AC154" s="2"/>
      <c r="AD154" s="2"/>
      <c r="AE154" s="2"/>
      <c r="AF154" s="2"/>
      <c r="AG154" s="2"/>
      <c r="AH154" s="2"/>
      <c r="AI154" s="2"/>
    </row>
    <row r="155">
      <c r="A155" s="2"/>
      <c r="B155" s="2"/>
      <c r="C155" s="2"/>
      <c r="D155" s="2"/>
      <c r="E155" s="2"/>
      <c r="F155" s="2"/>
      <c r="G155" s="2"/>
      <c r="H155" s="2"/>
      <c r="I155" s="2"/>
      <c r="J155" s="2"/>
      <c r="K155" s="57"/>
      <c r="L155" s="57"/>
      <c r="M155" s="57"/>
      <c r="N155" s="57"/>
      <c r="O155" s="57"/>
      <c r="P155" s="2"/>
      <c r="Q155" s="2"/>
      <c r="R155" s="2"/>
      <c r="S155" s="2"/>
      <c r="T155" s="2"/>
      <c r="U155" s="2"/>
      <c r="V155" s="2"/>
      <c r="W155" s="2"/>
      <c r="X155" s="2"/>
      <c r="Y155" s="2"/>
      <c r="Z155" s="2"/>
      <c r="AA155" s="2"/>
      <c r="AB155" s="2"/>
      <c r="AC155" s="2"/>
      <c r="AD155" s="2"/>
      <c r="AE155" s="2"/>
      <c r="AF155" s="2"/>
      <c r="AG155" s="2"/>
      <c r="AH155" s="2"/>
      <c r="AI155" s="2"/>
    </row>
    <row r="156">
      <c r="A156" s="2"/>
      <c r="B156" s="2"/>
      <c r="C156" s="2"/>
      <c r="D156" s="2"/>
      <c r="E156" s="2"/>
      <c r="F156" s="2"/>
      <c r="G156" s="2"/>
      <c r="H156" s="2"/>
      <c r="I156" s="2"/>
      <c r="J156" s="2"/>
      <c r="K156" s="57"/>
      <c r="L156" s="57"/>
      <c r="M156" s="57"/>
      <c r="N156" s="57"/>
      <c r="O156" s="57"/>
      <c r="P156" s="2"/>
      <c r="Q156" s="2"/>
      <c r="R156" s="2"/>
      <c r="S156" s="2"/>
      <c r="T156" s="2"/>
      <c r="U156" s="2"/>
      <c r="V156" s="2"/>
      <c r="W156" s="2"/>
      <c r="X156" s="2"/>
      <c r="Y156" s="2"/>
      <c r="Z156" s="2"/>
      <c r="AA156" s="2"/>
      <c r="AB156" s="2"/>
      <c r="AC156" s="2"/>
      <c r="AD156" s="2"/>
      <c r="AE156" s="2"/>
      <c r="AF156" s="2"/>
      <c r="AG156" s="2"/>
      <c r="AH156" s="2"/>
      <c r="AI156" s="2"/>
    </row>
    <row r="157">
      <c r="A157" s="2"/>
      <c r="B157" s="2"/>
      <c r="C157" s="2"/>
      <c r="D157" s="2"/>
      <c r="E157" s="2"/>
      <c r="F157" s="2"/>
      <c r="G157" s="2"/>
      <c r="H157" s="2"/>
      <c r="I157" s="2"/>
      <c r="J157" s="2"/>
      <c r="K157" s="57"/>
      <c r="L157" s="57"/>
      <c r="M157" s="57"/>
      <c r="N157" s="57"/>
      <c r="O157" s="57"/>
      <c r="P157" s="2"/>
      <c r="Q157" s="2"/>
      <c r="R157" s="2"/>
      <c r="S157" s="2"/>
      <c r="T157" s="2"/>
      <c r="U157" s="2"/>
      <c r="V157" s="2"/>
      <c r="W157" s="2"/>
      <c r="X157" s="2"/>
      <c r="Y157" s="2"/>
      <c r="Z157" s="2"/>
      <c r="AA157" s="2"/>
      <c r="AB157" s="2"/>
      <c r="AC157" s="2"/>
      <c r="AD157" s="2"/>
      <c r="AE157" s="2"/>
      <c r="AF157" s="2"/>
      <c r="AG157" s="2"/>
      <c r="AH157" s="2"/>
      <c r="AI157" s="2"/>
    </row>
    <row r="158">
      <c r="A158" s="2"/>
      <c r="B158" s="2"/>
      <c r="C158" s="2"/>
      <c r="D158" s="2"/>
      <c r="E158" s="2"/>
      <c r="F158" s="2"/>
      <c r="G158" s="2"/>
      <c r="H158" s="2"/>
      <c r="I158" s="2"/>
      <c r="J158" s="2"/>
      <c r="K158" s="57"/>
      <c r="L158" s="57"/>
      <c r="M158" s="57"/>
      <c r="N158" s="57"/>
      <c r="O158" s="57"/>
      <c r="P158" s="2"/>
      <c r="Q158" s="2"/>
      <c r="R158" s="2"/>
      <c r="S158" s="2"/>
      <c r="T158" s="2"/>
      <c r="U158" s="2"/>
      <c r="V158" s="2"/>
      <c r="W158" s="2"/>
      <c r="X158" s="2"/>
      <c r="Y158" s="2"/>
      <c r="Z158" s="2"/>
      <c r="AA158" s="2"/>
      <c r="AB158" s="2"/>
      <c r="AC158" s="2"/>
      <c r="AD158" s="2"/>
      <c r="AE158" s="2"/>
      <c r="AF158" s="2"/>
      <c r="AG158" s="2"/>
      <c r="AH158" s="2"/>
      <c r="AI158" s="2"/>
    </row>
    <row r="159">
      <c r="A159" s="2"/>
      <c r="B159" s="2"/>
      <c r="C159" s="2"/>
      <c r="D159" s="2"/>
      <c r="E159" s="2"/>
      <c r="F159" s="2"/>
      <c r="G159" s="2"/>
      <c r="H159" s="2"/>
      <c r="I159" s="2"/>
      <c r="J159" s="2"/>
      <c r="K159" s="57"/>
      <c r="L159" s="57"/>
      <c r="M159" s="57"/>
      <c r="N159" s="57"/>
      <c r="O159" s="57"/>
      <c r="P159" s="2"/>
      <c r="Q159" s="2"/>
      <c r="R159" s="2"/>
      <c r="S159" s="2"/>
      <c r="T159" s="2"/>
      <c r="U159" s="2"/>
      <c r="V159" s="2"/>
      <c r="W159" s="2"/>
      <c r="X159" s="2"/>
      <c r="Y159" s="2"/>
      <c r="Z159" s="2"/>
      <c r="AA159" s="2"/>
      <c r="AB159" s="2"/>
      <c r="AC159" s="2"/>
      <c r="AD159" s="2"/>
      <c r="AE159" s="2"/>
      <c r="AF159" s="2"/>
      <c r="AG159" s="2"/>
      <c r="AH159" s="2"/>
      <c r="AI159" s="2"/>
    </row>
    <row r="160">
      <c r="A160" s="2"/>
      <c r="B160" s="2"/>
      <c r="C160" s="2"/>
      <c r="D160" s="2"/>
      <c r="E160" s="2"/>
      <c r="F160" s="2"/>
      <c r="G160" s="2"/>
      <c r="H160" s="2"/>
      <c r="I160" s="2"/>
      <c r="J160" s="2"/>
      <c r="K160" s="57"/>
      <c r="L160" s="57"/>
      <c r="M160" s="57"/>
      <c r="N160" s="57"/>
      <c r="O160" s="57"/>
      <c r="P160" s="2"/>
      <c r="Q160" s="2"/>
      <c r="R160" s="2"/>
      <c r="S160" s="2"/>
      <c r="T160" s="2"/>
      <c r="U160" s="2"/>
      <c r="V160" s="2"/>
      <c r="W160" s="2"/>
      <c r="X160" s="2"/>
      <c r="Y160" s="2"/>
      <c r="Z160" s="2"/>
      <c r="AA160" s="2"/>
      <c r="AB160" s="2"/>
      <c r="AC160" s="2"/>
      <c r="AD160" s="2"/>
      <c r="AE160" s="2"/>
      <c r="AF160" s="2"/>
      <c r="AG160" s="2"/>
      <c r="AH160" s="2"/>
      <c r="AI160" s="2"/>
    </row>
    <row r="161">
      <c r="A161" s="2"/>
      <c r="B161" s="2"/>
      <c r="C161" s="2"/>
      <c r="D161" s="2"/>
      <c r="E161" s="2"/>
      <c r="F161" s="2"/>
      <c r="G161" s="2"/>
      <c r="H161" s="2"/>
      <c r="I161" s="2"/>
      <c r="J161" s="2"/>
      <c r="K161" s="57"/>
      <c r="L161" s="57"/>
      <c r="M161" s="57"/>
      <c r="N161" s="57"/>
      <c r="O161" s="57"/>
      <c r="P161" s="2"/>
      <c r="Q161" s="2"/>
      <c r="R161" s="2"/>
      <c r="S161" s="2"/>
      <c r="T161" s="2"/>
      <c r="U161" s="2"/>
      <c r="V161" s="2"/>
      <c r="W161" s="2"/>
      <c r="X161" s="2"/>
      <c r="Y161" s="2"/>
      <c r="Z161" s="2"/>
      <c r="AA161" s="2"/>
      <c r="AB161" s="2"/>
      <c r="AC161" s="2"/>
      <c r="AD161" s="2"/>
      <c r="AE161" s="2"/>
      <c r="AF161" s="2"/>
      <c r="AG161" s="2"/>
      <c r="AH161" s="2"/>
      <c r="AI161" s="2"/>
    </row>
    <row r="162">
      <c r="A162" s="2"/>
      <c r="B162" s="2"/>
      <c r="C162" s="2"/>
      <c r="D162" s="2"/>
      <c r="E162" s="2"/>
      <c r="F162" s="2"/>
      <c r="G162" s="2"/>
      <c r="H162" s="2"/>
      <c r="I162" s="2"/>
      <c r="J162" s="2"/>
      <c r="K162" s="57"/>
      <c r="L162" s="57"/>
      <c r="M162" s="57"/>
      <c r="N162" s="57"/>
      <c r="O162" s="57"/>
      <c r="P162" s="2"/>
      <c r="Q162" s="2"/>
      <c r="R162" s="2"/>
      <c r="S162" s="2"/>
      <c r="T162" s="2"/>
      <c r="U162" s="2"/>
      <c r="V162" s="2"/>
      <c r="W162" s="2"/>
      <c r="X162" s="2"/>
      <c r="Y162" s="2"/>
      <c r="Z162" s="2"/>
      <c r="AA162" s="2"/>
      <c r="AB162" s="2"/>
      <c r="AC162" s="2"/>
      <c r="AD162" s="2"/>
      <c r="AE162" s="2"/>
      <c r="AF162" s="2"/>
      <c r="AG162" s="2"/>
      <c r="AH162" s="2"/>
      <c r="AI162" s="2"/>
    </row>
    <row r="163">
      <c r="A163" s="2"/>
      <c r="B163" s="2"/>
      <c r="C163" s="2"/>
      <c r="D163" s="2"/>
      <c r="E163" s="2"/>
      <c r="F163" s="2"/>
      <c r="G163" s="2"/>
      <c r="H163" s="2"/>
      <c r="I163" s="2"/>
      <c r="J163" s="2"/>
      <c r="K163" s="57"/>
      <c r="L163" s="57"/>
      <c r="M163" s="57"/>
      <c r="N163" s="57"/>
      <c r="O163" s="57"/>
      <c r="P163" s="2"/>
      <c r="Q163" s="2"/>
      <c r="R163" s="2"/>
      <c r="S163" s="2"/>
      <c r="T163" s="2"/>
      <c r="U163" s="2"/>
      <c r="V163" s="2"/>
      <c r="W163" s="2"/>
      <c r="X163" s="2"/>
      <c r="Y163" s="2"/>
      <c r="Z163" s="2"/>
      <c r="AA163" s="2"/>
      <c r="AB163" s="2"/>
      <c r="AC163" s="2"/>
      <c r="AD163" s="2"/>
      <c r="AE163" s="2"/>
      <c r="AF163" s="2"/>
      <c r="AG163" s="2"/>
      <c r="AH163" s="2"/>
      <c r="AI163" s="2"/>
    </row>
    <row r="164">
      <c r="A164" s="2"/>
      <c r="B164" s="2"/>
      <c r="C164" s="2"/>
      <c r="D164" s="2"/>
      <c r="E164" s="2"/>
      <c r="F164" s="2"/>
      <c r="G164" s="2"/>
      <c r="H164" s="2"/>
      <c r="I164" s="2"/>
      <c r="J164" s="2"/>
      <c r="K164" s="57"/>
      <c r="L164" s="57"/>
      <c r="M164" s="57"/>
      <c r="N164" s="57"/>
      <c r="O164" s="57"/>
      <c r="P164" s="2"/>
      <c r="Q164" s="2"/>
      <c r="R164" s="2"/>
      <c r="S164" s="2"/>
      <c r="T164" s="2"/>
      <c r="U164" s="2"/>
      <c r="V164" s="2"/>
      <c r="W164" s="2"/>
      <c r="X164" s="2"/>
      <c r="Y164" s="2"/>
      <c r="Z164" s="2"/>
      <c r="AA164" s="2"/>
      <c r="AB164" s="2"/>
      <c r="AC164" s="2"/>
      <c r="AD164" s="2"/>
      <c r="AE164" s="2"/>
      <c r="AF164" s="2"/>
      <c r="AG164" s="2"/>
      <c r="AH164" s="2"/>
      <c r="AI164" s="2"/>
    </row>
    <row r="165">
      <c r="A165" s="2"/>
      <c r="B165" s="2"/>
      <c r="C165" s="2"/>
      <c r="D165" s="2"/>
      <c r="E165" s="2"/>
      <c r="F165" s="2"/>
      <c r="G165" s="2"/>
      <c r="H165" s="2"/>
      <c r="I165" s="2"/>
      <c r="J165" s="2"/>
      <c r="K165" s="57"/>
      <c r="L165" s="57"/>
      <c r="M165" s="57"/>
      <c r="N165" s="57"/>
      <c r="O165" s="57"/>
      <c r="P165" s="2"/>
      <c r="Q165" s="2"/>
      <c r="R165" s="2"/>
      <c r="S165" s="2"/>
      <c r="T165" s="2"/>
      <c r="U165" s="2"/>
      <c r="V165" s="2"/>
      <c r="W165" s="2"/>
      <c r="X165" s="2"/>
      <c r="Y165" s="2"/>
      <c r="Z165" s="2"/>
      <c r="AA165" s="2"/>
      <c r="AB165" s="2"/>
      <c r="AC165" s="2"/>
      <c r="AD165" s="2"/>
      <c r="AE165" s="2"/>
      <c r="AF165" s="2"/>
      <c r="AG165" s="2"/>
      <c r="AH165" s="2"/>
      <c r="AI165" s="2"/>
    </row>
    <row r="166">
      <c r="A166" s="2"/>
      <c r="B166" s="2"/>
      <c r="C166" s="2"/>
      <c r="D166" s="2"/>
      <c r="E166" s="2"/>
      <c r="F166" s="2"/>
      <c r="G166" s="2"/>
      <c r="H166" s="2"/>
      <c r="I166" s="2"/>
      <c r="J166" s="2"/>
      <c r="K166" s="57"/>
      <c r="L166" s="57"/>
      <c r="M166" s="57"/>
      <c r="N166" s="57"/>
      <c r="O166" s="57"/>
      <c r="P166" s="2"/>
      <c r="Q166" s="2"/>
      <c r="R166" s="2"/>
      <c r="S166" s="2"/>
      <c r="T166" s="2"/>
      <c r="U166" s="2"/>
      <c r="V166" s="2"/>
      <c r="W166" s="2"/>
      <c r="X166" s="2"/>
      <c r="Y166" s="2"/>
      <c r="Z166" s="2"/>
      <c r="AA166" s="2"/>
      <c r="AB166" s="2"/>
      <c r="AC166" s="2"/>
      <c r="AD166" s="2"/>
      <c r="AE166" s="2"/>
      <c r="AF166" s="2"/>
      <c r="AG166" s="2"/>
      <c r="AH166" s="2"/>
      <c r="AI166" s="2"/>
    </row>
    <row r="167">
      <c r="A167" s="2"/>
      <c r="B167" s="2"/>
      <c r="C167" s="2"/>
      <c r="D167" s="2"/>
      <c r="E167" s="2"/>
      <c r="F167" s="2"/>
      <c r="G167" s="2"/>
      <c r="H167" s="2"/>
      <c r="I167" s="2"/>
      <c r="J167" s="2"/>
      <c r="K167" s="57"/>
      <c r="L167" s="57"/>
      <c r="M167" s="57"/>
      <c r="N167" s="57"/>
      <c r="O167" s="57"/>
      <c r="P167" s="2"/>
      <c r="Q167" s="2"/>
      <c r="R167" s="2"/>
      <c r="S167" s="2"/>
      <c r="T167" s="2"/>
      <c r="U167" s="2"/>
      <c r="V167" s="2"/>
      <c r="W167" s="2"/>
      <c r="X167" s="2"/>
      <c r="Y167" s="2"/>
      <c r="Z167" s="2"/>
      <c r="AA167" s="2"/>
      <c r="AB167" s="2"/>
      <c r="AC167" s="2"/>
      <c r="AD167" s="2"/>
      <c r="AE167" s="2"/>
      <c r="AF167" s="2"/>
      <c r="AG167" s="2"/>
      <c r="AH167" s="2"/>
      <c r="AI167" s="2"/>
    </row>
    <row r="168">
      <c r="A168" s="2"/>
      <c r="B168" s="2"/>
      <c r="C168" s="2"/>
      <c r="D168" s="2"/>
      <c r="E168" s="2"/>
      <c r="F168" s="2"/>
      <c r="G168" s="2"/>
      <c r="H168" s="2"/>
      <c r="I168" s="2"/>
      <c r="J168" s="2"/>
      <c r="K168" s="57"/>
      <c r="L168" s="57"/>
      <c r="M168" s="57"/>
      <c r="N168" s="57"/>
      <c r="O168" s="57"/>
      <c r="P168" s="2"/>
      <c r="Q168" s="2"/>
      <c r="R168" s="2"/>
      <c r="S168" s="2"/>
      <c r="T168" s="2"/>
      <c r="U168" s="2"/>
      <c r="V168" s="2"/>
      <c r="W168" s="2"/>
      <c r="X168" s="2"/>
      <c r="Y168" s="2"/>
      <c r="Z168" s="2"/>
      <c r="AA168" s="2"/>
      <c r="AB168" s="2"/>
      <c r="AC168" s="2"/>
      <c r="AD168" s="2"/>
      <c r="AE168" s="2"/>
      <c r="AF168" s="2"/>
      <c r="AG168" s="2"/>
      <c r="AH168" s="2"/>
      <c r="AI168" s="2"/>
    </row>
    <row r="169">
      <c r="A169" s="2"/>
      <c r="B169" s="2"/>
      <c r="C169" s="2"/>
      <c r="D169" s="2"/>
      <c r="E169" s="2"/>
      <c r="F169" s="2"/>
      <c r="G169" s="2"/>
      <c r="H169" s="2"/>
      <c r="I169" s="2"/>
      <c r="J169" s="2"/>
      <c r="K169" s="57"/>
      <c r="L169" s="57"/>
      <c r="M169" s="57"/>
      <c r="N169" s="57"/>
      <c r="O169" s="57"/>
      <c r="P169" s="2"/>
      <c r="Q169" s="2"/>
      <c r="R169" s="2"/>
      <c r="S169" s="2"/>
      <c r="T169" s="2"/>
      <c r="U169" s="2"/>
      <c r="V169" s="2"/>
      <c r="W169" s="2"/>
      <c r="X169" s="2"/>
      <c r="Y169" s="2"/>
      <c r="Z169" s="2"/>
      <c r="AA169" s="2"/>
      <c r="AB169" s="2"/>
      <c r="AC169" s="2"/>
      <c r="AD169" s="2"/>
      <c r="AE169" s="2"/>
      <c r="AF169" s="2"/>
      <c r="AG169" s="2"/>
      <c r="AH169" s="2"/>
      <c r="AI169" s="2"/>
    </row>
    <row r="170">
      <c r="A170" s="2"/>
      <c r="B170" s="2"/>
      <c r="C170" s="2"/>
      <c r="D170" s="2"/>
      <c r="E170" s="2"/>
      <c r="F170" s="2"/>
      <c r="G170" s="2"/>
      <c r="H170" s="2"/>
      <c r="I170" s="2"/>
      <c r="J170" s="2"/>
      <c r="K170" s="57"/>
      <c r="L170" s="57"/>
      <c r="M170" s="57"/>
      <c r="N170" s="57"/>
      <c r="O170" s="57"/>
      <c r="P170" s="2"/>
      <c r="Q170" s="2"/>
      <c r="R170" s="2"/>
      <c r="S170" s="2"/>
      <c r="T170" s="2"/>
      <c r="U170" s="2"/>
      <c r="V170" s="2"/>
      <c r="W170" s="2"/>
      <c r="X170" s="2"/>
      <c r="Y170" s="2"/>
      <c r="Z170" s="2"/>
      <c r="AA170" s="2"/>
      <c r="AB170" s="2"/>
      <c r="AC170" s="2"/>
      <c r="AD170" s="2"/>
      <c r="AE170" s="2"/>
      <c r="AF170" s="2"/>
      <c r="AG170" s="2"/>
      <c r="AH170" s="2"/>
      <c r="AI170" s="2"/>
    </row>
    <row r="171">
      <c r="A171" s="2"/>
      <c r="B171" s="2"/>
      <c r="C171" s="2"/>
      <c r="D171" s="2"/>
      <c r="E171" s="2"/>
      <c r="F171" s="2"/>
      <c r="G171" s="2"/>
      <c r="H171" s="2"/>
      <c r="I171" s="2"/>
      <c r="J171" s="2"/>
      <c r="K171" s="57"/>
      <c r="L171" s="57"/>
      <c r="M171" s="57"/>
      <c r="N171" s="57"/>
      <c r="O171" s="57"/>
      <c r="P171" s="2"/>
      <c r="Q171" s="2"/>
      <c r="R171" s="2"/>
      <c r="S171" s="2"/>
      <c r="T171" s="2"/>
      <c r="U171" s="2"/>
      <c r="V171" s="2"/>
      <c r="W171" s="2"/>
      <c r="X171" s="2"/>
      <c r="Y171" s="2"/>
      <c r="Z171" s="2"/>
      <c r="AA171" s="2"/>
      <c r="AB171" s="2"/>
      <c r="AC171" s="2"/>
      <c r="AD171" s="2"/>
      <c r="AE171" s="2"/>
      <c r="AF171" s="2"/>
      <c r="AG171" s="2"/>
      <c r="AH171" s="2"/>
      <c r="AI171" s="2"/>
    </row>
    <row r="172">
      <c r="A172" s="2"/>
      <c r="B172" s="2"/>
      <c r="C172" s="2"/>
      <c r="D172" s="2"/>
      <c r="E172" s="2"/>
      <c r="F172" s="2"/>
      <c r="G172" s="2"/>
      <c r="H172" s="2"/>
      <c r="I172" s="2"/>
      <c r="J172" s="2"/>
      <c r="K172" s="57"/>
      <c r="L172" s="57"/>
      <c r="M172" s="57"/>
      <c r="N172" s="57"/>
      <c r="O172" s="57"/>
      <c r="P172" s="2"/>
      <c r="Q172" s="2"/>
      <c r="R172" s="2"/>
      <c r="S172" s="2"/>
      <c r="T172" s="2"/>
      <c r="U172" s="2"/>
      <c r="V172" s="2"/>
      <c r="W172" s="2"/>
      <c r="X172" s="2"/>
      <c r="Y172" s="2"/>
      <c r="Z172" s="2"/>
      <c r="AA172" s="2"/>
      <c r="AB172" s="2"/>
      <c r="AC172" s="2"/>
      <c r="AD172" s="2"/>
      <c r="AE172" s="2"/>
      <c r="AF172" s="2"/>
      <c r="AG172" s="2"/>
      <c r="AH172" s="2"/>
      <c r="AI172" s="2"/>
    </row>
    <row r="173">
      <c r="A173" s="2"/>
      <c r="B173" s="2"/>
      <c r="C173" s="2"/>
      <c r="D173" s="2"/>
      <c r="E173" s="2"/>
      <c r="F173" s="2"/>
      <c r="G173" s="2"/>
      <c r="H173" s="2"/>
      <c r="I173" s="2"/>
      <c r="J173" s="2"/>
      <c r="K173" s="57"/>
      <c r="L173" s="57"/>
      <c r="M173" s="57"/>
      <c r="N173" s="57"/>
      <c r="O173" s="57"/>
      <c r="P173" s="2"/>
      <c r="Q173" s="2"/>
      <c r="R173" s="2"/>
      <c r="S173" s="2"/>
      <c r="T173" s="2"/>
      <c r="U173" s="2"/>
      <c r="V173" s="2"/>
      <c r="W173" s="2"/>
      <c r="X173" s="2"/>
      <c r="Y173" s="2"/>
      <c r="Z173" s="2"/>
      <c r="AA173" s="2"/>
      <c r="AB173" s="2"/>
      <c r="AC173" s="2"/>
      <c r="AD173" s="2"/>
      <c r="AE173" s="2"/>
      <c r="AF173" s="2"/>
      <c r="AG173" s="2"/>
      <c r="AH173" s="2"/>
      <c r="AI173" s="2"/>
    </row>
    <row r="174">
      <c r="A174" s="2"/>
      <c r="B174" s="2"/>
      <c r="C174" s="2"/>
      <c r="D174" s="2"/>
      <c r="E174" s="2"/>
      <c r="F174" s="2"/>
      <c r="G174" s="2"/>
      <c r="H174" s="2"/>
      <c r="I174" s="2"/>
      <c r="J174" s="2"/>
      <c r="K174" s="57"/>
      <c r="L174" s="57"/>
      <c r="M174" s="57"/>
      <c r="N174" s="57"/>
      <c r="O174" s="57"/>
      <c r="P174" s="2"/>
      <c r="Q174" s="2"/>
      <c r="R174" s="2"/>
      <c r="S174" s="2"/>
      <c r="T174" s="2"/>
      <c r="U174" s="2"/>
      <c r="V174" s="2"/>
      <c r="W174" s="2"/>
      <c r="X174" s="2"/>
      <c r="Y174" s="2"/>
      <c r="Z174" s="2"/>
      <c r="AA174" s="2"/>
      <c r="AB174" s="2"/>
      <c r="AC174" s="2"/>
      <c r="AD174" s="2"/>
      <c r="AE174" s="2"/>
      <c r="AF174" s="2"/>
      <c r="AG174" s="2"/>
      <c r="AH174" s="2"/>
      <c r="AI174" s="2"/>
    </row>
    <row r="175">
      <c r="A175" s="2"/>
      <c r="B175" s="2"/>
      <c r="C175" s="2"/>
      <c r="D175" s="2"/>
      <c r="E175" s="2"/>
      <c r="F175" s="2"/>
      <c r="G175" s="2"/>
      <c r="H175" s="2"/>
      <c r="I175" s="2"/>
      <c r="J175" s="2"/>
      <c r="K175" s="57"/>
      <c r="L175" s="57"/>
      <c r="M175" s="57"/>
      <c r="N175" s="57"/>
      <c r="O175" s="57"/>
      <c r="P175" s="2"/>
      <c r="Q175" s="2"/>
      <c r="R175" s="2"/>
      <c r="S175" s="2"/>
      <c r="T175" s="2"/>
      <c r="U175" s="2"/>
      <c r="V175" s="2"/>
      <c r="W175" s="2"/>
      <c r="X175" s="2"/>
      <c r="Y175" s="2"/>
      <c r="Z175" s="2"/>
      <c r="AA175" s="2"/>
      <c r="AB175" s="2"/>
      <c r="AC175" s="2"/>
      <c r="AD175" s="2"/>
      <c r="AE175" s="2"/>
      <c r="AF175" s="2"/>
      <c r="AG175" s="2"/>
      <c r="AH175" s="2"/>
      <c r="AI175" s="2"/>
    </row>
    <row r="176">
      <c r="A176" s="2"/>
      <c r="B176" s="2"/>
      <c r="C176" s="2"/>
      <c r="D176" s="2"/>
      <c r="E176" s="2"/>
      <c r="F176" s="2"/>
      <c r="G176" s="2"/>
      <c r="H176" s="2"/>
      <c r="I176" s="2"/>
      <c r="J176" s="2"/>
      <c r="K176" s="57"/>
      <c r="L176" s="57"/>
      <c r="M176" s="57"/>
      <c r="N176" s="57"/>
      <c r="O176" s="57"/>
      <c r="P176" s="2"/>
      <c r="Q176" s="2"/>
      <c r="R176" s="2"/>
      <c r="S176" s="2"/>
      <c r="T176" s="2"/>
      <c r="U176" s="2"/>
      <c r="V176" s="2"/>
      <c r="W176" s="2"/>
      <c r="X176" s="2"/>
      <c r="Y176" s="2"/>
      <c r="Z176" s="2"/>
      <c r="AA176" s="2"/>
      <c r="AB176" s="2"/>
      <c r="AC176" s="2"/>
      <c r="AD176" s="2"/>
      <c r="AE176" s="2"/>
      <c r="AF176" s="2"/>
      <c r="AG176" s="2"/>
      <c r="AH176" s="2"/>
      <c r="AI176" s="2"/>
    </row>
    <row r="177">
      <c r="A177" s="2"/>
      <c r="B177" s="2"/>
      <c r="C177" s="2"/>
      <c r="D177" s="2"/>
      <c r="E177" s="2"/>
      <c r="F177" s="2"/>
      <c r="G177" s="2"/>
      <c r="H177" s="2"/>
      <c r="I177" s="2"/>
      <c r="J177" s="2"/>
      <c r="K177" s="57"/>
      <c r="L177" s="57"/>
      <c r="M177" s="57"/>
      <c r="N177" s="57"/>
      <c r="O177" s="57"/>
      <c r="P177" s="2"/>
      <c r="Q177" s="2"/>
      <c r="R177" s="2"/>
      <c r="S177" s="2"/>
      <c r="T177" s="2"/>
      <c r="U177" s="2"/>
      <c r="V177" s="2"/>
      <c r="W177" s="2"/>
      <c r="X177" s="2"/>
      <c r="Y177" s="2"/>
      <c r="Z177" s="2"/>
      <c r="AA177" s="2"/>
      <c r="AB177" s="2"/>
      <c r="AC177" s="2"/>
      <c r="AD177" s="2"/>
      <c r="AE177" s="2"/>
      <c r="AF177" s="2"/>
      <c r="AG177" s="2"/>
      <c r="AH177" s="2"/>
      <c r="AI177" s="2"/>
    </row>
    <row r="178">
      <c r="A178" s="2"/>
      <c r="B178" s="2"/>
      <c r="C178" s="2"/>
      <c r="D178" s="2"/>
      <c r="E178" s="2"/>
      <c r="F178" s="2"/>
      <c r="G178" s="2"/>
      <c r="H178" s="2"/>
      <c r="I178" s="2"/>
      <c r="J178" s="2"/>
      <c r="K178" s="57"/>
      <c r="L178" s="57"/>
      <c r="M178" s="57"/>
      <c r="N178" s="57"/>
      <c r="O178" s="57"/>
      <c r="P178" s="2"/>
      <c r="Q178" s="2"/>
      <c r="R178" s="2"/>
      <c r="S178" s="2"/>
      <c r="T178" s="2"/>
      <c r="U178" s="2"/>
      <c r="V178" s="2"/>
      <c r="W178" s="2"/>
      <c r="X178" s="2"/>
      <c r="Y178" s="2"/>
      <c r="Z178" s="2"/>
      <c r="AA178" s="2"/>
      <c r="AB178" s="2"/>
      <c r="AC178" s="2"/>
      <c r="AD178" s="2"/>
      <c r="AE178" s="2"/>
      <c r="AF178" s="2"/>
      <c r="AG178" s="2"/>
      <c r="AH178" s="2"/>
      <c r="AI178" s="2"/>
    </row>
    <row r="179">
      <c r="A179" s="2"/>
      <c r="B179" s="2"/>
      <c r="C179" s="2"/>
      <c r="D179" s="2"/>
      <c r="E179" s="2"/>
      <c r="F179" s="2"/>
      <c r="G179" s="2"/>
      <c r="H179" s="2"/>
      <c r="I179" s="2"/>
      <c r="J179" s="2"/>
      <c r="K179" s="57"/>
      <c r="L179" s="57"/>
      <c r="M179" s="57"/>
      <c r="N179" s="57"/>
      <c r="O179" s="57"/>
      <c r="P179" s="2"/>
      <c r="Q179" s="2"/>
      <c r="R179" s="2"/>
      <c r="S179" s="2"/>
      <c r="T179" s="2"/>
      <c r="U179" s="2"/>
      <c r="V179" s="2"/>
      <c r="W179" s="2"/>
      <c r="X179" s="2"/>
      <c r="Y179" s="2"/>
      <c r="Z179" s="2"/>
      <c r="AA179" s="2"/>
      <c r="AB179" s="2"/>
      <c r="AC179" s="2"/>
      <c r="AD179" s="2"/>
      <c r="AE179" s="2"/>
      <c r="AF179" s="2"/>
      <c r="AG179" s="2"/>
      <c r="AH179" s="2"/>
      <c r="AI179" s="2"/>
    </row>
    <row r="180">
      <c r="A180" s="2"/>
      <c r="B180" s="2"/>
      <c r="C180" s="2"/>
      <c r="D180" s="2"/>
      <c r="E180" s="2"/>
      <c r="F180" s="2"/>
      <c r="G180" s="2"/>
      <c r="H180" s="2"/>
      <c r="I180" s="2"/>
      <c r="J180" s="2"/>
      <c r="K180" s="57"/>
      <c r="L180" s="57"/>
      <c r="M180" s="57"/>
      <c r="N180" s="57"/>
      <c r="O180" s="57"/>
      <c r="P180" s="2"/>
      <c r="Q180" s="2"/>
      <c r="R180" s="2"/>
      <c r="S180" s="2"/>
      <c r="T180" s="2"/>
      <c r="U180" s="2"/>
      <c r="V180" s="2"/>
      <c r="W180" s="2"/>
      <c r="X180" s="2"/>
      <c r="Y180" s="2"/>
      <c r="Z180" s="2"/>
      <c r="AA180" s="2"/>
      <c r="AB180" s="2"/>
      <c r="AC180" s="2"/>
      <c r="AD180" s="2"/>
      <c r="AE180" s="2"/>
      <c r="AF180" s="2"/>
      <c r="AG180" s="2"/>
      <c r="AH180" s="2"/>
      <c r="AI180" s="2"/>
    </row>
    <row r="181">
      <c r="A181" s="2"/>
      <c r="B181" s="2"/>
      <c r="C181" s="2"/>
      <c r="D181" s="2"/>
      <c r="E181" s="2"/>
      <c r="F181" s="2"/>
      <c r="G181" s="2"/>
      <c r="H181" s="2"/>
      <c r="I181" s="2"/>
      <c r="J181" s="2"/>
      <c r="K181" s="57"/>
      <c r="L181" s="57"/>
      <c r="M181" s="57"/>
      <c r="N181" s="57"/>
      <c r="O181" s="57"/>
      <c r="P181" s="2"/>
      <c r="Q181" s="2"/>
      <c r="R181" s="2"/>
      <c r="S181" s="2"/>
      <c r="T181" s="2"/>
      <c r="U181" s="2"/>
      <c r="V181" s="2"/>
      <c r="W181" s="2"/>
      <c r="X181" s="2"/>
      <c r="Y181" s="2"/>
      <c r="Z181" s="2"/>
      <c r="AA181" s="2"/>
      <c r="AB181" s="2"/>
      <c r="AC181" s="2"/>
      <c r="AD181" s="2"/>
      <c r="AE181" s="2"/>
      <c r="AF181" s="2"/>
      <c r="AG181" s="2"/>
      <c r="AH181" s="2"/>
      <c r="AI181" s="2"/>
    </row>
    <row r="182">
      <c r="A182" s="2"/>
      <c r="B182" s="2"/>
      <c r="C182" s="2"/>
      <c r="D182" s="2"/>
      <c r="E182" s="2"/>
      <c r="F182" s="2"/>
      <c r="G182" s="2"/>
      <c r="H182" s="2"/>
      <c r="I182" s="2"/>
      <c r="J182" s="2"/>
      <c r="K182" s="57"/>
      <c r="L182" s="57"/>
      <c r="M182" s="57"/>
      <c r="N182" s="57"/>
      <c r="O182" s="57"/>
      <c r="P182" s="2"/>
      <c r="Q182" s="2"/>
      <c r="R182" s="2"/>
      <c r="S182" s="2"/>
      <c r="T182" s="2"/>
      <c r="U182" s="2"/>
      <c r="V182" s="2"/>
      <c r="W182" s="2"/>
      <c r="X182" s="2"/>
      <c r="Y182" s="2"/>
      <c r="Z182" s="2"/>
      <c r="AA182" s="2"/>
      <c r="AB182" s="2"/>
      <c r="AC182" s="2"/>
      <c r="AD182" s="2"/>
      <c r="AE182" s="2"/>
      <c r="AF182" s="2"/>
      <c r="AG182" s="2"/>
      <c r="AH182" s="2"/>
      <c r="AI182" s="2"/>
    </row>
    <row r="183">
      <c r="A183" s="2"/>
      <c r="B183" s="2"/>
      <c r="C183" s="2"/>
      <c r="D183" s="2"/>
      <c r="E183" s="2"/>
      <c r="F183" s="2"/>
      <c r="G183" s="2"/>
      <c r="H183" s="2"/>
      <c r="I183" s="2"/>
      <c r="J183" s="2"/>
      <c r="K183" s="57"/>
      <c r="L183" s="57"/>
      <c r="M183" s="57"/>
      <c r="N183" s="57"/>
      <c r="O183" s="57"/>
      <c r="P183" s="2"/>
      <c r="Q183" s="2"/>
      <c r="R183" s="2"/>
      <c r="S183" s="2"/>
      <c r="T183" s="2"/>
      <c r="U183" s="2"/>
      <c r="V183" s="2"/>
      <c r="W183" s="2"/>
      <c r="X183" s="2"/>
      <c r="Y183" s="2"/>
      <c r="Z183" s="2"/>
      <c r="AA183" s="2"/>
      <c r="AB183" s="2"/>
      <c r="AC183" s="2"/>
      <c r="AD183" s="2"/>
      <c r="AE183" s="2"/>
      <c r="AF183" s="2"/>
      <c r="AG183" s="2"/>
      <c r="AH183" s="2"/>
      <c r="AI183" s="2"/>
    </row>
    <row r="184">
      <c r="A184" s="2"/>
      <c r="B184" s="2"/>
      <c r="C184" s="2"/>
      <c r="D184" s="2"/>
      <c r="E184" s="2"/>
      <c r="F184" s="2"/>
      <c r="G184" s="2"/>
      <c r="H184" s="2"/>
      <c r="I184" s="2"/>
      <c r="J184" s="2"/>
      <c r="K184" s="57"/>
      <c r="L184" s="57"/>
      <c r="M184" s="57"/>
      <c r="N184" s="57"/>
      <c r="O184" s="57"/>
      <c r="P184" s="2"/>
      <c r="Q184" s="2"/>
      <c r="R184" s="2"/>
      <c r="S184" s="2"/>
      <c r="T184" s="2"/>
      <c r="U184" s="2"/>
      <c r="V184" s="2"/>
      <c r="W184" s="2"/>
      <c r="X184" s="2"/>
      <c r="Y184" s="2"/>
      <c r="Z184" s="2"/>
      <c r="AA184" s="2"/>
      <c r="AB184" s="2"/>
      <c r="AC184" s="2"/>
      <c r="AD184" s="2"/>
      <c r="AE184" s="2"/>
      <c r="AF184" s="2"/>
      <c r="AG184" s="2"/>
      <c r="AH184" s="2"/>
      <c r="AI184" s="2"/>
    </row>
    <row r="185">
      <c r="A185" s="2"/>
      <c r="B185" s="2"/>
      <c r="C185" s="2"/>
      <c r="D185" s="2"/>
      <c r="E185" s="2"/>
      <c r="F185" s="2"/>
      <c r="G185" s="2"/>
      <c r="H185" s="2"/>
      <c r="I185" s="2"/>
      <c r="J185" s="2"/>
      <c r="K185" s="57"/>
      <c r="L185" s="57"/>
      <c r="M185" s="57"/>
      <c r="N185" s="57"/>
      <c r="O185" s="57"/>
      <c r="P185" s="2"/>
      <c r="Q185" s="2"/>
      <c r="R185" s="2"/>
      <c r="S185" s="2"/>
      <c r="T185" s="2"/>
      <c r="U185" s="2"/>
      <c r="V185" s="2"/>
      <c r="W185" s="2"/>
      <c r="X185" s="2"/>
      <c r="Y185" s="2"/>
      <c r="Z185" s="2"/>
      <c r="AA185" s="2"/>
      <c r="AB185" s="2"/>
      <c r="AC185" s="2"/>
      <c r="AD185" s="2"/>
      <c r="AE185" s="2"/>
      <c r="AF185" s="2"/>
      <c r="AG185" s="2"/>
      <c r="AH185" s="2"/>
      <c r="AI185" s="2"/>
    </row>
    <row r="186">
      <c r="A186" s="2"/>
      <c r="B186" s="2"/>
      <c r="C186" s="2"/>
      <c r="D186" s="2"/>
      <c r="E186" s="2"/>
      <c r="F186" s="2"/>
      <c r="G186" s="2"/>
      <c r="H186" s="2"/>
      <c r="I186" s="2"/>
      <c r="J186" s="2"/>
      <c r="K186" s="57"/>
      <c r="L186" s="57"/>
      <c r="M186" s="57"/>
      <c r="N186" s="57"/>
      <c r="O186" s="57"/>
      <c r="P186" s="2"/>
      <c r="Q186" s="2"/>
      <c r="R186" s="2"/>
      <c r="S186" s="2"/>
      <c r="T186" s="2"/>
      <c r="U186" s="2"/>
      <c r="V186" s="2"/>
      <c r="W186" s="2"/>
      <c r="X186" s="2"/>
      <c r="Y186" s="2"/>
      <c r="Z186" s="2"/>
      <c r="AA186" s="2"/>
      <c r="AB186" s="2"/>
      <c r="AC186" s="2"/>
      <c r="AD186" s="2"/>
      <c r="AE186" s="2"/>
      <c r="AF186" s="2"/>
      <c r="AG186" s="2"/>
      <c r="AH186" s="2"/>
      <c r="AI186" s="2"/>
    </row>
    <row r="187">
      <c r="A187" s="2"/>
      <c r="B187" s="2"/>
      <c r="C187" s="2"/>
      <c r="D187" s="2"/>
      <c r="E187" s="2"/>
      <c r="F187" s="2"/>
      <c r="G187" s="2"/>
      <c r="H187" s="2"/>
      <c r="I187" s="2"/>
      <c r="J187" s="2"/>
      <c r="K187" s="57"/>
      <c r="L187" s="57"/>
      <c r="M187" s="57"/>
      <c r="N187" s="57"/>
      <c r="O187" s="57"/>
      <c r="P187" s="2"/>
      <c r="Q187" s="2"/>
      <c r="R187" s="2"/>
      <c r="S187" s="2"/>
      <c r="T187" s="2"/>
      <c r="U187" s="2"/>
      <c r="V187" s="2"/>
      <c r="W187" s="2"/>
      <c r="X187" s="2"/>
      <c r="Y187" s="2"/>
      <c r="Z187" s="2"/>
      <c r="AA187" s="2"/>
      <c r="AB187" s="2"/>
      <c r="AC187" s="2"/>
      <c r="AD187" s="2"/>
      <c r="AE187" s="2"/>
      <c r="AF187" s="2"/>
      <c r="AG187" s="2"/>
      <c r="AH187" s="2"/>
      <c r="AI187" s="2"/>
    </row>
    <row r="188">
      <c r="A188" s="2"/>
      <c r="B188" s="2"/>
      <c r="C188" s="2"/>
      <c r="D188" s="2"/>
      <c r="E188" s="2"/>
      <c r="F188" s="2"/>
      <c r="G188" s="2"/>
      <c r="H188" s="2"/>
      <c r="I188" s="2"/>
      <c r="J188" s="2"/>
      <c r="K188" s="57"/>
      <c r="L188" s="57"/>
      <c r="M188" s="57"/>
      <c r="N188" s="57"/>
      <c r="O188" s="57"/>
      <c r="P188" s="2"/>
      <c r="Q188" s="2"/>
      <c r="R188" s="2"/>
      <c r="S188" s="2"/>
      <c r="T188" s="2"/>
      <c r="U188" s="2"/>
      <c r="V188" s="2"/>
      <c r="W188" s="2"/>
      <c r="X188" s="2"/>
      <c r="Y188" s="2"/>
      <c r="Z188" s="2"/>
      <c r="AA188" s="2"/>
      <c r="AB188" s="2"/>
      <c r="AC188" s="2"/>
      <c r="AD188" s="2"/>
      <c r="AE188" s="2"/>
      <c r="AF188" s="2"/>
      <c r="AG188" s="2"/>
      <c r="AH188" s="2"/>
      <c r="AI188" s="2"/>
    </row>
    <row r="189">
      <c r="A189" s="2"/>
      <c r="B189" s="2"/>
      <c r="C189" s="2"/>
      <c r="D189" s="2"/>
      <c r="E189" s="2"/>
      <c r="F189" s="2"/>
      <c r="G189" s="2"/>
      <c r="H189" s="2"/>
      <c r="I189" s="2"/>
      <c r="J189" s="2"/>
      <c r="K189" s="57"/>
      <c r="L189" s="57"/>
      <c r="M189" s="57"/>
      <c r="N189" s="57"/>
      <c r="O189" s="57"/>
      <c r="P189" s="2"/>
      <c r="Q189" s="2"/>
      <c r="R189" s="2"/>
      <c r="S189" s="2"/>
      <c r="T189" s="2"/>
      <c r="U189" s="2"/>
      <c r="V189" s="2"/>
      <c r="W189" s="2"/>
      <c r="X189" s="2"/>
      <c r="Y189" s="2"/>
      <c r="Z189" s="2"/>
      <c r="AA189" s="2"/>
      <c r="AB189" s="2"/>
      <c r="AC189" s="2"/>
      <c r="AD189" s="2"/>
      <c r="AE189" s="2"/>
      <c r="AF189" s="2"/>
      <c r="AG189" s="2"/>
      <c r="AH189" s="2"/>
      <c r="AI189" s="2"/>
    </row>
    <row r="190">
      <c r="A190" s="2"/>
      <c r="B190" s="2"/>
      <c r="C190" s="2"/>
      <c r="D190" s="2"/>
      <c r="E190" s="2"/>
      <c r="F190" s="2"/>
      <c r="G190" s="2"/>
      <c r="H190" s="2"/>
      <c r="I190" s="2"/>
      <c r="J190" s="2"/>
      <c r="K190" s="57"/>
      <c r="L190" s="57"/>
      <c r="M190" s="57"/>
      <c r="N190" s="57"/>
      <c r="O190" s="57"/>
      <c r="P190" s="2"/>
      <c r="Q190" s="2"/>
      <c r="R190" s="2"/>
      <c r="S190" s="2"/>
      <c r="T190" s="2"/>
      <c r="U190" s="2"/>
      <c r="V190" s="2"/>
      <c r="W190" s="2"/>
      <c r="X190" s="2"/>
      <c r="Y190" s="2"/>
      <c r="Z190" s="2"/>
      <c r="AA190" s="2"/>
      <c r="AB190" s="2"/>
      <c r="AC190" s="2"/>
      <c r="AD190" s="2"/>
      <c r="AE190" s="2"/>
      <c r="AF190" s="2"/>
      <c r="AG190" s="2"/>
      <c r="AH190" s="2"/>
      <c r="AI190" s="2"/>
    </row>
    <row r="191">
      <c r="A191" s="2"/>
      <c r="B191" s="2"/>
      <c r="C191" s="2"/>
      <c r="D191" s="2"/>
      <c r="E191" s="2"/>
      <c r="F191" s="2"/>
      <c r="G191" s="2"/>
      <c r="H191" s="2"/>
      <c r="I191" s="2"/>
      <c r="J191" s="2"/>
      <c r="K191" s="57"/>
      <c r="L191" s="57"/>
      <c r="M191" s="57"/>
      <c r="N191" s="57"/>
      <c r="O191" s="57"/>
      <c r="P191" s="2"/>
      <c r="Q191" s="2"/>
      <c r="R191" s="2"/>
      <c r="S191" s="2"/>
      <c r="T191" s="2"/>
      <c r="U191" s="2"/>
      <c r="V191" s="2"/>
      <c r="W191" s="2"/>
      <c r="X191" s="2"/>
      <c r="Y191" s="2"/>
      <c r="Z191" s="2"/>
      <c r="AA191" s="2"/>
      <c r="AB191" s="2"/>
      <c r="AC191" s="2"/>
      <c r="AD191" s="2"/>
      <c r="AE191" s="2"/>
      <c r="AF191" s="2"/>
      <c r="AG191" s="2"/>
      <c r="AH191" s="2"/>
      <c r="AI191" s="2"/>
    </row>
    <row r="192">
      <c r="A192" s="2"/>
      <c r="B192" s="2"/>
      <c r="C192" s="2"/>
      <c r="D192" s="2"/>
      <c r="E192" s="2"/>
      <c r="F192" s="2"/>
      <c r="G192" s="2"/>
      <c r="H192" s="2"/>
      <c r="I192" s="2"/>
      <c r="J192" s="2"/>
      <c r="K192" s="57"/>
      <c r="L192" s="57"/>
      <c r="M192" s="57"/>
      <c r="N192" s="57"/>
      <c r="O192" s="57"/>
      <c r="P192" s="2"/>
      <c r="Q192" s="2"/>
      <c r="R192" s="2"/>
      <c r="S192" s="2"/>
      <c r="T192" s="2"/>
      <c r="U192" s="2"/>
      <c r="V192" s="2"/>
      <c r="W192" s="2"/>
      <c r="X192" s="2"/>
      <c r="Y192" s="2"/>
      <c r="Z192" s="2"/>
      <c r="AA192" s="2"/>
      <c r="AB192" s="2"/>
      <c r="AC192" s="2"/>
      <c r="AD192" s="2"/>
      <c r="AE192" s="2"/>
      <c r="AF192" s="2"/>
      <c r="AG192" s="2"/>
      <c r="AH192" s="2"/>
      <c r="AI192" s="2"/>
    </row>
    <row r="193">
      <c r="A193" s="2"/>
      <c r="B193" s="2"/>
      <c r="C193" s="2"/>
      <c r="D193" s="2"/>
      <c r="E193" s="2"/>
      <c r="F193" s="2"/>
      <c r="G193" s="2"/>
      <c r="H193" s="2"/>
      <c r="I193" s="2"/>
      <c r="J193" s="2"/>
      <c r="K193" s="57"/>
      <c r="L193" s="57"/>
      <c r="M193" s="57"/>
      <c r="N193" s="57"/>
      <c r="O193" s="57"/>
      <c r="P193" s="2"/>
      <c r="Q193" s="2"/>
      <c r="R193" s="2"/>
      <c r="S193" s="2"/>
      <c r="T193" s="2"/>
      <c r="U193" s="2"/>
      <c r="V193" s="2"/>
      <c r="W193" s="2"/>
      <c r="X193" s="2"/>
      <c r="Y193" s="2"/>
      <c r="Z193" s="2"/>
      <c r="AA193" s="2"/>
      <c r="AB193" s="2"/>
      <c r="AC193" s="2"/>
      <c r="AD193" s="2"/>
      <c r="AE193" s="2"/>
      <c r="AF193" s="2"/>
      <c r="AG193" s="2"/>
      <c r="AH193" s="2"/>
      <c r="AI193" s="2"/>
    </row>
    <row r="194">
      <c r="A194" s="2"/>
      <c r="B194" s="2"/>
      <c r="C194" s="2"/>
      <c r="D194" s="2"/>
      <c r="E194" s="2"/>
      <c r="F194" s="2"/>
      <c r="G194" s="2"/>
      <c r="H194" s="2"/>
      <c r="I194" s="2"/>
      <c r="J194" s="2"/>
      <c r="K194" s="57"/>
      <c r="L194" s="57"/>
      <c r="M194" s="57"/>
      <c r="N194" s="57"/>
      <c r="O194" s="57"/>
      <c r="P194" s="2"/>
      <c r="Q194" s="2"/>
      <c r="R194" s="2"/>
      <c r="S194" s="2"/>
      <c r="T194" s="2"/>
      <c r="U194" s="2"/>
      <c r="V194" s="2"/>
      <c r="W194" s="2"/>
      <c r="X194" s="2"/>
      <c r="Y194" s="2"/>
      <c r="Z194" s="2"/>
      <c r="AA194" s="2"/>
      <c r="AB194" s="2"/>
      <c r="AC194" s="2"/>
      <c r="AD194" s="2"/>
      <c r="AE194" s="2"/>
      <c r="AF194" s="2"/>
      <c r="AG194" s="2"/>
      <c r="AH194" s="2"/>
      <c r="AI194" s="2"/>
    </row>
    <row r="195">
      <c r="A195" s="2"/>
      <c r="B195" s="2"/>
      <c r="C195" s="2"/>
      <c r="D195" s="2"/>
      <c r="E195" s="2"/>
      <c r="F195" s="2"/>
      <c r="G195" s="2"/>
      <c r="H195" s="2"/>
      <c r="I195" s="2"/>
      <c r="J195" s="2"/>
      <c r="K195" s="57"/>
      <c r="L195" s="57"/>
      <c r="M195" s="57"/>
      <c r="N195" s="57"/>
      <c r="O195" s="57"/>
      <c r="P195" s="2"/>
      <c r="Q195" s="2"/>
      <c r="R195" s="2"/>
      <c r="S195" s="2"/>
      <c r="T195" s="2"/>
      <c r="U195" s="2"/>
      <c r="V195" s="2"/>
      <c r="W195" s="2"/>
      <c r="X195" s="2"/>
      <c r="Y195" s="2"/>
      <c r="Z195" s="2"/>
      <c r="AA195" s="2"/>
      <c r="AB195" s="2"/>
      <c r="AC195" s="2"/>
      <c r="AD195" s="2"/>
      <c r="AE195" s="2"/>
      <c r="AF195" s="2"/>
      <c r="AG195" s="2"/>
      <c r="AH195" s="2"/>
      <c r="AI195" s="2"/>
    </row>
    <row r="196">
      <c r="A196" s="2"/>
      <c r="B196" s="2"/>
      <c r="C196" s="2"/>
      <c r="D196" s="2"/>
      <c r="E196" s="2"/>
      <c r="F196" s="2"/>
      <c r="G196" s="2"/>
      <c r="H196" s="2"/>
      <c r="I196" s="2"/>
      <c r="J196" s="2"/>
      <c r="K196" s="57"/>
      <c r="L196" s="57"/>
      <c r="M196" s="57"/>
      <c r="N196" s="57"/>
      <c r="O196" s="57"/>
      <c r="P196" s="2"/>
      <c r="Q196" s="2"/>
      <c r="R196" s="2"/>
      <c r="S196" s="2"/>
      <c r="T196" s="2"/>
      <c r="U196" s="2"/>
      <c r="V196" s="2"/>
      <c r="W196" s="2"/>
      <c r="X196" s="2"/>
      <c r="Y196" s="2"/>
      <c r="Z196" s="2"/>
      <c r="AA196" s="2"/>
      <c r="AB196" s="2"/>
      <c r="AC196" s="2"/>
      <c r="AD196" s="2"/>
      <c r="AE196" s="2"/>
      <c r="AF196" s="2"/>
      <c r="AG196" s="2"/>
      <c r="AH196" s="2"/>
      <c r="AI196" s="2"/>
    </row>
    <row r="197">
      <c r="A197" s="2"/>
      <c r="B197" s="2"/>
      <c r="C197" s="2"/>
      <c r="D197" s="2"/>
      <c r="E197" s="2"/>
      <c r="F197" s="2"/>
      <c r="G197" s="2"/>
      <c r="H197" s="2"/>
      <c r="I197" s="2"/>
      <c r="J197" s="2"/>
      <c r="K197" s="57"/>
      <c r="L197" s="57"/>
      <c r="M197" s="57"/>
      <c r="N197" s="57"/>
      <c r="O197" s="57"/>
      <c r="P197" s="2"/>
      <c r="Q197" s="2"/>
      <c r="R197" s="2"/>
      <c r="S197" s="2"/>
      <c r="T197" s="2"/>
      <c r="U197" s="2"/>
      <c r="V197" s="2"/>
      <c r="W197" s="2"/>
      <c r="X197" s="2"/>
      <c r="Y197" s="2"/>
      <c r="Z197" s="2"/>
      <c r="AA197" s="2"/>
      <c r="AB197" s="2"/>
      <c r="AC197" s="2"/>
      <c r="AD197" s="2"/>
      <c r="AE197" s="2"/>
      <c r="AF197" s="2"/>
      <c r="AG197" s="2"/>
      <c r="AH197" s="2"/>
      <c r="AI197" s="2"/>
    </row>
    <row r="198">
      <c r="A198" s="2"/>
      <c r="B198" s="2"/>
      <c r="C198" s="2"/>
      <c r="D198" s="2"/>
      <c r="E198" s="2"/>
      <c r="F198" s="2"/>
      <c r="G198" s="2"/>
      <c r="H198" s="2"/>
      <c r="I198" s="2"/>
      <c r="J198" s="2"/>
      <c r="K198" s="57"/>
      <c r="L198" s="57"/>
      <c r="M198" s="57"/>
      <c r="N198" s="57"/>
      <c r="O198" s="57"/>
      <c r="P198" s="2"/>
      <c r="Q198" s="2"/>
      <c r="R198" s="2"/>
      <c r="S198" s="2"/>
      <c r="T198" s="2"/>
      <c r="U198" s="2"/>
      <c r="V198" s="2"/>
      <c r="W198" s="2"/>
      <c r="X198" s="2"/>
      <c r="Y198" s="2"/>
      <c r="Z198" s="2"/>
      <c r="AA198" s="2"/>
      <c r="AB198" s="2"/>
      <c r="AC198" s="2"/>
      <c r="AD198" s="2"/>
      <c r="AE198" s="2"/>
      <c r="AF198" s="2"/>
      <c r="AG198" s="2"/>
      <c r="AH198" s="2"/>
      <c r="AI198" s="2"/>
    </row>
    <row r="199">
      <c r="A199" s="2"/>
      <c r="B199" s="2"/>
      <c r="C199" s="2"/>
      <c r="D199" s="2"/>
      <c r="E199" s="2"/>
      <c r="F199" s="2"/>
      <c r="G199" s="2"/>
      <c r="H199" s="2"/>
      <c r="I199" s="2"/>
      <c r="J199" s="2"/>
      <c r="K199" s="57"/>
      <c r="L199" s="57"/>
      <c r="M199" s="57"/>
      <c r="N199" s="57"/>
      <c r="O199" s="57"/>
      <c r="P199" s="2"/>
      <c r="Q199" s="2"/>
      <c r="R199" s="2"/>
      <c r="S199" s="2"/>
      <c r="T199" s="2"/>
      <c r="U199" s="2"/>
      <c r="V199" s="2"/>
      <c r="W199" s="2"/>
      <c r="X199" s="2"/>
      <c r="Y199" s="2"/>
      <c r="Z199" s="2"/>
      <c r="AA199" s="2"/>
      <c r="AB199" s="2"/>
      <c r="AC199" s="2"/>
      <c r="AD199" s="2"/>
      <c r="AE199" s="2"/>
      <c r="AF199" s="2"/>
      <c r="AG199" s="2"/>
      <c r="AH199" s="2"/>
      <c r="AI199" s="2"/>
    </row>
    <row r="200">
      <c r="A200" s="2"/>
      <c r="B200" s="2"/>
      <c r="C200" s="2"/>
      <c r="D200" s="2"/>
      <c r="E200" s="2"/>
      <c r="F200" s="2"/>
      <c r="G200" s="2"/>
      <c r="H200" s="2"/>
      <c r="I200" s="2"/>
      <c r="J200" s="2"/>
      <c r="K200" s="57"/>
      <c r="L200" s="57"/>
      <c r="M200" s="57"/>
      <c r="N200" s="57"/>
      <c r="O200" s="57"/>
      <c r="P200" s="2"/>
      <c r="Q200" s="2"/>
      <c r="R200" s="2"/>
      <c r="S200" s="2"/>
      <c r="T200" s="2"/>
      <c r="U200" s="2"/>
      <c r="V200" s="2"/>
      <c r="W200" s="2"/>
      <c r="X200" s="2"/>
      <c r="Y200" s="2"/>
      <c r="Z200" s="2"/>
      <c r="AA200" s="2"/>
      <c r="AB200" s="2"/>
      <c r="AC200" s="2"/>
      <c r="AD200" s="2"/>
      <c r="AE200" s="2"/>
      <c r="AF200" s="2"/>
      <c r="AG200" s="2"/>
      <c r="AH200" s="2"/>
      <c r="AI200" s="2"/>
    </row>
    <row r="201">
      <c r="A201" s="2"/>
      <c r="B201" s="2"/>
      <c r="C201" s="2"/>
      <c r="D201" s="2"/>
      <c r="E201" s="2"/>
      <c r="F201" s="2"/>
      <c r="G201" s="2"/>
      <c r="H201" s="2"/>
      <c r="I201" s="2"/>
      <c r="J201" s="2"/>
      <c r="K201" s="57"/>
      <c r="L201" s="57"/>
      <c r="M201" s="57"/>
      <c r="N201" s="57"/>
      <c r="O201" s="57"/>
      <c r="P201" s="2"/>
      <c r="Q201" s="2"/>
      <c r="R201" s="2"/>
      <c r="S201" s="2"/>
      <c r="T201" s="2"/>
      <c r="U201" s="2"/>
      <c r="V201" s="2"/>
      <c r="W201" s="2"/>
      <c r="X201" s="2"/>
      <c r="Y201" s="2"/>
      <c r="Z201" s="2"/>
      <c r="AA201" s="2"/>
      <c r="AB201" s="2"/>
      <c r="AC201" s="2"/>
      <c r="AD201" s="2"/>
      <c r="AE201" s="2"/>
      <c r="AF201" s="2"/>
      <c r="AG201" s="2"/>
      <c r="AH201" s="2"/>
      <c r="AI201" s="2"/>
    </row>
    <row r="202">
      <c r="A202" s="2"/>
      <c r="B202" s="2"/>
      <c r="C202" s="2"/>
      <c r="D202" s="2"/>
      <c r="E202" s="2"/>
      <c r="F202" s="2"/>
      <c r="G202" s="2"/>
      <c r="H202" s="2"/>
      <c r="I202" s="2"/>
      <c r="J202" s="2"/>
      <c r="K202" s="57"/>
      <c r="L202" s="57"/>
      <c r="M202" s="57"/>
      <c r="N202" s="57"/>
      <c r="O202" s="57"/>
      <c r="P202" s="2"/>
      <c r="Q202" s="2"/>
      <c r="R202" s="2"/>
      <c r="S202" s="2"/>
      <c r="T202" s="2"/>
      <c r="U202" s="2"/>
      <c r="V202" s="2"/>
      <c r="W202" s="2"/>
      <c r="X202" s="2"/>
      <c r="Y202" s="2"/>
      <c r="Z202" s="2"/>
      <c r="AA202" s="2"/>
      <c r="AB202" s="2"/>
      <c r="AC202" s="2"/>
      <c r="AD202" s="2"/>
      <c r="AE202" s="2"/>
      <c r="AF202" s="2"/>
      <c r="AG202" s="2"/>
      <c r="AH202" s="2"/>
      <c r="AI202" s="2"/>
    </row>
    <row r="203">
      <c r="A203" s="2"/>
      <c r="B203" s="2"/>
      <c r="C203" s="2"/>
      <c r="D203" s="2"/>
      <c r="E203" s="2"/>
      <c r="F203" s="2"/>
      <c r="G203" s="2"/>
      <c r="H203" s="2"/>
      <c r="I203" s="2"/>
      <c r="J203" s="2"/>
      <c r="K203" s="57"/>
      <c r="L203" s="57"/>
      <c r="M203" s="57"/>
      <c r="N203" s="57"/>
      <c r="O203" s="57"/>
      <c r="P203" s="2"/>
      <c r="Q203" s="2"/>
      <c r="R203" s="2"/>
      <c r="S203" s="2"/>
      <c r="T203" s="2"/>
      <c r="U203" s="2"/>
      <c r="V203" s="2"/>
      <c r="W203" s="2"/>
      <c r="X203" s="2"/>
      <c r="Y203" s="2"/>
      <c r="Z203" s="2"/>
      <c r="AA203" s="2"/>
      <c r="AB203" s="2"/>
      <c r="AC203" s="2"/>
      <c r="AD203" s="2"/>
      <c r="AE203" s="2"/>
      <c r="AF203" s="2"/>
      <c r="AG203" s="2"/>
      <c r="AH203" s="2"/>
      <c r="AI203" s="2"/>
    </row>
    <row r="204">
      <c r="A204" s="2"/>
      <c r="B204" s="2"/>
      <c r="C204" s="2"/>
      <c r="D204" s="2"/>
      <c r="E204" s="2"/>
      <c r="F204" s="2"/>
      <c r="G204" s="2"/>
      <c r="H204" s="2"/>
      <c r="I204" s="2"/>
      <c r="J204" s="2"/>
      <c r="K204" s="57"/>
      <c r="L204" s="57"/>
      <c r="M204" s="57"/>
      <c r="N204" s="57"/>
      <c r="O204" s="57"/>
      <c r="P204" s="2"/>
      <c r="Q204" s="2"/>
      <c r="R204" s="2"/>
      <c r="S204" s="2"/>
      <c r="T204" s="2"/>
      <c r="U204" s="2"/>
      <c r="V204" s="2"/>
      <c r="W204" s="2"/>
      <c r="X204" s="2"/>
      <c r="Y204" s="2"/>
      <c r="Z204" s="2"/>
      <c r="AA204" s="2"/>
      <c r="AB204" s="2"/>
      <c r="AC204" s="2"/>
      <c r="AD204" s="2"/>
      <c r="AE204" s="2"/>
      <c r="AF204" s="2"/>
      <c r="AG204" s="2"/>
      <c r="AH204" s="2"/>
      <c r="AI204" s="2"/>
    </row>
    <row r="205">
      <c r="A205" s="2"/>
      <c r="B205" s="2"/>
      <c r="C205" s="2"/>
      <c r="D205" s="2"/>
      <c r="E205" s="2"/>
      <c r="F205" s="2"/>
      <c r="G205" s="2"/>
      <c r="H205" s="2"/>
      <c r="I205" s="2"/>
      <c r="J205" s="2"/>
      <c r="K205" s="57"/>
      <c r="L205" s="57"/>
      <c r="M205" s="57"/>
      <c r="N205" s="57"/>
      <c r="O205" s="57"/>
      <c r="P205" s="2"/>
      <c r="Q205" s="2"/>
      <c r="R205" s="2"/>
      <c r="S205" s="2"/>
      <c r="T205" s="2"/>
      <c r="U205" s="2"/>
      <c r="V205" s="2"/>
      <c r="W205" s="2"/>
      <c r="X205" s="2"/>
      <c r="Y205" s="2"/>
      <c r="Z205" s="2"/>
      <c r="AA205" s="2"/>
      <c r="AB205" s="2"/>
      <c r="AC205" s="2"/>
      <c r="AD205" s="2"/>
      <c r="AE205" s="2"/>
      <c r="AF205" s="2"/>
      <c r="AG205" s="2"/>
      <c r="AH205" s="2"/>
      <c r="AI205" s="2"/>
    </row>
    <row r="206">
      <c r="A206" s="2"/>
      <c r="B206" s="2"/>
      <c r="C206" s="2"/>
      <c r="D206" s="2"/>
      <c r="E206" s="2"/>
      <c r="F206" s="2"/>
      <c r="G206" s="2"/>
      <c r="H206" s="2"/>
      <c r="I206" s="2"/>
      <c r="J206" s="2"/>
      <c r="K206" s="57"/>
      <c r="L206" s="57"/>
      <c r="M206" s="57"/>
      <c r="N206" s="57"/>
      <c r="O206" s="57"/>
      <c r="P206" s="2"/>
      <c r="Q206" s="2"/>
      <c r="R206" s="2"/>
      <c r="S206" s="2"/>
      <c r="T206" s="2"/>
      <c r="U206" s="2"/>
      <c r="V206" s="2"/>
      <c r="W206" s="2"/>
      <c r="X206" s="2"/>
      <c r="Y206" s="2"/>
      <c r="Z206" s="2"/>
      <c r="AA206" s="2"/>
      <c r="AB206" s="2"/>
      <c r="AC206" s="2"/>
      <c r="AD206" s="2"/>
      <c r="AE206" s="2"/>
      <c r="AF206" s="2"/>
      <c r="AG206" s="2"/>
      <c r="AH206" s="2"/>
      <c r="AI206" s="2"/>
    </row>
    <row r="207">
      <c r="A207" s="2"/>
      <c r="B207" s="2"/>
      <c r="C207" s="2"/>
      <c r="D207" s="2"/>
      <c r="E207" s="2"/>
      <c r="F207" s="2"/>
      <c r="G207" s="2"/>
      <c r="H207" s="2"/>
      <c r="I207" s="2"/>
      <c r="J207" s="2"/>
      <c r="K207" s="57"/>
      <c r="L207" s="57"/>
      <c r="M207" s="57"/>
      <c r="N207" s="57"/>
      <c r="O207" s="57"/>
      <c r="P207" s="2"/>
      <c r="Q207" s="2"/>
      <c r="R207" s="2"/>
      <c r="S207" s="2"/>
      <c r="T207" s="2"/>
      <c r="U207" s="2"/>
      <c r="V207" s="2"/>
      <c r="W207" s="2"/>
      <c r="X207" s="2"/>
      <c r="Y207" s="2"/>
      <c r="Z207" s="2"/>
      <c r="AA207" s="2"/>
      <c r="AB207" s="2"/>
      <c r="AC207" s="2"/>
      <c r="AD207" s="2"/>
      <c r="AE207" s="2"/>
      <c r="AF207" s="2"/>
      <c r="AG207" s="2"/>
      <c r="AH207" s="2"/>
      <c r="AI207" s="2"/>
    </row>
    <row r="208">
      <c r="A208" s="2"/>
      <c r="B208" s="2"/>
      <c r="C208" s="2"/>
      <c r="D208" s="2"/>
      <c r="E208" s="2"/>
      <c r="F208" s="2"/>
      <c r="G208" s="2"/>
      <c r="H208" s="2"/>
      <c r="I208" s="2"/>
      <c r="J208" s="2"/>
      <c r="K208" s="57"/>
      <c r="L208" s="57"/>
      <c r="M208" s="57"/>
      <c r="N208" s="57"/>
      <c r="O208" s="57"/>
      <c r="P208" s="2"/>
      <c r="Q208" s="2"/>
      <c r="R208" s="2"/>
      <c r="S208" s="2"/>
      <c r="T208" s="2"/>
      <c r="U208" s="2"/>
      <c r="V208" s="2"/>
      <c r="W208" s="2"/>
      <c r="X208" s="2"/>
      <c r="Y208" s="2"/>
      <c r="Z208" s="2"/>
      <c r="AA208" s="2"/>
      <c r="AB208" s="2"/>
      <c r="AC208" s="2"/>
      <c r="AD208" s="2"/>
      <c r="AE208" s="2"/>
      <c r="AF208" s="2"/>
      <c r="AG208" s="2"/>
      <c r="AH208" s="2"/>
      <c r="AI208" s="2"/>
    </row>
    <row r="209">
      <c r="A209" s="2"/>
      <c r="B209" s="2"/>
      <c r="C209" s="2"/>
      <c r="D209" s="2"/>
      <c r="E209" s="2"/>
      <c r="F209" s="2"/>
      <c r="G209" s="2"/>
      <c r="H209" s="2"/>
      <c r="I209" s="2"/>
      <c r="J209" s="2"/>
      <c r="K209" s="57"/>
      <c r="L209" s="57"/>
      <c r="M209" s="57"/>
      <c r="N209" s="57"/>
      <c r="O209" s="57"/>
      <c r="P209" s="2"/>
      <c r="Q209" s="2"/>
      <c r="R209" s="2"/>
      <c r="S209" s="2"/>
      <c r="T209" s="2"/>
      <c r="U209" s="2"/>
      <c r="V209" s="2"/>
      <c r="W209" s="2"/>
      <c r="X209" s="2"/>
      <c r="Y209" s="2"/>
      <c r="Z209" s="2"/>
      <c r="AA209" s="2"/>
      <c r="AB209" s="2"/>
      <c r="AC209" s="2"/>
      <c r="AD209" s="2"/>
      <c r="AE209" s="2"/>
      <c r="AF209" s="2"/>
      <c r="AG209" s="2"/>
      <c r="AH209" s="2"/>
      <c r="AI209" s="2"/>
    </row>
    <row r="210">
      <c r="A210" s="2"/>
      <c r="B210" s="2"/>
      <c r="C210" s="2"/>
      <c r="D210" s="2"/>
      <c r="E210" s="2"/>
      <c r="F210" s="2"/>
      <c r="G210" s="2"/>
      <c r="H210" s="2"/>
      <c r="I210" s="2"/>
      <c r="J210" s="2"/>
      <c r="K210" s="57"/>
      <c r="L210" s="57"/>
      <c r="M210" s="57"/>
      <c r="N210" s="57"/>
      <c r="O210" s="57"/>
      <c r="P210" s="2"/>
      <c r="Q210" s="2"/>
      <c r="R210" s="2"/>
      <c r="S210" s="2"/>
      <c r="T210" s="2"/>
      <c r="U210" s="2"/>
      <c r="V210" s="2"/>
      <c r="W210" s="2"/>
      <c r="X210" s="2"/>
      <c r="Y210" s="2"/>
      <c r="Z210" s="2"/>
      <c r="AA210" s="2"/>
      <c r="AB210" s="2"/>
      <c r="AC210" s="2"/>
      <c r="AD210" s="2"/>
      <c r="AE210" s="2"/>
      <c r="AF210" s="2"/>
      <c r="AG210" s="2"/>
      <c r="AH210" s="2"/>
      <c r="AI210" s="2"/>
    </row>
    <row r="211">
      <c r="A211" s="2"/>
      <c r="B211" s="2"/>
      <c r="C211" s="2"/>
      <c r="D211" s="2"/>
      <c r="E211" s="2"/>
      <c r="F211" s="2"/>
      <c r="G211" s="2"/>
      <c r="H211" s="2"/>
      <c r="I211" s="2"/>
      <c r="J211" s="2"/>
      <c r="K211" s="57"/>
      <c r="L211" s="57"/>
      <c r="M211" s="57"/>
      <c r="N211" s="57"/>
      <c r="O211" s="57"/>
      <c r="P211" s="2"/>
      <c r="Q211" s="2"/>
      <c r="R211" s="2"/>
      <c r="S211" s="2"/>
      <c r="T211" s="2"/>
      <c r="U211" s="2"/>
      <c r="V211" s="2"/>
      <c r="W211" s="2"/>
      <c r="X211" s="2"/>
      <c r="Y211" s="2"/>
      <c r="Z211" s="2"/>
      <c r="AA211" s="2"/>
      <c r="AB211" s="2"/>
      <c r="AC211" s="2"/>
      <c r="AD211" s="2"/>
      <c r="AE211" s="2"/>
      <c r="AF211" s="2"/>
      <c r="AG211" s="2"/>
      <c r="AH211" s="2"/>
      <c r="AI211" s="2"/>
    </row>
    <row r="212">
      <c r="A212" s="2"/>
      <c r="B212" s="2"/>
      <c r="C212" s="2"/>
      <c r="D212" s="2"/>
      <c r="E212" s="2"/>
      <c r="F212" s="2"/>
      <c r="G212" s="2"/>
      <c r="H212" s="2"/>
      <c r="I212" s="2"/>
      <c r="J212" s="2"/>
      <c r="K212" s="57"/>
      <c r="L212" s="57"/>
      <c r="M212" s="57"/>
      <c r="N212" s="57"/>
      <c r="O212" s="57"/>
      <c r="P212" s="2"/>
      <c r="Q212" s="2"/>
      <c r="R212" s="2"/>
      <c r="S212" s="2"/>
      <c r="T212" s="2"/>
      <c r="U212" s="2"/>
      <c r="V212" s="2"/>
      <c r="W212" s="2"/>
      <c r="X212" s="2"/>
      <c r="Y212" s="2"/>
      <c r="Z212" s="2"/>
      <c r="AA212" s="2"/>
      <c r="AB212" s="2"/>
      <c r="AC212" s="2"/>
      <c r="AD212" s="2"/>
      <c r="AE212" s="2"/>
      <c r="AF212" s="2"/>
      <c r="AG212" s="2"/>
      <c r="AH212" s="2"/>
      <c r="AI212" s="2"/>
    </row>
    <row r="213">
      <c r="A213" s="2"/>
      <c r="B213" s="2"/>
      <c r="C213" s="2"/>
      <c r="D213" s="2"/>
      <c r="E213" s="2"/>
      <c r="F213" s="2"/>
      <c r="G213" s="2"/>
      <c r="H213" s="2"/>
      <c r="I213" s="2"/>
      <c r="J213" s="2"/>
      <c r="K213" s="57"/>
      <c r="L213" s="57"/>
      <c r="M213" s="57"/>
      <c r="N213" s="57"/>
      <c r="O213" s="57"/>
      <c r="P213" s="2"/>
      <c r="Q213" s="2"/>
      <c r="R213" s="2"/>
      <c r="S213" s="2"/>
      <c r="T213" s="2"/>
      <c r="U213" s="2"/>
      <c r="V213" s="2"/>
      <c r="W213" s="2"/>
      <c r="X213" s="2"/>
      <c r="Y213" s="2"/>
      <c r="Z213" s="2"/>
      <c r="AA213" s="2"/>
      <c r="AB213" s="2"/>
      <c r="AC213" s="2"/>
      <c r="AD213" s="2"/>
      <c r="AE213" s="2"/>
      <c r="AF213" s="2"/>
      <c r="AG213" s="2"/>
      <c r="AH213" s="2"/>
      <c r="AI213" s="2"/>
    </row>
    <row r="214">
      <c r="A214" s="2"/>
      <c r="B214" s="2"/>
      <c r="C214" s="2"/>
      <c r="D214" s="2"/>
      <c r="E214" s="2"/>
      <c r="F214" s="2"/>
      <c r="G214" s="2"/>
      <c r="H214" s="2"/>
      <c r="I214" s="2"/>
      <c r="J214" s="2"/>
      <c r="K214" s="57"/>
      <c r="L214" s="57"/>
      <c r="M214" s="57"/>
      <c r="N214" s="57"/>
      <c r="O214" s="57"/>
      <c r="P214" s="2"/>
      <c r="Q214" s="2"/>
      <c r="R214" s="2"/>
      <c r="S214" s="2"/>
      <c r="T214" s="2"/>
      <c r="U214" s="2"/>
      <c r="V214" s="2"/>
      <c r="W214" s="2"/>
      <c r="X214" s="2"/>
      <c r="Y214" s="2"/>
      <c r="Z214" s="2"/>
      <c r="AA214" s="2"/>
      <c r="AB214" s="2"/>
      <c r="AC214" s="2"/>
      <c r="AD214" s="2"/>
      <c r="AE214" s="2"/>
      <c r="AF214" s="2"/>
      <c r="AG214" s="2"/>
      <c r="AH214" s="2"/>
      <c r="AI214" s="2"/>
    </row>
    <row r="215">
      <c r="A215" s="2"/>
      <c r="B215" s="2"/>
      <c r="C215" s="2"/>
      <c r="D215" s="2"/>
      <c r="E215" s="2"/>
      <c r="F215" s="2"/>
      <c r="G215" s="2"/>
      <c r="H215" s="2"/>
      <c r="I215" s="2"/>
      <c r="J215" s="2"/>
      <c r="K215" s="57"/>
      <c r="L215" s="57"/>
      <c r="M215" s="57"/>
      <c r="N215" s="57"/>
      <c r="O215" s="57"/>
      <c r="P215" s="2"/>
      <c r="Q215" s="2"/>
      <c r="R215" s="2"/>
      <c r="S215" s="2"/>
      <c r="T215" s="2"/>
      <c r="U215" s="2"/>
      <c r="V215" s="2"/>
      <c r="W215" s="2"/>
      <c r="X215" s="2"/>
      <c r="Y215" s="2"/>
      <c r="Z215" s="2"/>
      <c r="AA215" s="2"/>
      <c r="AB215" s="2"/>
      <c r="AC215" s="2"/>
      <c r="AD215" s="2"/>
      <c r="AE215" s="2"/>
      <c r="AF215" s="2"/>
      <c r="AG215" s="2"/>
      <c r="AH215" s="2"/>
      <c r="AI215" s="2"/>
    </row>
    <row r="216">
      <c r="A216" s="2"/>
      <c r="B216" s="2"/>
      <c r="C216" s="2"/>
      <c r="D216" s="2"/>
      <c r="E216" s="2"/>
      <c r="F216" s="2"/>
      <c r="G216" s="2"/>
      <c r="H216" s="2"/>
      <c r="I216" s="2"/>
      <c r="J216" s="2"/>
      <c r="K216" s="57"/>
      <c r="L216" s="57"/>
      <c r="M216" s="57"/>
      <c r="N216" s="57"/>
      <c r="O216" s="57"/>
      <c r="P216" s="2"/>
      <c r="Q216" s="2"/>
      <c r="R216" s="2"/>
      <c r="S216" s="2"/>
      <c r="T216" s="2"/>
      <c r="U216" s="2"/>
      <c r="V216" s="2"/>
      <c r="W216" s="2"/>
      <c r="X216" s="2"/>
      <c r="Y216" s="2"/>
      <c r="Z216" s="2"/>
      <c r="AA216" s="2"/>
      <c r="AB216" s="2"/>
      <c r="AC216" s="2"/>
      <c r="AD216" s="2"/>
      <c r="AE216" s="2"/>
      <c r="AF216" s="2"/>
      <c r="AG216" s="2"/>
      <c r="AH216" s="2"/>
      <c r="AI216" s="2"/>
    </row>
    <row r="217">
      <c r="A217" s="2"/>
      <c r="B217" s="2"/>
      <c r="C217" s="2"/>
      <c r="D217" s="2"/>
      <c r="E217" s="2"/>
      <c r="F217" s="2"/>
      <c r="G217" s="2"/>
      <c r="H217" s="2"/>
      <c r="I217" s="2"/>
      <c r="J217" s="2"/>
      <c r="K217" s="57"/>
      <c r="L217" s="57"/>
      <c r="M217" s="57"/>
      <c r="N217" s="57"/>
      <c r="O217" s="57"/>
      <c r="P217" s="2"/>
      <c r="Q217" s="2"/>
      <c r="R217" s="2"/>
      <c r="S217" s="2"/>
      <c r="T217" s="2"/>
      <c r="U217" s="2"/>
      <c r="V217" s="2"/>
      <c r="W217" s="2"/>
      <c r="X217" s="2"/>
      <c r="Y217" s="2"/>
      <c r="Z217" s="2"/>
      <c r="AA217" s="2"/>
      <c r="AB217" s="2"/>
      <c r="AC217" s="2"/>
      <c r="AD217" s="2"/>
      <c r="AE217" s="2"/>
      <c r="AF217" s="2"/>
      <c r="AG217" s="2"/>
      <c r="AH217" s="2"/>
      <c r="AI217" s="2"/>
    </row>
    <row r="218">
      <c r="A218" s="2"/>
      <c r="B218" s="2"/>
      <c r="C218" s="2"/>
      <c r="D218" s="2"/>
      <c r="E218" s="2"/>
      <c r="F218" s="2"/>
      <c r="G218" s="2"/>
      <c r="H218" s="2"/>
      <c r="I218" s="2"/>
      <c r="J218" s="2"/>
      <c r="K218" s="57"/>
      <c r="L218" s="57"/>
      <c r="M218" s="57"/>
      <c r="N218" s="57"/>
      <c r="O218" s="57"/>
      <c r="P218" s="2"/>
      <c r="Q218" s="2"/>
      <c r="R218" s="2"/>
      <c r="S218" s="2"/>
      <c r="T218" s="2"/>
      <c r="U218" s="2"/>
      <c r="V218" s="2"/>
      <c r="W218" s="2"/>
      <c r="X218" s="2"/>
      <c r="Y218" s="2"/>
      <c r="Z218" s="2"/>
      <c r="AA218" s="2"/>
      <c r="AB218" s="2"/>
      <c r="AC218" s="2"/>
      <c r="AD218" s="2"/>
      <c r="AE218" s="2"/>
      <c r="AF218" s="2"/>
      <c r="AG218" s="2"/>
      <c r="AH218" s="2"/>
      <c r="AI218" s="2"/>
    </row>
    <row r="219">
      <c r="A219" s="2"/>
      <c r="B219" s="2"/>
      <c r="C219" s="2"/>
      <c r="D219" s="2"/>
      <c r="E219" s="2"/>
      <c r="F219" s="2"/>
      <c r="G219" s="2"/>
      <c r="H219" s="2"/>
      <c r="I219" s="2"/>
      <c r="J219" s="2"/>
      <c r="K219" s="57"/>
      <c r="L219" s="57"/>
      <c r="M219" s="57"/>
      <c r="N219" s="57"/>
      <c r="O219" s="57"/>
      <c r="P219" s="2"/>
      <c r="Q219" s="2"/>
      <c r="R219" s="2"/>
      <c r="S219" s="2"/>
      <c r="T219" s="2"/>
      <c r="U219" s="2"/>
      <c r="V219" s="2"/>
      <c r="W219" s="2"/>
      <c r="X219" s="2"/>
      <c r="Y219" s="2"/>
      <c r="Z219" s="2"/>
      <c r="AA219" s="2"/>
      <c r="AB219" s="2"/>
      <c r="AC219" s="2"/>
      <c r="AD219" s="2"/>
      <c r="AE219" s="2"/>
      <c r="AF219" s="2"/>
      <c r="AG219" s="2"/>
      <c r="AH219" s="2"/>
      <c r="AI219" s="2"/>
    </row>
    <row r="220">
      <c r="A220" s="2"/>
      <c r="B220" s="2"/>
      <c r="C220" s="2"/>
      <c r="D220" s="2"/>
      <c r="E220" s="2"/>
      <c r="F220" s="2"/>
      <c r="G220" s="2"/>
      <c r="H220" s="2"/>
      <c r="I220" s="2"/>
      <c r="J220" s="2"/>
      <c r="K220" s="57"/>
      <c r="L220" s="57"/>
      <c r="M220" s="57"/>
      <c r="N220" s="57"/>
      <c r="O220" s="57"/>
      <c r="P220" s="2"/>
      <c r="Q220" s="2"/>
      <c r="R220" s="2"/>
      <c r="S220" s="2"/>
      <c r="T220" s="2"/>
      <c r="U220" s="2"/>
      <c r="V220" s="2"/>
      <c r="W220" s="2"/>
      <c r="X220" s="2"/>
      <c r="Y220" s="2"/>
      <c r="Z220" s="2"/>
      <c r="AA220" s="2"/>
      <c r="AB220" s="2"/>
      <c r="AC220" s="2"/>
      <c r="AD220" s="2"/>
      <c r="AE220" s="2"/>
      <c r="AF220" s="2"/>
      <c r="AG220" s="2"/>
      <c r="AH220" s="2"/>
      <c r="AI220" s="2"/>
    </row>
    <row r="221">
      <c r="A221" s="2"/>
      <c r="B221" s="2"/>
      <c r="C221" s="2"/>
      <c r="D221" s="2"/>
      <c r="E221" s="2"/>
      <c r="F221" s="2"/>
      <c r="G221" s="2"/>
      <c r="H221" s="2"/>
      <c r="I221" s="2"/>
      <c r="J221" s="2"/>
      <c r="K221" s="57"/>
      <c r="L221" s="57"/>
      <c r="M221" s="57"/>
      <c r="N221" s="57"/>
      <c r="O221" s="57"/>
      <c r="P221" s="2"/>
      <c r="Q221" s="2"/>
      <c r="R221" s="2"/>
      <c r="S221" s="2"/>
      <c r="T221" s="2"/>
      <c r="U221" s="2"/>
      <c r="V221" s="2"/>
      <c r="W221" s="2"/>
      <c r="X221" s="2"/>
      <c r="Y221" s="2"/>
      <c r="Z221" s="2"/>
      <c r="AA221" s="2"/>
      <c r="AB221" s="2"/>
      <c r="AC221" s="2"/>
      <c r="AD221" s="2"/>
      <c r="AE221" s="2"/>
      <c r="AF221" s="2"/>
      <c r="AG221" s="2"/>
      <c r="AH221" s="2"/>
      <c r="AI221" s="2"/>
    </row>
    <row r="222">
      <c r="A222" s="2"/>
      <c r="B222" s="2"/>
      <c r="C222" s="2"/>
      <c r="D222" s="2"/>
      <c r="E222" s="2"/>
      <c r="F222" s="2"/>
      <c r="G222" s="2"/>
      <c r="H222" s="2"/>
      <c r="I222" s="2"/>
      <c r="J222" s="2"/>
      <c r="K222" s="57"/>
      <c r="L222" s="57"/>
      <c r="M222" s="57"/>
      <c r="N222" s="57"/>
      <c r="O222" s="57"/>
      <c r="P222" s="2"/>
      <c r="Q222" s="2"/>
      <c r="R222" s="2"/>
      <c r="S222" s="2"/>
      <c r="T222" s="2"/>
      <c r="U222" s="2"/>
      <c r="V222" s="2"/>
      <c r="W222" s="2"/>
      <c r="X222" s="2"/>
      <c r="Y222" s="2"/>
      <c r="Z222" s="2"/>
      <c r="AA222" s="2"/>
      <c r="AB222" s="2"/>
      <c r="AC222" s="2"/>
      <c r="AD222" s="2"/>
      <c r="AE222" s="2"/>
      <c r="AF222" s="2"/>
      <c r="AG222" s="2"/>
      <c r="AH222" s="2"/>
      <c r="AI222" s="2"/>
    </row>
    <row r="223">
      <c r="A223" s="2"/>
      <c r="B223" s="2"/>
      <c r="C223" s="2"/>
      <c r="D223" s="2"/>
      <c r="E223" s="2"/>
      <c r="F223" s="2"/>
      <c r="G223" s="2"/>
      <c r="H223" s="2"/>
      <c r="I223" s="2"/>
      <c r="J223" s="2"/>
      <c r="K223" s="57"/>
      <c r="L223" s="57"/>
      <c r="M223" s="57"/>
      <c r="N223" s="57"/>
      <c r="O223" s="57"/>
      <c r="P223" s="2"/>
      <c r="Q223" s="2"/>
      <c r="R223" s="2"/>
      <c r="S223" s="2"/>
      <c r="T223" s="2"/>
      <c r="U223" s="2"/>
      <c r="V223" s="2"/>
      <c r="W223" s="2"/>
      <c r="X223" s="2"/>
      <c r="Y223" s="2"/>
      <c r="Z223" s="2"/>
      <c r="AA223" s="2"/>
      <c r="AB223" s="2"/>
      <c r="AC223" s="2"/>
      <c r="AD223" s="2"/>
      <c r="AE223" s="2"/>
      <c r="AF223" s="2"/>
      <c r="AG223" s="2"/>
      <c r="AH223" s="2"/>
      <c r="AI223" s="2"/>
    </row>
    <row r="224">
      <c r="A224" s="2"/>
      <c r="B224" s="2"/>
      <c r="C224" s="2"/>
      <c r="D224" s="2"/>
      <c r="E224" s="2"/>
      <c r="F224" s="2"/>
      <c r="G224" s="2"/>
      <c r="H224" s="2"/>
      <c r="I224" s="2"/>
      <c r="J224" s="2"/>
      <c r="K224" s="57"/>
      <c r="L224" s="57"/>
      <c r="M224" s="57"/>
      <c r="N224" s="57"/>
      <c r="O224" s="57"/>
      <c r="P224" s="2"/>
      <c r="Q224" s="2"/>
      <c r="R224" s="2"/>
      <c r="S224" s="2"/>
      <c r="T224" s="2"/>
      <c r="U224" s="2"/>
      <c r="V224" s="2"/>
      <c r="W224" s="2"/>
      <c r="X224" s="2"/>
      <c r="Y224" s="2"/>
      <c r="Z224" s="2"/>
      <c r="AA224" s="2"/>
      <c r="AB224" s="2"/>
      <c r="AC224" s="2"/>
      <c r="AD224" s="2"/>
      <c r="AE224" s="2"/>
      <c r="AF224" s="2"/>
      <c r="AG224" s="2"/>
      <c r="AH224" s="2"/>
      <c r="AI224" s="2"/>
    </row>
    <row r="225">
      <c r="A225" s="2"/>
      <c r="B225" s="2"/>
      <c r="C225" s="2"/>
      <c r="D225" s="2"/>
      <c r="E225" s="2"/>
      <c r="F225" s="2"/>
      <c r="G225" s="2"/>
      <c r="H225" s="2"/>
      <c r="I225" s="2"/>
      <c r="J225" s="2"/>
      <c r="K225" s="57"/>
      <c r="L225" s="57"/>
      <c r="M225" s="57"/>
      <c r="N225" s="57"/>
      <c r="O225" s="57"/>
      <c r="P225" s="2"/>
      <c r="Q225" s="2"/>
      <c r="R225" s="2"/>
      <c r="S225" s="2"/>
      <c r="T225" s="2"/>
      <c r="U225" s="2"/>
      <c r="V225" s="2"/>
      <c r="W225" s="2"/>
      <c r="X225" s="2"/>
      <c r="Y225" s="2"/>
      <c r="Z225" s="2"/>
      <c r="AA225" s="2"/>
      <c r="AB225" s="2"/>
      <c r="AC225" s="2"/>
      <c r="AD225" s="2"/>
      <c r="AE225" s="2"/>
      <c r="AF225" s="2"/>
      <c r="AG225" s="2"/>
      <c r="AH225" s="2"/>
      <c r="AI225" s="2"/>
    </row>
    <row r="226">
      <c r="A226" s="2"/>
      <c r="B226" s="2"/>
      <c r="C226" s="2"/>
      <c r="D226" s="2"/>
      <c r="E226" s="2"/>
      <c r="F226" s="2"/>
      <c r="G226" s="2"/>
      <c r="H226" s="2"/>
      <c r="I226" s="2"/>
      <c r="J226" s="2"/>
      <c r="K226" s="57"/>
      <c r="L226" s="57"/>
      <c r="M226" s="57"/>
      <c r="N226" s="57"/>
      <c r="O226" s="57"/>
      <c r="P226" s="2"/>
      <c r="Q226" s="2"/>
      <c r="R226" s="2"/>
      <c r="S226" s="2"/>
      <c r="T226" s="2"/>
      <c r="U226" s="2"/>
      <c r="V226" s="2"/>
      <c r="W226" s="2"/>
      <c r="X226" s="2"/>
      <c r="Y226" s="2"/>
      <c r="Z226" s="2"/>
      <c r="AA226" s="2"/>
      <c r="AB226" s="2"/>
      <c r="AC226" s="2"/>
      <c r="AD226" s="2"/>
      <c r="AE226" s="2"/>
      <c r="AF226" s="2"/>
      <c r="AG226" s="2"/>
      <c r="AH226" s="2"/>
      <c r="AI226" s="2"/>
    </row>
    <row r="227">
      <c r="A227" s="139"/>
      <c r="B227" s="139"/>
      <c r="C227" s="139"/>
      <c r="D227" s="139"/>
      <c r="E227" s="139"/>
      <c r="F227" s="139"/>
      <c r="G227" s="139"/>
      <c r="H227" s="139"/>
      <c r="I227" s="139"/>
      <c r="J227" s="139"/>
      <c r="K227" s="140"/>
      <c r="L227" s="140"/>
      <c r="M227" s="140"/>
      <c r="N227" s="140"/>
      <c r="O227" s="140"/>
      <c r="P227" s="139"/>
      <c r="Q227" s="139"/>
      <c r="R227" s="139"/>
      <c r="S227" s="139"/>
      <c r="T227" s="139"/>
      <c r="U227" s="139"/>
      <c r="V227" s="139"/>
      <c r="W227" s="139"/>
      <c r="X227" s="139"/>
      <c r="Y227" s="139"/>
      <c r="Z227" s="139"/>
      <c r="AA227" s="139"/>
      <c r="AB227" s="139"/>
      <c r="AC227" s="139"/>
      <c r="AD227" s="139"/>
      <c r="AE227" s="139"/>
      <c r="AF227" s="139"/>
      <c r="AG227" s="139"/>
      <c r="AH227" s="139"/>
      <c r="AI227" s="139"/>
    </row>
    <row r="228">
      <c r="A228" s="139"/>
      <c r="B228" s="139"/>
      <c r="C228" s="139"/>
      <c r="D228" s="139"/>
      <c r="E228" s="139"/>
      <c r="F228" s="139"/>
      <c r="G228" s="139"/>
      <c r="H228" s="139"/>
      <c r="I228" s="139"/>
      <c r="J228" s="139"/>
      <c r="K228" s="140"/>
      <c r="L228" s="140"/>
      <c r="M228" s="140"/>
      <c r="N228" s="140"/>
      <c r="O228" s="140"/>
      <c r="P228" s="139"/>
      <c r="Q228" s="139"/>
      <c r="R228" s="139"/>
      <c r="S228" s="139"/>
      <c r="T228" s="139"/>
      <c r="U228" s="139"/>
      <c r="V228" s="139"/>
      <c r="W228" s="139"/>
      <c r="X228" s="139"/>
      <c r="Y228" s="139"/>
      <c r="Z228" s="139"/>
      <c r="AA228" s="139"/>
      <c r="AB228" s="139"/>
      <c r="AC228" s="139"/>
      <c r="AD228" s="139"/>
      <c r="AE228" s="139"/>
      <c r="AF228" s="139"/>
      <c r="AG228" s="139"/>
      <c r="AH228" s="139"/>
      <c r="AI228" s="139"/>
    </row>
    <row r="229">
      <c r="A229" s="139"/>
      <c r="B229" s="139"/>
      <c r="C229" s="139"/>
      <c r="D229" s="139"/>
      <c r="E229" s="139"/>
      <c r="F229" s="139"/>
      <c r="G229" s="139"/>
      <c r="H229" s="139"/>
      <c r="I229" s="139"/>
      <c r="J229" s="139"/>
      <c r="K229" s="140"/>
      <c r="L229" s="140"/>
      <c r="M229" s="140"/>
      <c r="N229" s="140"/>
      <c r="O229" s="140"/>
      <c r="P229" s="139"/>
      <c r="Q229" s="139"/>
      <c r="R229" s="139"/>
      <c r="S229" s="139"/>
      <c r="T229" s="139"/>
      <c r="U229" s="139"/>
      <c r="V229" s="139"/>
      <c r="W229" s="139"/>
      <c r="X229" s="139"/>
      <c r="Y229" s="139"/>
      <c r="Z229" s="139"/>
      <c r="AA229" s="139"/>
      <c r="AB229" s="139"/>
      <c r="AC229" s="139"/>
      <c r="AD229" s="139"/>
      <c r="AE229" s="139"/>
      <c r="AF229" s="139"/>
      <c r="AG229" s="139"/>
      <c r="AH229" s="139"/>
      <c r="AI229" s="139"/>
    </row>
    <row r="230">
      <c r="A230" s="139"/>
      <c r="B230" s="139"/>
      <c r="C230" s="139"/>
      <c r="D230" s="139"/>
      <c r="E230" s="139"/>
      <c r="F230" s="139"/>
      <c r="G230" s="139"/>
      <c r="H230" s="139"/>
      <c r="I230" s="139"/>
      <c r="J230" s="139"/>
      <c r="K230" s="140"/>
      <c r="L230" s="140"/>
      <c r="M230" s="140"/>
      <c r="N230" s="140"/>
      <c r="O230" s="140"/>
      <c r="P230" s="139"/>
      <c r="Q230" s="139"/>
      <c r="R230" s="139"/>
      <c r="S230" s="139"/>
      <c r="T230" s="139"/>
      <c r="U230" s="139"/>
      <c r="V230" s="139"/>
      <c r="W230" s="139"/>
      <c r="X230" s="139"/>
      <c r="Y230" s="139"/>
      <c r="Z230" s="139"/>
      <c r="AA230" s="139"/>
      <c r="AB230" s="139"/>
      <c r="AC230" s="139"/>
      <c r="AD230" s="139"/>
      <c r="AE230" s="139"/>
      <c r="AF230" s="139"/>
      <c r="AG230" s="139"/>
      <c r="AH230" s="139"/>
      <c r="AI230" s="139"/>
    </row>
    <row r="231">
      <c r="A231" s="139"/>
      <c r="B231" s="139"/>
      <c r="C231" s="139"/>
      <c r="D231" s="139"/>
      <c r="E231" s="139"/>
      <c r="F231" s="139"/>
      <c r="G231" s="139"/>
      <c r="H231" s="139"/>
      <c r="I231" s="139"/>
      <c r="J231" s="139"/>
      <c r="K231" s="140"/>
      <c r="L231" s="140"/>
      <c r="M231" s="140"/>
      <c r="N231" s="140"/>
      <c r="O231" s="140"/>
      <c r="P231" s="139"/>
      <c r="Q231" s="139"/>
      <c r="R231" s="139"/>
      <c r="S231" s="139"/>
      <c r="T231" s="139"/>
      <c r="U231" s="139"/>
      <c r="V231" s="139"/>
      <c r="W231" s="139"/>
      <c r="X231" s="139"/>
      <c r="Y231" s="139"/>
      <c r="Z231" s="139"/>
      <c r="AA231" s="139"/>
      <c r="AB231" s="139"/>
      <c r="AC231" s="139"/>
      <c r="AD231" s="139"/>
      <c r="AE231" s="139"/>
      <c r="AF231" s="139"/>
      <c r="AG231" s="139"/>
      <c r="AH231" s="139"/>
      <c r="AI231" s="139"/>
    </row>
    <row r="232">
      <c r="A232" s="139"/>
      <c r="B232" s="139"/>
      <c r="C232" s="139"/>
      <c r="D232" s="139"/>
      <c r="E232" s="139"/>
      <c r="F232" s="139"/>
      <c r="G232" s="139"/>
      <c r="H232" s="139"/>
      <c r="I232" s="139"/>
      <c r="J232" s="139"/>
      <c r="K232" s="140"/>
      <c r="L232" s="140"/>
      <c r="M232" s="140"/>
      <c r="N232" s="140"/>
      <c r="O232" s="140"/>
      <c r="P232" s="139"/>
      <c r="Q232" s="139"/>
      <c r="R232" s="139"/>
      <c r="S232" s="139"/>
      <c r="T232" s="139"/>
      <c r="U232" s="139"/>
      <c r="V232" s="139"/>
      <c r="W232" s="139"/>
      <c r="X232" s="139"/>
      <c r="Y232" s="139"/>
      <c r="Z232" s="139"/>
      <c r="AA232" s="139"/>
      <c r="AB232" s="139"/>
      <c r="AC232" s="139"/>
      <c r="AD232" s="139"/>
      <c r="AE232" s="139"/>
      <c r="AF232" s="139"/>
      <c r="AG232" s="139"/>
      <c r="AH232" s="139"/>
      <c r="AI232" s="139"/>
    </row>
    <row r="233">
      <c r="A233" s="139"/>
      <c r="B233" s="139"/>
      <c r="C233" s="139"/>
      <c r="D233" s="139"/>
      <c r="E233" s="139"/>
      <c r="F233" s="139"/>
      <c r="G233" s="139"/>
      <c r="H233" s="139"/>
      <c r="I233" s="139"/>
      <c r="J233" s="139"/>
      <c r="K233" s="140"/>
      <c r="L233" s="140"/>
      <c r="M233" s="140"/>
      <c r="N233" s="140"/>
      <c r="O233" s="140"/>
      <c r="P233" s="139"/>
      <c r="Q233" s="139"/>
      <c r="R233" s="139"/>
      <c r="S233" s="139"/>
      <c r="T233" s="139"/>
      <c r="U233" s="139"/>
      <c r="V233" s="139"/>
      <c r="W233" s="139"/>
      <c r="X233" s="139"/>
      <c r="Y233" s="139"/>
      <c r="Z233" s="139"/>
      <c r="AA233" s="139"/>
      <c r="AB233" s="139"/>
      <c r="AC233" s="139"/>
      <c r="AD233" s="139"/>
      <c r="AE233" s="139"/>
      <c r="AF233" s="139"/>
      <c r="AG233" s="139"/>
      <c r="AH233" s="139"/>
      <c r="AI233" s="139"/>
    </row>
    <row r="234">
      <c r="A234" s="139"/>
      <c r="B234" s="139"/>
      <c r="C234" s="139"/>
      <c r="D234" s="139"/>
      <c r="E234" s="139"/>
      <c r="F234" s="139"/>
      <c r="G234" s="139"/>
      <c r="H234" s="139"/>
      <c r="I234" s="139"/>
      <c r="J234" s="139"/>
      <c r="K234" s="140"/>
      <c r="L234" s="140"/>
      <c r="M234" s="140"/>
      <c r="N234" s="140"/>
      <c r="O234" s="140"/>
      <c r="P234" s="139"/>
      <c r="Q234" s="139"/>
      <c r="R234" s="139"/>
      <c r="S234" s="139"/>
      <c r="T234" s="139"/>
      <c r="U234" s="139"/>
      <c r="V234" s="139"/>
      <c r="W234" s="139"/>
      <c r="X234" s="139"/>
      <c r="Y234" s="139"/>
      <c r="Z234" s="139"/>
      <c r="AA234" s="139"/>
      <c r="AB234" s="139"/>
      <c r="AC234" s="139"/>
      <c r="AD234" s="139"/>
      <c r="AE234" s="139"/>
      <c r="AF234" s="139"/>
      <c r="AG234" s="139"/>
      <c r="AH234" s="139"/>
      <c r="AI234" s="139"/>
    </row>
    <row r="235">
      <c r="A235" s="139"/>
      <c r="B235" s="139"/>
      <c r="C235" s="139"/>
      <c r="D235" s="139"/>
      <c r="E235" s="139"/>
      <c r="F235" s="139"/>
      <c r="G235" s="139"/>
      <c r="H235" s="139"/>
      <c r="I235" s="139"/>
      <c r="J235" s="139"/>
      <c r="K235" s="140"/>
      <c r="L235" s="140"/>
      <c r="M235" s="140"/>
      <c r="N235" s="140"/>
      <c r="O235" s="140"/>
      <c r="P235" s="139"/>
      <c r="Q235" s="139"/>
      <c r="R235" s="139"/>
      <c r="S235" s="139"/>
      <c r="T235" s="139"/>
      <c r="U235" s="139"/>
      <c r="V235" s="139"/>
      <c r="W235" s="139"/>
      <c r="X235" s="139"/>
      <c r="Y235" s="139"/>
      <c r="Z235" s="139"/>
      <c r="AA235" s="139"/>
      <c r="AB235" s="139"/>
      <c r="AC235" s="139"/>
      <c r="AD235" s="139"/>
      <c r="AE235" s="139"/>
      <c r="AF235" s="139"/>
      <c r="AG235" s="139"/>
      <c r="AH235" s="139"/>
      <c r="AI235" s="139"/>
    </row>
    <row r="236">
      <c r="A236" s="139"/>
      <c r="B236" s="139"/>
      <c r="C236" s="139"/>
      <c r="D236" s="139"/>
      <c r="E236" s="139"/>
      <c r="F236" s="139"/>
      <c r="G236" s="139"/>
      <c r="H236" s="139"/>
      <c r="I236" s="139"/>
      <c r="J236" s="139"/>
      <c r="K236" s="140"/>
      <c r="L236" s="140"/>
      <c r="M236" s="140"/>
      <c r="N236" s="140"/>
      <c r="O236" s="140"/>
      <c r="P236" s="139"/>
      <c r="Q236" s="139"/>
      <c r="R236" s="139"/>
      <c r="S236" s="139"/>
      <c r="T236" s="139"/>
      <c r="U236" s="139"/>
      <c r="V236" s="139"/>
      <c r="W236" s="139"/>
      <c r="X236" s="139"/>
      <c r="Y236" s="139"/>
      <c r="Z236" s="139"/>
      <c r="AA236" s="139"/>
      <c r="AB236" s="139"/>
      <c r="AC236" s="139"/>
      <c r="AD236" s="139"/>
      <c r="AE236" s="139"/>
      <c r="AF236" s="139"/>
      <c r="AG236" s="139"/>
      <c r="AH236" s="139"/>
      <c r="AI236" s="139"/>
    </row>
    <row r="237">
      <c r="A237" s="139"/>
      <c r="B237" s="139"/>
      <c r="C237" s="139"/>
      <c r="D237" s="139"/>
      <c r="E237" s="139"/>
      <c r="F237" s="139"/>
      <c r="G237" s="139"/>
      <c r="H237" s="139"/>
      <c r="I237" s="139"/>
      <c r="J237" s="139"/>
      <c r="K237" s="140"/>
      <c r="L237" s="140"/>
      <c r="M237" s="140"/>
      <c r="N237" s="140"/>
      <c r="O237" s="140"/>
      <c r="P237" s="139"/>
      <c r="Q237" s="139"/>
      <c r="R237" s="139"/>
      <c r="S237" s="139"/>
      <c r="T237" s="139"/>
      <c r="U237" s="139"/>
      <c r="V237" s="139"/>
      <c r="W237" s="139"/>
      <c r="X237" s="139"/>
      <c r="Y237" s="139"/>
      <c r="Z237" s="139"/>
      <c r="AA237" s="139"/>
      <c r="AB237" s="139"/>
      <c r="AC237" s="139"/>
      <c r="AD237" s="139"/>
      <c r="AE237" s="139"/>
      <c r="AF237" s="139"/>
      <c r="AG237" s="139"/>
      <c r="AH237" s="139"/>
      <c r="AI237" s="139"/>
    </row>
    <row r="238">
      <c r="A238" s="139"/>
      <c r="B238" s="139"/>
      <c r="C238" s="139"/>
      <c r="D238" s="139"/>
      <c r="E238" s="139"/>
      <c r="F238" s="139"/>
      <c r="G238" s="139"/>
      <c r="H238" s="139"/>
      <c r="I238" s="139"/>
      <c r="J238" s="139"/>
      <c r="K238" s="140"/>
      <c r="L238" s="140"/>
      <c r="M238" s="140"/>
      <c r="N238" s="140"/>
      <c r="O238" s="140"/>
      <c r="P238" s="139"/>
      <c r="Q238" s="139"/>
      <c r="R238" s="139"/>
      <c r="S238" s="139"/>
      <c r="T238" s="139"/>
      <c r="U238" s="139"/>
      <c r="V238" s="139"/>
      <c r="W238" s="139"/>
      <c r="X238" s="139"/>
      <c r="Y238" s="139"/>
      <c r="Z238" s="139"/>
      <c r="AA238" s="139"/>
      <c r="AB238" s="139"/>
      <c r="AC238" s="139"/>
      <c r="AD238" s="139"/>
      <c r="AE238" s="139"/>
      <c r="AF238" s="139"/>
      <c r="AG238" s="139"/>
      <c r="AH238" s="139"/>
      <c r="AI238" s="139"/>
    </row>
    <row r="239">
      <c r="A239" s="139"/>
      <c r="B239" s="139"/>
      <c r="C239" s="139"/>
      <c r="D239" s="139"/>
      <c r="E239" s="139"/>
      <c r="F239" s="139"/>
      <c r="G239" s="139"/>
      <c r="H239" s="139"/>
      <c r="I239" s="139"/>
      <c r="J239" s="139"/>
      <c r="K239" s="140"/>
      <c r="L239" s="140"/>
      <c r="M239" s="140"/>
      <c r="N239" s="140"/>
      <c r="O239" s="140"/>
      <c r="P239" s="139"/>
      <c r="Q239" s="139"/>
      <c r="R239" s="139"/>
      <c r="S239" s="139"/>
      <c r="T239" s="139"/>
      <c r="U239" s="139"/>
      <c r="V239" s="139"/>
      <c r="W239" s="139"/>
      <c r="X239" s="139"/>
      <c r="Y239" s="139"/>
      <c r="Z239" s="139"/>
      <c r="AA239" s="139"/>
      <c r="AB239" s="139"/>
      <c r="AC239" s="139"/>
      <c r="AD239" s="139"/>
      <c r="AE239" s="139"/>
      <c r="AF239" s="139"/>
      <c r="AG239" s="139"/>
      <c r="AH239" s="139"/>
      <c r="AI239" s="139"/>
    </row>
    <row r="240">
      <c r="A240" s="139"/>
      <c r="B240" s="139"/>
      <c r="C240" s="139"/>
      <c r="D240" s="139"/>
      <c r="E240" s="139"/>
      <c r="F240" s="139"/>
      <c r="G240" s="139"/>
      <c r="H240" s="139"/>
      <c r="I240" s="139"/>
      <c r="J240" s="139"/>
      <c r="K240" s="140"/>
      <c r="L240" s="140"/>
      <c r="M240" s="140"/>
      <c r="N240" s="140"/>
      <c r="O240" s="140"/>
      <c r="P240" s="139"/>
      <c r="Q240" s="139"/>
      <c r="R240" s="139"/>
      <c r="S240" s="139"/>
      <c r="T240" s="139"/>
      <c r="U240" s="139"/>
      <c r="V240" s="139"/>
      <c r="W240" s="139"/>
      <c r="X240" s="139"/>
      <c r="Y240" s="139"/>
      <c r="Z240" s="139"/>
      <c r="AA240" s="139"/>
      <c r="AB240" s="139"/>
      <c r="AC240" s="139"/>
      <c r="AD240" s="139"/>
      <c r="AE240" s="139"/>
      <c r="AF240" s="139"/>
      <c r="AG240" s="139"/>
      <c r="AH240" s="139"/>
      <c r="AI240" s="139"/>
    </row>
    <row r="241">
      <c r="A241" s="139"/>
      <c r="B241" s="139"/>
      <c r="C241" s="139"/>
      <c r="D241" s="139"/>
      <c r="E241" s="139"/>
      <c r="F241" s="139"/>
      <c r="G241" s="139"/>
      <c r="H241" s="139"/>
      <c r="I241" s="139"/>
      <c r="J241" s="139"/>
      <c r="K241" s="140"/>
      <c r="L241" s="140"/>
      <c r="M241" s="140"/>
      <c r="N241" s="140"/>
      <c r="O241" s="140"/>
      <c r="P241" s="139"/>
      <c r="Q241" s="139"/>
      <c r="R241" s="139"/>
      <c r="S241" s="139"/>
      <c r="T241" s="139"/>
      <c r="U241" s="139"/>
      <c r="V241" s="139"/>
      <c r="W241" s="139"/>
      <c r="X241" s="139"/>
      <c r="Y241" s="139"/>
      <c r="Z241" s="139"/>
      <c r="AA241" s="139"/>
      <c r="AB241" s="139"/>
      <c r="AC241" s="139"/>
      <c r="AD241" s="139"/>
      <c r="AE241" s="139"/>
      <c r="AF241" s="139"/>
      <c r="AG241" s="139"/>
      <c r="AH241" s="139"/>
      <c r="AI241" s="139"/>
    </row>
    <row r="242">
      <c r="A242" s="139"/>
      <c r="B242" s="139"/>
      <c r="C242" s="139"/>
      <c r="D242" s="139"/>
      <c r="E242" s="139"/>
      <c r="F242" s="139"/>
      <c r="G242" s="139"/>
      <c r="H242" s="139"/>
      <c r="I242" s="139"/>
      <c r="J242" s="139"/>
      <c r="K242" s="140"/>
      <c r="L242" s="140"/>
      <c r="M242" s="140"/>
      <c r="N242" s="140"/>
      <c r="O242" s="140"/>
      <c r="P242" s="139"/>
      <c r="Q242" s="139"/>
      <c r="R242" s="139"/>
      <c r="S242" s="139"/>
      <c r="T242" s="139"/>
      <c r="U242" s="139"/>
      <c r="V242" s="139"/>
      <c r="W242" s="139"/>
      <c r="X242" s="139"/>
      <c r="Y242" s="139"/>
      <c r="Z242" s="139"/>
      <c r="AA242" s="139"/>
      <c r="AB242" s="139"/>
      <c r="AC242" s="139"/>
      <c r="AD242" s="139"/>
      <c r="AE242" s="139"/>
      <c r="AF242" s="139"/>
      <c r="AG242" s="139"/>
      <c r="AH242" s="139"/>
      <c r="AI242" s="139"/>
    </row>
    <row r="243">
      <c r="A243" s="139"/>
      <c r="B243" s="139"/>
      <c r="C243" s="139"/>
      <c r="D243" s="139"/>
      <c r="E243" s="139"/>
      <c r="F243" s="139"/>
      <c r="G243" s="139"/>
      <c r="H243" s="139"/>
      <c r="I243" s="139"/>
      <c r="J243" s="139"/>
      <c r="K243" s="140"/>
      <c r="L243" s="140"/>
      <c r="M243" s="140"/>
      <c r="N243" s="140"/>
      <c r="O243" s="140"/>
      <c r="P243" s="139"/>
      <c r="Q243" s="139"/>
      <c r="R243" s="139"/>
      <c r="S243" s="139"/>
      <c r="T243" s="139"/>
      <c r="U243" s="139"/>
      <c r="V243" s="139"/>
      <c r="W243" s="139"/>
      <c r="X243" s="139"/>
      <c r="Y243" s="139"/>
      <c r="Z243" s="139"/>
      <c r="AA243" s="139"/>
      <c r="AB243" s="139"/>
      <c r="AC243" s="139"/>
      <c r="AD243" s="139"/>
      <c r="AE243" s="139"/>
      <c r="AF243" s="139"/>
      <c r="AG243" s="139"/>
      <c r="AH243" s="139"/>
      <c r="AI243" s="139"/>
    </row>
    <row r="244">
      <c r="A244" s="139"/>
      <c r="B244" s="139"/>
      <c r="C244" s="139"/>
      <c r="D244" s="139"/>
      <c r="E244" s="139"/>
      <c r="F244" s="139"/>
      <c r="G244" s="139"/>
      <c r="H244" s="139"/>
      <c r="I244" s="139"/>
      <c r="J244" s="139"/>
      <c r="K244" s="140"/>
      <c r="L244" s="140"/>
      <c r="M244" s="140"/>
      <c r="N244" s="140"/>
      <c r="O244" s="140"/>
      <c r="P244" s="139"/>
      <c r="Q244" s="139"/>
      <c r="R244" s="139"/>
      <c r="S244" s="139"/>
      <c r="T244" s="139"/>
      <c r="U244" s="139"/>
      <c r="V244" s="139"/>
      <c r="W244" s="139"/>
      <c r="X244" s="139"/>
      <c r="Y244" s="139"/>
      <c r="Z244" s="139"/>
      <c r="AA244" s="139"/>
      <c r="AB244" s="139"/>
      <c r="AC244" s="139"/>
      <c r="AD244" s="139"/>
      <c r="AE244" s="139"/>
      <c r="AF244" s="139"/>
      <c r="AG244" s="139"/>
      <c r="AH244" s="139"/>
      <c r="AI244" s="139"/>
    </row>
    <row r="245">
      <c r="A245" s="139"/>
      <c r="B245" s="139"/>
      <c r="C245" s="139"/>
      <c r="D245" s="139"/>
      <c r="E245" s="139"/>
      <c r="F245" s="139"/>
      <c r="G245" s="139"/>
      <c r="H245" s="139"/>
      <c r="I245" s="139"/>
      <c r="J245" s="139"/>
      <c r="K245" s="140"/>
      <c r="L245" s="140"/>
      <c r="M245" s="140"/>
      <c r="N245" s="140"/>
      <c r="O245" s="140"/>
      <c r="P245" s="139"/>
      <c r="Q245" s="139"/>
      <c r="R245" s="139"/>
      <c r="S245" s="139"/>
      <c r="T245" s="139"/>
      <c r="U245" s="139"/>
      <c r="V245" s="139"/>
      <c r="W245" s="139"/>
      <c r="X245" s="139"/>
      <c r="Y245" s="139"/>
      <c r="Z245" s="139"/>
      <c r="AA245" s="139"/>
      <c r="AB245" s="139"/>
      <c r="AC245" s="139"/>
      <c r="AD245" s="139"/>
      <c r="AE245" s="139"/>
      <c r="AF245" s="139"/>
      <c r="AG245" s="139"/>
      <c r="AH245" s="139"/>
      <c r="AI245" s="139"/>
    </row>
    <row r="246">
      <c r="A246" s="139"/>
      <c r="B246" s="139"/>
      <c r="C246" s="139"/>
      <c r="D246" s="139"/>
      <c r="E246" s="139"/>
      <c r="F246" s="139"/>
      <c r="G246" s="139"/>
      <c r="H246" s="139"/>
      <c r="I246" s="139"/>
      <c r="J246" s="139"/>
      <c r="K246" s="140"/>
      <c r="L246" s="140"/>
      <c r="M246" s="140"/>
      <c r="N246" s="140"/>
      <c r="O246" s="140"/>
      <c r="P246" s="139"/>
      <c r="Q246" s="139"/>
      <c r="R246" s="139"/>
      <c r="S246" s="139"/>
      <c r="T246" s="139"/>
      <c r="U246" s="139"/>
      <c r="V246" s="139"/>
      <c r="W246" s="139"/>
      <c r="X246" s="139"/>
      <c r="Y246" s="139"/>
      <c r="Z246" s="139"/>
      <c r="AA246" s="139"/>
      <c r="AB246" s="139"/>
      <c r="AC246" s="139"/>
      <c r="AD246" s="139"/>
      <c r="AE246" s="139"/>
      <c r="AF246" s="139"/>
      <c r="AG246" s="139"/>
      <c r="AH246" s="139"/>
      <c r="AI246" s="139"/>
    </row>
    <row r="247">
      <c r="A247" s="139"/>
      <c r="B247" s="139"/>
      <c r="C247" s="139"/>
      <c r="D247" s="139"/>
      <c r="E247" s="139"/>
      <c r="F247" s="139"/>
      <c r="G247" s="139"/>
      <c r="H247" s="139"/>
      <c r="I247" s="139"/>
      <c r="J247" s="139"/>
      <c r="K247" s="140"/>
      <c r="L247" s="140"/>
      <c r="M247" s="140"/>
      <c r="N247" s="140"/>
      <c r="O247" s="140"/>
      <c r="P247" s="139"/>
      <c r="Q247" s="139"/>
      <c r="R247" s="139"/>
      <c r="S247" s="139"/>
      <c r="T247" s="139"/>
      <c r="U247" s="139"/>
      <c r="V247" s="139"/>
      <c r="W247" s="139"/>
      <c r="X247" s="139"/>
      <c r="Y247" s="139"/>
      <c r="Z247" s="139"/>
      <c r="AA247" s="139"/>
      <c r="AB247" s="139"/>
      <c r="AC247" s="139"/>
      <c r="AD247" s="139"/>
      <c r="AE247" s="139"/>
      <c r="AF247" s="139"/>
      <c r="AG247" s="139"/>
      <c r="AH247" s="139"/>
      <c r="AI247" s="139"/>
    </row>
    <row r="248">
      <c r="A248" s="139"/>
      <c r="B248" s="139"/>
      <c r="C248" s="139"/>
      <c r="D248" s="139"/>
      <c r="E248" s="139"/>
      <c r="F248" s="139"/>
      <c r="G248" s="139"/>
      <c r="H248" s="139"/>
      <c r="I248" s="139"/>
      <c r="J248" s="139"/>
      <c r="K248" s="140"/>
      <c r="L248" s="140"/>
      <c r="M248" s="140"/>
      <c r="N248" s="140"/>
      <c r="O248" s="140"/>
      <c r="P248" s="139"/>
      <c r="Q248" s="139"/>
      <c r="R248" s="139"/>
      <c r="S248" s="139"/>
      <c r="T248" s="139"/>
      <c r="U248" s="139"/>
      <c r="V248" s="139"/>
      <c r="W248" s="139"/>
      <c r="X248" s="139"/>
      <c r="Y248" s="139"/>
      <c r="Z248" s="139"/>
      <c r="AA248" s="139"/>
      <c r="AB248" s="139"/>
      <c r="AC248" s="139"/>
      <c r="AD248" s="139"/>
      <c r="AE248" s="139"/>
      <c r="AF248" s="139"/>
      <c r="AG248" s="139"/>
      <c r="AH248" s="139"/>
      <c r="AI248" s="139"/>
    </row>
    <row r="249">
      <c r="A249" s="139"/>
      <c r="B249" s="139"/>
      <c r="C249" s="139"/>
      <c r="D249" s="139"/>
      <c r="E249" s="139"/>
      <c r="F249" s="139"/>
      <c r="G249" s="139"/>
      <c r="H249" s="139"/>
      <c r="I249" s="139"/>
      <c r="J249" s="139"/>
      <c r="K249" s="140"/>
      <c r="L249" s="140"/>
      <c r="M249" s="140"/>
      <c r="N249" s="140"/>
      <c r="O249" s="140"/>
      <c r="P249" s="139"/>
      <c r="Q249" s="139"/>
      <c r="R249" s="139"/>
      <c r="S249" s="139"/>
      <c r="T249" s="139"/>
      <c r="U249" s="139"/>
      <c r="V249" s="139"/>
      <c r="W249" s="139"/>
      <c r="X249" s="139"/>
      <c r="Y249" s="139"/>
      <c r="Z249" s="139"/>
      <c r="AA249" s="139"/>
      <c r="AB249" s="139"/>
      <c r="AC249" s="139"/>
      <c r="AD249" s="139"/>
      <c r="AE249" s="139"/>
      <c r="AF249" s="139"/>
      <c r="AG249" s="139"/>
      <c r="AH249" s="139"/>
      <c r="AI249" s="139"/>
    </row>
    <row r="250">
      <c r="A250" s="139"/>
      <c r="B250" s="139"/>
      <c r="C250" s="139"/>
      <c r="D250" s="139"/>
      <c r="E250" s="139"/>
      <c r="F250" s="139"/>
      <c r="G250" s="139"/>
      <c r="H250" s="139"/>
      <c r="I250" s="139"/>
      <c r="J250" s="139"/>
      <c r="K250" s="140"/>
      <c r="L250" s="140"/>
      <c r="M250" s="140"/>
      <c r="N250" s="140"/>
      <c r="O250" s="140"/>
      <c r="P250" s="139"/>
      <c r="Q250" s="139"/>
      <c r="R250" s="139"/>
      <c r="S250" s="139"/>
      <c r="T250" s="139"/>
      <c r="U250" s="139"/>
      <c r="V250" s="139"/>
      <c r="W250" s="139"/>
      <c r="X250" s="139"/>
      <c r="Y250" s="139"/>
      <c r="Z250" s="139"/>
      <c r="AA250" s="139"/>
      <c r="AB250" s="139"/>
      <c r="AC250" s="139"/>
      <c r="AD250" s="139"/>
      <c r="AE250" s="139"/>
      <c r="AF250" s="139"/>
      <c r="AG250" s="139"/>
      <c r="AH250" s="139"/>
      <c r="AI250" s="139"/>
    </row>
    <row r="251">
      <c r="A251" s="139"/>
      <c r="B251" s="139"/>
      <c r="C251" s="139"/>
      <c r="D251" s="139"/>
      <c r="E251" s="139"/>
      <c r="F251" s="139"/>
      <c r="G251" s="139"/>
      <c r="H251" s="139"/>
      <c r="I251" s="139"/>
      <c r="J251" s="139"/>
      <c r="K251" s="140"/>
      <c r="L251" s="140"/>
      <c r="M251" s="140"/>
      <c r="N251" s="140"/>
      <c r="O251" s="140"/>
      <c r="P251" s="139"/>
      <c r="Q251" s="139"/>
      <c r="R251" s="139"/>
      <c r="S251" s="139"/>
      <c r="T251" s="139"/>
      <c r="U251" s="139"/>
      <c r="V251" s="139"/>
      <c r="W251" s="139"/>
      <c r="X251" s="139"/>
      <c r="Y251" s="139"/>
      <c r="Z251" s="139"/>
      <c r="AA251" s="139"/>
      <c r="AB251" s="139"/>
      <c r="AC251" s="139"/>
      <c r="AD251" s="139"/>
      <c r="AE251" s="139"/>
      <c r="AF251" s="139"/>
      <c r="AG251" s="139"/>
      <c r="AH251" s="139"/>
      <c r="AI251" s="139"/>
    </row>
    <row r="252">
      <c r="A252" s="139"/>
      <c r="B252" s="139"/>
      <c r="C252" s="139"/>
      <c r="D252" s="139"/>
      <c r="E252" s="139"/>
      <c r="F252" s="139"/>
      <c r="G252" s="139"/>
      <c r="H252" s="139"/>
      <c r="I252" s="139"/>
      <c r="J252" s="139"/>
      <c r="K252" s="140"/>
      <c r="L252" s="140"/>
      <c r="M252" s="140"/>
      <c r="N252" s="140"/>
      <c r="O252" s="140"/>
      <c r="P252" s="139"/>
      <c r="Q252" s="139"/>
      <c r="R252" s="139"/>
      <c r="S252" s="139"/>
      <c r="T252" s="139"/>
      <c r="U252" s="139"/>
      <c r="V252" s="139"/>
      <c r="W252" s="139"/>
      <c r="X252" s="139"/>
      <c r="Y252" s="139"/>
      <c r="Z252" s="139"/>
      <c r="AA252" s="139"/>
      <c r="AB252" s="139"/>
      <c r="AC252" s="139"/>
      <c r="AD252" s="139"/>
      <c r="AE252" s="139"/>
      <c r="AF252" s="139"/>
      <c r="AG252" s="139"/>
      <c r="AH252" s="139"/>
      <c r="AI252" s="139"/>
    </row>
    <row r="253">
      <c r="A253" s="139"/>
      <c r="B253" s="139"/>
      <c r="C253" s="139"/>
      <c r="D253" s="139"/>
      <c r="E253" s="139"/>
      <c r="F253" s="139"/>
      <c r="G253" s="139"/>
      <c r="H253" s="139"/>
      <c r="I253" s="139"/>
      <c r="J253" s="139"/>
      <c r="K253" s="140"/>
      <c r="L253" s="140"/>
      <c r="M253" s="140"/>
      <c r="N253" s="140"/>
      <c r="O253" s="140"/>
      <c r="P253" s="139"/>
      <c r="Q253" s="139"/>
      <c r="R253" s="139"/>
      <c r="S253" s="139"/>
      <c r="T253" s="139"/>
      <c r="U253" s="139"/>
      <c r="V253" s="139"/>
      <c r="W253" s="139"/>
      <c r="X253" s="139"/>
      <c r="Y253" s="139"/>
      <c r="Z253" s="139"/>
      <c r="AA253" s="139"/>
      <c r="AB253" s="139"/>
      <c r="AC253" s="139"/>
      <c r="AD253" s="139"/>
      <c r="AE253" s="139"/>
      <c r="AF253" s="139"/>
      <c r="AG253" s="139"/>
      <c r="AH253" s="139"/>
      <c r="AI253" s="139"/>
    </row>
    <row r="254">
      <c r="A254" s="139"/>
      <c r="B254" s="139"/>
      <c r="C254" s="139"/>
      <c r="D254" s="139"/>
      <c r="E254" s="139"/>
      <c r="F254" s="139"/>
      <c r="G254" s="139"/>
      <c r="H254" s="139"/>
      <c r="I254" s="139"/>
      <c r="J254" s="139"/>
      <c r="K254" s="140"/>
      <c r="L254" s="140"/>
      <c r="M254" s="140"/>
      <c r="N254" s="140"/>
      <c r="O254" s="140"/>
      <c r="P254" s="139"/>
      <c r="Q254" s="139"/>
      <c r="R254" s="139"/>
      <c r="S254" s="139"/>
      <c r="T254" s="139"/>
      <c r="U254" s="139"/>
      <c r="V254" s="139"/>
      <c r="W254" s="139"/>
      <c r="X254" s="139"/>
      <c r="Y254" s="139"/>
      <c r="Z254" s="139"/>
      <c r="AA254" s="139"/>
      <c r="AB254" s="139"/>
      <c r="AC254" s="139"/>
      <c r="AD254" s="139"/>
      <c r="AE254" s="139"/>
      <c r="AF254" s="139"/>
      <c r="AG254" s="139"/>
      <c r="AH254" s="139"/>
      <c r="AI254" s="139"/>
    </row>
    <row r="255">
      <c r="A255" s="139"/>
      <c r="B255" s="139"/>
      <c r="C255" s="139"/>
      <c r="D255" s="139"/>
      <c r="E255" s="139"/>
      <c r="F255" s="139"/>
      <c r="G255" s="139"/>
      <c r="H255" s="139"/>
      <c r="I255" s="139"/>
      <c r="J255" s="139"/>
      <c r="K255" s="140"/>
      <c r="L255" s="140"/>
      <c r="M255" s="140"/>
      <c r="N255" s="140"/>
      <c r="O255" s="140"/>
      <c r="P255" s="139"/>
      <c r="Q255" s="139"/>
      <c r="R255" s="139"/>
      <c r="S255" s="139"/>
      <c r="T255" s="139"/>
      <c r="U255" s="139"/>
      <c r="V255" s="139"/>
      <c r="W255" s="139"/>
      <c r="X255" s="139"/>
      <c r="Y255" s="139"/>
      <c r="Z255" s="139"/>
      <c r="AA255" s="139"/>
      <c r="AB255" s="139"/>
      <c r="AC255" s="139"/>
      <c r="AD255" s="139"/>
      <c r="AE255" s="139"/>
      <c r="AF255" s="139"/>
      <c r="AG255" s="139"/>
      <c r="AH255" s="139"/>
      <c r="AI255" s="139"/>
    </row>
    <row r="256">
      <c r="A256" s="139"/>
      <c r="B256" s="139"/>
      <c r="C256" s="139"/>
      <c r="D256" s="139"/>
      <c r="E256" s="139"/>
      <c r="F256" s="139"/>
      <c r="G256" s="139"/>
      <c r="H256" s="139"/>
      <c r="I256" s="139"/>
      <c r="J256" s="139"/>
      <c r="K256" s="140"/>
      <c r="L256" s="140"/>
      <c r="M256" s="140"/>
      <c r="N256" s="140"/>
      <c r="O256" s="140"/>
      <c r="P256" s="139"/>
      <c r="Q256" s="139"/>
      <c r="R256" s="139"/>
      <c r="S256" s="139"/>
      <c r="T256" s="139"/>
      <c r="U256" s="139"/>
      <c r="V256" s="139"/>
      <c r="W256" s="139"/>
      <c r="X256" s="139"/>
      <c r="Y256" s="139"/>
      <c r="Z256" s="139"/>
      <c r="AA256" s="139"/>
      <c r="AB256" s="139"/>
      <c r="AC256" s="139"/>
      <c r="AD256" s="139"/>
      <c r="AE256" s="139"/>
      <c r="AF256" s="139"/>
      <c r="AG256" s="139"/>
      <c r="AH256" s="139"/>
      <c r="AI256" s="139"/>
    </row>
    <row r="257">
      <c r="A257" s="139"/>
      <c r="B257" s="139"/>
      <c r="C257" s="139"/>
      <c r="D257" s="139"/>
      <c r="E257" s="139"/>
      <c r="F257" s="139"/>
      <c r="G257" s="139"/>
      <c r="H257" s="139"/>
      <c r="I257" s="139"/>
      <c r="J257" s="139"/>
      <c r="K257" s="140"/>
      <c r="L257" s="140"/>
      <c r="M257" s="140"/>
      <c r="N257" s="140"/>
      <c r="O257" s="140"/>
      <c r="P257" s="139"/>
      <c r="Q257" s="139"/>
      <c r="R257" s="139"/>
      <c r="S257" s="139"/>
      <c r="T257" s="139"/>
      <c r="U257" s="139"/>
      <c r="V257" s="139"/>
      <c r="W257" s="139"/>
      <c r="X257" s="139"/>
      <c r="Y257" s="139"/>
      <c r="Z257" s="139"/>
      <c r="AA257" s="139"/>
      <c r="AB257" s="139"/>
      <c r="AC257" s="139"/>
      <c r="AD257" s="139"/>
      <c r="AE257" s="139"/>
      <c r="AF257" s="139"/>
      <c r="AG257" s="139"/>
      <c r="AH257" s="139"/>
      <c r="AI257" s="139"/>
    </row>
    <row r="258">
      <c r="A258" s="139"/>
      <c r="B258" s="139"/>
      <c r="C258" s="139"/>
      <c r="D258" s="139"/>
      <c r="E258" s="139"/>
      <c r="F258" s="139"/>
      <c r="G258" s="139"/>
      <c r="H258" s="139"/>
      <c r="I258" s="139"/>
      <c r="J258" s="139"/>
      <c r="K258" s="140"/>
      <c r="L258" s="140"/>
      <c r="M258" s="140"/>
      <c r="N258" s="140"/>
      <c r="O258" s="140"/>
      <c r="P258" s="139"/>
      <c r="Q258" s="139"/>
      <c r="R258" s="139"/>
      <c r="S258" s="139"/>
      <c r="T258" s="139"/>
      <c r="U258" s="139"/>
      <c r="V258" s="139"/>
      <c r="W258" s="139"/>
      <c r="X258" s="139"/>
      <c r="Y258" s="139"/>
      <c r="Z258" s="139"/>
      <c r="AA258" s="139"/>
      <c r="AB258" s="139"/>
      <c r="AC258" s="139"/>
      <c r="AD258" s="139"/>
      <c r="AE258" s="139"/>
      <c r="AF258" s="139"/>
      <c r="AG258" s="139"/>
      <c r="AH258" s="139"/>
      <c r="AI258" s="139"/>
    </row>
    <row r="259">
      <c r="A259" s="139"/>
      <c r="B259" s="139"/>
      <c r="C259" s="139"/>
      <c r="D259" s="139"/>
      <c r="E259" s="139"/>
      <c r="F259" s="139"/>
      <c r="G259" s="139"/>
      <c r="H259" s="139"/>
      <c r="I259" s="139"/>
      <c r="J259" s="139"/>
      <c r="K259" s="140"/>
      <c r="L259" s="140"/>
      <c r="M259" s="140"/>
      <c r="N259" s="140"/>
      <c r="O259" s="140"/>
      <c r="P259" s="139"/>
      <c r="Q259" s="139"/>
      <c r="R259" s="139"/>
      <c r="S259" s="139"/>
      <c r="T259" s="139"/>
      <c r="U259" s="139"/>
      <c r="V259" s="139"/>
      <c r="W259" s="139"/>
      <c r="X259" s="139"/>
      <c r="Y259" s="139"/>
      <c r="Z259" s="139"/>
      <c r="AA259" s="139"/>
      <c r="AB259" s="139"/>
      <c r="AC259" s="139"/>
      <c r="AD259" s="139"/>
      <c r="AE259" s="139"/>
      <c r="AF259" s="139"/>
      <c r="AG259" s="139"/>
      <c r="AH259" s="139"/>
      <c r="AI259" s="139"/>
    </row>
    <row r="260">
      <c r="A260" s="139"/>
      <c r="B260" s="139"/>
      <c r="C260" s="139"/>
      <c r="D260" s="139"/>
      <c r="E260" s="139"/>
      <c r="F260" s="139"/>
      <c r="G260" s="139"/>
      <c r="H260" s="139"/>
      <c r="I260" s="139"/>
      <c r="J260" s="139"/>
      <c r="K260" s="140"/>
      <c r="L260" s="140"/>
      <c r="M260" s="140"/>
      <c r="N260" s="140"/>
      <c r="O260" s="140"/>
      <c r="P260" s="139"/>
      <c r="Q260" s="139"/>
      <c r="R260" s="139"/>
      <c r="S260" s="139"/>
      <c r="T260" s="139"/>
      <c r="U260" s="139"/>
      <c r="V260" s="139"/>
      <c r="W260" s="139"/>
      <c r="X260" s="139"/>
      <c r="Y260" s="139"/>
      <c r="Z260" s="139"/>
      <c r="AA260" s="139"/>
      <c r="AB260" s="139"/>
      <c r="AC260" s="139"/>
      <c r="AD260" s="139"/>
      <c r="AE260" s="139"/>
      <c r="AF260" s="139"/>
      <c r="AG260" s="139"/>
      <c r="AH260" s="139"/>
      <c r="AI260" s="139"/>
    </row>
    <row r="261">
      <c r="A261" s="139"/>
      <c r="B261" s="139"/>
      <c r="C261" s="139"/>
      <c r="D261" s="139"/>
      <c r="E261" s="139"/>
      <c r="F261" s="139"/>
      <c r="G261" s="139"/>
      <c r="H261" s="139"/>
      <c r="I261" s="139"/>
      <c r="J261" s="139"/>
      <c r="K261" s="140"/>
      <c r="L261" s="140"/>
      <c r="M261" s="140"/>
      <c r="N261" s="140"/>
      <c r="O261" s="140"/>
      <c r="P261" s="139"/>
      <c r="Q261" s="139"/>
      <c r="R261" s="139"/>
      <c r="S261" s="139"/>
      <c r="T261" s="139"/>
      <c r="U261" s="139"/>
      <c r="V261" s="139"/>
      <c r="W261" s="139"/>
      <c r="X261" s="139"/>
      <c r="Y261" s="139"/>
      <c r="Z261" s="139"/>
      <c r="AA261" s="139"/>
      <c r="AB261" s="139"/>
      <c r="AC261" s="139"/>
      <c r="AD261" s="139"/>
      <c r="AE261" s="139"/>
      <c r="AF261" s="139"/>
      <c r="AG261" s="139"/>
      <c r="AH261" s="139"/>
      <c r="AI261" s="139"/>
    </row>
    <row r="262">
      <c r="A262" s="139"/>
      <c r="B262" s="139"/>
      <c r="C262" s="139"/>
      <c r="D262" s="139"/>
      <c r="E262" s="139"/>
      <c r="F262" s="139"/>
      <c r="G262" s="139"/>
      <c r="H262" s="139"/>
      <c r="I262" s="139"/>
      <c r="J262" s="139"/>
      <c r="K262" s="140"/>
      <c r="L262" s="140"/>
      <c r="M262" s="140"/>
      <c r="N262" s="140"/>
      <c r="O262" s="140"/>
      <c r="P262" s="139"/>
      <c r="Q262" s="139"/>
      <c r="R262" s="139"/>
      <c r="S262" s="139"/>
      <c r="T262" s="139"/>
      <c r="U262" s="139"/>
      <c r="V262" s="139"/>
      <c r="W262" s="139"/>
      <c r="X262" s="139"/>
      <c r="Y262" s="139"/>
      <c r="Z262" s="139"/>
      <c r="AA262" s="139"/>
      <c r="AB262" s="139"/>
      <c r="AC262" s="139"/>
      <c r="AD262" s="139"/>
      <c r="AE262" s="139"/>
      <c r="AF262" s="139"/>
      <c r="AG262" s="139"/>
      <c r="AH262" s="139"/>
      <c r="AI262" s="139"/>
    </row>
    <row r="263">
      <c r="A263" s="139"/>
      <c r="B263" s="139"/>
      <c r="C263" s="139"/>
      <c r="D263" s="139"/>
      <c r="E263" s="139"/>
      <c r="F263" s="139"/>
      <c r="G263" s="139"/>
      <c r="H263" s="139"/>
      <c r="I263" s="139"/>
      <c r="J263" s="139"/>
      <c r="K263" s="140"/>
      <c r="L263" s="140"/>
      <c r="M263" s="140"/>
      <c r="N263" s="140"/>
      <c r="O263" s="140"/>
      <c r="P263" s="139"/>
      <c r="Q263" s="139"/>
      <c r="R263" s="139"/>
      <c r="S263" s="139"/>
      <c r="T263" s="139"/>
      <c r="U263" s="139"/>
      <c r="V263" s="139"/>
      <c r="W263" s="139"/>
      <c r="X263" s="139"/>
      <c r="Y263" s="139"/>
      <c r="Z263" s="139"/>
      <c r="AA263" s="139"/>
      <c r="AB263" s="139"/>
      <c r="AC263" s="139"/>
      <c r="AD263" s="139"/>
      <c r="AE263" s="139"/>
      <c r="AF263" s="139"/>
      <c r="AG263" s="139"/>
      <c r="AH263" s="139"/>
      <c r="AI263" s="139"/>
    </row>
    <row r="264">
      <c r="A264" s="139"/>
      <c r="B264" s="139"/>
      <c r="C264" s="139"/>
      <c r="D264" s="139"/>
      <c r="E264" s="139"/>
      <c r="F264" s="139"/>
      <c r="G264" s="139"/>
      <c r="H264" s="139"/>
      <c r="I264" s="139"/>
      <c r="J264" s="139"/>
      <c r="K264" s="140"/>
      <c r="L264" s="140"/>
      <c r="M264" s="140"/>
      <c r="N264" s="140"/>
      <c r="O264" s="140"/>
      <c r="P264" s="139"/>
      <c r="Q264" s="139"/>
      <c r="R264" s="139"/>
      <c r="S264" s="139"/>
      <c r="T264" s="139"/>
      <c r="U264" s="139"/>
      <c r="V264" s="139"/>
      <c r="W264" s="139"/>
      <c r="X264" s="139"/>
      <c r="Y264" s="139"/>
      <c r="Z264" s="139"/>
      <c r="AA264" s="139"/>
      <c r="AB264" s="139"/>
      <c r="AC264" s="139"/>
      <c r="AD264" s="139"/>
      <c r="AE264" s="139"/>
      <c r="AF264" s="139"/>
      <c r="AG264" s="139"/>
      <c r="AH264" s="139"/>
      <c r="AI264" s="139"/>
    </row>
    <row r="265">
      <c r="A265" s="139"/>
      <c r="B265" s="139"/>
      <c r="C265" s="139"/>
      <c r="D265" s="139"/>
      <c r="E265" s="139"/>
      <c r="F265" s="139"/>
      <c r="G265" s="139"/>
      <c r="H265" s="139"/>
      <c r="I265" s="139"/>
      <c r="J265" s="139"/>
      <c r="K265" s="140"/>
      <c r="L265" s="140"/>
      <c r="M265" s="140"/>
      <c r="N265" s="140"/>
      <c r="O265" s="140"/>
      <c r="P265" s="139"/>
      <c r="Q265" s="139"/>
      <c r="R265" s="139"/>
      <c r="S265" s="139"/>
      <c r="T265" s="139"/>
      <c r="U265" s="139"/>
      <c r="V265" s="139"/>
      <c r="W265" s="139"/>
      <c r="X265" s="139"/>
      <c r="Y265" s="139"/>
      <c r="Z265" s="139"/>
      <c r="AA265" s="139"/>
      <c r="AB265" s="139"/>
      <c r="AC265" s="139"/>
      <c r="AD265" s="139"/>
      <c r="AE265" s="139"/>
      <c r="AF265" s="139"/>
      <c r="AG265" s="139"/>
      <c r="AH265" s="139"/>
      <c r="AI265" s="139"/>
    </row>
    <row r="266">
      <c r="A266" s="139"/>
      <c r="B266" s="139"/>
      <c r="C266" s="139"/>
      <c r="D266" s="139"/>
      <c r="E266" s="139"/>
      <c r="F266" s="139"/>
      <c r="G266" s="139"/>
      <c r="H266" s="139"/>
      <c r="I266" s="139"/>
      <c r="J266" s="139"/>
      <c r="K266" s="140"/>
      <c r="L266" s="140"/>
      <c r="M266" s="140"/>
      <c r="N266" s="140"/>
      <c r="O266" s="140"/>
      <c r="P266" s="139"/>
      <c r="Q266" s="139"/>
      <c r="R266" s="139"/>
      <c r="S266" s="139"/>
      <c r="T266" s="139"/>
      <c r="U266" s="139"/>
      <c r="V266" s="139"/>
      <c r="W266" s="139"/>
      <c r="X266" s="139"/>
      <c r="Y266" s="139"/>
      <c r="Z266" s="139"/>
      <c r="AA266" s="139"/>
      <c r="AB266" s="139"/>
      <c r="AC266" s="139"/>
      <c r="AD266" s="139"/>
      <c r="AE266" s="139"/>
      <c r="AF266" s="139"/>
      <c r="AG266" s="139"/>
      <c r="AH266" s="139"/>
      <c r="AI266" s="139"/>
    </row>
    <row r="267">
      <c r="A267" s="139"/>
      <c r="B267" s="139"/>
      <c r="C267" s="139"/>
      <c r="D267" s="139"/>
      <c r="E267" s="139"/>
      <c r="F267" s="139"/>
      <c r="G267" s="139"/>
      <c r="H267" s="139"/>
      <c r="I267" s="139"/>
      <c r="J267" s="139"/>
      <c r="K267" s="140"/>
      <c r="L267" s="140"/>
      <c r="M267" s="140"/>
      <c r="N267" s="140"/>
      <c r="O267" s="140"/>
      <c r="P267" s="139"/>
      <c r="Q267" s="139"/>
      <c r="R267" s="139"/>
      <c r="S267" s="139"/>
      <c r="T267" s="139"/>
      <c r="U267" s="139"/>
      <c r="V267" s="139"/>
      <c r="W267" s="139"/>
      <c r="X267" s="139"/>
      <c r="Y267" s="139"/>
      <c r="Z267" s="139"/>
      <c r="AA267" s="139"/>
      <c r="AB267" s="139"/>
      <c r="AC267" s="139"/>
      <c r="AD267" s="139"/>
      <c r="AE267" s="139"/>
      <c r="AF267" s="139"/>
      <c r="AG267" s="139"/>
      <c r="AH267" s="139"/>
      <c r="AI267" s="139"/>
    </row>
    <row r="268">
      <c r="A268" s="139"/>
      <c r="B268" s="139"/>
      <c r="C268" s="139"/>
      <c r="D268" s="139"/>
      <c r="E268" s="139"/>
      <c r="F268" s="139"/>
      <c r="G268" s="139"/>
      <c r="H268" s="139"/>
      <c r="I268" s="139"/>
      <c r="J268" s="139"/>
      <c r="K268" s="140"/>
      <c r="L268" s="140"/>
      <c r="M268" s="140"/>
      <c r="N268" s="140"/>
      <c r="O268" s="140"/>
      <c r="P268" s="139"/>
      <c r="Q268" s="139"/>
      <c r="R268" s="139"/>
      <c r="S268" s="139"/>
      <c r="T268" s="139"/>
      <c r="U268" s="139"/>
      <c r="V268" s="139"/>
      <c r="W268" s="139"/>
      <c r="X268" s="139"/>
      <c r="Y268" s="139"/>
      <c r="Z268" s="139"/>
      <c r="AA268" s="139"/>
      <c r="AB268" s="139"/>
      <c r="AC268" s="139"/>
      <c r="AD268" s="139"/>
      <c r="AE268" s="139"/>
      <c r="AF268" s="139"/>
      <c r="AG268" s="139"/>
      <c r="AH268" s="139"/>
      <c r="AI268" s="139"/>
    </row>
    <row r="269">
      <c r="A269" s="139"/>
      <c r="B269" s="139"/>
      <c r="C269" s="139"/>
      <c r="D269" s="139"/>
      <c r="E269" s="139"/>
      <c r="F269" s="139"/>
      <c r="G269" s="139"/>
      <c r="H269" s="139"/>
      <c r="I269" s="139"/>
      <c r="J269" s="139"/>
      <c r="K269" s="140"/>
      <c r="L269" s="140"/>
      <c r="M269" s="140"/>
      <c r="N269" s="140"/>
      <c r="O269" s="140"/>
      <c r="P269" s="139"/>
      <c r="Q269" s="139"/>
      <c r="R269" s="139"/>
      <c r="S269" s="139"/>
      <c r="T269" s="139"/>
      <c r="U269" s="139"/>
      <c r="V269" s="139"/>
      <c r="W269" s="139"/>
      <c r="X269" s="139"/>
      <c r="Y269" s="139"/>
      <c r="Z269" s="139"/>
      <c r="AA269" s="139"/>
      <c r="AB269" s="139"/>
      <c r="AC269" s="139"/>
      <c r="AD269" s="139"/>
      <c r="AE269" s="139"/>
      <c r="AF269" s="139"/>
      <c r="AG269" s="139"/>
      <c r="AH269" s="139"/>
      <c r="AI269" s="139"/>
    </row>
    <row r="270">
      <c r="A270" s="139"/>
      <c r="B270" s="139"/>
      <c r="C270" s="139"/>
      <c r="D270" s="139"/>
      <c r="E270" s="139"/>
      <c r="F270" s="139"/>
      <c r="G270" s="139"/>
      <c r="H270" s="139"/>
      <c r="I270" s="139"/>
      <c r="J270" s="139"/>
      <c r="K270" s="140"/>
      <c r="L270" s="140"/>
      <c r="M270" s="140"/>
      <c r="N270" s="140"/>
      <c r="O270" s="140"/>
      <c r="P270" s="139"/>
      <c r="Q270" s="139"/>
      <c r="R270" s="139"/>
      <c r="S270" s="139"/>
      <c r="T270" s="139"/>
      <c r="U270" s="139"/>
      <c r="V270" s="139"/>
      <c r="W270" s="139"/>
      <c r="X270" s="139"/>
      <c r="Y270" s="139"/>
      <c r="Z270" s="139"/>
      <c r="AA270" s="139"/>
      <c r="AB270" s="139"/>
      <c r="AC270" s="139"/>
      <c r="AD270" s="139"/>
      <c r="AE270" s="139"/>
      <c r="AF270" s="139"/>
      <c r="AG270" s="139"/>
      <c r="AH270" s="139"/>
      <c r="AI270" s="139"/>
    </row>
    <row r="271">
      <c r="A271" s="139"/>
      <c r="B271" s="139"/>
      <c r="C271" s="139"/>
      <c r="D271" s="139"/>
      <c r="E271" s="139"/>
      <c r="F271" s="139"/>
      <c r="G271" s="139"/>
      <c r="H271" s="139"/>
      <c r="I271" s="139"/>
      <c r="J271" s="139"/>
      <c r="K271" s="140"/>
      <c r="L271" s="140"/>
      <c r="M271" s="140"/>
      <c r="N271" s="140"/>
      <c r="O271" s="140"/>
      <c r="P271" s="139"/>
      <c r="Q271" s="139"/>
      <c r="R271" s="139"/>
      <c r="S271" s="139"/>
      <c r="T271" s="139"/>
      <c r="U271" s="139"/>
      <c r="V271" s="139"/>
      <c r="W271" s="139"/>
      <c r="X271" s="139"/>
      <c r="Y271" s="139"/>
      <c r="Z271" s="139"/>
      <c r="AA271" s="139"/>
      <c r="AB271" s="139"/>
      <c r="AC271" s="139"/>
      <c r="AD271" s="139"/>
      <c r="AE271" s="139"/>
      <c r="AF271" s="139"/>
      <c r="AG271" s="139"/>
      <c r="AH271" s="139"/>
      <c r="AI271" s="139"/>
    </row>
    <row r="272">
      <c r="A272" s="139"/>
      <c r="B272" s="139"/>
      <c r="C272" s="139"/>
      <c r="D272" s="139"/>
      <c r="E272" s="139"/>
      <c r="F272" s="139"/>
      <c r="G272" s="139"/>
      <c r="H272" s="139"/>
      <c r="I272" s="139"/>
      <c r="J272" s="139"/>
      <c r="K272" s="140"/>
      <c r="L272" s="140"/>
      <c r="M272" s="140"/>
      <c r="N272" s="140"/>
      <c r="O272" s="140"/>
      <c r="P272" s="139"/>
      <c r="Q272" s="139"/>
      <c r="R272" s="139"/>
      <c r="S272" s="139"/>
      <c r="T272" s="139"/>
      <c r="U272" s="139"/>
      <c r="V272" s="139"/>
      <c r="W272" s="139"/>
      <c r="X272" s="139"/>
      <c r="Y272" s="139"/>
      <c r="Z272" s="139"/>
      <c r="AA272" s="139"/>
      <c r="AB272" s="139"/>
      <c r="AC272" s="139"/>
      <c r="AD272" s="139"/>
      <c r="AE272" s="139"/>
      <c r="AF272" s="139"/>
      <c r="AG272" s="139"/>
      <c r="AH272" s="139"/>
      <c r="AI272" s="139"/>
    </row>
    <row r="273">
      <c r="A273" s="139"/>
      <c r="B273" s="139"/>
      <c r="C273" s="139"/>
      <c r="D273" s="139"/>
      <c r="E273" s="139"/>
      <c r="F273" s="139"/>
      <c r="G273" s="139"/>
      <c r="H273" s="139"/>
      <c r="I273" s="139"/>
      <c r="J273" s="139"/>
      <c r="K273" s="140"/>
      <c r="L273" s="140"/>
      <c r="M273" s="140"/>
      <c r="N273" s="140"/>
      <c r="O273" s="140"/>
      <c r="P273" s="139"/>
      <c r="Q273" s="139"/>
      <c r="R273" s="139"/>
      <c r="S273" s="139"/>
      <c r="T273" s="139"/>
      <c r="U273" s="139"/>
      <c r="V273" s="139"/>
      <c r="W273" s="139"/>
      <c r="X273" s="139"/>
      <c r="Y273" s="139"/>
      <c r="Z273" s="139"/>
      <c r="AA273" s="139"/>
      <c r="AB273" s="139"/>
      <c r="AC273" s="139"/>
      <c r="AD273" s="139"/>
      <c r="AE273" s="139"/>
      <c r="AF273" s="139"/>
      <c r="AG273" s="139"/>
      <c r="AH273" s="139"/>
      <c r="AI273" s="139"/>
    </row>
    <row r="274">
      <c r="A274" s="139"/>
      <c r="B274" s="139"/>
      <c r="C274" s="139"/>
      <c r="D274" s="139"/>
      <c r="E274" s="139"/>
      <c r="F274" s="139"/>
      <c r="G274" s="139"/>
      <c r="H274" s="139"/>
      <c r="I274" s="139"/>
      <c r="J274" s="139"/>
      <c r="K274" s="140"/>
      <c r="L274" s="140"/>
      <c r="M274" s="140"/>
      <c r="N274" s="140"/>
      <c r="O274" s="140"/>
      <c r="P274" s="139"/>
      <c r="Q274" s="139"/>
      <c r="R274" s="139"/>
      <c r="S274" s="139"/>
      <c r="T274" s="139"/>
      <c r="U274" s="139"/>
      <c r="V274" s="139"/>
      <c r="W274" s="139"/>
      <c r="X274" s="139"/>
      <c r="Y274" s="139"/>
      <c r="Z274" s="139"/>
      <c r="AA274" s="139"/>
      <c r="AB274" s="139"/>
      <c r="AC274" s="139"/>
      <c r="AD274" s="139"/>
      <c r="AE274" s="139"/>
      <c r="AF274" s="139"/>
      <c r="AG274" s="139"/>
      <c r="AH274" s="139"/>
      <c r="AI274" s="139"/>
    </row>
    <row r="275">
      <c r="A275" s="139"/>
      <c r="B275" s="139"/>
      <c r="C275" s="139"/>
      <c r="D275" s="139"/>
      <c r="E275" s="139"/>
      <c r="F275" s="139"/>
      <c r="G275" s="139"/>
      <c r="H275" s="139"/>
      <c r="I275" s="139"/>
      <c r="J275" s="139"/>
      <c r="K275" s="140"/>
      <c r="L275" s="140"/>
      <c r="M275" s="140"/>
      <c r="N275" s="140"/>
      <c r="O275" s="140"/>
      <c r="P275" s="139"/>
      <c r="Q275" s="139"/>
      <c r="R275" s="139"/>
      <c r="S275" s="139"/>
      <c r="T275" s="139"/>
      <c r="U275" s="139"/>
      <c r="V275" s="139"/>
      <c r="W275" s="139"/>
      <c r="X275" s="139"/>
      <c r="Y275" s="139"/>
      <c r="Z275" s="139"/>
      <c r="AA275" s="139"/>
      <c r="AB275" s="139"/>
      <c r="AC275" s="139"/>
      <c r="AD275" s="139"/>
      <c r="AE275" s="139"/>
      <c r="AF275" s="139"/>
      <c r="AG275" s="139"/>
      <c r="AH275" s="139"/>
      <c r="AI275" s="139"/>
    </row>
    <row r="276">
      <c r="A276" s="139"/>
      <c r="B276" s="139"/>
      <c r="C276" s="139"/>
      <c r="D276" s="139"/>
      <c r="E276" s="139"/>
      <c r="F276" s="139"/>
      <c r="G276" s="139"/>
      <c r="H276" s="139"/>
      <c r="I276" s="139"/>
      <c r="J276" s="139"/>
      <c r="K276" s="140"/>
      <c r="L276" s="140"/>
      <c r="M276" s="140"/>
      <c r="N276" s="140"/>
      <c r="O276" s="140"/>
      <c r="P276" s="139"/>
      <c r="Q276" s="139"/>
      <c r="R276" s="139"/>
      <c r="S276" s="139"/>
      <c r="T276" s="139"/>
      <c r="U276" s="139"/>
      <c r="V276" s="139"/>
      <c r="W276" s="139"/>
      <c r="X276" s="139"/>
      <c r="Y276" s="139"/>
      <c r="Z276" s="139"/>
      <c r="AA276" s="139"/>
      <c r="AB276" s="139"/>
      <c r="AC276" s="139"/>
      <c r="AD276" s="139"/>
      <c r="AE276" s="139"/>
      <c r="AF276" s="139"/>
      <c r="AG276" s="139"/>
      <c r="AH276" s="139"/>
      <c r="AI276" s="139"/>
    </row>
    <row r="277">
      <c r="A277" s="139"/>
      <c r="B277" s="139"/>
      <c r="C277" s="139"/>
      <c r="D277" s="139"/>
      <c r="E277" s="139"/>
      <c r="F277" s="139"/>
      <c r="G277" s="139"/>
      <c r="H277" s="139"/>
      <c r="I277" s="139"/>
      <c r="J277" s="139"/>
      <c r="K277" s="140"/>
      <c r="L277" s="140"/>
      <c r="M277" s="140"/>
      <c r="N277" s="140"/>
      <c r="O277" s="140"/>
      <c r="P277" s="139"/>
      <c r="Q277" s="139"/>
      <c r="R277" s="139"/>
      <c r="S277" s="139"/>
      <c r="T277" s="139"/>
      <c r="U277" s="139"/>
      <c r="V277" s="139"/>
      <c r="W277" s="139"/>
      <c r="X277" s="139"/>
      <c r="Y277" s="139"/>
      <c r="Z277" s="139"/>
      <c r="AA277" s="139"/>
      <c r="AB277" s="139"/>
      <c r="AC277" s="139"/>
      <c r="AD277" s="139"/>
      <c r="AE277" s="139"/>
      <c r="AF277" s="139"/>
      <c r="AG277" s="139"/>
      <c r="AH277" s="139"/>
      <c r="AI277" s="139"/>
    </row>
    <row r="278">
      <c r="A278" s="139"/>
      <c r="B278" s="139"/>
      <c r="C278" s="139"/>
      <c r="D278" s="139"/>
      <c r="E278" s="139"/>
      <c r="F278" s="139"/>
      <c r="G278" s="139"/>
      <c r="H278" s="139"/>
      <c r="I278" s="139"/>
      <c r="J278" s="139"/>
      <c r="K278" s="140"/>
      <c r="L278" s="140"/>
      <c r="M278" s="140"/>
      <c r="N278" s="140"/>
      <c r="O278" s="140"/>
      <c r="P278" s="139"/>
      <c r="Q278" s="139"/>
      <c r="R278" s="139"/>
      <c r="S278" s="139"/>
      <c r="T278" s="139"/>
      <c r="U278" s="139"/>
      <c r="V278" s="139"/>
      <c r="W278" s="139"/>
      <c r="X278" s="139"/>
      <c r="Y278" s="139"/>
      <c r="Z278" s="139"/>
      <c r="AA278" s="139"/>
      <c r="AB278" s="139"/>
      <c r="AC278" s="139"/>
      <c r="AD278" s="139"/>
      <c r="AE278" s="139"/>
      <c r="AF278" s="139"/>
      <c r="AG278" s="139"/>
      <c r="AH278" s="139"/>
      <c r="AI278" s="139"/>
    </row>
    <row r="279">
      <c r="A279" s="139"/>
      <c r="B279" s="139"/>
      <c r="C279" s="139"/>
      <c r="D279" s="139"/>
      <c r="E279" s="139"/>
      <c r="F279" s="139"/>
      <c r="G279" s="139"/>
      <c r="H279" s="139"/>
      <c r="I279" s="139"/>
      <c r="J279" s="139"/>
      <c r="K279" s="140"/>
      <c r="L279" s="140"/>
      <c r="M279" s="140"/>
      <c r="N279" s="140"/>
      <c r="O279" s="140"/>
      <c r="P279" s="139"/>
      <c r="Q279" s="139"/>
      <c r="R279" s="139"/>
      <c r="S279" s="139"/>
      <c r="T279" s="139"/>
      <c r="U279" s="139"/>
      <c r="V279" s="139"/>
      <c r="W279" s="139"/>
      <c r="X279" s="139"/>
      <c r="Y279" s="139"/>
      <c r="Z279" s="139"/>
      <c r="AA279" s="139"/>
      <c r="AB279" s="139"/>
      <c r="AC279" s="139"/>
      <c r="AD279" s="139"/>
      <c r="AE279" s="139"/>
      <c r="AF279" s="139"/>
      <c r="AG279" s="139"/>
      <c r="AH279" s="139"/>
      <c r="AI279" s="139"/>
    </row>
    <row r="280">
      <c r="A280" s="139"/>
      <c r="B280" s="139"/>
      <c r="C280" s="139"/>
      <c r="D280" s="139"/>
      <c r="E280" s="139"/>
      <c r="F280" s="139"/>
      <c r="G280" s="139"/>
      <c r="H280" s="139"/>
      <c r="I280" s="139"/>
      <c r="J280" s="139"/>
      <c r="K280" s="140"/>
      <c r="L280" s="140"/>
      <c r="M280" s="140"/>
      <c r="N280" s="140"/>
      <c r="O280" s="140"/>
      <c r="P280" s="139"/>
      <c r="Q280" s="139"/>
      <c r="R280" s="139"/>
      <c r="S280" s="139"/>
      <c r="T280" s="139"/>
      <c r="U280" s="139"/>
      <c r="V280" s="139"/>
      <c r="W280" s="139"/>
      <c r="X280" s="139"/>
      <c r="Y280" s="139"/>
      <c r="Z280" s="139"/>
      <c r="AA280" s="139"/>
      <c r="AB280" s="139"/>
      <c r="AC280" s="139"/>
      <c r="AD280" s="139"/>
      <c r="AE280" s="139"/>
      <c r="AF280" s="139"/>
      <c r="AG280" s="139"/>
      <c r="AH280" s="139"/>
      <c r="AI280" s="139"/>
    </row>
    <row r="281">
      <c r="A281" s="139"/>
      <c r="B281" s="139"/>
      <c r="C281" s="139"/>
      <c r="D281" s="139"/>
      <c r="E281" s="139"/>
      <c r="F281" s="139"/>
      <c r="G281" s="139"/>
      <c r="H281" s="139"/>
      <c r="I281" s="139"/>
      <c r="J281" s="139"/>
      <c r="K281" s="140"/>
      <c r="L281" s="140"/>
      <c r="M281" s="140"/>
      <c r="N281" s="140"/>
      <c r="O281" s="140"/>
      <c r="P281" s="139"/>
      <c r="Q281" s="139"/>
      <c r="R281" s="139"/>
      <c r="S281" s="139"/>
      <c r="T281" s="139"/>
      <c r="U281" s="139"/>
      <c r="V281" s="139"/>
      <c r="W281" s="139"/>
      <c r="X281" s="139"/>
      <c r="Y281" s="139"/>
      <c r="Z281" s="139"/>
      <c r="AA281" s="139"/>
      <c r="AB281" s="139"/>
      <c r="AC281" s="139"/>
      <c r="AD281" s="139"/>
      <c r="AE281" s="139"/>
      <c r="AF281" s="139"/>
      <c r="AG281" s="139"/>
      <c r="AH281" s="139"/>
      <c r="AI281" s="139"/>
    </row>
    <row r="282">
      <c r="A282" s="139"/>
      <c r="B282" s="139"/>
      <c r="C282" s="139"/>
      <c r="D282" s="139"/>
      <c r="E282" s="139"/>
      <c r="F282" s="139"/>
      <c r="G282" s="139"/>
      <c r="H282" s="139"/>
      <c r="I282" s="139"/>
      <c r="J282" s="139"/>
      <c r="K282" s="140"/>
      <c r="L282" s="140"/>
      <c r="M282" s="140"/>
      <c r="N282" s="140"/>
      <c r="O282" s="140"/>
      <c r="P282" s="139"/>
      <c r="Q282" s="139"/>
      <c r="R282" s="139"/>
      <c r="S282" s="139"/>
      <c r="T282" s="139"/>
      <c r="U282" s="139"/>
      <c r="V282" s="139"/>
      <c r="W282" s="139"/>
      <c r="X282" s="139"/>
      <c r="Y282" s="139"/>
      <c r="Z282" s="139"/>
      <c r="AA282" s="139"/>
      <c r="AB282" s="139"/>
      <c r="AC282" s="139"/>
      <c r="AD282" s="139"/>
      <c r="AE282" s="139"/>
      <c r="AF282" s="139"/>
      <c r="AG282" s="139"/>
      <c r="AH282" s="139"/>
      <c r="AI282" s="139"/>
    </row>
    <row r="283">
      <c r="A283" s="139"/>
      <c r="B283" s="139"/>
      <c r="C283" s="139"/>
      <c r="D283" s="139"/>
      <c r="E283" s="139"/>
      <c r="F283" s="139"/>
      <c r="G283" s="139"/>
      <c r="H283" s="139"/>
      <c r="I283" s="139"/>
      <c r="J283" s="139"/>
      <c r="K283" s="140"/>
      <c r="L283" s="140"/>
      <c r="M283" s="140"/>
      <c r="N283" s="140"/>
      <c r="O283" s="140"/>
      <c r="P283" s="139"/>
      <c r="Q283" s="139"/>
      <c r="R283" s="139"/>
      <c r="S283" s="139"/>
      <c r="T283" s="139"/>
      <c r="U283" s="139"/>
      <c r="V283" s="139"/>
      <c r="W283" s="139"/>
      <c r="X283" s="139"/>
      <c r="Y283" s="139"/>
      <c r="Z283" s="139"/>
      <c r="AA283" s="139"/>
      <c r="AB283" s="139"/>
      <c r="AC283" s="139"/>
      <c r="AD283" s="139"/>
      <c r="AE283" s="139"/>
      <c r="AF283" s="139"/>
      <c r="AG283" s="139"/>
      <c r="AH283" s="139"/>
      <c r="AI283" s="139"/>
    </row>
    <row r="284">
      <c r="A284" s="139"/>
      <c r="B284" s="139"/>
      <c r="C284" s="139"/>
      <c r="D284" s="139"/>
      <c r="E284" s="139"/>
      <c r="F284" s="139"/>
      <c r="G284" s="139"/>
      <c r="H284" s="139"/>
      <c r="I284" s="139"/>
      <c r="J284" s="139"/>
      <c r="K284" s="140"/>
      <c r="L284" s="140"/>
      <c r="M284" s="140"/>
      <c r="N284" s="140"/>
      <c r="O284" s="140"/>
      <c r="P284" s="139"/>
      <c r="Q284" s="139"/>
      <c r="R284" s="139"/>
      <c r="S284" s="139"/>
      <c r="T284" s="139"/>
      <c r="U284" s="139"/>
      <c r="V284" s="139"/>
      <c r="W284" s="139"/>
      <c r="X284" s="139"/>
      <c r="Y284" s="139"/>
      <c r="Z284" s="139"/>
      <c r="AA284" s="139"/>
      <c r="AB284" s="139"/>
      <c r="AC284" s="139"/>
      <c r="AD284" s="139"/>
      <c r="AE284" s="139"/>
      <c r="AF284" s="139"/>
      <c r="AG284" s="139"/>
      <c r="AH284" s="139"/>
      <c r="AI284" s="139"/>
    </row>
    <row r="285">
      <c r="A285" s="139"/>
      <c r="B285" s="139"/>
      <c r="C285" s="139"/>
      <c r="D285" s="139"/>
      <c r="E285" s="139"/>
      <c r="F285" s="139"/>
      <c r="G285" s="139"/>
      <c r="H285" s="139"/>
      <c r="I285" s="139"/>
      <c r="J285" s="139"/>
      <c r="K285" s="140"/>
      <c r="L285" s="140"/>
      <c r="M285" s="140"/>
      <c r="N285" s="140"/>
      <c r="O285" s="140"/>
      <c r="P285" s="139"/>
      <c r="Q285" s="139"/>
      <c r="R285" s="139"/>
      <c r="S285" s="139"/>
      <c r="T285" s="139"/>
      <c r="U285" s="139"/>
      <c r="V285" s="139"/>
      <c r="W285" s="139"/>
      <c r="X285" s="139"/>
      <c r="Y285" s="139"/>
      <c r="Z285" s="139"/>
      <c r="AA285" s="139"/>
      <c r="AB285" s="139"/>
      <c r="AC285" s="139"/>
      <c r="AD285" s="139"/>
      <c r="AE285" s="139"/>
      <c r="AF285" s="139"/>
      <c r="AG285" s="139"/>
      <c r="AH285" s="139"/>
      <c r="AI285" s="139"/>
    </row>
    <row r="286">
      <c r="A286" s="139"/>
      <c r="B286" s="139"/>
      <c r="C286" s="139"/>
      <c r="D286" s="139"/>
      <c r="E286" s="139"/>
      <c r="F286" s="139"/>
      <c r="G286" s="139"/>
      <c r="H286" s="139"/>
      <c r="I286" s="139"/>
      <c r="J286" s="139"/>
      <c r="K286" s="140"/>
      <c r="L286" s="140"/>
      <c r="M286" s="140"/>
      <c r="N286" s="140"/>
      <c r="O286" s="140"/>
      <c r="P286" s="139"/>
      <c r="Q286" s="139"/>
      <c r="R286" s="139"/>
      <c r="S286" s="139"/>
      <c r="T286" s="139"/>
      <c r="U286" s="139"/>
      <c r="V286" s="139"/>
      <c r="W286" s="139"/>
      <c r="X286" s="139"/>
      <c r="Y286" s="139"/>
      <c r="Z286" s="139"/>
      <c r="AA286" s="139"/>
      <c r="AB286" s="139"/>
      <c r="AC286" s="139"/>
      <c r="AD286" s="139"/>
      <c r="AE286" s="139"/>
      <c r="AF286" s="139"/>
      <c r="AG286" s="139"/>
      <c r="AH286" s="139"/>
      <c r="AI286" s="139"/>
    </row>
    <row r="287">
      <c r="A287" s="139"/>
      <c r="B287" s="139"/>
      <c r="C287" s="139"/>
      <c r="D287" s="139"/>
      <c r="E287" s="139"/>
      <c r="F287" s="139"/>
      <c r="G287" s="139"/>
      <c r="H287" s="139"/>
      <c r="I287" s="139"/>
      <c r="J287" s="139"/>
      <c r="K287" s="140"/>
      <c r="L287" s="140"/>
      <c r="M287" s="140"/>
      <c r="N287" s="140"/>
      <c r="O287" s="140"/>
      <c r="P287" s="139"/>
      <c r="Q287" s="139"/>
      <c r="R287" s="139"/>
      <c r="S287" s="139"/>
      <c r="T287" s="139"/>
      <c r="U287" s="139"/>
      <c r="V287" s="139"/>
      <c r="W287" s="139"/>
      <c r="X287" s="139"/>
      <c r="Y287" s="139"/>
      <c r="Z287" s="139"/>
      <c r="AA287" s="139"/>
      <c r="AB287" s="139"/>
      <c r="AC287" s="139"/>
      <c r="AD287" s="139"/>
      <c r="AE287" s="139"/>
      <c r="AF287" s="139"/>
      <c r="AG287" s="139"/>
      <c r="AH287" s="139"/>
      <c r="AI287" s="139"/>
    </row>
    <row r="288">
      <c r="A288" s="139"/>
      <c r="B288" s="139"/>
      <c r="C288" s="139"/>
      <c r="D288" s="139"/>
      <c r="E288" s="139"/>
      <c r="F288" s="139"/>
      <c r="G288" s="139"/>
      <c r="H288" s="139"/>
      <c r="I288" s="139"/>
      <c r="J288" s="139"/>
      <c r="K288" s="140"/>
      <c r="L288" s="140"/>
      <c r="M288" s="140"/>
      <c r="N288" s="140"/>
      <c r="O288" s="140"/>
      <c r="P288" s="139"/>
      <c r="Q288" s="139"/>
      <c r="R288" s="139"/>
      <c r="S288" s="139"/>
      <c r="T288" s="139"/>
      <c r="U288" s="139"/>
      <c r="V288" s="139"/>
      <c r="W288" s="139"/>
      <c r="X288" s="139"/>
      <c r="Y288" s="139"/>
      <c r="Z288" s="139"/>
      <c r="AA288" s="139"/>
      <c r="AB288" s="139"/>
      <c r="AC288" s="139"/>
      <c r="AD288" s="139"/>
      <c r="AE288" s="139"/>
      <c r="AF288" s="139"/>
      <c r="AG288" s="139"/>
      <c r="AH288" s="139"/>
      <c r="AI288" s="139"/>
    </row>
    <row r="289">
      <c r="A289" s="139"/>
      <c r="B289" s="139"/>
      <c r="C289" s="139"/>
      <c r="D289" s="139"/>
      <c r="E289" s="139"/>
      <c r="F289" s="139"/>
      <c r="G289" s="139"/>
      <c r="H289" s="139"/>
      <c r="I289" s="139"/>
      <c r="J289" s="139"/>
      <c r="K289" s="140"/>
      <c r="L289" s="140"/>
      <c r="M289" s="140"/>
      <c r="N289" s="140"/>
      <c r="O289" s="140"/>
      <c r="P289" s="139"/>
      <c r="Q289" s="139"/>
      <c r="R289" s="139"/>
      <c r="S289" s="139"/>
      <c r="T289" s="139"/>
      <c r="U289" s="139"/>
      <c r="V289" s="139"/>
      <c r="W289" s="139"/>
      <c r="X289" s="139"/>
      <c r="Y289" s="139"/>
      <c r="Z289" s="139"/>
      <c r="AA289" s="139"/>
      <c r="AB289" s="139"/>
      <c r="AC289" s="139"/>
      <c r="AD289" s="139"/>
      <c r="AE289" s="139"/>
      <c r="AF289" s="139"/>
      <c r="AG289" s="139"/>
      <c r="AH289" s="139"/>
      <c r="AI289" s="139"/>
    </row>
    <row r="290">
      <c r="A290" s="139"/>
      <c r="B290" s="139"/>
      <c r="C290" s="139"/>
      <c r="D290" s="139"/>
      <c r="E290" s="139"/>
      <c r="F290" s="139"/>
      <c r="G290" s="139"/>
      <c r="H290" s="139"/>
      <c r="I290" s="139"/>
      <c r="J290" s="139"/>
      <c r="K290" s="140"/>
      <c r="L290" s="140"/>
      <c r="M290" s="140"/>
      <c r="N290" s="140"/>
      <c r="O290" s="140"/>
      <c r="P290" s="139"/>
      <c r="Q290" s="139"/>
      <c r="R290" s="139"/>
      <c r="S290" s="139"/>
      <c r="T290" s="139"/>
      <c r="U290" s="139"/>
      <c r="V290" s="139"/>
      <c r="W290" s="139"/>
      <c r="X290" s="139"/>
      <c r="Y290" s="139"/>
      <c r="Z290" s="139"/>
      <c r="AA290" s="139"/>
      <c r="AB290" s="139"/>
      <c r="AC290" s="139"/>
      <c r="AD290" s="139"/>
      <c r="AE290" s="139"/>
      <c r="AF290" s="139"/>
      <c r="AG290" s="139"/>
      <c r="AH290" s="139"/>
      <c r="AI290" s="139"/>
    </row>
    <row r="291">
      <c r="A291" s="139"/>
      <c r="B291" s="139"/>
      <c r="C291" s="139"/>
      <c r="D291" s="139"/>
      <c r="E291" s="139"/>
      <c r="F291" s="139"/>
      <c r="G291" s="139"/>
      <c r="H291" s="139"/>
      <c r="I291" s="139"/>
      <c r="J291" s="139"/>
      <c r="K291" s="140"/>
      <c r="L291" s="140"/>
      <c r="M291" s="140"/>
      <c r="N291" s="140"/>
      <c r="O291" s="140"/>
      <c r="P291" s="139"/>
      <c r="Q291" s="139"/>
      <c r="R291" s="139"/>
      <c r="S291" s="139"/>
      <c r="T291" s="139"/>
      <c r="U291" s="139"/>
      <c r="V291" s="139"/>
      <c r="W291" s="139"/>
      <c r="X291" s="139"/>
      <c r="Y291" s="139"/>
      <c r="Z291" s="139"/>
      <c r="AA291" s="139"/>
      <c r="AB291" s="139"/>
      <c r="AC291" s="139"/>
      <c r="AD291" s="139"/>
      <c r="AE291" s="139"/>
      <c r="AF291" s="139"/>
      <c r="AG291" s="139"/>
      <c r="AH291" s="139"/>
      <c r="AI291" s="139"/>
    </row>
    <row r="292">
      <c r="A292" s="139"/>
      <c r="B292" s="139"/>
      <c r="C292" s="139"/>
      <c r="D292" s="139"/>
      <c r="E292" s="139"/>
      <c r="F292" s="139"/>
      <c r="G292" s="139"/>
      <c r="H292" s="139"/>
      <c r="I292" s="139"/>
      <c r="J292" s="139"/>
      <c r="K292" s="140"/>
      <c r="L292" s="140"/>
      <c r="M292" s="140"/>
      <c r="N292" s="140"/>
      <c r="O292" s="140"/>
      <c r="P292" s="139"/>
      <c r="Q292" s="139"/>
      <c r="R292" s="139"/>
      <c r="S292" s="139"/>
      <c r="T292" s="139"/>
      <c r="U292" s="139"/>
      <c r="V292" s="139"/>
      <c r="W292" s="139"/>
      <c r="X292" s="139"/>
      <c r="Y292" s="139"/>
      <c r="Z292" s="139"/>
      <c r="AA292" s="139"/>
      <c r="AB292" s="139"/>
      <c r="AC292" s="139"/>
      <c r="AD292" s="139"/>
      <c r="AE292" s="139"/>
      <c r="AF292" s="139"/>
      <c r="AG292" s="139"/>
      <c r="AH292" s="139"/>
      <c r="AI292" s="139"/>
    </row>
    <row r="293">
      <c r="A293" s="139"/>
      <c r="B293" s="139"/>
      <c r="C293" s="139"/>
      <c r="D293" s="139"/>
      <c r="E293" s="139"/>
      <c r="F293" s="139"/>
      <c r="G293" s="139"/>
      <c r="H293" s="139"/>
      <c r="I293" s="139"/>
      <c r="J293" s="139"/>
      <c r="K293" s="140"/>
      <c r="L293" s="140"/>
      <c r="M293" s="140"/>
      <c r="N293" s="140"/>
      <c r="O293" s="140"/>
      <c r="P293" s="139"/>
      <c r="Q293" s="139"/>
      <c r="R293" s="139"/>
      <c r="S293" s="139"/>
      <c r="T293" s="139"/>
      <c r="U293" s="139"/>
      <c r="V293" s="139"/>
      <c r="W293" s="139"/>
      <c r="X293" s="139"/>
      <c r="Y293" s="139"/>
      <c r="Z293" s="139"/>
      <c r="AA293" s="139"/>
      <c r="AB293" s="139"/>
      <c r="AC293" s="139"/>
      <c r="AD293" s="139"/>
      <c r="AE293" s="139"/>
      <c r="AF293" s="139"/>
      <c r="AG293" s="139"/>
      <c r="AH293" s="139"/>
      <c r="AI293" s="139"/>
    </row>
    <row r="294">
      <c r="A294" s="139"/>
      <c r="B294" s="139"/>
      <c r="C294" s="139"/>
      <c r="D294" s="139"/>
      <c r="E294" s="139"/>
      <c r="F294" s="139"/>
      <c r="G294" s="139"/>
      <c r="H294" s="139"/>
      <c r="I294" s="139"/>
      <c r="J294" s="139"/>
      <c r="K294" s="140"/>
      <c r="L294" s="140"/>
      <c r="M294" s="140"/>
      <c r="N294" s="140"/>
      <c r="O294" s="140"/>
      <c r="P294" s="139"/>
      <c r="Q294" s="139"/>
      <c r="R294" s="139"/>
      <c r="S294" s="139"/>
      <c r="T294" s="139"/>
      <c r="U294" s="139"/>
      <c r="V294" s="139"/>
      <c r="W294" s="139"/>
      <c r="X294" s="139"/>
      <c r="Y294" s="139"/>
      <c r="Z294" s="139"/>
      <c r="AA294" s="139"/>
      <c r="AB294" s="139"/>
      <c r="AC294" s="139"/>
      <c r="AD294" s="139"/>
      <c r="AE294" s="139"/>
      <c r="AF294" s="139"/>
      <c r="AG294" s="139"/>
      <c r="AH294" s="139"/>
      <c r="AI294" s="139"/>
    </row>
    <row r="295">
      <c r="A295" s="139"/>
      <c r="B295" s="139"/>
      <c r="C295" s="139"/>
      <c r="D295" s="139"/>
      <c r="E295" s="139"/>
      <c r="F295" s="139"/>
      <c r="G295" s="139"/>
      <c r="H295" s="139"/>
      <c r="I295" s="139"/>
      <c r="J295" s="139"/>
      <c r="K295" s="140"/>
      <c r="L295" s="140"/>
      <c r="M295" s="140"/>
      <c r="N295" s="140"/>
      <c r="O295" s="140"/>
      <c r="P295" s="139"/>
      <c r="Q295" s="139"/>
      <c r="R295" s="139"/>
      <c r="S295" s="139"/>
      <c r="T295" s="139"/>
      <c r="U295" s="139"/>
      <c r="V295" s="139"/>
      <c r="W295" s="139"/>
      <c r="X295" s="139"/>
      <c r="Y295" s="139"/>
      <c r="Z295" s="139"/>
      <c r="AA295" s="139"/>
      <c r="AB295" s="139"/>
      <c r="AC295" s="139"/>
      <c r="AD295" s="139"/>
      <c r="AE295" s="139"/>
      <c r="AF295" s="139"/>
      <c r="AG295" s="139"/>
      <c r="AH295" s="139"/>
      <c r="AI295" s="139"/>
    </row>
    <row r="296">
      <c r="A296" s="139"/>
      <c r="B296" s="139"/>
      <c r="C296" s="139"/>
      <c r="D296" s="139"/>
      <c r="E296" s="139"/>
      <c r="F296" s="139"/>
      <c r="G296" s="139"/>
      <c r="H296" s="139"/>
      <c r="I296" s="139"/>
      <c r="J296" s="139"/>
      <c r="K296" s="140"/>
      <c r="L296" s="140"/>
      <c r="M296" s="140"/>
      <c r="N296" s="140"/>
      <c r="O296" s="140"/>
      <c r="P296" s="139"/>
      <c r="Q296" s="139"/>
      <c r="R296" s="139"/>
      <c r="S296" s="139"/>
      <c r="T296" s="139"/>
      <c r="U296" s="139"/>
      <c r="V296" s="139"/>
      <c r="W296" s="139"/>
      <c r="X296" s="139"/>
      <c r="Y296" s="139"/>
      <c r="Z296" s="139"/>
      <c r="AA296" s="139"/>
      <c r="AB296" s="139"/>
      <c r="AC296" s="139"/>
      <c r="AD296" s="139"/>
      <c r="AE296" s="139"/>
      <c r="AF296" s="139"/>
      <c r="AG296" s="139"/>
      <c r="AH296" s="139"/>
      <c r="AI296" s="139"/>
    </row>
    <row r="297">
      <c r="A297" s="139"/>
      <c r="B297" s="139"/>
      <c r="C297" s="139"/>
      <c r="D297" s="139"/>
      <c r="E297" s="139"/>
      <c r="F297" s="139"/>
      <c r="G297" s="139"/>
      <c r="H297" s="139"/>
      <c r="I297" s="139"/>
      <c r="J297" s="139"/>
      <c r="K297" s="140"/>
      <c r="L297" s="140"/>
      <c r="M297" s="140"/>
      <c r="N297" s="140"/>
      <c r="O297" s="140"/>
      <c r="P297" s="139"/>
      <c r="Q297" s="139"/>
      <c r="R297" s="139"/>
      <c r="S297" s="139"/>
      <c r="T297" s="139"/>
      <c r="U297" s="139"/>
      <c r="V297" s="139"/>
      <c r="W297" s="139"/>
      <c r="X297" s="139"/>
      <c r="Y297" s="139"/>
      <c r="Z297" s="139"/>
      <c r="AA297" s="139"/>
      <c r="AB297" s="139"/>
      <c r="AC297" s="139"/>
      <c r="AD297" s="139"/>
      <c r="AE297" s="139"/>
      <c r="AF297" s="139"/>
      <c r="AG297" s="139"/>
      <c r="AH297" s="139"/>
      <c r="AI297" s="139"/>
    </row>
    <row r="298">
      <c r="A298" s="139"/>
      <c r="B298" s="139"/>
      <c r="C298" s="139"/>
      <c r="D298" s="139"/>
      <c r="E298" s="139"/>
      <c r="F298" s="139"/>
      <c r="G298" s="139"/>
      <c r="H298" s="139"/>
      <c r="I298" s="139"/>
      <c r="J298" s="139"/>
      <c r="K298" s="140"/>
      <c r="L298" s="140"/>
      <c r="M298" s="140"/>
      <c r="N298" s="140"/>
      <c r="O298" s="140"/>
      <c r="P298" s="139"/>
      <c r="Q298" s="139"/>
      <c r="R298" s="139"/>
      <c r="S298" s="139"/>
      <c r="T298" s="139"/>
      <c r="U298" s="139"/>
      <c r="V298" s="139"/>
      <c r="W298" s="139"/>
      <c r="X298" s="139"/>
      <c r="Y298" s="139"/>
      <c r="Z298" s="139"/>
      <c r="AA298" s="139"/>
      <c r="AB298" s="139"/>
      <c r="AC298" s="139"/>
      <c r="AD298" s="139"/>
      <c r="AE298" s="139"/>
      <c r="AF298" s="139"/>
      <c r="AG298" s="139"/>
      <c r="AH298" s="139"/>
      <c r="AI298" s="139"/>
    </row>
    <row r="299">
      <c r="A299" s="139"/>
      <c r="B299" s="139"/>
      <c r="C299" s="139"/>
      <c r="D299" s="139"/>
      <c r="E299" s="139"/>
      <c r="F299" s="139"/>
      <c r="G299" s="139"/>
      <c r="H299" s="139"/>
      <c r="I299" s="139"/>
      <c r="J299" s="139"/>
      <c r="K299" s="140"/>
      <c r="L299" s="140"/>
      <c r="M299" s="140"/>
      <c r="N299" s="140"/>
      <c r="O299" s="140"/>
      <c r="P299" s="139"/>
      <c r="Q299" s="139"/>
      <c r="R299" s="139"/>
      <c r="S299" s="139"/>
      <c r="T299" s="139"/>
      <c r="U299" s="139"/>
      <c r="V299" s="139"/>
      <c r="W299" s="139"/>
      <c r="X299" s="139"/>
      <c r="Y299" s="139"/>
      <c r="Z299" s="139"/>
      <c r="AA299" s="139"/>
      <c r="AB299" s="139"/>
      <c r="AC299" s="139"/>
      <c r="AD299" s="139"/>
      <c r="AE299" s="139"/>
      <c r="AF299" s="139"/>
      <c r="AG299" s="139"/>
      <c r="AH299" s="139"/>
      <c r="AI299" s="139"/>
    </row>
    <row r="300">
      <c r="A300" s="139"/>
      <c r="B300" s="139"/>
      <c r="C300" s="139"/>
      <c r="D300" s="139"/>
      <c r="E300" s="139"/>
      <c r="F300" s="139"/>
      <c r="G300" s="139"/>
      <c r="H300" s="139"/>
      <c r="I300" s="139"/>
      <c r="J300" s="139"/>
      <c r="K300" s="140"/>
      <c r="L300" s="140"/>
      <c r="M300" s="140"/>
      <c r="N300" s="140"/>
      <c r="O300" s="140"/>
      <c r="P300" s="139"/>
      <c r="Q300" s="139"/>
      <c r="R300" s="139"/>
      <c r="S300" s="139"/>
      <c r="T300" s="139"/>
      <c r="U300" s="139"/>
      <c r="V300" s="139"/>
      <c r="W300" s="139"/>
      <c r="X300" s="139"/>
      <c r="Y300" s="139"/>
      <c r="Z300" s="139"/>
      <c r="AA300" s="139"/>
      <c r="AB300" s="139"/>
      <c r="AC300" s="139"/>
      <c r="AD300" s="139"/>
      <c r="AE300" s="139"/>
      <c r="AF300" s="139"/>
      <c r="AG300" s="139"/>
      <c r="AH300" s="139"/>
      <c r="AI300" s="139"/>
    </row>
    <row r="301">
      <c r="A301" s="139"/>
      <c r="B301" s="139"/>
      <c r="C301" s="139"/>
      <c r="D301" s="139"/>
      <c r="E301" s="139"/>
      <c r="F301" s="139"/>
      <c r="G301" s="139"/>
      <c r="H301" s="139"/>
      <c r="I301" s="139"/>
      <c r="J301" s="139"/>
      <c r="K301" s="140"/>
      <c r="L301" s="140"/>
      <c r="M301" s="140"/>
      <c r="N301" s="140"/>
      <c r="O301" s="140"/>
      <c r="P301" s="139"/>
      <c r="Q301" s="139"/>
      <c r="R301" s="139"/>
      <c r="S301" s="139"/>
      <c r="T301" s="139"/>
      <c r="U301" s="139"/>
      <c r="V301" s="139"/>
      <c r="W301" s="139"/>
      <c r="X301" s="139"/>
      <c r="Y301" s="139"/>
      <c r="Z301" s="139"/>
      <c r="AA301" s="139"/>
      <c r="AB301" s="139"/>
      <c r="AC301" s="139"/>
      <c r="AD301" s="139"/>
      <c r="AE301" s="139"/>
      <c r="AF301" s="139"/>
      <c r="AG301" s="139"/>
      <c r="AH301" s="139"/>
      <c r="AI301" s="139"/>
    </row>
    <row r="302">
      <c r="A302" s="139"/>
      <c r="B302" s="139"/>
      <c r="C302" s="139"/>
      <c r="D302" s="139"/>
      <c r="E302" s="139"/>
      <c r="F302" s="139"/>
      <c r="G302" s="139"/>
      <c r="H302" s="139"/>
      <c r="I302" s="139"/>
      <c r="J302" s="139"/>
      <c r="K302" s="140"/>
      <c r="L302" s="140"/>
      <c r="M302" s="140"/>
      <c r="N302" s="140"/>
      <c r="O302" s="140"/>
      <c r="P302" s="139"/>
      <c r="Q302" s="139"/>
      <c r="R302" s="139"/>
      <c r="S302" s="139"/>
      <c r="T302" s="139"/>
      <c r="U302" s="139"/>
      <c r="V302" s="139"/>
      <c r="W302" s="139"/>
      <c r="X302" s="139"/>
      <c r="Y302" s="139"/>
      <c r="Z302" s="139"/>
      <c r="AA302" s="139"/>
      <c r="AB302" s="139"/>
      <c r="AC302" s="139"/>
      <c r="AD302" s="139"/>
      <c r="AE302" s="139"/>
      <c r="AF302" s="139"/>
      <c r="AG302" s="139"/>
      <c r="AH302" s="139"/>
      <c r="AI302" s="139"/>
    </row>
    <row r="303">
      <c r="A303" s="139"/>
      <c r="B303" s="139"/>
      <c r="C303" s="139"/>
      <c r="D303" s="139"/>
      <c r="E303" s="139"/>
      <c r="F303" s="139"/>
      <c r="G303" s="139"/>
      <c r="H303" s="139"/>
      <c r="I303" s="139"/>
      <c r="J303" s="139"/>
      <c r="K303" s="140"/>
      <c r="L303" s="140"/>
      <c r="M303" s="140"/>
      <c r="N303" s="140"/>
      <c r="O303" s="140"/>
      <c r="P303" s="139"/>
      <c r="Q303" s="139"/>
      <c r="R303" s="139"/>
      <c r="S303" s="139"/>
      <c r="T303" s="139"/>
      <c r="U303" s="139"/>
      <c r="V303" s="139"/>
      <c r="W303" s="139"/>
      <c r="X303" s="139"/>
      <c r="Y303" s="139"/>
      <c r="Z303" s="139"/>
      <c r="AA303" s="139"/>
      <c r="AB303" s="139"/>
      <c r="AC303" s="139"/>
      <c r="AD303" s="139"/>
      <c r="AE303" s="139"/>
      <c r="AF303" s="139"/>
      <c r="AG303" s="139"/>
      <c r="AH303" s="139"/>
      <c r="AI303" s="139"/>
    </row>
    <row r="304">
      <c r="A304" s="139"/>
      <c r="B304" s="139"/>
      <c r="C304" s="139"/>
      <c r="D304" s="139"/>
      <c r="E304" s="139"/>
      <c r="F304" s="139"/>
      <c r="G304" s="139"/>
      <c r="H304" s="139"/>
      <c r="I304" s="139"/>
      <c r="J304" s="139"/>
      <c r="K304" s="140"/>
      <c r="L304" s="140"/>
      <c r="M304" s="140"/>
      <c r="N304" s="140"/>
      <c r="O304" s="140"/>
      <c r="P304" s="139"/>
      <c r="Q304" s="139"/>
      <c r="R304" s="139"/>
      <c r="S304" s="139"/>
      <c r="T304" s="139"/>
      <c r="U304" s="139"/>
      <c r="V304" s="139"/>
      <c r="W304" s="139"/>
      <c r="X304" s="139"/>
      <c r="Y304" s="139"/>
      <c r="Z304" s="139"/>
      <c r="AA304" s="139"/>
      <c r="AB304" s="139"/>
      <c r="AC304" s="139"/>
      <c r="AD304" s="139"/>
      <c r="AE304" s="139"/>
      <c r="AF304" s="139"/>
      <c r="AG304" s="139"/>
      <c r="AH304" s="139"/>
      <c r="AI304" s="139"/>
    </row>
    <row r="305">
      <c r="A305" s="139"/>
      <c r="B305" s="139"/>
      <c r="C305" s="139"/>
      <c r="D305" s="139"/>
      <c r="E305" s="139"/>
      <c r="F305" s="139"/>
      <c r="G305" s="139"/>
      <c r="H305" s="139"/>
      <c r="I305" s="139"/>
      <c r="J305" s="139"/>
      <c r="K305" s="140"/>
      <c r="L305" s="140"/>
      <c r="M305" s="140"/>
      <c r="N305" s="140"/>
      <c r="O305" s="140"/>
      <c r="P305" s="139"/>
      <c r="Q305" s="139"/>
      <c r="R305" s="139"/>
      <c r="S305" s="139"/>
      <c r="T305" s="139"/>
      <c r="U305" s="139"/>
      <c r="V305" s="139"/>
      <c r="W305" s="139"/>
      <c r="X305" s="139"/>
      <c r="Y305" s="139"/>
      <c r="Z305" s="139"/>
      <c r="AA305" s="139"/>
      <c r="AB305" s="139"/>
      <c r="AC305" s="139"/>
      <c r="AD305" s="139"/>
      <c r="AE305" s="139"/>
      <c r="AF305" s="139"/>
      <c r="AG305" s="139"/>
      <c r="AH305" s="139"/>
      <c r="AI305" s="139"/>
    </row>
    <row r="306">
      <c r="A306" s="139"/>
      <c r="B306" s="139"/>
      <c r="C306" s="139"/>
      <c r="D306" s="139"/>
      <c r="E306" s="139"/>
      <c r="F306" s="139"/>
      <c r="G306" s="139"/>
      <c r="H306" s="139"/>
      <c r="I306" s="139"/>
      <c r="J306" s="139"/>
      <c r="K306" s="140"/>
      <c r="L306" s="140"/>
      <c r="M306" s="140"/>
      <c r="N306" s="140"/>
      <c r="O306" s="140"/>
      <c r="P306" s="139"/>
      <c r="Q306" s="139"/>
      <c r="R306" s="139"/>
      <c r="S306" s="139"/>
      <c r="T306" s="139"/>
      <c r="U306" s="139"/>
      <c r="V306" s="139"/>
      <c r="W306" s="139"/>
      <c r="X306" s="139"/>
      <c r="Y306" s="139"/>
      <c r="Z306" s="139"/>
      <c r="AA306" s="139"/>
      <c r="AB306" s="139"/>
      <c r="AC306" s="139"/>
      <c r="AD306" s="139"/>
      <c r="AE306" s="139"/>
      <c r="AF306" s="139"/>
      <c r="AG306" s="139"/>
      <c r="AH306" s="139"/>
      <c r="AI306" s="139"/>
    </row>
    <row r="307">
      <c r="A307" s="139"/>
      <c r="B307" s="139"/>
      <c r="C307" s="139"/>
      <c r="D307" s="139"/>
      <c r="E307" s="139"/>
      <c r="F307" s="139"/>
      <c r="G307" s="139"/>
      <c r="H307" s="139"/>
      <c r="I307" s="139"/>
      <c r="J307" s="139"/>
      <c r="K307" s="140"/>
      <c r="L307" s="140"/>
      <c r="M307" s="140"/>
      <c r="N307" s="140"/>
      <c r="O307" s="140"/>
      <c r="P307" s="139"/>
      <c r="Q307" s="139"/>
      <c r="R307" s="139"/>
      <c r="S307" s="139"/>
      <c r="T307" s="139"/>
      <c r="U307" s="139"/>
      <c r="V307" s="139"/>
      <c r="W307" s="139"/>
      <c r="X307" s="139"/>
      <c r="Y307" s="139"/>
      <c r="Z307" s="139"/>
      <c r="AA307" s="139"/>
      <c r="AB307" s="139"/>
      <c r="AC307" s="139"/>
      <c r="AD307" s="139"/>
      <c r="AE307" s="139"/>
      <c r="AF307" s="139"/>
      <c r="AG307" s="139"/>
      <c r="AH307" s="139"/>
      <c r="AI307" s="139"/>
    </row>
    <row r="308">
      <c r="A308" s="139"/>
      <c r="B308" s="139"/>
      <c r="C308" s="139"/>
      <c r="D308" s="139"/>
      <c r="E308" s="139"/>
      <c r="F308" s="139"/>
      <c r="G308" s="139"/>
      <c r="H308" s="139"/>
      <c r="I308" s="139"/>
      <c r="J308" s="139"/>
      <c r="K308" s="140"/>
      <c r="L308" s="140"/>
      <c r="M308" s="140"/>
      <c r="N308" s="140"/>
      <c r="O308" s="140"/>
      <c r="P308" s="139"/>
      <c r="Q308" s="139"/>
      <c r="R308" s="139"/>
      <c r="S308" s="139"/>
      <c r="T308" s="139"/>
      <c r="U308" s="139"/>
      <c r="V308" s="139"/>
      <c r="W308" s="139"/>
      <c r="X308" s="139"/>
      <c r="Y308" s="139"/>
      <c r="Z308" s="139"/>
      <c r="AA308" s="139"/>
      <c r="AB308" s="139"/>
      <c r="AC308" s="139"/>
      <c r="AD308" s="139"/>
      <c r="AE308" s="139"/>
      <c r="AF308" s="139"/>
      <c r="AG308" s="139"/>
      <c r="AH308" s="139"/>
      <c r="AI308" s="139"/>
    </row>
    <row r="309">
      <c r="A309" s="139"/>
      <c r="B309" s="139"/>
      <c r="C309" s="139"/>
      <c r="D309" s="139"/>
      <c r="E309" s="139"/>
      <c r="F309" s="139"/>
      <c r="G309" s="139"/>
      <c r="H309" s="139"/>
      <c r="I309" s="139"/>
      <c r="J309" s="139"/>
      <c r="K309" s="140"/>
      <c r="L309" s="140"/>
      <c r="M309" s="140"/>
      <c r="N309" s="140"/>
      <c r="O309" s="140"/>
      <c r="P309" s="139"/>
      <c r="Q309" s="139"/>
      <c r="R309" s="139"/>
      <c r="S309" s="139"/>
      <c r="T309" s="139"/>
      <c r="U309" s="139"/>
      <c r="V309" s="139"/>
      <c r="W309" s="139"/>
      <c r="X309" s="139"/>
      <c r="Y309" s="139"/>
      <c r="Z309" s="139"/>
      <c r="AA309" s="139"/>
      <c r="AB309" s="139"/>
      <c r="AC309" s="139"/>
      <c r="AD309" s="139"/>
      <c r="AE309" s="139"/>
      <c r="AF309" s="139"/>
      <c r="AG309" s="139"/>
      <c r="AH309" s="139"/>
      <c r="AI309" s="139"/>
    </row>
    <row r="310">
      <c r="A310" s="139"/>
      <c r="B310" s="139"/>
      <c r="C310" s="139"/>
      <c r="D310" s="139"/>
      <c r="E310" s="139"/>
      <c r="F310" s="139"/>
      <c r="G310" s="139"/>
      <c r="H310" s="139"/>
      <c r="I310" s="139"/>
      <c r="J310" s="139"/>
      <c r="K310" s="140"/>
      <c r="L310" s="140"/>
      <c r="M310" s="140"/>
      <c r="N310" s="140"/>
      <c r="O310" s="140"/>
      <c r="P310" s="139"/>
      <c r="Q310" s="139"/>
      <c r="R310" s="139"/>
      <c r="S310" s="139"/>
      <c r="T310" s="139"/>
      <c r="U310" s="139"/>
      <c r="V310" s="139"/>
      <c r="W310" s="139"/>
      <c r="X310" s="139"/>
      <c r="Y310" s="139"/>
      <c r="Z310" s="139"/>
      <c r="AA310" s="139"/>
      <c r="AB310" s="139"/>
      <c r="AC310" s="139"/>
      <c r="AD310" s="139"/>
      <c r="AE310" s="139"/>
      <c r="AF310" s="139"/>
      <c r="AG310" s="139"/>
      <c r="AH310" s="139"/>
      <c r="AI310" s="139"/>
    </row>
    <row r="311">
      <c r="A311" s="139"/>
      <c r="B311" s="139"/>
      <c r="C311" s="139"/>
      <c r="D311" s="139"/>
      <c r="E311" s="139"/>
      <c r="F311" s="139"/>
      <c r="G311" s="139"/>
      <c r="H311" s="139"/>
      <c r="I311" s="139"/>
      <c r="J311" s="139"/>
      <c r="K311" s="140"/>
      <c r="L311" s="140"/>
      <c r="M311" s="140"/>
      <c r="N311" s="140"/>
      <c r="O311" s="140"/>
      <c r="P311" s="139"/>
      <c r="Q311" s="139"/>
      <c r="R311" s="139"/>
      <c r="S311" s="139"/>
      <c r="T311" s="139"/>
      <c r="U311" s="139"/>
      <c r="V311" s="139"/>
      <c r="W311" s="139"/>
      <c r="X311" s="139"/>
      <c r="Y311" s="139"/>
      <c r="Z311" s="139"/>
      <c r="AA311" s="139"/>
      <c r="AB311" s="139"/>
      <c r="AC311" s="139"/>
      <c r="AD311" s="139"/>
      <c r="AE311" s="139"/>
      <c r="AF311" s="139"/>
      <c r="AG311" s="139"/>
      <c r="AH311" s="139"/>
      <c r="AI311" s="139"/>
    </row>
    <row r="312">
      <c r="A312" s="139"/>
      <c r="B312" s="139"/>
      <c r="C312" s="139"/>
      <c r="D312" s="139"/>
      <c r="E312" s="139"/>
      <c r="F312" s="139"/>
      <c r="G312" s="139"/>
      <c r="H312" s="139"/>
      <c r="I312" s="139"/>
      <c r="J312" s="139"/>
      <c r="K312" s="140"/>
      <c r="L312" s="140"/>
      <c r="M312" s="140"/>
      <c r="N312" s="140"/>
      <c r="O312" s="140"/>
      <c r="P312" s="139"/>
      <c r="Q312" s="139"/>
      <c r="R312" s="139"/>
      <c r="S312" s="139"/>
      <c r="T312" s="139"/>
      <c r="U312" s="139"/>
      <c r="V312" s="139"/>
      <c r="W312" s="139"/>
      <c r="X312" s="139"/>
      <c r="Y312" s="139"/>
      <c r="Z312" s="139"/>
      <c r="AA312" s="139"/>
      <c r="AB312" s="139"/>
      <c r="AC312" s="139"/>
      <c r="AD312" s="139"/>
      <c r="AE312" s="139"/>
      <c r="AF312" s="139"/>
      <c r="AG312" s="139"/>
      <c r="AH312" s="139"/>
      <c r="AI312" s="139"/>
    </row>
    <row r="313">
      <c r="A313" s="139"/>
      <c r="B313" s="139"/>
      <c r="C313" s="139"/>
      <c r="D313" s="139"/>
      <c r="E313" s="139"/>
      <c r="F313" s="139"/>
      <c r="G313" s="139"/>
      <c r="H313" s="139"/>
      <c r="I313" s="139"/>
      <c r="J313" s="139"/>
      <c r="K313" s="140"/>
      <c r="L313" s="140"/>
      <c r="M313" s="140"/>
      <c r="N313" s="140"/>
      <c r="O313" s="140"/>
      <c r="P313" s="139"/>
      <c r="Q313" s="139"/>
      <c r="R313" s="139"/>
      <c r="S313" s="139"/>
      <c r="T313" s="139"/>
      <c r="U313" s="139"/>
      <c r="V313" s="139"/>
      <c r="W313" s="139"/>
      <c r="X313" s="139"/>
      <c r="Y313" s="139"/>
      <c r="Z313" s="139"/>
      <c r="AA313" s="139"/>
      <c r="AB313" s="139"/>
      <c r="AC313" s="139"/>
      <c r="AD313" s="139"/>
      <c r="AE313" s="139"/>
      <c r="AF313" s="139"/>
      <c r="AG313" s="139"/>
      <c r="AH313" s="139"/>
      <c r="AI313" s="139"/>
    </row>
    <row r="314">
      <c r="A314" s="139"/>
      <c r="B314" s="139"/>
      <c r="C314" s="139"/>
      <c r="D314" s="139"/>
      <c r="E314" s="139"/>
      <c r="F314" s="139"/>
      <c r="G314" s="139"/>
      <c r="H314" s="139"/>
      <c r="I314" s="139"/>
      <c r="J314" s="139"/>
      <c r="K314" s="140"/>
      <c r="L314" s="140"/>
      <c r="M314" s="140"/>
      <c r="N314" s="140"/>
      <c r="O314" s="140"/>
      <c r="P314" s="139"/>
      <c r="Q314" s="139"/>
      <c r="R314" s="139"/>
      <c r="S314" s="139"/>
      <c r="T314" s="139"/>
      <c r="U314" s="139"/>
      <c r="V314" s="139"/>
      <c r="W314" s="139"/>
      <c r="X314" s="139"/>
      <c r="Y314" s="139"/>
      <c r="Z314" s="139"/>
      <c r="AA314" s="139"/>
      <c r="AB314" s="139"/>
      <c r="AC314" s="139"/>
      <c r="AD314" s="139"/>
      <c r="AE314" s="139"/>
      <c r="AF314" s="139"/>
      <c r="AG314" s="139"/>
      <c r="AH314" s="139"/>
      <c r="AI314" s="139"/>
    </row>
    <row r="315">
      <c r="A315" s="139"/>
      <c r="B315" s="139"/>
      <c r="C315" s="139"/>
      <c r="D315" s="139"/>
      <c r="E315" s="139"/>
      <c r="F315" s="139"/>
      <c r="G315" s="139"/>
      <c r="H315" s="139"/>
      <c r="I315" s="139"/>
      <c r="J315" s="139"/>
      <c r="K315" s="140"/>
      <c r="L315" s="140"/>
      <c r="M315" s="140"/>
      <c r="N315" s="140"/>
      <c r="O315" s="140"/>
      <c r="P315" s="139"/>
      <c r="Q315" s="139"/>
      <c r="R315" s="139"/>
      <c r="S315" s="139"/>
      <c r="T315" s="139"/>
      <c r="U315" s="139"/>
      <c r="V315" s="139"/>
      <c r="W315" s="139"/>
      <c r="X315" s="139"/>
      <c r="Y315" s="139"/>
      <c r="Z315" s="139"/>
      <c r="AA315" s="139"/>
      <c r="AB315" s="139"/>
      <c r="AC315" s="139"/>
      <c r="AD315" s="139"/>
      <c r="AE315" s="139"/>
      <c r="AF315" s="139"/>
      <c r="AG315" s="139"/>
      <c r="AH315" s="139"/>
      <c r="AI315" s="139"/>
    </row>
    <row r="316">
      <c r="A316" s="139"/>
      <c r="B316" s="139"/>
      <c r="C316" s="139"/>
      <c r="D316" s="139"/>
      <c r="E316" s="139"/>
      <c r="F316" s="139"/>
      <c r="G316" s="139"/>
      <c r="H316" s="139"/>
      <c r="I316" s="139"/>
      <c r="J316" s="139"/>
      <c r="K316" s="140"/>
      <c r="L316" s="140"/>
      <c r="M316" s="140"/>
      <c r="N316" s="140"/>
      <c r="O316" s="140"/>
      <c r="P316" s="139"/>
      <c r="Q316" s="139"/>
      <c r="R316" s="139"/>
      <c r="S316" s="139"/>
      <c r="T316" s="139"/>
      <c r="U316" s="139"/>
      <c r="V316" s="139"/>
      <c r="W316" s="139"/>
      <c r="X316" s="139"/>
      <c r="Y316" s="139"/>
      <c r="Z316" s="139"/>
      <c r="AA316" s="139"/>
      <c r="AB316" s="139"/>
      <c r="AC316" s="139"/>
      <c r="AD316" s="139"/>
      <c r="AE316" s="139"/>
      <c r="AF316" s="139"/>
      <c r="AG316" s="139"/>
      <c r="AH316" s="139"/>
      <c r="AI316" s="139"/>
    </row>
    <row r="317">
      <c r="A317" s="139"/>
      <c r="B317" s="139"/>
      <c r="C317" s="139"/>
      <c r="D317" s="139"/>
      <c r="E317" s="139"/>
      <c r="F317" s="139"/>
      <c r="G317" s="139"/>
      <c r="H317" s="139"/>
      <c r="I317" s="139"/>
      <c r="J317" s="139"/>
      <c r="K317" s="140"/>
      <c r="L317" s="140"/>
      <c r="M317" s="140"/>
      <c r="N317" s="140"/>
      <c r="O317" s="140"/>
      <c r="P317" s="139"/>
      <c r="Q317" s="139"/>
      <c r="R317" s="139"/>
      <c r="S317" s="139"/>
      <c r="T317" s="139"/>
      <c r="U317" s="139"/>
      <c r="V317" s="139"/>
      <c r="W317" s="139"/>
      <c r="X317" s="139"/>
      <c r="Y317" s="139"/>
      <c r="Z317" s="139"/>
      <c r="AA317" s="139"/>
      <c r="AB317" s="139"/>
      <c r="AC317" s="139"/>
      <c r="AD317" s="139"/>
      <c r="AE317" s="139"/>
      <c r="AF317" s="139"/>
      <c r="AG317" s="139"/>
      <c r="AH317" s="139"/>
      <c r="AI317" s="139"/>
    </row>
    <row r="318">
      <c r="A318" s="139"/>
      <c r="B318" s="139"/>
      <c r="C318" s="139"/>
      <c r="D318" s="139"/>
      <c r="E318" s="139"/>
      <c r="F318" s="139"/>
      <c r="G318" s="139"/>
      <c r="H318" s="139"/>
      <c r="I318" s="139"/>
      <c r="J318" s="139"/>
      <c r="K318" s="140"/>
      <c r="L318" s="140"/>
      <c r="M318" s="140"/>
      <c r="N318" s="140"/>
      <c r="O318" s="140"/>
      <c r="P318" s="139"/>
      <c r="Q318" s="139"/>
      <c r="R318" s="139"/>
      <c r="S318" s="139"/>
      <c r="T318" s="139"/>
      <c r="U318" s="139"/>
      <c r="V318" s="139"/>
      <c r="W318" s="139"/>
      <c r="X318" s="139"/>
      <c r="Y318" s="139"/>
      <c r="Z318" s="139"/>
      <c r="AA318" s="139"/>
      <c r="AB318" s="139"/>
      <c r="AC318" s="139"/>
      <c r="AD318" s="139"/>
      <c r="AE318" s="139"/>
      <c r="AF318" s="139"/>
      <c r="AG318" s="139"/>
      <c r="AH318" s="139"/>
      <c r="AI318" s="139"/>
    </row>
    <row r="319">
      <c r="A319" s="139"/>
      <c r="B319" s="139"/>
      <c r="C319" s="139"/>
      <c r="D319" s="139"/>
      <c r="E319" s="139"/>
      <c r="F319" s="139"/>
      <c r="G319" s="139"/>
      <c r="H319" s="139"/>
      <c r="I319" s="139"/>
      <c r="J319" s="139"/>
      <c r="K319" s="140"/>
      <c r="L319" s="140"/>
      <c r="M319" s="140"/>
      <c r="N319" s="140"/>
      <c r="O319" s="140"/>
      <c r="P319" s="139"/>
      <c r="Q319" s="139"/>
      <c r="R319" s="139"/>
      <c r="S319" s="139"/>
      <c r="T319" s="139"/>
      <c r="U319" s="139"/>
      <c r="V319" s="139"/>
      <c r="W319" s="139"/>
      <c r="X319" s="139"/>
      <c r="Y319" s="139"/>
      <c r="Z319" s="139"/>
      <c r="AA319" s="139"/>
      <c r="AB319" s="139"/>
      <c r="AC319" s="139"/>
      <c r="AD319" s="139"/>
      <c r="AE319" s="139"/>
      <c r="AF319" s="139"/>
      <c r="AG319" s="139"/>
      <c r="AH319" s="139"/>
      <c r="AI319" s="139"/>
    </row>
    <row r="320">
      <c r="A320" s="139"/>
      <c r="B320" s="139"/>
      <c r="C320" s="139"/>
      <c r="D320" s="139"/>
      <c r="E320" s="139"/>
      <c r="F320" s="139"/>
      <c r="G320" s="139"/>
      <c r="H320" s="139"/>
      <c r="I320" s="139"/>
      <c r="J320" s="139"/>
      <c r="K320" s="140"/>
      <c r="L320" s="140"/>
      <c r="M320" s="140"/>
      <c r="N320" s="140"/>
      <c r="O320" s="140"/>
      <c r="P320" s="139"/>
      <c r="Q320" s="139"/>
      <c r="R320" s="139"/>
      <c r="S320" s="139"/>
      <c r="T320" s="139"/>
      <c r="U320" s="139"/>
      <c r="V320" s="139"/>
      <c r="W320" s="139"/>
      <c r="X320" s="139"/>
      <c r="Y320" s="139"/>
      <c r="Z320" s="139"/>
      <c r="AA320" s="139"/>
      <c r="AB320" s="139"/>
      <c r="AC320" s="139"/>
      <c r="AD320" s="139"/>
      <c r="AE320" s="139"/>
      <c r="AF320" s="139"/>
      <c r="AG320" s="139"/>
      <c r="AH320" s="139"/>
      <c r="AI320" s="139"/>
    </row>
    <row r="321">
      <c r="A321" s="139"/>
      <c r="B321" s="139"/>
      <c r="C321" s="139"/>
      <c r="D321" s="139"/>
      <c r="E321" s="139"/>
      <c r="F321" s="139"/>
      <c r="G321" s="139"/>
      <c r="H321" s="139"/>
      <c r="I321" s="139"/>
      <c r="J321" s="139"/>
      <c r="K321" s="140"/>
      <c r="L321" s="140"/>
      <c r="M321" s="140"/>
      <c r="N321" s="140"/>
      <c r="O321" s="140"/>
      <c r="P321" s="139"/>
      <c r="Q321" s="139"/>
      <c r="R321" s="139"/>
      <c r="S321" s="139"/>
      <c r="T321" s="139"/>
      <c r="U321" s="139"/>
      <c r="V321" s="139"/>
      <c r="W321" s="139"/>
      <c r="X321" s="139"/>
      <c r="Y321" s="139"/>
      <c r="Z321" s="139"/>
      <c r="AA321" s="139"/>
      <c r="AB321" s="139"/>
      <c r="AC321" s="139"/>
      <c r="AD321" s="139"/>
      <c r="AE321" s="139"/>
      <c r="AF321" s="139"/>
      <c r="AG321" s="139"/>
      <c r="AH321" s="139"/>
      <c r="AI321" s="139"/>
    </row>
    <row r="322">
      <c r="A322" s="139"/>
      <c r="B322" s="139"/>
      <c r="C322" s="139"/>
      <c r="D322" s="139"/>
      <c r="E322" s="139"/>
      <c r="F322" s="139"/>
      <c r="G322" s="139"/>
      <c r="H322" s="139"/>
      <c r="I322" s="139"/>
      <c r="J322" s="139"/>
      <c r="K322" s="140"/>
      <c r="L322" s="140"/>
      <c r="M322" s="140"/>
      <c r="N322" s="140"/>
      <c r="O322" s="140"/>
      <c r="P322" s="139"/>
      <c r="Q322" s="139"/>
      <c r="R322" s="139"/>
      <c r="S322" s="139"/>
      <c r="T322" s="139"/>
      <c r="U322" s="139"/>
      <c r="V322" s="139"/>
      <c r="W322" s="139"/>
      <c r="X322" s="139"/>
      <c r="Y322" s="139"/>
      <c r="Z322" s="139"/>
      <c r="AA322" s="139"/>
      <c r="AB322" s="139"/>
      <c r="AC322" s="139"/>
      <c r="AD322" s="139"/>
      <c r="AE322" s="139"/>
      <c r="AF322" s="139"/>
      <c r="AG322" s="139"/>
      <c r="AH322" s="139"/>
      <c r="AI322" s="139"/>
    </row>
    <row r="323">
      <c r="A323" s="139"/>
      <c r="B323" s="139"/>
      <c r="C323" s="139"/>
      <c r="D323" s="139"/>
      <c r="E323" s="139"/>
      <c r="F323" s="139"/>
      <c r="G323" s="139"/>
      <c r="H323" s="139"/>
      <c r="I323" s="139"/>
      <c r="J323" s="139"/>
      <c r="K323" s="140"/>
      <c r="L323" s="140"/>
      <c r="M323" s="140"/>
      <c r="N323" s="140"/>
      <c r="O323" s="140"/>
      <c r="P323" s="139"/>
      <c r="Q323" s="139"/>
      <c r="R323" s="139"/>
      <c r="S323" s="139"/>
      <c r="T323" s="139"/>
      <c r="U323" s="139"/>
      <c r="V323" s="139"/>
      <c r="W323" s="139"/>
      <c r="X323" s="139"/>
      <c r="Y323" s="139"/>
      <c r="Z323" s="139"/>
      <c r="AA323" s="139"/>
      <c r="AB323" s="139"/>
      <c r="AC323" s="139"/>
      <c r="AD323" s="139"/>
      <c r="AE323" s="139"/>
      <c r="AF323" s="139"/>
      <c r="AG323" s="139"/>
      <c r="AH323" s="139"/>
      <c r="AI323" s="139"/>
    </row>
    <row r="324">
      <c r="A324" s="139"/>
      <c r="B324" s="139"/>
      <c r="C324" s="139"/>
      <c r="D324" s="139"/>
      <c r="E324" s="139"/>
      <c r="F324" s="139"/>
      <c r="G324" s="139"/>
      <c r="H324" s="139"/>
      <c r="I324" s="139"/>
      <c r="J324" s="139"/>
      <c r="K324" s="140"/>
      <c r="L324" s="140"/>
      <c r="M324" s="140"/>
      <c r="N324" s="140"/>
      <c r="O324" s="140"/>
      <c r="P324" s="139"/>
      <c r="Q324" s="139"/>
      <c r="R324" s="139"/>
      <c r="S324" s="139"/>
      <c r="T324" s="139"/>
      <c r="U324" s="139"/>
      <c r="V324" s="139"/>
      <c r="W324" s="139"/>
      <c r="X324" s="139"/>
      <c r="Y324" s="139"/>
      <c r="Z324" s="139"/>
      <c r="AA324" s="139"/>
      <c r="AB324" s="139"/>
      <c r="AC324" s="139"/>
      <c r="AD324" s="139"/>
      <c r="AE324" s="139"/>
      <c r="AF324" s="139"/>
      <c r="AG324" s="139"/>
      <c r="AH324" s="139"/>
      <c r="AI324" s="139"/>
    </row>
    <row r="325">
      <c r="A325" s="139"/>
      <c r="B325" s="139"/>
      <c r="C325" s="139"/>
      <c r="D325" s="139"/>
      <c r="E325" s="139"/>
      <c r="F325" s="139"/>
      <c r="G325" s="139"/>
      <c r="H325" s="139"/>
      <c r="I325" s="139"/>
      <c r="J325" s="139"/>
      <c r="K325" s="140"/>
      <c r="L325" s="140"/>
      <c r="M325" s="140"/>
      <c r="N325" s="140"/>
      <c r="O325" s="140"/>
      <c r="P325" s="139"/>
      <c r="Q325" s="139"/>
      <c r="R325" s="139"/>
      <c r="S325" s="139"/>
      <c r="T325" s="139"/>
      <c r="U325" s="139"/>
      <c r="V325" s="139"/>
      <c r="W325" s="139"/>
      <c r="X325" s="139"/>
      <c r="Y325" s="139"/>
      <c r="Z325" s="139"/>
      <c r="AA325" s="139"/>
      <c r="AB325" s="139"/>
      <c r="AC325" s="139"/>
      <c r="AD325" s="139"/>
      <c r="AE325" s="139"/>
      <c r="AF325" s="139"/>
      <c r="AG325" s="139"/>
      <c r="AH325" s="139"/>
      <c r="AI325" s="139"/>
    </row>
    <row r="326">
      <c r="A326" s="139"/>
      <c r="B326" s="139"/>
      <c r="C326" s="139"/>
      <c r="D326" s="139"/>
      <c r="E326" s="139"/>
      <c r="F326" s="139"/>
      <c r="G326" s="139"/>
      <c r="H326" s="139"/>
      <c r="I326" s="139"/>
      <c r="J326" s="139"/>
      <c r="K326" s="140"/>
      <c r="L326" s="140"/>
      <c r="M326" s="140"/>
      <c r="N326" s="140"/>
      <c r="O326" s="140"/>
      <c r="P326" s="139"/>
      <c r="Q326" s="139"/>
      <c r="R326" s="139"/>
      <c r="S326" s="139"/>
      <c r="T326" s="139"/>
      <c r="U326" s="139"/>
      <c r="V326" s="139"/>
      <c r="W326" s="139"/>
      <c r="X326" s="139"/>
      <c r="Y326" s="139"/>
      <c r="Z326" s="139"/>
      <c r="AA326" s="139"/>
      <c r="AB326" s="139"/>
      <c r="AC326" s="139"/>
      <c r="AD326" s="139"/>
      <c r="AE326" s="139"/>
      <c r="AF326" s="139"/>
      <c r="AG326" s="139"/>
      <c r="AH326" s="139"/>
      <c r="AI326" s="139"/>
    </row>
    <row r="327">
      <c r="A327" s="139"/>
      <c r="B327" s="139"/>
      <c r="C327" s="139"/>
      <c r="D327" s="139"/>
      <c r="E327" s="139"/>
      <c r="F327" s="139"/>
      <c r="G327" s="139"/>
      <c r="H327" s="139"/>
      <c r="I327" s="139"/>
      <c r="J327" s="139"/>
      <c r="K327" s="140"/>
      <c r="L327" s="140"/>
      <c r="M327" s="140"/>
      <c r="N327" s="140"/>
      <c r="O327" s="140"/>
      <c r="P327" s="139"/>
      <c r="Q327" s="139"/>
      <c r="R327" s="139"/>
      <c r="S327" s="139"/>
      <c r="T327" s="139"/>
      <c r="U327" s="139"/>
      <c r="V327" s="139"/>
      <c r="W327" s="139"/>
      <c r="X327" s="139"/>
      <c r="Y327" s="139"/>
      <c r="Z327" s="139"/>
      <c r="AA327" s="139"/>
      <c r="AB327" s="139"/>
      <c r="AC327" s="139"/>
      <c r="AD327" s="139"/>
      <c r="AE327" s="139"/>
      <c r="AF327" s="139"/>
      <c r="AG327" s="139"/>
      <c r="AH327" s="139"/>
      <c r="AI327" s="139"/>
    </row>
    <row r="328">
      <c r="A328" s="139"/>
      <c r="B328" s="139"/>
      <c r="C328" s="139"/>
      <c r="D328" s="139"/>
      <c r="E328" s="139"/>
      <c r="F328" s="139"/>
      <c r="G328" s="139"/>
      <c r="H328" s="139"/>
      <c r="I328" s="139"/>
      <c r="J328" s="139"/>
      <c r="K328" s="140"/>
      <c r="L328" s="140"/>
      <c r="M328" s="140"/>
      <c r="N328" s="140"/>
      <c r="O328" s="140"/>
      <c r="P328" s="139"/>
      <c r="Q328" s="139"/>
      <c r="R328" s="139"/>
      <c r="S328" s="139"/>
      <c r="T328" s="139"/>
      <c r="U328" s="139"/>
      <c r="V328" s="139"/>
      <c r="W328" s="139"/>
      <c r="X328" s="139"/>
      <c r="Y328" s="139"/>
      <c r="Z328" s="139"/>
      <c r="AA328" s="139"/>
      <c r="AB328" s="139"/>
      <c r="AC328" s="139"/>
      <c r="AD328" s="139"/>
      <c r="AE328" s="139"/>
      <c r="AF328" s="139"/>
      <c r="AG328" s="139"/>
      <c r="AH328" s="139"/>
      <c r="AI328" s="139"/>
    </row>
    <row r="329">
      <c r="A329" s="139"/>
      <c r="B329" s="139"/>
      <c r="C329" s="139"/>
      <c r="D329" s="139"/>
      <c r="E329" s="139"/>
      <c r="F329" s="139"/>
      <c r="G329" s="139"/>
      <c r="H329" s="139"/>
      <c r="I329" s="139"/>
      <c r="J329" s="139"/>
      <c r="K329" s="140"/>
      <c r="L329" s="140"/>
      <c r="M329" s="140"/>
      <c r="N329" s="140"/>
      <c r="O329" s="140"/>
      <c r="P329" s="139"/>
      <c r="Q329" s="139"/>
      <c r="R329" s="139"/>
      <c r="S329" s="139"/>
      <c r="T329" s="139"/>
      <c r="U329" s="139"/>
      <c r="V329" s="139"/>
      <c r="W329" s="139"/>
      <c r="X329" s="139"/>
      <c r="Y329" s="139"/>
      <c r="Z329" s="139"/>
      <c r="AA329" s="139"/>
      <c r="AB329" s="139"/>
      <c r="AC329" s="139"/>
      <c r="AD329" s="139"/>
      <c r="AE329" s="139"/>
      <c r="AF329" s="139"/>
      <c r="AG329" s="139"/>
      <c r="AH329" s="139"/>
      <c r="AI329" s="139"/>
    </row>
    <row r="330">
      <c r="A330" s="139"/>
      <c r="B330" s="139"/>
      <c r="C330" s="139"/>
      <c r="D330" s="139"/>
      <c r="E330" s="139"/>
      <c r="F330" s="139"/>
      <c r="G330" s="139"/>
      <c r="H330" s="139"/>
      <c r="I330" s="139"/>
      <c r="J330" s="139"/>
      <c r="K330" s="140"/>
      <c r="L330" s="140"/>
      <c r="M330" s="140"/>
      <c r="N330" s="140"/>
      <c r="O330" s="140"/>
      <c r="P330" s="139"/>
      <c r="Q330" s="139"/>
      <c r="R330" s="139"/>
      <c r="S330" s="139"/>
      <c r="T330" s="139"/>
      <c r="U330" s="139"/>
      <c r="V330" s="139"/>
      <c r="W330" s="139"/>
      <c r="X330" s="139"/>
      <c r="Y330" s="139"/>
      <c r="Z330" s="139"/>
      <c r="AA330" s="139"/>
      <c r="AB330" s="139"/>
      <c r="AC330" s="139"/>
      <c r="AD330" s="139"/>
      <c r="AE330" s="139"/>
      <c r="AF330" s="139"/>
      <c r="AG330" s="139"/>
      <c r="AH330" s="139"/>
      <c r="AI330" s="139"/>
    </row>
    <row r="331">
      <c r="A331" s="139"/>
      <c r="B331" s="139"/>
      <c r="C331" s="139"/>
      <c r="D331" s="139"/>
      <c r="E331" s="139"/>
      <c r="F331" s="139"/>
      <c r="G331" s="139"/>
      <c r="H331" s="139"/>
      <c r="I331" s="139"/>
      <c r="J331" s="139"/>
      <c r="K331" s="140"/>
      <c r="L331" s="140"/>
      <c r="M331" s="140"/>
      <c r="N331" s="140"/>
      <c r="O331" s="140"/>
      <c r="P331" s="139"/>
      <c r="Q331" s="139"/>
      <c r="R331" s="139"/>
      <c r="S331" s="139"/>
      <c r="T331" s="139"/>
      <c r="U331" s="139"/>
      <c r="V331" s="139"/>
      <c r="W331" s="139"/>
      <c r="X331" s="139"/>
      <c r="Y331" s="139"/>
      <c r="Z331" s="139"/>
      <c r="AA331" s="139"/>
      <c r="AB331" s="139"/>
      <c r="AC331" s="139"/>
      <c r="AD331" s="139"/>
      <c r="AE331" s="139"/>
      <c r="AF331" s="139"/>
      <c r="AG331" s="139"/>
      <c r="AH331" s="139"/>
      <c r="AI331" s="139"/>
    </row>
    <row r="332">
      <c r="A332" s="139"/>
      <c r="B332" s="139"/>
      <c r="C332" s="139"/>
      <c r="D332" s="139"/>
      <c r="E332" s="139"/>
      <c r="F332" s="139"/>
      <c r="G332" s="139"/>
      <c r="H332" s="139"/>
      <c r="I332" s="139"/>
      <c r="J332" s="139"/>
      <c r="K332" s="140"/>
      <c r="L332" s="140"/>
      <c r="M332" s="140"/>
      <c r="N332" s="140"/>
      <c r="O332" s="140"/>
      <c r="P332" s="139"/>
      <c r="Q332" s="139"/>
      <c r="R332" s="139"/>
      <c r="S332" s="139"/>
      <c r="T332" s="139"/>
      <c r="U332" s="139"/>
      <c r="V332" s="139"/>
      <c r="W332" s="139"/>
      <c r="X332" s="139"/>
      <c r="Y332" s="139"/>
      <c r="Z332" s="139"/>
      <c r="AA332" s="139"/>
      <c r="AB332" s="139"/>
      <c r="AC332" s="139"/>
      <c r="AD332" s="139"/>
      <c r="AE332" s="139"/>
      <c r="AF332" s="139"/>
      <c r="AG332" s="139"/>
      <c r="AH332" s="139"/>
      <c r="AI332" s="139"/>
    </row>
    <row r="333">
      <c r="A333" s="139"/>
      <c r="B333" s="139"/>
      <c r="C333" s="139"/>
      <c r="D333" s="139"/>
      <c r="E333" s="139"/>
      <c r="F333" s="139"/>
      <c r="G333" s="139"/>
      <c r="H333" s="139"/>
      <c r="I333" s="139"/>
      <c r="J333" s="139"/>
      <c r="K333" s="140"/>
      <c r="L333" s="140"/>
      <c r="M333" s="140"/>
      <c r="N333" s="140"/>
      <c r="O333" s="140"/>
      <c r="P333" s="139"/>
      <c r="Q333" s="139"/>
      <c r="R333" s="139"/>
      <c r="S333" s="139"/>
      <c r="T333" s="139"/>
      <c r="U333" s="139"/>
      <c r="V333" s="139"/>
      <c r="W333" s="139"/>
      <c r="X333" s="139"/>
      <c r="Y333" s="139"/>
      <c r="Z333" s="139"/>
      <c r="AA333" s="139"/>
      <c r="AB333" s="139"/>
      <c r="AC333" s="139"/>
      <c r="AD333" s="139"/>
      <c r="AE333" s="139"/>
      <c r="AF333" s="139"/>
      <c r="AG333" s="139"/>
      <c r="AH333" s="139"/>
      <c r="AI333" s="139"/>
    </row>
    <row r="334">
      <c r="A334" s="139"/>
      <c r="B334" s="139"/>
      <c r="C334" s="139"/>
      <c r="D334" s="139"/>
      <c r="E334" s="139"/>
      <c r="F334" s="139"/>
      <c r="G334" s="139"/>
      <c r="H334" s="139"/>
      <c r="I334" s="139"/>
      <c r="J334" s="139"/>
      <c r="K334" s="140"/>
      <c r="L334" s="140"/>
      <c r="M334" s="140"/>
      <c r="N334" s="140"/>
      <c r="O334" s="140"/>
      <c r="P334" s="139"/>
      <c r="Q334" s="139"/>
      <c r="R334" s="139"/>
      <c r="S334" s="139"/>
      <c r="T334" s="139"/>
      <c r="U334" s="139"/>
      <c r="V334" s="139"/>
      <c r="W334" s="139"/>
      <c r="X334" s="139"/>
      <c r="Y334" s="139"/>
      <c r="Z334" s="139"/>
      <c r="AA334" s="139"/>
      <c r="AB334" s="139"/>
      <c r="AC334" s="139"/>
      <c r="AD334" s="139"/>
      <c r="AE334" s="139"/>
      <c r="AF334" s="139"/>
      <c r="AG334" s="139"/>
      <c r="AH334" s="139"/>
      <c r="AI334" s="139"/>
    </row>
    <row r="335">
      <c r="A335" s="139"/>
      <c r="B335" s="139"/>
      <c r="C335" s="139"/>
      <c r="D335" s="139"/>
      <c r="E335" s="139"/>
      <c r="F335" s="139"/>
      <c r="G335" s="139"/>
      <c r="H335" s="139"/>
      <c r="I335" s="139"/>
      <c r="J335" s="139"/>
      <c r="K335" s="140"/>
      <c r="L335" s="140"/>
      <c r="M335" s="140"/>
      <c r="N335" s="140"/>
      <c r="O335" s="140"/>
      <c r="P335" s="139"/>
      <c r="Q335" s="139"/>
      <c r="R335" s="139"/>
      <c r="S335" s="139"/>
      <c r="T335" s="139"/>
      <c r="U335" s="139"/>
      <c r="V335" s="139"/>
      <c r="W335" s="139"/>
      <c r="X335" s="139"/>
      <c r="Y335" s="139"/>
      <c r="Z335" s="139"/>
      <c r="AA335" s="139"/>
      <c r="AB335" s="139"/>
      <c r="AC335" s="139"/>
      <c r="AD335" s="139"/>
      <c r="AE335" s="139"/>
      <c r="AF335" s="139"/>
      <c r="AG335" s="139"/>
      <c r="AH335" s="139"/>
      <c r="AI335" s="139"/>
    </row>
    <row r="336">
      <c r="A336" s="139"/>
      <c r="B336" s="139"/>
      <c r="C336" s="139"/>
      <c r="D336" s="139"/>
      <c r="E336" s="139"/>
      <c r="F336" s="139"/>
      <c r="G336" s="139"/>
      <c r="H336" s="139"/>
      <c r="I336" s="139"/>
      <c r="J336" s="139"/>
      <c r="K336" s="140"/>
      <c r="L336" s="140"/>
      <c r="M336" s="140"/>
      <c r="N336" s="140"/>
      <c r="O336" s="140"/>
      <c r="P336" s="139"/>
      <c r="Q336" s="139"/>
      <c r="R336" s="139"/>
      <c r="S336" s="139"/>
      <c r="T336" s="139"/>
      <c r="U336" s="139"/>
      <c r="V336" s="139"/>
      <c r="W336" s="139"/>
      <c r="X336" s="139"/>
      <c r="Y336" s="139"/>
      <c r="Z336" s="139"/>
      <c r="AA336" s="139"/>
      <c r="AB336" s="139"/>
      <c r="AC336" s="139"/>
      <c r="AD336" s="139"/>
      <c r="AE336" s="139"/>
      <c r="AF336" s="139"/>
      <c r="AG336" s="139"/>
      <c r="AH336" s="139"/>
      <c r="AI336" s="139"/>
    </row>
    <row r="337">
      <c r="A337" s="139"/>
      <c r="B337" s="139"/>
      <c r="C337" s="139"/>
      <c r="D337" s="139"/>
      <c r="E337" s="139"/>
      <c r="F337" s="139"/>
      <c r="G337" s="139"/>
      <c r="H337" s="139"/>
      <c r="I337" s="139"/>
      <c r="J337" s="139"/>
      <c r="K337" s="140"/>
      <c r="L337" s="140"/>
      <c r="M337" s="140"/>
      <c r="N337" s="140"/>
      <c r="O337" s="140"/>
      <c r="P337" s="139"/>
      <c r="Q337" s="139"/>
      <c r="R337" s="139"/>
      <c r="S337" s="139"/>
      <c r="T337" s="139"/>
      <c r="U337" s="139"/>
      <c r="V337" s="139"/>
      <c r="W337" s="139"/>
      <c r="X337" s="139"/>
      <c r="Y337" s="139"/>
      <c r="Z337" s="139"/>
      <c r="AA337" s="139"/>
      <c r="AB337" s="139"/>
      <c r="AC337" s="139"/>
      <c r="AD337" s="139"/>
      <c r="AE337" s="139"/>
      <c r="AF337" s="139"/>
      <c r="AG337" s="139"/>
      <c r="AH337" s="139"/>
      <c r="AI337" s="139"/>
    </row>
    <row r="338">
      <c r="A338" s="139"/>
      <c r="B338" s="139"/>
      <c r="C338" s="139"/>
      <c r="D338" s="139"/>
      <c r="E338" s="139"/>
      <c r="F338" s="139"/>
      <c r="G338" s="139"/>
      <c r="H338" s="139"/>
      <c r="I338" s="139"/>
      <c r="J338" s="139"/>
      <c r="K338" s="140"/>
      <c r="L338" s="140"/>
      <c r="M338" s="140"/>
      <c r="N338" s="140"/>
      <c r="O338" s="140"/>
      <c r="P338" s="139"/>
      <c r="Q338" s="139"/>
      <c r="R338" s="139"/>
      <c r="S338" s="139"/>
      <c r="T338" s="139"/>
      <c r="U338" s="139"/>
      <c r="V338" s="139"/>
      <c r="W338" s="139"/>
      <c r="X338" s="139"/>
      <c r="Y338" s="139"/>
      <c r="Z338" s="139"/>
      <c r="AA338" s="139"/>
      <c r="AB338" s="139"/>
      <c r="AC338" s="139"/>
      <c r="AD338" s="139"/>
      <c r="AE338" s="139"/>
      <c r="AF338" s="139"/>
      <c r="AG338" s="139"/>
      <c r="AH338" s="139"/>
      <c r="AI338" s="139"/>
    </row>
    <row r="339">
      <c r="A339" s="139"/>
      <c r="B339" s="139"/>
      <c r="C339" s="139"/>
      <c r="D339" s="139"/>
      <c r="E339" s="139"/>
      <c r="F339" s="139"/>
      <c r="G339" s="139"/>
      <c r="H339" s="139"/>
      <c r="I339" s="139"/>
      <c r="J339" s="139"/>
      <c r="K339" s="140"/>
      <c r="L339" s="140"/>
      <c r="M339" s="140"/>
      <c r="N339" s="140"/>
      <c r="O339" s="140"/>
      <c r="P339" s="139"/>
      <c r="Q339" s="139"/>
      <c r="R339" s="139"/>
      <c r="S339" s="139"/>
      <c r="T339" s="139"/>
      <c r="U339" s="139"/>
      <c r="V339" s="139"/>
      <c r="W339" s="139"/>
      <c r="X339" s="139"/>
      <c r="Y339" s="139"/>
      <c r="Z339" s="139"/>
      <c r="AA339" s="139"/>
      <c r="AB339" s="139"/>
      <c r="AC339" s="139"/>
      <c r="AD339" s="139"/>
      <c r="AE339" s="139"/>
      <c r="AF339" s="139"/>
      <c r="AG339" s="139"/>
      <c r="AH339" s="139"/>
      <c r="AI339" s="139"/>
    </row>
    <row r="340">
      <c r="A340" s="139"/>
      <c r="B340" s="139"/>
      <c r="C340" s="139"/>
      <c r="D340" s="139"/>
      <c r="E340" s="139"/>
      <c r="F340" s="139"/>
      <c r="G340" s="139"/>
      <c r="H340" s="139"/>
      <c r="I340" s="139"/>
      <c r="J340" s="139"/>
      <c r="K340" s="140"/>
      <c r="L340" s="140"/>
      <c r="M340" s="140"/>
      <c r="N340" s="140"/>
      <c r="O340" s="140"/>
      <c r="P340" s="139"/>
      <c r="Q340" s="139"/>
      <c r="R340" s="139"/>
      <c r="S340" s="139"/>
      <c r="T340" s="139"/>
      <c r="U340" s="139"/>
      <c r="V340" s="139"/>
      <c r="W340" s="139"/>
      <c r="X340" s="139"/>
      <c r="Y340" s="139"/>
      <c r="Z340" s="139"/>
      <c r="AA340" s="139"/>
      <c r="AB340" s="139"/>
      <c r="AC340" s="139"/>
      <c r="AD340" s="139"/>
      <c r="AE340" s="139"/>
      <c r="AF340" s="139"/>
      <c r="AG340" s="139"/>
      <c r="AH340" s="139"/>
      <c r="AI340" s="139"/>
    </row>
    <row r="341">
      <c r="A341" s="139"/>
      <c r="B341" s="139"/>
      <c r="C341" s="139"/>
      <c r="D341" s="139"/>
      <c r="E341" s="139"/>
      <c r="F341" s="139"/>
      <c r="G341" s="139"/>
      <c r="H341" s="139"/>
      <c r="I341" s="139"/>
      <c r="J341" s="139"/>
      <c r="K341" s="140"/>
      <c r="L341" s="140"/>
      <c r="M341" s="140"/>
      <c r="N341" s="140"/>
      <c r="O341" s="140"/>
      <c r="P341" s="139"/>
      <c r="Q341" s="139"/>
      <c r="R341" s="139"/>
      <c r="S341" s="139"/>
      <c r="T341" s="139"/>
      <c r="U341" s="139"/>
      <c r="V341" s="139"/>
      <c r="W341" s="139"/>
      <c r="X341" s="139"/>
      <c r="Y341" s="139"/>
      <c r="Z341" s="139"/>
      <c r="AA341" s="139"/>
      <c r="AB341" s="139"/>
      <c r="AC341" s="139"/>
      <c r="AD341" s="139"/>
      <c r="AE341" s="139"/>
      <c r="AF341" s="139"/>
      <c r="AG341" s="139"/>
      <c r="AH341" s="139"/>
      <c r="AI341" s="139"/>
    </row>
    <row r="342">
      <c r="A342" s="139"/>
      <c r="B342" s="139"/>
      <c r="C342" s="139"/>
      <c r="D342" s="139"/>
      <c r="E342" s="139"/>
      <c r="F342" s="139"/>
      <c r="G342" s="139"/>
      <c r="H342" s="139"/>
      <c r="I342" s="139"/>
      <c r="J342" s="139"/>
      <c r="K342" s="140"/>
      <c r="L342" s="140"/>
      <c r="M342" s="140"/>
      <c r="N342" s="140"/>
      <c r="O342" s="140"/>
      <c r="P342" s="139"/>
      <c r="Q342" s="139"/>
      <c r="R342" s="139"/>
      <c r="S342" s="139"/>
      <c r="T342" s="139"/>
      <c r="U342" s="139"/>
      <c r="V342" s="139"/>
      <c r="W342" s="139"/>
      <c r="X342" s="139"/>
      <c r="Y342" s="139"/>
      <c r="Z342" s="139"/>
      <c r="AA342" s="139"/>
      <c r="AB342" s="139"/>
      <c r="AC342" s="139"/>
      <c r="AD342" s="139"/>
      <c r="AE342" s="139"/>
      <c r="AF342" s="139"/>
      <c r="AG342" s="139"/>
      <c r="AH342" s="139"/>
      <c r="AI342" s="139"/>
    </row>
    <row r="343">
      <c r="A343" s="139"/>
      <c r="B343" s="139"/>
      <c r="C343" s="139"/>
      <c r="D343" s="139"/>
      <c r="E343" s="139"/>
      <c r="F343" s="139"/>
      <c r="G343" s="139"/>
      <c r="H343" s="139"/>
      <c r="I343" s="139"/>
      <c r="J343" s="139"/>
      <c r="K343" s="140"/>
      <c r="L343" s="140"/>
      <c r="M343" s="140"/>
      <c r="N343" s="140"/>
      <c r="O343" s="140"/>
      <c r="P343" s="139"/>
      <c r="Q343" s="139"/>
      <c r="R343" s="139"/>
      <c r="S343" s="139"/>
      <c r="T343" s="139"/>
      <c r="U343" s="139"/>
      <c r="V343" s="139"/>
      <c r="W343" s="139"/>
      <c r="X343" s="139"/>
      <c r="Y343" s="139"/>
      <c r="Z343" s="139"/>
      <c r="AA343" s="139"/>
      <c r="AB343" s="139"/>
      <c r="AC343" s="139"/>
      <c r="AD343" s="139"/>
      <c r="AE343" s="139"/>
      <c r="AF343" s="139"/>
      <c r="AG343" s="139"/>
      <c r="AH343" s="139"/>
      <c r="AI343" s="139"/>
    </row>
    <row r="344">
      <c r="A344" s="139"/>
      <c r="B344" s="139"/>
      <c r="C344" s="139"/>
      <c r="D344" s="139"/>
      <c r="E344" s="139"/>
      <c r="F344" s="139"/>
      <c r="G344" s="139"/>
      <c r="H344" s="139"/>
      <c r="I344" s="139"/>
      <c r="J344" s="139"/>
      <c r="K344" s="140"/>
      <c r="L344" s="140"/>
      <c r="M344" s="140"/>
      <c r="N344" s="140"/>
      <c r="O344" s="140"/>
      <c r="P344" s="139"/>
      <c r="Q344" s="139"/>
      <c r="R344" s="139"/>
      <c r="S344" s="139"/>
      <c r="T344" s="139"/>
      <c r="U344" s="139"/>
      <c r="V344" s="139"/>
      <c r="W344" s="139"/>
      <c r="X344" s="139"/>
      <c r="Y344" s="139"/>
      <c r="Z344" s="139"/>
      <c r="AA344" s="139"/>
      <c r="AB344" s="139"/>
      <c r="AC344" s="139"/>
      <c r="AD344" s="139"/>
      <c r="AE344" s="139"/>
      <c r="AF344" s="139"/>
      <c r="AG344" s="139"/>
      <c r="AH344" s="139"/>
      <c r="AI344" s="139"/>
    </row>
    <row r="345">
      <c r="A345" s="139"/>
      <c r="B345" s="139"/>
      <c r="C345" s="139"/>
      <c r="D345" s="139"/>
      <c r="E345" s="139"/>
      <c r="F345" s="139"/>
      <c r="G345" s="139"/>
      <c r="H345" s="139"/>
      <c r="I345" s="139"/>
      <c r="J345" s="139"/>
      <c r="K345" s="140"/>
      <c r="L345" s="140"/>
      <c r="M345" s="140"/>
      <c r="N345" s="140"/>
      <c r="O345" s="140"/>
      <c r="P345" s="139"/>
      <c r="Q345" s="139"/>
      <c r="R345" s="139"/>
      <c r="S345" s="139"/>
      <c r="T345" s="139"/>
      <c r="U345" s="139"/>
      <c r="V345" s="139"/>
      <c r="W345" s="139"/>
      <c r="X345" s="139"/>
      <c r="Y345" s="139"/>
      <c r="Z345" s="139"/>
      <c r="AA345" s="139"/>
      <c r="AB345" s="139"/>
      <c r="AC345" s="139"/>
      <c r="AD345" s="139"/>
      <c r="AE345" s="139"/>
      <c r="AF345" s="139"/>
      <c r="AG345" s="139"/>
      <c r="AH345" s="139"/>
      <c r="AI345" s="139"/>
    </row>
    <row r="346">
      <c r="A346" s="139"/>
      <c r="B346" s="139"/>
      <c r="C346" s="139"/>
      <c r="D346" s="139"/>
      <c r="E346" s="139"/>
      <c r="F346" s="139"/>
      <c r="G346" s="139"/>
      <c r="H346" s="139"/>
      <c r="I346" s="139"/>
      <c r="J346" s="139"/>
      <c r="K346" s="140"/>
      <c r="L346" s="140"/>
      <c r="M346" s="140"/>
      <c r="N346" s="140"/>
      <c r="O346" s="140"/>
      <c r="P346" s="139"/>
      <c r="Q346" s="139"/>
      <c r="R346" s="139"/>
      <c r="S346" s="139"/>
      <c r="T346" s="139"/>
      <c r="U346" s="139"/>
      <c r="V346" s="139"/>
      <c r="W346" s="139"/>
      <c r="X346" s="139"/>
      <c r="Y346" s="139"/>
      <c r="Z346" s="139"/>
      <c r="AA346" s="139"/>
      <c r="AB346" s="139"/>
      <c r="AC346" s="139"/>
      <c r="AD346" s="139"/>
      <c r="AE346" s="139"/>
      <c r="AF346" s="139"/>
      <c r="AG346" s="139"/>
      <c r="AH346" s="139"/>
      <c r="AI346" s="139"/>
    </row>
    <row r="347">
      <c r="A347" s="139"/>
      <c r="B347" s="139"/>
      <c r="C347" s="139"/>
      <c r="D347" s="139"/>
      <c r="E347" s="139"/>
      <c r="F347" s="139"/>
      <c r="G347" s="139"/>
      <c r="H347" s="139"/>
      <c r="I347" s="139"/>
      <c r="J347" s="139"/>
      <c r="K347" s="140"/>
      <c r="L347" s="140"/>
      <c r="M347" s="140"/>
      <c r="N347" s="140"/>
      <c r="O347" s="140"/>
      <c r="P347" s="139"/>
      <c r="Q347" s="139"/>
      <c r="R347" s="139"/>
      <c r="S347" s="139"/>
      <c r="T347" s="139"/>
      <c r="U347" s="139"/>
      <c r="V347" s="139"/>
      <c r="W347" s="139"/>
      <c r="X347" s="139"/>
      <c r="Y347" s="139"/>
      <c r="Z347" s="139"/>
      <c r="AA347" s="139"/>
      <c r="AB347" s="139"/>
      <c r="AC347" s="139"/>
      <c r="AD347" s="139"/>
      <c r="AE347" s="139"/>
      <c r="AF347" s="139"/>
      <c r="AG347" s="139"/>
      <c r="AH347" s="139"/>
      <c r="AI347" s="139"/>
    </row>
    <row r="348">
      <c r="A348" s="139"/>
      <c r="B348" s="139"/>
      <c r="C348" s="139"/>
      <c r="D348" s="139"/>
      <c r="E348" s="139"/>
      <c r="F348" s="139"/>
      <c r="G348" s="139"/>
      <c r="H348" s="139"/>
      <c r="I348" s="139"/>
      <c r="J348" s="139"/>
      <c r="K348" s="140"/>
      <c r="L348" s="140"/>
      <c r="M348" s="140"/>
      <c r="N348" s="140"/>
      <c r="O348" s="140"/>
      <c r="P348" s="139"/>
      <c r="Q348" s="139"/>
      <c r="R348" s="139"/>
      <c r="S348" s="139"/>
      <c r="T348" s="139"/>
      <c r="U348" s="139"/>
      <c r="V348" s="139"/>
      <c r="W348" s="139"/>
      <c r="X348" s="139"/>
      <c r="Y348" s="139"/>
      <c r="Z348" s="139"/>
      <c r="AA348" s="139"/>
      <c r="AB348" s="139"/>
      <c r="AC348" s="139"/>
      <c r="AD348" s="139"/>
      <c r="AE348" s="139"/>
      <c r="AF348" s="139"/>
      <c r="AG348" s="139"/>
      <c r="AH348" s="139"/>
      <c r="AI348" s="139"/>
    </row>
    <row r="349">
      <c r="A349" s="139"/>
      <c r="B349" s="139"/>
      <c r="C349" s="139"/>
      <c r="D349" s="139"/>
      <c r="E349" s="139"/>
      <c r="F349" s="139"/>
      <c r="G349" s="139"/>
      <c r="H349" s="139"/>
      <c r="I349" s="139"/>
      <c r="J349" s="139"/>
      <c r="K349" s="140"/>
      <c r="L349" s="140"/>
      <c r="M349" s="140"/>
      <c r="N349" s="140"/>
      <c r="O349" s="140"/>
      <c r="P349" s="139"/>
      <c r="Q349" s="139"/>
      <c r="R349" s="139"/>
      <c r="S349" s="139"/>
      <c r="T349" s="139"/>
      <c r="U349" s="139"/>
      <c r="V349" s="139"/>
      <c r="W349" s="139"/>
      <c r="X349" s="139"/>
      <c r="Y349" s="139"/>
      <c r="Z349" s="139"/>
      <c r="AA349" s="139"/>
      <c r="AB349" s="139"/>
      <c r="AC349" s="139"/>
      <c r="AD349" s="139"/>
      <c r="AE349" s="139"/>
      <c r="AF349" s="139"/>
      <c r="AG349" s="139"/>
      <c r="AH349" s="139"/>
      <c r="AI349" s="139"/>
    </row>
    <row r="350">
      <c r="A350" s="139"/>
      <c r="B350" s="139"/>
      <c r="C350" s="139"/>
      <c r="D350" s="139"/>
      <c r="E350" s="139"/>
      <c r="F350" s="139"/>
      <c r="G350" s="139"/>
      <c r="H350" s="139"/>
      <c r="I350" s="139"/>
      <c r="J350" s="139"/>
      <c r="K350" s="140"/>
      <c r="L350" s="140"/>
      <c r="M350" s="140"/>
      <c r="N350" s="140"/>
      <c r="O350" s="140"/>
      <c r="P350" s="139"/>
      <c r="Q350" s="139"/>
      <c r="R350" s="139"/>
      <c r="S350" s="139"/>
      <c r="T350" s="139"/>
      <c r="U350" s="139"/>
      <c r="V350" s="139"/>
      <c r="W350" s="139"/>
      <c r="X350" s="139"/>
      <c r="Y350" s="139"/>
      <c r="Z350" s="139"/>
      <c r="AA350" s="139"/>
      <c r="AB350" s="139"/>
      <c r="AC350" s="139"/>
      <c r="AD350" s="139"/>
      <c r="AE350" s="139"/>
      <c r="AF350" s="139"/>
      <c r="AG350" s="139"/>
      <c r="AH350" s="139"/>
      <c r="AI350" s="139"/>
    </row>
    <row r="351">
      <c r="A351" s="139"/>
      <c r="B351" s="139"/>
      <c r="C351" s="139"/>
      <c r="D351" s="139"/>
      <c r="E351" s="139"/>
      <c r="F351" s="139"/>
      <c r="G351" s="139"/>
      <c r="H351" s="139"/>
      <c r="I351" s="139"/>
      <c r="J351" s="139"/>
      <c r="K351" s="140"/>
      <c r="L351" s="140"/>
      <c r="M351" s="140"/>
      <c r="N351" s="140"/>
      <c r="O351" s="140"/>
      <c r="P351" s="139"/>
      <c r="Q351" s="139"/>
      <c r="R351" s="139"/>
      <c r="S351" s="139"/>
      <c r="T351" s="139"/>
      <c r="U351" s="139"/>
      <c r="V351" s="139"/>
      <c r="W351" s="139"/>
      <c r="X351" s="139"/>
      <c r="Y351" s="139"/>
      <c r="Z351" s="139"/>
      <c r="AA351" s="139"/>
      <c r="AB351" s="139"/>
      <c r="AC351" s="139"/>
      <c r="AD351" s="139"/>
      <c r="AE351" s="139"/>
      <c r="AF351" s="139"/>
      <c r="AG351" s="139"/>
      <c r="AH351" s="139"/>
      <c r="AI351" s="139"/>
    </row>
    <row r="352">
      <c r="A352" s="139"/>
      <c r="B352" s="139"/>
      <c r="C352" s="139"/>
      <c r="D352" s="139"/>
      <c r="E352" s="139"/>
      <c r="F352" s="139"/>
      <c r="G352" s="139"/>
      <c r="H352" s="139"/>
      <c r="I352" s="139"/>
      <c r="J352" s="139"/>
      <c r="K352" s="140"/>
      <c r="L352" s="140"/>
      <c r="M352" s="140"/>
      <c r="N352" s="140"/>
      <c r="O352" s="140"/>
      <c r="P352" s="139"/>
      <c r="Q352" s="139"/>
      <c r="R352" s="139"/>
      <c r="S352" s="139"/>
      <c r="T352" s="139"/>
      <c r="U352" s="139"/>
      <c r="V352" s="139"/>
      <c r="W352" s="139"/>
      <c r="X352" s="139"/>
      <c r="Y352" s="139"/>
      <c r="Z352" s="139"/>
      <c r="AA352" s="139"/>
      <c r="AB352" s="139"/>
      <c r="AC352" s="139"/>
      <c r="AD352" s="139"/>
      <c r="AE352" s="139"/>
      <c r="AF352" s="139"/>
      <c r="AG352" s="139"/>
      <c r="AH352" s="139"/>
      <c r="AI352" s="139"/>
    </row>
    <row r="353">
      <c r="A353" s="139"/>
      <c r="B353" s="139"/>
      <c r="C353" s="139"/>
      <c r="D353" s="139"/>
      <c r="E353" s="139"/>
      <c r="F353" s="139"/>
      <c r="G353" s="139"/>
      <c r="H353" s="139"/>
      <c r="I353" s="139"/>
      <c r="J353" s="139"/>
      <c r="K353" s="140"/>
      <c r="L353" s="140"/>
      <c r="M353" s="140"/>
      <c r="N353" s="140"/>
      <c r="O353" s="140"/>
      <c r="P353" s="139"/>
      <c r="Q353" s="139"/>
      <c r="R353" s="139"/>
      <c r="S353" s="139"/>
      <c r="T353" s="139"/>
      <c r="U353" s="139"/>
      <c r="V353" s="139"/>
      <c r="W353" s="139"/>
      <c r="X353" s="139"/>
      <c r="Y353" s="139"/>
      <c r="Z353" s="139"/>
      <c r="AA353" s="139"/>
      <c r="AB353" s="139"/>
      <c r="AC353" s="139"/>
      <c r="AD353" s="139"/>
      <c r="AE353" s="139"/>
      <c r="AF353" s="139"/>
      <c r="AG353" s="139"/>
      <c r="AH353" s="139"/>
      <c r="AI353" s="139"/>
    </row>
    <row r="354">
      <c r="A354" s="139"/>
      <c r="B354" s="139"/>
      <c r="C354" s="139"/>
      <c r="D354" s="139"/>
      <c r="E354" s="139"/>
      <c r="F354" s="139"/>
      <c r="G354" s="139"/>
      <c r="H354" s="139"/>
      <c r="I354" s="139"/>
      <c r="J354" s="139"/>
      <c r="K354" s="140"/>
      <c r="L354" s="140"/>
      <c r="M354" s="140"/>
      <c r="N354" s="140"/>
      <c r="O354" s="140"/>
      <c r="P354" s="139"/>
      <c r="Q354" s="139"/>
      <c r="R354" s="139"/>
      <c r="S354" s="139"/>
      <c r="T354" s="139"/>
      <c r="U354" s="139"/>
      <c r="V354" s="139"/>
      <c r="W354" s="139"/>
      <c r="X354" s="139"/>
      <c r="Y354" s="139"/>
      <c r="Z354" s="139"/>
      <c r="AA354" s="139"/>
      <c r="AB354" s="139"/>
      <c r="AC354" s="139"/>
      <c r="AD354" s="139"/>
      <c r="AE354" s="139"/>
      <c r="AF354" s="139"/>
      <c r="AG354" s="139"/>
      <c r="AH354" s="139"/>
      <c r="AI354" s="139"/>
    </row>
    <row r="355">
      <c r="A355" s="139"/>
      <c r="B355" s="139"/>
      <c r="C355" s="139"/>
      <c r="D355" s="139"/>
      <c r="E355" s="139"/>
      <c r="F355" s="139"/>
      <c r="G355" s="139"/>
      <c r="H355" s="139"/>
      <c r="I355" s="139"/>
      <c r="J355" s="139"/>
      <c r="K355" s="140"/>
      <c r="L355" s="140"/>
      <c r="M355" s="140"/>
      <c r="N355" s="140"/>
      <c r="O355" s="140"/>
      <c r="P355" s="139"/>
      <c r="Q355" s="139"/>
      <c r="R355" s="139"/>
      <c r="S355" s="139"/>
      <c r="T355" s="139"/>
      <c r="U355" s="139"/>
      <c r="V355" s="139"/>
      <c r="W355" s="139"/>
      <c r="X355" s="139"/>
      <c r="Y355" s="139"/>
      <c r="Z355" s="139"/>
      <c r="AA355" s="139"/>
      <c r="AB355" s="139"/>
      <c r="AC355" s="139"/>
      <c r="AD355" s="139"/>
      <c r="AE355" s="139"/>
      <c r="AF355" s="139"/>
      <c r="AG355" s="139"/>
      <c r="AH355" s="139"/>
      <c r="AI355" s="139"/>
    </row>
    <row r="356">
      <c r="A356" s="139"/>
      <c r="B356" s="139"/>
      <c r="C356" s="139"/>
      <c r="D356" s="139"/>
      <c r="E356" s="139"/>
      <c r="F356" s="139"/>
      <c r="G356" s="139"/>
      <c r="H356" s="139"/>
      <c r="I356" s="139"/>
      <c r="J356" s="139"/>
      <c r="K356" s="140"/>
      <c r="L356" s="140"/>
      <c r="M356" s="140"/>
      <c r="N356" s="140"/>
      <c r="O356" s="140"/>
      <c r="P356" s="139"/>
      <c r="Q356" s="139"/>
      <c r="R356" s="139"/>
      <c r="S356" s="139"/>
      <c r="T356" s="139"/>
      <c r="U356" s="139"/>
      <c r="V356" s="139"/>
      <c r="W356" s="139"/>
      <c r="X356" s="139"/>
      <c r="Y356" s="139"/>
      <c r="Z356" s="139"/>
      <c r="AA356" s="139"/>
      <c r="AB356" s="139"/>
      <c r="AC356" s="139"/>
      <c r="AD356" s="139"/>
      <c r="AE356" s="139"/>
      <c r="AF356" s="139"/>
      <c r="AG356" s="139"/>
      <c r="AH356" s="139"/>
      <c r="AI356" s="139"/>
    </row>
    <row r="357">
      <c r="A357" s="139"/>
      <c r="B357" s="139"/>
      <c r="C357" s="139"/>
      <c r="D357" s="139"/>
      <c r="E357" s="139"/>
      <c r="F357" s="139"/>
      <c r="G357" s="139"/>
      <c r="H357" s="139"/>
      <c r="I357" s="139"/>
      <c r="J357" s="139"/>
      <c r="K357" s="140"/>
      <c r="L357" s="140"/>
      <c r="M357" s="140"/>
      <c r="N357" s="140"/>
      <c r="O357" s="140"/>
      <c r="P357" s="139"/>
      <c r="Q357" s="139"/>
      <c r="R357" s="139"/>
      <c r="S357" s="139"/>
      <c r="T357" s="139"/>
      <c r="U357" s="139"/>
      <c r="V357" s="139"/>
      <c r="W357" s="139"/>
      <c r="X357" s="139"/>
      <c r="Y357" s="139"/>
      <c r="Z357" s="139"/>
      <c r="AA357" s="139"/>
      <c r="AB357" s="139"/>
      <c r="AC357" s="139"/>
      <c r="AD357" s="139"/>
      <c r="AE357" s="139"/>
      <c r="AF357" s="139"/>
      <c r="AG357" s="139"/>
      <c r="AH357" s="139"/>
      <c r="AI357" s="139"/>
    </row>
    <row r="358">
      <c r="A358" s="139"/>
      <c r="B358" s="139"/>
      <c r="C358" s="139"/>
      <c r="D358" s="139"/>
      <c r="E358" s="139"/>
      <c r="F358" s="139"/>
      <c r="G358" s="139"/>
      <c r="H358" s="139"/>
      <c r="I358" s="139"/>
      <c r="J358" s="139"/>
      <c r="K358" s="140"/>
      <c r="L358" s="140"/>
      <c r="M358" s="140"/>
      <c r="N358" s="140"/>
      <c r="O358" s="140"/>
      <c r="P358" s="139"/>
      <c r="Q358" s="139"/>
      <c r="R358" s="139"/>
      <c r="S358" s="139"/>
      <c r="T358" s="139"/>
      <c r="U358" s="139"/>
      <c r="V358" s="139"/>
      <c r="W358" s="139"/>
      <c r="X358" s="139"/>
      <c r="Y358" s="139"/>
      <c r="Z358" s="139"/>
      <c r="AA358" s="139"/>
      <c r="AB358" s="139"/>
      <c r="AC358" s="139"/>
      <c r="AD358" s="139"/>
      <c r="AE358" s="139"/>
      <c r="AF358" s="139"/>
      <c r="AG358" s="139"/>
      <c r="AH358" s="139"/>
      <c r="AI358" s="139"/>
    </row>
    <row r="359">
      <c r="A359" s="139"/>
      <c r="B359" s="139"/>
      <c r="C359" s="139"/>
      <c r="D359" s="139"/>
      <c r="E359" s="139"/>
      <c r="F359" s="139"/>
      <c r="G359" s="139"/>
      <c r="H359" s="139"/>
      <c r="I359" s="139"/>
      <c r="J359" s="139"/>
      <c r="K359" s="140"/>
      <c r="L359" s="140"/>
      <c r="M359" s="140"/>
      <c r="N359" s="140"/>
      <c r="O359" s="140"/>
      <c r="P359" s="139"/>
      <c r="Q359" s="139"/>
      <c r="R359" s="139"/>
      <c r="S359" s="139"/>
      <c r="T359" s="139"/>
      <c r="U359" s="139"/>
      <c r="V359" s="139"/>
      <c r="W359" s="139"/>
      <c r="X359" s="139"/>
      <c r="Y359" s="139"/>
      <c r="Z359" s="139"/>
      <c r="AA359" s="139"/>
      <c r="AB359" s="139"/>
      <c r="AC359" s="139"/>
      <c r="AD359" s="139"/>
      <c r="AE359" s="139"/>
      <c r="AF359" s="139"/>
      <c r="AG359" s="139"/>
      <c r="AH359" s="139"/>
      <c r="AI359" s="139"/>
    </row>
    <row r="360">
      <c r="A360" s="139"/>
      <c r="B360" s="139"/>
      <c r="C360" s="139"/>
      <c r="D360" s="139"/>
      <c r="E360" s="139"/>
      <c r="F360" s="139"/>
      <c r="G360" s="139"/>
      <c r="H360" s="139"/>
      <c r="I360" s="139"/>
      <c r="J360" s="139"/>
      <c r="K360" s="140"/>
      <c r="L360" s="140"/>
      <c r="M360" s="140"/>
      <c r="N360" s="140"/>
      <c r="O360" s="140"/>
      <c r="P360" s="139"/>
      <c r="Q360" s="139"/>
      <c r="R360" s="139"/>
      <c r="S360" s="139"/>
      <c r="T360" s="139"/>
      <c r="U360" s="139"/>
      <c r="V360" s="139"/>
      <c r="W360" s="139"/>
      <c r="X360" s="139"/>
      <c r="Y360" s="139"/>
      <c r="Z360" s="139"/>
      <c r="AA360" s="139"/>
      <c r="AB360" s="139"/>
      <c r="AC360" s="139"/>
      <c r="AD360" s="139"/>
      <c r="AE360" s="139"/>
      <c r="AF360" s="139"/>
      <c r="AG360" s="139"/>
      <c r="AH360" s="139"/>
      <c r="AI360" s="139"/>
    </row>
    <row r="361">
      <c r="A361" s="139"/>
      <c r="B361" s="139"/>
      <c r="C361" s="139"/>
      <c r="D361" s="139"/>
      <c r="E361" s="139"/>
      <c r="F361" s="139"/>
      <c r="G361" s="139"/>
      <c r="H361" s="139"/>
      <c r="I361" s="139"/>
      <c r="J361" s="139"/>
      <c r="K361" s="140"/>
      <c r="L361" s="140"/>
      <c r="M361" s="140"/>
      <c r="N361" s="140"/>
      <c r="O361" s="140"/>
      <c r="P361" s="139"/>
      <c r="Q361" s="139"/>
      <c r="R361" s="139"/>
      <c r="S361" s="139"/>
      <c r="T361" s="139"/>
      <c r="U361" s="139"/>
      <c r="V361" s="139"/>
      <c r="W361" s="139"/>
      <c r="X361" s="139"/>
      <c r="Y361" s="139"/>
      <c r="Z361" s="139"/>
      <c r="AA361" s="139"/>
      <c r="AB361" s="139"/>
      <c r="AC361" s="139"/>
      <c r="AD361" s="139"/>
      <c r="AE361" s="139"/>
      <c r="AF361" s="139"/>
      <c r="AG361" s="139"/>
      <c r="AH361" s="139"/>
      <c r="AI361" s="139"/>
    </row>
    <row r="362">
      <c r="A362" s="139"/>
      <c r="B362" s="139"/>
      <c r="C362" s="139"/>
      <c r="D362" s="139"/>
      <c r="E362" s="139"/>
      <c r="F362" s="139"/>
      <c r="G362" s="139"/>
      <c r="H362" s="139"/>
      <c r="I362" s="139"/>
      <c r="J362" s="139"/>
      <c r="K362" s="140"/>
      <c r="L362" s="140"/>
      <c r="M362" s="140"/>
      <c r="N362" s="140"/>
      <c r="O362" s="140"/>
      <c r="P362" s="139"/>
      <c r="Q362" s="139"/>
      <c r="R362" s="139"/>
      <c r="S362" s="139"/>
      <c r="T362" s="139"/>
      <c r="U362" s="139"/>
      <c r="V362" s="139"/>
      <c r="W362" s="139"/>
      <c r="X362" s="139"/>
      <c r="Y362" s="139"/>
      <c r="Z362" s="139"/>
      <c r="AA362" s="139"/>
      <c r="AB362" s="139"/>
      <c r="AC362" s="139"/>
      <c r="AD362" s="139"/>
      <c r="AE362" s="139"/>
      <c r="AF362" s="139"/>
      <c r="AG362" s="139"/>
      <c r="AH362" s="139"/>
      <c r="AI362" s="139"/>
    </row>
    <row r="363">
      <c r="A363" s="139"/>
      <c r="B363" s="139"/>
      <c r="C363" s="139"/>
      <c r="D363" s="139"/>
      <c r="E363" s="139"/>
      <c r="F363" s="139"/>
      <c r="G363" s="139"/>
      <c r="H363" s="139"/>
      <c r="I363" s="139"/>
      <c r="J363" s="139"/>
      <c r="K363" s="140"/>
      <c r="L363" s="140"/>
      <c r="M363" s="140"/>
      <c r="N363" s="140"/>
      <c r="O363" s="140"/>
      <c r="P363" s="139"/>
      <c r="Q363" s="139"/>
      <c r="R363" s="139"/>
      <c r="S363" s="139"/>
      <c r="T363" s="139"/>
      <c r="U363" s="139"/>
      <c r="V363" s="139"/>
      <c r="W363" s="139"/>
      <c r="X363" s="139"/>
      <c r="Y363" s="139"/>
      <c r="Z363" s="139"/>
      <c r="AA363" s="139"/>
      <c r="AB363" s="139"/>
      <c r="AC363" s="139"/>
      <c r="AD363" s="139"/>
      <c r="AE363" s="139"/>
      <c r="AF363" s="139"/>
      <c r="AG363" s="139"/>
      <c r="AH363" s="139"/>
      <c r="AI363" s="139"/>
    </row>
    <row r="364">
      <c r="A364" s="139"/>
      <c r="B364" s="139"/>
      <c r="C364" s="139"/>
      <c r="D364" s="139"/>
      <c r="E364" s="139"/>
      <c r="F364" s="139"/>
      <c r="G364" s="139"/>
      <c r="H364" s="139"/>
      <c r="I364" s="139"/>
      <c r="J364" s="139"/>
      <c r="K364" s="140"/>
      <c r="L364" s="140"/>
      <c r="M364" s="140"/>
      <c r="N364" s="140"/>
      <c r="O364" s="140"/>
      <c r="P364" s="139"/>
      <c r="Q364" s="139"/>
      <c r="R364" s="139"/>
      <c r="S364" s="139"/>
      <c r="T364" s="139"/>
      <c r="U364" s="139"/>
      <c r="V364" s="139"/>
      <c r="W364" s="139"/>
      <c r="X364" s="139"/>
      <c r="Y364" s="139"/>
      <c r="Z364" s="139"/>
      <c r="AA364" s="139"/>
      <c r="AB364" s="139"/>
      <c r="AC364" s="139"/>
      <c r="AD364" s="139"/>
      <c r="AE364" s="139"/>
      <c r="AF364" s="139"/>
      <c r="AG364" s="139"/>
      <c r="AH364" s="139"/>
      <c r="AI364" s="139"/>
    </row>
    <row r="365">
      <c r="A365" s="139"/>
      <c r="B365" s="139"/>
      <c r="C365" s="139"/>
      <c r="D365" s="139"/>
      <c r="E365" s="139"/>
      <c r="F365" s="139"/>
      <c r="G365" s="139"/>
      <c r="H365" s="139"/>
      <c r="I365" s="139"/>
      <c r="J365" s="139"/>
      <c r="K365" s="140"/>
      <c r="L365" s="140"/>
      <c r="M365" s="140"/>
      <c r="N365" s="140"/>
      <c r="O365" s="140"/>
      <c r="P365" s="139"/>
      <c r="Q365" s="139"/>
      <c r="R365" s="139"/>
      <c r="S365" s="139"/>
      <c r="T365" s="139"/>
      <c r="U365" s="139"/>
      <c r="V365" s="139"/>
      <c r="W365" s="139"/>
      <c r="X365" s="139"/>
      <c r="Y365" s="139"/>
      <c r="Z365" s="139"/>
      <c r="AA365" s="139"/>
      <c r="AB365" s="139"/>
      <c r="AC365" s="139"/>
      <c r="AD365" s="139"/>
      <c r="AE365" s="139"/>
      <c r="AF365" s="139"/>
      <c r="AG365" s="139"/>
      <c r="AH365" s="139"/>
      <c r="AI365" s="139"/>
    </row>
    <row r="366">
      <c r="A366" s="139"/>
      <c r="B366" s="139"/>
      <c r="C366" s="139"/>
      <c r="D366" s="139"/>
      <c r="E366" s="139"/>
      <c r="F366" s="139"/>
      <c r="G366" s="139"/>
      <c r="H366" s="139"/>
      <c r="I366" s="139"/>
      <c r="J366" s="139"/>
      <c r="K366" s="140"/>
      <c r="L366" s="140"/>
      <c r="M366" s="140"/>
      <c r="N366" s="140"/>
      <c r="O366" s="140"/>
      <c r="P366" s="139"/>
      <c r="Q366" s="139"/>
      <c r="R366" s="139"/>
      <c r="S366" s="139"/>
      <c r="T366" s="139"/>
      <c r="U366" s="139"/>
      <c r="V366" s="139"/>
      <c r="W366" s="139"/>
      <c r="X366" s="139"/>
      <c r="Y366" s="139"/>
      <c r="Z366" s="139"/>
      <c r="AA366" s="139"/>
      <c r="AB366" s="139"/>
      <c r="AC366" s="139"/>
      <c r="AD366" s="139"/>
      <c r="AE366" s="139"/>
      <c r="AF366" s="139"/>
      <c r="AG366" s="139"/>
      <c r="AH366" s="139"/>
      <c r="AI366" s="139"/>
    </row>
    <row r="367">
      <c r="A367" s="139"/>
      <c r="B367" s="139"/>
      <c r="C367" s="139"/>
      <c r="D367" s="139"/>
      <c r="E367" s="139"/>
      <c r="F367" s="139"/>
      <c r="G367" s="139"/>
      <c r="H367" s="139"/>
      <c r="I367" s="139"/>
      <c r="J367" s="139"/>
      <c r="K367" s="140"/>
      <c r="L367" s="140"/>
      <c r="M367" s="140"/>
      <c r="N367" s="140"/>
      <c r="O367" s="140"/>
      <c r="P367" s="139"/>
      <c r="Q367" s="139"/>
      <c r="R367" s="139"/>
      <c r="S367" s="139"/>
      <c r="T367" s="139"/>
      <c r="U367" s="139"/>
      <c r="V367" s="139"/>
      <c r="W367" s="139"/>
      <c r="X367" s="139"/>
      <c r="Y367" s="139"/>
      <c r="Z367" s="139"/>
      <c r="AA367" s="139"/>
      <c r="AB367" s="139"/>
      <c r="AC367" s="139"/>
      <c r="AD367" s="139"/>
      <c r="AE367" s="139"/>
      <c r="AF367" s="139"/>
      <c r="AG367" s="139"/>
      <c r="AH367" s="139"/>
      <c r="AI367" s="139"/>
    </row>
    <row r="368">
      <c r="A368" s="139"/>
      <c r="B368" s="139"/>
      <c r="C368" s="139"/>
      <c r="D368" s="139"/>
      <c r="E368" s="139"/>
      <c r="F368" s="139"/>
      <c r="G368" s="139"/>
      <c r="H368" s="139"/>
      <c r="I368" s="139"/>
      <c r="J368" s="139"/>
      <c r="K368" s="140"/>
      <c r="L368" s="140"/>
      <c r="M368" s="140"/>
      <c r="N368" s="140"/>
      <c r="O368" s="140"/>
      <c r="P368" s="139"/>
      <c r="Q368" s="139"/>
      <c r="R368" s="139"/>
      <c r="S368" s="139"/>
      <c r="T368" s="139"/>
      <c r="U368" s="139"/>
      <c r="V368" s="139"/>
      <c r="W368" s="139"/>
      <c r="X368" s="139"/>
      <c r="Y368" s="139"/>
      <c r="Z368" s="139"/>
      <c r="AA368" s="139"/>
      <c r="AB368" s="139"/>
      <c r="AC368" s="139"/>
      <c r="AD368" s="139"/>
      <c r="AE368" s="139"/>
      <c r="AF368" s="139"/>
      <c r="AG368" s="139"/>
      <c r="AH368" s="139"/>
      <c r="AI368" s="139"/>
    </row>
    <row r="369">
      <c r="A369" s="139"/>
      <c r="B369" s="139"/>
      <c r="C369" s="139"/>
      <c r="D369" s="139"/>
      <c r="E369" s="139"/>
      <c r="F369" s="139"/>
      <c r="G369" s="139"/>
      <c r="H369" s="139"/>
      <c r="I369" s="139"/>
      <c r="J369" s="139"/>
      <c r="K369" s="140"/>
      <c r="L369" s="140"/>
      <c r="M369" s="140"/>
      <c r="N369" s="140"/>
      <c r="O369" s="140"/>
      <c r="P369" s="139"/>
      <c r="Q369" s="139"/>
      <c r="R369" s="139"/>
      <c r="S369" s="139"/>
      <c r="T369" s="139"/>
      <c r="U369" s="139"/>
      <c r="V369" s="139"/>
      <c r="W369" s="139"/>
      <c r="X369" s="139"/>
      <c r="Y369" s="139"/>
      <c r="Z369" s="139"/>
      <c r="AA369" s="139"/>
      <c r="AB369" s="139"/>
      <c r="AC369" s="139"/>
      <c r="AD369" s="139"/>
      <c r="AE369" s="139"/>
      <c r="AF369" s="139"/>
      <c r="AG369" s="139"/>
      <c r="AH369" s="139"/>
      <c r="AI369" s="139"/>
    </row>
    <row r="370">
      <c r="A370" s="139"/>
      <c r="B370" s="139"/>
      <c r="C370" s="139"/>
      <c r="D370" s="139"/>
      <c r="E370" s="139"/>
      <c r="F370" s="139"/>
      <c r="G370" s="139"/>
      <c r="H370" s="139"/>
      <c r="I370" s="139"/>
      <c r="J370" s="139"/>
      <c r="K370" s="140"/>
      <c r="L370" s="140"/>
      <c r="M370" s="140"/>
      <c r="N370" s="140"/>
      <c r="O370" s="140"/>
      <c r="P370" s="139"/>
      <c r="Q370" s="139"/>
      <c r="R370" s="139"/>
      <c r="S370" s="139"/>
      <c r="T370" s="139"/>
      <c r="U370" s="139"/>
      <c r="V370" s="139"/>
      <c r="W370" s="139"/>
      <c r="X370" s="139"/>
      <c r="Y370" s="139"/>
      <c r="Z370" s="139"/>
      <c r="AA370" s="139"/>
      <c r="AB370" s="139"/>
      <c r="AC370" s="139"/>
      <c r="AD370" s="139"/>
      <c r="AE370" s="139"/>
      <c r="AF370" s="139"/>
      <c r="AG370" s="139"/>
      <c r="AH370" s="139"/>
      <c r="AI370" s="139"/>
    </row>
    <row r="371">
      <c r="A371" s="139"/>
      <c r="B371" s="139"/>
      <c r="C371" s="139"/>
      <c r="D371" s="139"/>
      <c r="E371" s="139"/>
      <c r="F371" s="139"/>
      <c r="G371" s="139"/>
      <c r="H371" s="139"/>
      <c r="I371" s="139"/>
      <c r="J371" s="139"/>
      <c r="K371" s="140"/>
      <c r="L371" s="140"/>
      <c r="M371" s="140"/>
      <c r="N371" s="140"/>
      <c r="O371" s="140"/>
      <c r="P371" s="139"/>
      <c r="Q371" s="139"/>
      <c r="R371" s="139"/>
      <c r="S371" s="139"/>
      <c r="T371" s="139"/>
      <c r="U371" s="139"/>
      <c r="V371" s="139"/>
      <c r="W371" s="139"/>
      <c r="X371" s="139"/>
      <c r="Y371" s="139"/>
      <c r="Z371" s="139"/>
      <c r="AA371" s="139"/>
      <c r="AB371" s="139"/>
      <c r="AC371" s="139"/>
      <c r="AD371" s="139"/>
      <c r="AE371" s="139"/>
      <c r="AF371" s="139"/>
      <c r="AG371" s="139"/>
      <c r="AH371" s="139"/>
      <c r="AI371" s="139"/>
    </row>
    <row r="372">
      <c r="A372" s="139"/>
      <c r="B372" s="139"/>
      <c r="C372" s="139"/>
      <c r="D372" s="139"/>
      <c r="E372" s="139"/>
      <c r="F372" s="139"/>
      <c r="G372" s="139"/>
      <c r="H372" s="139"/>
      <c r="I372" s="139"/>
      <c r="J372" s="139"/>
      <c r="K372" s="140"/>
      <c r="L372" s="140"/>
      <c r="M372" s="140"/>
      <c r="N372" s="140"/>
      <c r="O372" s="140"/>
      <c r="P372" s="139"/>
      <c r="Q372" s="139"/>
      <c r="R372" s="139"/>
      <c r="S372" s="139"/>
      <c r="T372" s="139"/>
      <c r="U372" s="139"/>
      <c r="V372" s="139"/>
      <c r="W372" s="139"/>
      <c r="X372" s="139"/>
      <c r="Y372" s="139"/>
      <c r="Z372" s="139"/>
      <c r="AA372" s="139"/>
      <c r="AB372" s="139"/>
      <c r="AC372" s="139"/>
      <c r="AD372" s="139"/>
      <c r="AE372" s="139"/>
      <c r="AF372" s="139"/>
      <c r="AG372" s="139"/>
      <c r="AH372" s="139"/>
      <c r="AI372" s="139"/>
    </row>
    <row r="373">
      <c r="A373" s="139"/>
      <c r="B373" s="139"/>
      <c r="C373" s="139"/>
      <c r="D373" s="139"/>
      <c r="E373" s="139"/>
      <c r="F373" s="139"/>
      <c r="G373" s="139"/>
      <c r="H373" s="139"/>
      <c r="I373" s="139"/>
      <c r="J373" s="139"/>
      <c r="K373" s="140"/>
      <c r="L373" s="140"/>
      <c r="M373" s="140"/>
      <c r="N373" s="140"/>
      <c r="O373" s="140"/>
      <c r="P373" s="139"/>
      <c r="Q373" s="139"/>
      <c r="R373" s="139"/>
      <c r="S373" s="139"/>
      <c r="T373" s="139"/>
      <c r="U373" s="139"/>
      <c r="V373" s="139"/>
      <c r="W373" s="139"/>
      <c r="X373" s="139"/>
      <c r="Y373" s="139"/>
      <c r="Z373" s="139"/>
      <c r="AA373" s="139"/>
      <c r="AB373" s="139"/>
      <c r="AC373" s="139"/>
      <c r="AD373" s="139"/>
      <c r="AE373" s="139"/>
      <c r="AF373" s="139"/>
      <c r="AG373" s="139"/>
      <c r="AH373" s="139"/>
      <c r="AI373" s="139"/>
    </row>
    <row r="374">
      <c r="A374" s="139"/>
      <c r="B374" s="139"/>
      <c r="C374" s="139"/>
      <c r="D374" s="139"/>
      <c r="E374" s="139"/>
      <c r="F374" s="139"/>
      <c r="G374" s="139"/>
      <c r="H374" s="139"/>
      <c r="I374" s="139"/>
      <c r="J374" s="139"/>
      <c r="K374" s="140"/>
      <c r="L374" s="140"/>
      <c r="M374" s="140"/>
      <c r="N374" s="140"/>
      <c r="O374" s="140"/>
      <c r="P374" s="139"/>
      <c r="Q374" s="139"/>
      <c r="R374" s="139"/>
      <c r="S374" s="139"/>
      <c r="T374" s="139"/>
      <c r="U374" s="139"/>
      <c r="V374" s="139"/>
      <c r="W374" s="139"/>
      <c r="X374" s="139"/>
      <c r="Y374" s="139"/>
      <c r="Z374" s="139"/>
      <c r="AA374" s="139"/>
      <c r="AB374" s="139"/>
      <c r="AC374" s="139"/>
      <c r="AD374" s="139"/>
      <c r="AE374" s="139"/>
      <c r="AF374" s="139"/>
      <c r="AG374" s="139"/>
      <c r="AH374" s="139"/>
      <c r="AI374" s="139"/>
    </row>
    <row r="375">
      <c r="A375" s="139"/>
      <c r="B375" s="139"/>
      <c r="C375" s="139"/>
      <c r="D375" s="139"/>
      <c r="E375" s="139"/>
      <c r="F375" s="139"/>
      <c r="G375" s="139"/>
      <c r="H375" s="139"/>
      <c r="I375" s="139"/>
      <c r="J375" s="139"/>
      <c r="K375" s="140"/>
      <c r="L375" s="140"/>
      <c r="M375" s="140"/>
      <c r="N375" s="140"/>
      <c r="O375" s="140"/>
      <c r="P375" s="139"/>
      <c r="Q375" s="139"/>
      <c r="R375" s="139"/>
      <c r="S375" s="139"/>
      <c r="T375" s="139"/>
      <c r="U375" s="139"/>
      <c r="V375" s="139"/>
      <c r="W375" s="139"/>
      <c r="X375" s="139"/>
      <c r="Y375" s="139"/>
      <c r="Z375" s="139"/>
      <c r="AA375" s="139"/>
      <c r="AB375" s="139"/>
      <c r="AC375" s="139"/>
      <c r="AD375" s="139"/>
      <c r="AE375" s="139"/>
      <c r="AF375" s="139"/>
      <c r="AG375" s="139"/>
      <c r="AH375" s="139"/>
      <c r="AI375" s="139"/>
    </row>
    <row r="376">
      <c r="A376" s="139"/>
      <c r="B376" s="139"/>
      <c r="C376" s="139"/>
      <c r="D376" s="139"/>
      <c r="E376" s="139"/>
      <c r="F376" s="139"/>
      <c r="G376" s="139"/>
      <c r="H376" s="139"/>
      <c r="I376" s="139"/>
      <c r="J376" s="139"/>
      <c r="K376" s="140"/>
      <c r="L376" s="140"/>
      <c r="M376" s="140"/>
      <c r="N376" s="140"/>
      <c r="O376" s="140"/>
      <c r="P376" s="139"/>
      <c r="Q376" s="139"/>
      <c r="R376" s="139"/>
      <c r="S376" s="139"/>
      <c r="T376" s="139"/>
      <c r="U376" s="139"/>
      <c r="V376" s="139"/>
      <c r="W376" s="139"/>
      <c r="X376" s="139"/>
      <c r="Y376" s="139"/>
      <c r="Z376" s="139"/>
      <c r="AA376" s="139"/>
      <c r="AB376" s="139"/>
      <c r="AC376" s="139"/>
      <c r="AD376" s="139"/>
      <c r="AE376" s="139"/>
      <c r="AF376" s="139"/>
      <c r="AG376" s="139"/>
      <c r="AH376" s="139"/>
      <c r="AI376" s="139"/>
    </row>
    <row r="377">
      <c r="A377" s="139"/>
      <c r="B377" s="139"/>
      <c r="C377" s="139"/>
      <c r="D377" s="139"/>
      <c r="E377" s="139"/>
      <c r="F377" s="139"/>
      <c r="G377" s="139"/>
      <c r="H377" s="139"/>
      <c r="I377" s="139"/>
      <c r="J377" s="139"/>
      <c r="K377" s="140"/>
      <c r="L377" s="140"/>
      <c r="M377" s="140"/>
      <c r="N377" s="140"/>
      <c r="O377" s="140"/>
      <c r="P377" s="139"/>
      <c r="Q377" s="139"/>
      <c r="R377" s="139"/>
      <c r="S377" s="139"/>
      <c r="T377" s="139"/>
      <c r="U377" s="139"/>
      <c r="V377" s="139"/>
      <c r="W377" s="139"/>
      <c r="X377" s="139"/>
      <c r="Y377" s="139"/>
      <c r="Z377" s="139"/>
      <c r="AA377" s="139"/>
      <c r="AB377" s="139"/>
      <c r="AC377" s="139"/>
      <c r="AD377" s="139"/>
      <c r="AE377" s="139"/>
      <c r="AF377" s="139"/>
      <c r="AG377" s="139"/>
      <c r="AH377" s="139"/>
      <c r="AI377" s="139"/>
    </row>
    <row r="378">
      <c r="A378" s="139"/>
      <c r="B378" s="139"/>
      <c r="C378" s="139"/>
      <c r="D378" s="139"/>
      <c r="E378" s="139"/>
      <c r="F378" s="139"/>
      <c r="G378" s="139"/>
      <c r="H378" s="139"/>
      <c r="I378" s="139"/>
      <c r="J378" s="139"/>
      <c r="K378" s="140"/>
      <c r="L378" s="140"/>
      <c r="M378" s="140"/>
      <c r="N378" s="140"/>
      <c r="O378" s="140"/>
      <c r="P378" s="139"/>
      <c r="Q378" s="139"/>
      <c r="R378" s="139"/>
      <c r="S378" s="139"/>
      <c r="T378" s="139"/>
      <c r="U378" s="139"/>
      <c r="V378" s="139"/>
      <c r="W378" s="139"/>
      <c r="X378" s="139"/>
      <c r="Y378" s="139"/>
      <c r="Z378" s="139"/>
      <c r="AA378" s="139"/>
      <c r="AB378" s="139"/>
      <c r="AC378" s="139"/>
      <c r="AD378" s="139"/>
      <c r="AE378" s="139"/>
      <c r="AF378" s="139"/>
      <c r="AG378" s="139"/>
      <c r="AH378" s="139"/>
      <c r="AI378" s="139"/>
    </row>
    <row r="379">
      <c r="A379" s="139"/>
      <c r="B379" s="139"/>
      <c r="C379" s="139"/>
      <c r="D379" s="139"/>
      <c r="E379" s="139"/>
      <c r="F379" s="139"/>
      <c r="G379" s="139"/>
      <c r="H379" s="139"/>
      <c r="I379" s="139"/>
      <c r="J379" s="139"/>
      <c r="K379" s="140"/>
      <c r="L379" s="140"/>
      <c r="M379" s="140"/>
      <c r="N379" s="140"/>
      <c r="O379" s="140"/>
      <c r="P379" s="139"/>
      <c r="Q379" s="139"/>
      <c r="R379" s="139"/>
      <c r="S379" s="139"/>
      <c r="T379" s="139"/>
      <c r="U379" s="139"/>
      <c r="V379" s="139"/>
      <c r="W379" s="139"/>
      <c r="X379" s="139"/>
      <c r="Y379" s="139"/>
      <c r="Z379" s="139"/>
      <c r="AA379" s="139"/>
      <c r="AB379" s="139"/>
      <c r="AC379" s="139"/>
      <c r="AD379" s="139"/>
      <c r="AE379" s="139"/>
      <c r="AF379" s="139"/>
      <c r="AG379" s="139"/>
      <c r="AH379" s="139"/>
      <c r="AI379" s="139"/>
    </row>
    <row r="380">
      <c r="A380" s="139"/>
      <c r="B380" s="139"/>
      <c r="C380" s="139"/>
      <c r="D380" s="139"/>
      <c r="E380" s="139"/>
      <c r="F380" s="139"/>
      <c r="G380" s="139"/>
      <c r="H380" s="139"/>
      <c r="I380" s="139"/>
      <c r="J380" s="139"/>
      <c r="K380" s="140"/>
      <c r="L380" s="140"/>
      <c r="M380" s="140"/>
      <c r="N380" s="140"/>
      <c r="O380" s="140"/>
      <c r="P380" s="139"/>
      <c r="Q380" s="139"/>
      <c r="R380" s="139"/>
      <c r="S380" s="139"/>
      <c r="T380" s="139"/>
      <c r="U380" s="139"/>
      <c r="V380" s="139"/>
      <c r="W380" s="139"/>
      <c r="X380" s="139"/>
      <c r="Y380" s="139"/>
      <c r="Z380" s="139"/>
      <c r="AA380" s="139"/>
      <c r="AB380" s="139"/>
      <c r="AC380" s="139"/>
      <c r="AD380" s="139"/>
      <c r="AE380" s="139"/>
      <c r="AF380" s="139"/>
      <c r="AG380" s="139"/>
      <c r="AH380" s="139"/>
      <c r="AI380" s="139"/>
    </row>
    <row r="381">
      <c r="A381" s="139"/>
      <c r="B381" s="139"/>
      <c r="C381" s="139"/>
      <c r="D381" s="139"/>
      <c r="E381" s="139"/>
      <c r="F381" s="139"/>
      <c r="G381" s="139"/>
      <c r="H381" s="139"/>
      <c r="I381" s="139"/>
      <c r="J381" s="139"/>
      <c r="K381" s="140"/>
      <c r="L381" s="140"/>
      <c r="M381" s="140"/>
      <c r="N381" s="140"/>
      <c r="O381" s="140"/>
      <c r="P381" s="139"/>
      <c r="Q381" s="139"/>
      <c r="R381" s="139"/>
      <c r="S381" s="139"/>
      <c r="T381" s="139"/>
      <c r="U381" s="139"/>
      <c r="V381" s="139"/>
      <c r="W381" s="139"/>
      <c r="X381" s="139"/>
      <c r="Y381" s="139"/>
      <c r="Z381" s="139"/>
      <c r="AA381" s="139"/>
      <c r="AB381" s="139"/>
      <c r="AC381" s="139"/>
      <c r="AD381" s="139"/>
      <c r="AE381" s="139"/>
      <c r="AF381" s="139"/>
      <c r="AG381" s="139"/>
      <c r="AH381" s="139"/>
      <c r="AI381" s="139"/>
    </row>
    <row r="382">
      <c r="A382" s="139"/>
      <c r="B382" s="139"/>
      <c r="C382" s="139"/>
      <c r="D382" s="139"/>
      <c r="E382" s="139"/>
      <c r="F382" s="139"/>
      <c r="G382" s="139"/>
      <c r="H382" s="139"/>
      <c r="I382" s="139"/>
      <c r="J382" s="139"/>
      <c r="K382" s="140"/>
      <c r="L382" s="140"/>
      <c r="M382" s="140"/>
      <c r="N382" s="140"/>
      <c r="O382" s="140"/>
      <c r="P382" s="139"/>
      <c r="Q382" s="139"/>
      <c r="R382" s="139"/>
      <c r="S382" s="139"/>
      <c r="T382" s="139"/>
      <c r="U382" s="139"/>
      <c r="V382" s="139"/>
      <c r="W382" s="139"/>
      <c r="X382" s="139"/>
      <c r="Y382" s="139"/>
      <c r="Z382" s="139"/>
      <c r="AA382" s="139"/>
      <c r="AB382" s="139"/>
      <c r="AC382" s="139"/>
      <c r="AD382" s="139"/>
      <c r="AE382" s="139"/>
      <c r="AF382" s="139"/>
      <c r="AG382" s="139"/>
      <c r="AH382" s="139"/>
      <c r="AI382" s="139"/>
    </row>
    <row r="383">
      <c r="A383" s="139"/>
      <c r="B383" s="139"/>
      <c r="C383" s="139"/>
      <c r="D383" s="139"/>
      <c r="E383" s="139"/>
      <c r="F383" s="139"/>
      <c r="G383" s="139"/>
      <c r="H383" s="139"/>
      <c r="I383" s="139"/>
      <c r="J383" s="139"/>
      <c r="K383" s="140"/>
      <c r="L383" s="140"/>
      <c r="M383" s="140"/>
      <c r="N383" s="140"/>
      <c r="O383" s="140"/>
      <c r="P383" s="139"/>
      <c r="Q383" s="139"/>
      <c r="R383" s="139"/>
      <c r="S383" s="139"/>
      <c r="T383" s="139"/>
      <c r="U383" s="139"/>
      <c r="V383" s="139"/>
      <c r="W383" s="139"/>
      <c r="X383" s="139"/>
      <c r="Y383" s="139"/>
      <c r="Z383" s="139"/>
      <c r="AA383" s="139"/>
      <c r="AB383" s="139"/>
      <c r="AC383" s="139"/>
      <c r="AD383" s="139"/>
      <c r="AE383" s="139"/>
      <c r="AF383" s="139"/>
      <c r="AG383" s="139"/>
      <c r="AH383" s="139"/>
      <c r="AI383" s="139"/>
    </row>
    <row r="384">
      <c r="A384" s="139"/>
      <c r="B384" s="139"/>
      <c r="C384" s="139"/>
      <c r="D384" s="139"/>
      <c r="E384" s="139"/>
      <c r="F384" s="139"/>
      <c r="G384" s="139"/>
      <c r="H384" s="139"/>
      <c r="I384" s="139"/>
      <c r="J384" s="139"/>
      <c r="K384" s="140"/>
      <c r="L384" s="140"/>
      <c r="M384" s="140"/>
      <c r="N384" s="140"/>
      <c r="O384" s="140"/>
      <c r="P384" s="139"/>
      <c r="Q384" s="139"/>
      <c r="R384" s="139"/>
      <c r="S384" s="139"/>
      <c r="T384" s="139"/>
      <c r="U384" s="139"/>
      <c r="V384" s="139"/>
      <c r="W384" s="139"/>
      <c r="X384" s="139"/>
      <c r="Y384" s="139"/>
      <c r="Z384" s="139"/>
      <c r="AA384" s="139"/>
      <c r="AB384" s="139"/>
      <c r="AC384" s="139"/>
      <c r="AD384" s="139"/>
      <c r="AE384" s="139"/>
      <c r="AF384" s="139"/>
      <c r="AG384" s="139"/>
      <c r="AH384" s="139"/>
      <c r="AI384" s="139"/>
    </row>
    <row r="385">
      <c r="A385" s="139"/>
      <c r="B385" s="139"/>
      <c r="C385" s="139"/>
      <c r="D385" s="139"/>
      <c r="E385" s="139"/>
      <c r="F385" s="139"/>
      <c r="G385" s="139"/>
      <c r="H385" s="139"/>
      <c r="I385" s="139"/>
      <c r="J385" s="139"/>
      <c r="K385" s="140"/>
      <c r="L385" s="140"/>
      <c r="M385" s="140"/>
      <c r="N385" s="140"/>
      <c r="O385" s="140"/>
      <c r="P385" s="139"/>
      <c r="Q385" s="139"/>
      <c r="R385" s="139"/>
      <c r="S385" s="139"/>
      <c r="T385" s="139"/>
      <c r="U385" s="139"/>
      <c r="V385" s="139"/>
      <c r="W385" s="139"/>
      <c r="X385" s="139"/>
      <c r="Y385" s="139"/>
      <c r="Z385" s="139"/>
      <c r="AA385" s="139"/>
      <c r="AB385" s="139"/>
      <c r="AC385" s="139"/>
      <c r="AD385" s="139"/>
      <c r="AE385" s="139"/>
      <c r="AF385" s="139"/>
      <c r="AG385" s="139"/>
      <c r="AH385" s="139"/>
      <c r="AI385" s="139"/>
    </row>
    <row r="386">
      <c r="A386" s="139"/>
      <c r="B386" s="139"/>
      <c r="C386" s="139"/>
      <c r="D386" s="139"/>
      <c r="E386" s="139"/>
      <c r="F386" s="139"/>
      <c r="G386" s="139"/>
      <c r="H386" s="139"/>
      <c r="I386" s="139"/>
      <c r="J386" s="139"/>
      <c r="K386" s="140"/>
      <c r="L386" s="140"/>
      <c r="M386" s="140"/>
      <c r="N386" s="140"/>
      <c r="O386" s="140"/>
      <c r="P386" s="139"/>
      <c r="Q386" s="139"/>
      <c r="R386" s="139"/>
      <c r="S386" s="139"/>
      <c r="T386" s="139"/>
      <c r="U386" s="139"/>
      <c r="V386" s="139"/>
      <c r="W386" s="139"/>
      <c r="X386" s="139"/>
      <c r="Y386" s="139"/>
      <c r="Z386" s="139"/>
      <c r="AA386" s="139"/>
      <c r="AB386" s="139"/>
      <c r="AC386" s="139"/>
      <c r="AD386" s="139"/>
      <c r="AE386" s="139"/>
      <c r="AF386" s="139"/>
      <c r="AG386" s="139"/>
      <c r="AH386" s="139"/>
      <c r="AI386" s="139"/>
    </row>
    <row r="387">
      <c r="A387" s="139"/>
      <c r="B387" s="139"/>
      <c r="C387" s="139"/>
      <c r="D387" s="139"/>
      <c r="E387" s="139"/>
      <c r="F387" s="139"/>
      <c r="G387" s="139"/>
      <c r="H387" s="139"/>
      <c r="I387" s="139"/>
      <c r="J387" s="139"/>
      <c r="K387" s="140"/>
      <c r="L387" s="140"/>
      <c r="M387" s="140"/>
      <c r="N387" s="140"/>
      <c r="O387" s="140"/>
      <c r="P387" s="139"/>
      <c r="Q387" s="139"/>
      <c r="R387" s="139"/>
      <c r="S387" s="139"/>
      <c r="T387" s="139"/>
      <c r="U387" s="139"/>
      <c r="V387" s="139"/>
      <c r="W387" s="139"/>
      <c r="X387" s="139"/>
      <c r="Y387" s="139"/>
      <c r="Z387" s="139"/>
      <c r="AA387" s="139"/>
      <c r="AB387" s="139"/>
      <c r="AC387" s="139"/>
      <c r="AD387" s="139"/>
      <c r="AE387" s="139"/>
      <c r="AF387" s="139"/>
      <c r="AG387" s="139"/>
      <c r="AH387" s="139"/>
      <c r="AI387" s="139"/>
    </row>
    <row r="388">
      <c r="A388" s="139"/>
      <c r="B388" s="139"/>
      <c r="C388" s="139"/>
      <c r="D388" s="139"/>
      <c r="E388" s="139"/>
      <c r="F388" s="139"/>
      <c r="G388" s="139"/>
      <c r="H388" s="139"/>
      <c r="I388" s="139"/>
      <c r="J388" s="139"/>
      <c r="K388" s="140"/>
      <c r="L388" s="140"/>
      <c r="M388" s="140"/>
      <c r="N388" s="140"/>
      <c r="O388" s="140"/>
      <c r="P388" s="139"/>
      <c r="Q388" s="139"/>
      <c r="R388" s="139"/>
      <c r="S388" s="139"/>
      <c r="T388" s="139"/>
      <c r="U388" s="139"/>
      <c r="V388" s="139"/>
      <c r="W388" s="139"/>
      <c r="X388" s="139"/>
      <c r="Y388" s="139"/>
      <c r="Z388" s="139"/>
      <c r="AA388" s="139"/>
      <c r="AB388" s="139"/>
      <c r="AC388" s="139"/>
      <c r="AD388" s="139"/>
      <c r="AE388" s="139"/>
      <c r="AF388" s="139"/>
      <c r="AG388" s="139"/>
      <c r="AH388" s="139"/>
      <c r="AI388" s="139"/>
    </row>
    <row r="389">
      <c r="A389" s="139"/>
      <c r="B389" s="139"/>
      <c r="C389" s="139"/>
      <c r="D389" s="139"/>
      <c r="E389" s="139"/>
      <c r="F389" s="139"/>
      <c r="G389" s="139"/>
      <c r="H389" s="139"/>
      <c r="I389" s="139"/>
      <c r="J389" s="139"/>
      <c r="K389" s="140"/>
      <c r="L389" s="140"/>
      <c r="M389" s="140"/>
      <c r="N389" s="140"/>
      <c r="O389" s="140"/>
      <c r="P389" s="139"/>
      <c r="Q389" s="139"/>
      <c r="R389" s="139"/>
      <c r="S389" s="139"/>
      <c r="T389" s="139"/>
      <c r="U389" s="139"/>
      <c r="V389" s="139"/>
      <c r="W389" s="139"/>
      <c r="X389" s="139"/>
      <c r="Y389" s="139"/>
      <c r="Z389" s="139"/>
      <c r="AA389" s="139"/>
      <c r="AB389" s="139"/>
      <c r="AC389" s="139"/>
      <c r="AD389" s="139"/>
      <c r="AE389" s="139"/>
      <c r="AF389" s="139"/>
      <c r="AG389" s="139"/>
      <c r="AH389" s="139"/>
      <c r="AI389" s="139"/>
    </row>
    <row r="390">
      <c r="A390" s="139"/>
      <c r="B390" s="139"/>
      <c r="C390" s="139"/>
      <c r="D390" s="139"/>
      <c r="E390" s="139"/>
      <c r="F390" s="139"/>
      <c r="G390" s="139"/>
      <c r="H390" s="139"/>
      <c r="I390" s="139"/>
      <c r="J390" s="139"/>
      <c r="K390" s="140"/>
      <c r="L390" s="140"/>
      <c r="M390" s="140"/>
      <c r="N390" s="140"/>
      <c r="O390" s="140"/>
      <c r="P390" s="139"/>
      <c r="Q390" s="139"/>
      <c r="R390" s="139"/>
      <c r="S390" s="139"/>
      <c r="T390" s="139"/>
      <c r="U390" s="139"/>
      <c r="V390" s="139"/>
      <c r="W390" s="139"/>
      <c r="X390" s="139"/>
      <c r="Y390" s="139"/>
      <c r="Z390" s="139"/>
      <c r="AA390" s="139"/>
      <c r="AB390" s="139"/>
      <c r="AC390" s="139"/>
      <c r="AD390" s="139"/>
      <c r="AE390" s="139"/>
      <c r="AF390" s="139"/>
      <c r="AG390" s="139"/>
      <c r="AH390" s="139"/>
      <c r="AI390" s="139"/>
    </row>
    <row r="391">
      <c r="A391" s="139"/>
      <c r="B391" s="139"/>
      <c r="C391" s="139"/>
      <c r="D391" s="139"/>
      <c r="E391" s="139"/>
      <c r="F391" s="139"/>
      <c r="G391" s="139"/>
      <c r="H391" s="139"/>
      <c r="I391" s="139"/>
      <c r="J391" s="139"/>
      <c r="K391" s="140"/>
      <c r="L391" s="140"/>
      <c r="M391" s="140"/>
      <c r="N391" s="140"/>
      <c r="O391" s="140"/>
      <c r="P391" s="139"/>
      <c r="Q391" s="139"/>
      <c r="R391" s="139"/>
      <c r="S391" s="139"/>
      <c r="T391" s="139"/>
      <c r="U391" s="139"/>
      <c r="V391" s="139"/>
      <c r="W391" s="139"/>
      <c r="X391" s="139"/>
      <c r="Y391" s="139"/>
      <c r="Z391" s="139"/>
      <c r="AA391" s="139"/>
      <c r="AB391" s="139"/>
      <c r="AC391" s="139"/>
      <c r="AD391" s="139"/>
      <c r="AE391" s="139"/>
      <c r="AF391" s="139"/>
      <c r="AG391" s="139"/>
      <c r="AH391" s="139"/>
      <c r="AI391" s="139"/>
    </row>
    <row r="392">
      <c r="A392" s="139"/>
      <c r="B392" s="139"/>
      <c r="C392" s="139"/>
      <c r="D392" s="139"/>
      <c r="E392" s="139"/>
      <c r="F392" s="139"/>
      <c r="G392" s="139"/>
      <c r="H392" s="139"/>
      <c r="I392" s="139"/>
      <c r="J392" s="139"/>
      <c r="K392" s="140"/>
      <c r="L392" s="140"/>
      <c r="M392" s="140"/>
      <c r="N392" s="140"/>
      <c r="O392" s="140"/>
      <c r="P392" s="139"/>
      <c r="Q392" s="139"/>
      <c r="R392" s="139"/>
      <c r="S392" s="139"/>
      <c r="T392" s="139"/>
      <c r="U392" s="139"/>
      <c r="V392" s="139"/>
      <c r="W392" s="139"/>
      <c r="X392" s="139"/>
      <c r="Y392" s="139"/>
      <c r="Z392" s="139"/>
      <c r="AA392" s="139"/>
      <c r="AB392" s="139"/>
      <c r="AC392" s="139"/>
      <c r="AD392" s="139"/>
      <c r="AE392" s="139"/>
      <c r="AF392" s="139"/>
      <c r="AG392" s="139"/>
      <c r="AH392" s="139"/>
      <c r="AI392" s="139"/>
    </row>
    <row r="393">
      <c r="A393" s="139"/>
      <c r="B393" s="139"/>
      <c r="C393" s="139"/>
      <c r="D393" s="139"/>
      <c r="E393" s="139"/>
      <c r="F393" s="139"/>
      <c r="G393" s="139"/>
      <c r="H393" s="139"/>
      <c r="I393" s="139"/>
      <c r="J393" s="139"/>
      <c r="K393" s="140"/>
      <c r="L393" s="140"/>
      <c r="M393" s="140"/>
      <c r="N393" s="140"/>
      <c r="O393" s="140"/>
      <c r="P393" s="139"/>
      <c r="Q393" s="139"/>
      <c r="R393" s="139"/>
      <c r="S393" s="139"/>
      <c r="T393" s="139"/>
      <c r="U393" s="139"/>
      <c r="V393" s="139"/>
      <c r="W393" s="139"/>
      <c r="X393" s="139"/>
      <c r="Y393" s="139"/>
      <c r="Z393" s="139"/>
      <c r="AA393" s="139"/>
      <c r="AB393" s="139"/>
      <c r="AC393" s="139"/>
      <c r="AD393" s="139"/>
      <c r="AE393" s="139"/>
      <c r="AF393" s="139"/>
      <c r="AG393" s="139"/>
      <c r="AH393" s="139"/>
      <c r="AI393" s="139"/>
    </row>
    <row r="394">
      <c r="A394" s="139"/>
      <c r="B394" s="139"/>
      <c r="C394" s="139"/>
      <c r="D394" s="139"/>
      <c r="E394" s="139"/>
      <c r="F394" s="139"/>
      <c r="G394" s="139"/>
      <c r="H394" s="139"/>
      <c r="I394" s="139"/>
      <c r="J394" s="139"/>
      <c r="K394" s="140"/>
      <c r="L394" s="140"/>
      <c r="M394" s="140"/>
      <c r="N394" s="140"/>
      <c r="O394" s="140"/>
      <c r="P394" s="139"/>
      <c r="Q394" s="139"/>
      <c r="R394" s="139"/>
      <c r="S394" s="139"/>
      <c r="T394" s="139"/>
      <c r="U394" s="139"/>
      <c r="V394" s="139"/>
      <c r="W394" s="139"/>
      <c r="X394" s="139"/>
      <c r="Y394" s="139"/>
      <c r="Z394" s="139"/>
      <c r="AA394" s="139"/>
      <c r="AB394" s="139"/>
      <c r="AC394" s="139"/>
      <c r="AD394" s="139"/>
      <c r="AE394" s="139"/>
      <c r="AF394" s="139"/>
      <c r="AG394" s="139"/>
      <c r="AH394" s="139"/>
      <c r="AI394" s="139"/>
    </row>
    <row r="395">
      <c r="A395" s="139"/>
      <c r="B395" s="139"/>
      <c r="C395" s="139"/>
      <c r="D395" s="139"/>
      <c r="E395" s="139"/>
      <c r="F395" s="139"/>
      <c r="G395" s="139"/>
      <c r="H395" s="139"/>
      <c r="I395" s="139"/>
      <c r="J395" s="139"/>
      <c r="K395" s="140"/>
      <c r="L395" s="140"/>
      <c r="M395" s="140"/>
      <c r="N395" s="140"/>
      <c r="O395" s="140"/>
      <c r="P395" s="139"/>
      <c r="Q395" s="139"/>
      <c r="R395" s="139"/>
      <c r="S395" s="139"/>
      <c r="T395" s="139"/>
      <c r="U395" s="139"/>
      <c r="V395" s="139"/>
      <c r="W395" s="139"/>
      <c r="X395" s="139"/>
      <c r="Y395" s="139"/>
      <c r="Z395" s="139"/>
      <c r="AA395" s="139"/>
      <c r="AB395" s="139"/>
      <c r="AC395" s="139"/>
      <c r="AD395" s="139"/>
      <c r="AE395" s="139"/>
      <c r="AF395" s="139"/>
      <c r="AG395" s="139"/>
      <c r="AH395" s="139"/>
      <c r="AI395" s="139"/>
    </row>
    <row r="396">
      <c r="A396" s="139"/>
      <c r="B396" s="139"/>
      <c r="C396" s="139"/>
      <c r="D396" s="139"/>
      <c r="E396" s="139"/>
      <c r="F396" s="139"/>
      <c r="G396" s="139"/>
      <c r="H396" s="139"/>
      <c r="I396" s="139"/>
      <c r="J396" s="139"/>
      <c r="K396" s="140"/>
      <c r="L396" s="140"/>
      <c r="M396" s="140"/>
      <c r="N396" s="140"/>
      <c r="O396" s="140"/>
      <c r="P396" s="139"/>
      <c r="Q396" s="139"/>
      <c r="R396" s="139"/>
      <c r="S396" s="139"/>
      <c r="T396" s="139"/>
      <c r="U396" s="139"/>
      <c r="V396" s="139"/>
      <c r="W396" s="139"/>
      <c r="X396" s="139"/>
      <c r="Y396" s="139"/>
      <c r="Z396" s="139"/>
      <c r="AA396" s="139"/>
      <c r="AB396" s="139"/>
      <c r="AC396" s="139"/>
      <c r="AD396" s="139"/>
      <c r="AE396" s="139"/>
      <c r="AF396" s="139"/>
      <c r="AG396" s="139"/>
      <c r="AH396" s="139"/>
      <c r="AI396" s="139"/>
    </row>
    <row r="397">
      <c r="A397" s="139"/>
      <c r="B397" s="139"/>
      <c r="C397" s="139"/>
      <c r="D397" s="139"/>
      <c r="E397" s="139"/>
      <c r="F397" s="139"/>
      <c r="G397" s="139"/>
      <c r="H397" s="139"/>
      <c r="I397" s="139"/>
      <c r="J397" s="139"/>
      <c r="K397" s="140"/>
      <c r="L397" s="140"/>
      <c r="M397" s="140"/>
      <c r="N397" s="140"/>
      <c r="O397" s="140"/>
      <c r="P397" s="139"/>
      <c r="Q397" s="139"/>
      <c r="R397" s="139"/>
      <c r="S397" s="139"/>
      <c r="T397" s="139"/>
      <c r="U397" s="139"/>
      <c r="V397" s="139"/>
      <c r="W397" s="139"/>
      <c r="X397" s="139"/>
      <c r="Y397" s="139"/>
      <c r="Z397" s="139"/>
      <c r="AA397" s="139"/>
      <c r="AB397" s="139"/>
      <c r="AC397" s="139"/>
      <c r="AD397" s="139"/>
      <c r="AE397" s="139"/>
      <c r="AF397" s="139"/>
      <c r="AG397" s="139"/>
      <c r="AH397" s="139"/>
      <c r="AI397" s="139"/>
    </row>
    <row r="398">
      <c r="A398" s="139"/>
      <c r="B398" s="139"/>
      <c r="C398" s="139"/>
      <c r="D398" s="139"/>
      <c r="E398" s="139"/>
      <c r="F398" s="139"/>
      <c r="G398" s="139"/>
      <c r="H398" s="139"/>
      <c r="I398" s="139"/>
      <c r="J398" s="139"/>
      <c r="K398" s="140"/>
      <c r="L398" s="140"/>
      <c r="M398" s="140"/>
      <c r="N398" s="140"/>
      <c r="O398" s="140"/>
      <c r="P398" s="139"/>
      <c r="Q398" s="139"/>
      <c r="R398" s="139"/>
      <c r="S398" s="139"/>
      <c r="T398" s="139"/>
      <c r="U398" s="139"/>
      <c r="V398" s="139"/>
      <c r="W398" s="139"/>
      <c r="X398" s="139"/>
      <c r="Y398" s="139"/>
      <c r="Z398" s="139"/>
      <c r="AA398" s="139"/>
      <c r="AB398" s="139"/>
      <c r="AC398" s="139"/>
      <c r="AD398" s="139"/>
      <c r="AE398" s="139"/>
      <c r="AF398" s="139"/>
      <c r="AG398" s="139"/>
      <c r="AH398" s="139"/>
      <c r="AI398" s="139"/>
    </row>
    <row r="399">
      <c r="A399" s="139"/>
      <c r="B399" s="139"/>
      <c r="C399" s="139"/>
      <c r="D399" s="139"/>
      <c r="E399" s="139"/>
      <c r="F399" s="139"/>
      <c r="G399" s="139"/>
      <c r="H399" s="139"/>
      <c r="I399" s="139"/>
      <c r="J399" s="139"/>
      <c r="K399" s="140"/>
      <c r="L399" s="140"/>
      <c r="M399" s="140"/>
      <c r="N399" s="140"/>
      <c r="O399" s="140"/>
      <c r="P399" s="139"/>
      <c r="Q399" s="139"/>
      <c r="R399" s="139"/>
      <c r="S399" s="139"/>
      <c r="T399" s="139"/>
      <c r="U399" s="139"/>
      <c r="V399" s="139"/>
      <c r="W399" s="139"/>
      <c r="X399" s="139"/>
      <c r="Y399" s="139"/>
      <c r="Z399" s="139"/>
      <c r="AA399" s="139"/>
      <c r="AB399" s="139"/>
      <c r="AC399" s="139"/>
      <c r="AD399" s="139"/>
      <c r="AE399" s="139"/>
      <c r="AF399" s="139"/>
      <c r="AG399" s="139"/>
      <c r="AH399" s="139"/>
      <c r="AI399" s="139"/>
    </row>
    <row r="400">
      <c r="A400" s="139"/>
      <c r="B400" s="139"/>
      <c r="C400" s="139"/>
      <c r="D400" s="139"/>
      <c r="E400" s="139"/>
      <c r="F400" s="139"/>
      <c r="G400" s="139"/>
      <c r="H400" s="139"/>
      <c r="I400" s="139"/>
      <c r="J400" s="139"/>
      <c r="K400" s="140"/>
      <c r="L400" s="140"/>
      <c r="M400" s="140"/>
      <c r="N400" s="140"/>
      <c r="O400" s="140"/>
      <c r="P400" s="139"/>
      <c r="Q400" s="139"/>
      <c r="R400" s="139"/>
      <c r="S400" s="139"/>
      <c r="T400" s="139"/>
      <c r="U400" s="139"/>
      <c r="V400" s="139"/>
      <c r="W400" s="139"/>
      <c r="X400" s="139"/>
      <c r="Y400" s="139"/>
      <c r="Z400" s="139"/>
      <c r="AA400" s="139"/>
      <c r="AB400" s="139"/>
      <c r="AC400" s="139"/>
      <c r="AD400" s="139"/>
      <c r="AE400" s="139"/>
      <c r="AF400" s="139"/>
      <c r="AG400" s="139"/>
      <c r="AH400" s="139"/>
      <c r="AI400" s="139"/>
    </row>
    <row r="401">
      <c r="A401" s="139"/>
      <c r="B401" s="139"/>
      <c r="C401" s="139"/>
      <c r="D401" s="139"/>
      <c r="E401" s="139"/>
      <c r="F401" s="139"/>
      <c r="G401" s="139"/>
      <c r="H401" s="139"/>
      <c r="I401" s="139"/>
      <c r="J401" s="139"/>
      <c r="K401" s="140"/>
      <c r="L401" s="140"/>
      <c r="M401" s="140"/>
      <c r="N401" s="140"/>
      <c r="O401" s="140"/>
      <c r="P401" s="139"/>
      <c r="Q401" s="139"/>
      <c r="R401" s="139"/>
      <c r="S401" s="139"/>
      <c r="T401" s="139"/>
      <c r="U401" s="139"/>
      <c r="V401" s="139"/>
      <c r="W401" s="139"/>
      <c r="X401" s="139"/>
      <c r="Y401" s="139"/>
      <c r="Z401" s="139"/>
      <c r="AA401" s="139"/>
      <c r="AB401" s="139"/>
      <c r="AC401" s="139"/>
      <c r="AD401" s="139"/>
      <c r="AE401" s="139"/>
      <c r="AF401" s="139"/>
      <c r="AG401" s="139"/>
      <c r="AH401" s="139"/>
      <c r="AI401" s="139"/>
    </row>
    <row r="402">
      <c r="A402" s="139"/>
      <c r="B402" s="139"/>
      <c r="C402" s="139"/>
      <c r="D402" s="139"/>
      <c r="E402" s="139"/>
      <c r="F402" s="139"/>
      <c r="G402" s="139"/>
      <c r="H402" s="139"/>
      <c r="I402" s="139"/>
      <c r="J402" s="139"/>
      <c r="K402" s="140"/>
      <c r="L402" s="140"/>
      <c r="M402" s="140"/>
      <c r="N402" s="140"/>
      <c r="O402" s="140"/>
      <c r="P402" s="139"/>
      <c r="Q402" s="139"/>
      <c r="R402" s="139"/>
      <c r="S402" s="139"/>
      <c r="T402" s="139"/>
      <c r="U402" s="139"/>
      <c r="V402" s="139"/>
      <c r="W402" s="139"/>
      <c r="X402" s="139"/>
      <c r="Y402" s="139"/>
      <c r="Z402" s="139"/>
      <c r="AA402" s="139"/>
      <c r="AB402" s="139"/>
      <c r="AC402" s="139"/>
      <c r="AD402" s="139"/>
      <c r="AE402" s="139"/>
      <c r="AF402" s="139"/>
      <c r="AG402" s="139"/>
      <c r="AH402" s="139"/>
      <c r="AI402" s="139"/>
    </row>
    <row r="403">
      <c r="A403" s="139"/>
      <c r="B403" s="139"/>
      <c r="C403" s="139"/>
      <c r="D403" s="139"/>
      <c r="E403" s="139"/>
      <c r="F403" s="139"/>
      <c r="G403" s="139"/>
      <c r="H403" s="139"/>
      <c r="I403" s="139"/>
      <c r="J403" s="139"/>
      <c r="K403" s="140"/>
      <c r="L403" s="140"/>
      <c r="M403" s="140"/>
      <c r="N403" s="140"/>
      <c r="O403" s="140"/>
      <c r="P403" s="139"/>
      <c r="Q403" s="139"/>
      <c r="R403" s="139"/>
      <c r="S403" s="139"/>
      <c r="T403" s="139"/>
      <c r="U403" s="139"/>
      <c r="V403" s="139"/>
      <c r="W403" s="139"/>
      <c r="X403" s="139"/>
      <c r="Y403" s="139"/>
      <c r="Z403" s="139"/>
      <c r="AA403" s="139"/>
      <c r="AB403" s="139"/>
      <c r="AC403" s="139"/>
      <c r="AD403" s="139"/>
      <c r="AE403" s="139"/>
      <c r="AF403" s="139"/>
      <c r="AG403" s="139"/>
      <c r="AH403" s="139"/>
      <c r="AI403" s="139"/>
    </row>
    <row r="404">
      <c r="A404" s="139"/>
      <c r="B404" s="139"/>
      <c r="C404" s="139"/>
      <c r="D404" s="139"/>
      <c r="E404" s="139"/>
      <c r="F404" s="139"/>
      <c r="G404" s="139"/>
      <c r="H404" s="139"/>
      <c r="I404" s="139"/>
      <c r="J404" s="139"/>
      <c r="K404" s="140"/>
      <c r="L404" s="140"/>
      <c r="M404" s="140"/>
      <c r="N404" s="140"/>
      <c r="O404" s="140"/>
      <c r="P404" s="139"/>
      <c r="Q404" s="139"/>
      <c r="R404" s="139"/>
      <c r="S404" s="139"/>
      <c r="T404" s="139"/>
      <c r="U404" s="139"/>
      <c r="V404" s="139"/>
      <c r="W404" s="139"/>
      <c r="X404" s="139"/>
      <c r="Y404" s="139"/>
      <c r="Z404" s="139"/>
      <c r="AA404" s="139"/>
      <c r="AB404" s="139"/>
      <c r="AC404" s="139"/>
      <c r="AD404" s="139"/>
      <c r="AE404" s="139"/>
      <c r="AF404" s="139"/>
      <c r="AG404" s="139"/>
      <c r="AH404" s="139"/>
      <c r="AI404" s="139"/>
    </row>
    <row r="405">
      <c r="A405" s="139"/>
      <c r="B405" s="139"/>
      <c r="C405" s="139"/>
      <c r="D405" s="139"/>
      <c r="E405" s="139"/>
      <c r="F405" s="139"/>
      <c r="G405" s="139"/>
      <c r="H405" s="139"/>
      <c r="I405" s="139"/>
      <c r="J405" s="139"/>
      <c r="K405" s="140"/>
      <c r="L405" s="140"/>
      <c r="M405" s="140"/>
      <c r="N405" s="140"/>
      <c r="O405" s="140"/>
      <c r="P405" s="139"/>
      <c r="Q405" s="139"/>
      <c r="R405" s="139"/>
      <c r="S405" s="139"/>
      <c r="T405" s="139"/>
      <c r="U405" s="139"/>
      <c r="V405" s="139"/>
      <c r="W405" s="139"/>
      <c r="X405" s="139"/>
      <c r="Y405" s="139"/>
      <c r="Z405" s="139"/>
      <c r="AA405" s="139"/>
      <c r="AB405" s="139"/>
      <c r="AC405" s="139"/>
      <c r="AD405" s="139"/>
      <c r="AE405" s="139"/>
      <c r="AF405" s="139"/>
      <c r="AG405" s="139"/>
      <c r="AH405" s="139"/>
      <c r="AI405" s="139"/>
    </row>
    <row r="406">
      <c r="A406" s="139"/>
      <c r="B406" s="139"/>
      <c r="C406" s="139"/>
      <c r="D406" s="139"/>
      <c r="E406" s="139"/>
      <c r="F406" s="139"/>
      <c r="G406" s="139"/>
      <c r="H406" s="139"/>
      <c r="I406" s="139"/>
      <c r="J406" s="139"/>
      <c r="K406" s="140"/>
      <c r="L406" s="140"/>
      <c r="M406" s="140"/>
      <c r="N406" s="140"/>
      <c r="O406" s="140"/>
      <c r="P406" s="139"/>
      <c r="Q406" s="139"/>
      <c r="R406" s="139"/>
      <c r="S406" s="139"/>
      <c r="T406" s="139"/>
      <c r="U406" s="139"/>
      <c r="V406" s="139"/>
      <c r="W406" s="139"/>
      <c r="X406" s="139"/>
      <c r="Y406" s="139"/>
      <c r="Z406" s="139"/>
      <c r="AA406" s="139"/>
      <c r="AB406" s="139"/>
      <c r="AC406" s="139"/>
      <c r="AD406" s="139"/>
      <c r="AE406" s="139"/>
      <c r="AF406" s="139"/>
      <c r="AG406" s="139"/>
      <c r="AH406" s="139"/>
      <c r="AI406" s="139"/>
    </row>
    <row r="407">
      <c r="A407" s="139"/>
      <c r="B407" s="139"/>
      <c r="C407" s="139"/>
      <c r="D407" s="139"/>
      <c r="E407" s="139"/>
      <c r="F407" s="139"/>
      <c r="G407" s="139"/>
      <c r="H407" s="139"/>
      <c r="I407" s="139"/>
      <c r="J407" s="139"/>
      <c r="K407" s="140"/>
      <c r="L407" s="140"/>
      <c r="M407" s="140"/>
      <c r="N407" s="140"/>
      <c r="O407" s="140"/>
      <c r="P407" s="139"/>
      <c r="Q407" s="139"/>
      <c r="R407" s="139"/>
      <c r="S407" s="139"/>
      <c r="T407" s="139"/>
      <c r="U407" s="139"/>
      <c r="V407" s="139"/>
      <c r="W407" s="139"/>
      <c r="X407" s="139"/>
      <c r="Y407" s="139"/>
      <c r="Z407" s="139"/>
      <c r="AA407" s="139"/>
      <c r="AB407" s="139"/>
      <c r="AC407" s="139"/>
      <c r="AD407" s="139"/>
      <c r="AE407" s="139"/>
      <c r="AF407" s="139"/>
      <c r="AG407" s="139"/>
      <c r="AH407" s="139"/>
      <c r="AI407" s="139"/>
    </row>
    <row r="408">
      <c r="A408" s="139"/>
      <c r="B408" s="139"/>
      <c r="C408" s="139"/>
      <c r="D408" s="139"/>
      <c r="E408" s="139"/>
      <c r="F408" s="139"/>
      <c r="G408" s="139"/>
      <c r="H408" s="139"/>
      <c r="I408" s="139"/>
      <c r="J408" s="139"/>
      <c r="K408" s="140"/>
      <c r="L408" s="140"/>
      <c r="M408" s="140"/>
      <c r="N408" s="140"/>
      <c r="O408" s="140"/>
      <c r="P408" s="139"/>
      <c r="Q408" s="139"/>
      <c r="R408" s="139"/>
      <c r="S408" s="139"/>
      <c r="T408" s="139"/>
      <c r="U408" s="139"/>
      <c r="V408" s="139"/>
      <c r="W408" s="139"/>
      <c r="X408" s="139"/>
      <c r="Y408" s="139"/>
      <c r="Z408" s="139"/>
      <c r="AA408" s="139"/>
      <c r="AB408" s="139"/>
      <c r="AC408" s="139"/>
      <c r="AD408" s="139"/>
      <c r="AE408" s="139"/>
      <c r="AF408" s="139"/>
      <c r="AG408" s="139"/>
      <c r="AH408" s="139"/>
      <c r="AI408" s="139"/>
    </row>
    <row r="409">
      <c r="A409" s="139"/>
      <c r="B409" s="139"/>
      <c r="C409" s="139"/>
      <c r="D409" s="139"/>
      <c r="E409" s="139"/>
      <c r="F409" s="139"/>
      <c r="G409" s="139"/>
      <c r="H409" s="139"/>
      <c r="I409" s="139"/>
      <c r="J409" s="139"/>
      <c r="K409" s="140"/>
      <c r="L409" s="140"/>
      <c r="M409" s="140"/>
      <c r="N409" s="140"/>
      <c r="O409" s="140"/>
      <c r="P409" s="139"/>
      <c r="Q409" s="139"/>
      <c r="R409" s="139"/>
      <c r="S409" s="139"/>
      <c r="T409" s="139"/>
      <c r="U409" s="139"/>
      <c r="V409" s="139"/>
      <c r="W409" s="139"/>
      <c r="X409" s="139"/>
      <c r="Y409" s="139"/>
      <c r="Z409" s="139"/>
      <c r="AA409" s="139"/>
      <c r="AB409" s="139"/>
      <c r="AC409" s="139"/>
      <c r="AD409" s="139"/>
      <c r="AE409" s="139"/>
      <c r="AF409" s="139"/>
      <c r="AG409" s="139"/>
      <c r="AH409" s="139"/>
      <c r="AI409" s="139"/>
    </row>
    <row r="410">
      <c r="A410" s="139"/>
      <c r="B410" s="139"/>
      <c r="C410" s="139"/>
      <c r="D410" s="139"/>
      <c r="E410" s="139"/>
      <c r="F410" s="139"/>
      <c r="G410" s="139"/>
      <c r="H410" s="139"/>
      <c r="I410" s="139"/>
      <c r="J410" s="139"/>
      <c r="K410" s="140"/>
      <c r="L410" s="140"/>
      <c r="M410" s="140"/>
      <c r="N410" s="140"/>
      <c r="O410" s="140"/>
      <c r="P410" s="139"/>
      <c r="Q410" s="139"/>
      <c r="R410" s="139"/>
      <c r="S410" s="139"/>
      <c r="T410" s="139"/>
      <c r="U410" s="139"/>
      <c r="V410" s="139"/>
      <c r="W410" s="139"/>
      <c r="X410" s="139"/>
      <c r="Y410" s="139"/>
      <c r="Z410" s="139"/>
      <c r="AA410" s="139"/>
      <c r="AB410" s="139"/>
      <c r="AC410" s="139"/>
      <c r="AD410" s="139"/>
      <c r="AE410" s="139"/>
      <c r="AF410" s="139"/>
      <c r="AG410" s="139"/>
      <c r="AH410" s="139"/>
      <c r="AI410" s="139"/>
    </row>
    <row r="411">
      <c r="A411" s="139"/>
      <c r="B411" s="139"/>
      <c r="C411" s="139"/>
      <c r="D411" s="139"/>
      <c r="E411" s="139"/>
      <c r="F411" s="139"/>
      <c r="G411" s="139"/>
      <c r="H411" s="139"/>
      <c r="I411" s="139"/>
      <c r="J411" s="139"/>
      <c r="K411" s="140"/>
      <c r="L411" s="140"/>
      <c r="M411" s="140"/>
      <c r="N411" s="140"/>
      <c r="O411" s="140"/>
      <c r="P411" s="139"/>
      <c r="Q411" s="139"/>
      <c r="R411" s="139"/>
      <c r="S411" s="139"/>
      <c r="T411" s="139"/>
      <c r="U411" s="139"/>
      <c r="V411" s="139"/>
      <c r="W411" s="139"/>
      <c r="X411" s="139"/>
      <c r="Y411" s="139"/>
      <c r="Z411" s="139"/>
      <c r="AA411" s="139"/>
      <c r="AB411" s="139"/>
      <c r="AC411" s="139"/>
      <c r="AD411" s="139"/>
      <c r="AE411" s="139"/>
      <c r="AF411" s="139"/>
      <c r="AG411" s="139"/>
      <c r="AH411" s="139"/>
      <c r="AI411" s="139"/>
    </row>
    <row r="412">
      <c r="A412" s="139"/>
      <c r="B412" s="139"/>
      <c r="C412" s="139"/>
      <c r="D412" s="139"/>
      <c r="E412" s="139"/>
      <c r="F412" s="139"/>
      <c r="G412" s="139"/>
      <c r="H412" s="139"/>
      <c r="I412" s="139"/>
      <c r="J412" s="139"/>
      <c r="K412" s="140"/>
      <c r="L412" s="140"/>
      <c r="M412" s="140"/>
      <c r="N412" s="140"/>
      <c r="O412" s="140"/>
      <c r="P412" s="139"/>
      <c r="Q412" s="139"/>
      <c r="R412" s="139"/>
      <c r="S412" s="139"/>
      <c r="T412" s="139"/>
      <c r="U412" s="139"/>
      <c r="V412" s="139"/>
      <c r="W412" s="139"/>
      <c r="X412" s="139"/>
      <c r="Y412" s="139"/>
      <c r="Z412" s="139"/>
      <c r="AA412" s="139"/>
      <c r="AB412" s="139"/>
      <c r="AC412" s="139"/>
      <c r="AD412" s="139"/>
      <c r="AE412" s="139"/>
      <c r="AF412" s="139"/>
      <c r="AG412" s="139"/>
      <c r="AH412" s="139"/>
      <c r="AI412" s="139"/>
    </row>
    <row r="413">
      <c r="A413" s="139"/>
      <c r="B413" s="139"/>
      <c r="C413" s="139"/>
      <c r="D413" s="139"/>
      <c r="E413" s="139"/>
      <c r="F413" s="139"/>
      <c r="G413" s="139"/>
      <c r="H413" s="139"/>
      <c r="I413" s="139"/>
      <c r="J413" s="139"/>
      <c r="K413" s="140"/>
      <c r="L413" s="140"/>
      <c r="M413" s="140"/>
      <c r="N413" s="140"/>
      <c r="O413" s="140"/>
      <c r="P413" s="139"/>
      <c r="Q413" s="139"/>
      <c r="R413" s="139"/>
      <c r="S413" s="139"/>
      <c r="T413" s="139"/>
      <c r="U413" s="139"/>
      <c r="V413" s="139"/>
      <c r="W413" s="139"/>
      <c r="X413" s="139"/>
      <c r="Y413" s="139"/>
      <c r="Z413" s="139"/>
      <c r="AA413" s="139"/>
      <c r="AB413" s="139"/>
      <c r="AC413" s="139"/>
      <c r="AD413" s="139"/>
      <c r="AE413" s="139"/>
      <c r="AF413" s="139"/>
      <c r="AG413" s="139"/>
      <c r="AH413" s="139"/>
      <c r="AI413" s="139"/>
    </row>
    <row r="414">
      <c r="A414" s="139"/>
      <c r="B414" s="139"/>
      <c r="C414" s="139"/>
      <c r="D414" s="139"/>
      <c r="E414" s="139"/>
      <c r="F414" s="139"/>
      <c r="G414" s="139"/>
      <c r="H414" s="139"/>
      <c r="I414" s="139"/>
      <c r="J414" s="139"/>
      <c r="K414" s="140"/>
      <c r="L414" s="140"/>
      <c r="M414" s="140"/>
      <c r="N414" s="140"/>
      <c r="O414" s="140"/>
      <c r="P414" s="139"/>
      <c r="Q414" s="139"/>
      <c r="R414" s="139"/>
      <c r="S414" s="139"/>
      <c r="T414" s="139"/>
      <c r="U414" s="139"/>
      <c r="V414" s="139"/>
      <c r="W414" s="139"/>
      <c r="X414" s="139"/>
      <c r="Y414" s="139"/>
      <c r="Z414" s="139"/>
      <c r="AA414" s="139"/>
      <c r="AB414" s="139"/>
      <c r="AC414" s="139"/>
      <c r="AD414" s="139"/>
      <c r="AE414" s="139"/>
      <c r="AF414" s="139"/>
      <c r="AG414" s="139"/>
      <c r="AH414" s="139"/>
      <c r="AI414" s="139"/>
    </row>
    <row r="415">
      <c r="A415" s="139"/>
      <c r="B415" s="139"/>
      <c r="C415" s="139"/>
      <c r="D415" s="139"/>
      <c r="E415" s="139"/>
      <c r="F415" s="139"/>
      <c r="G415" s="139"/>
      <c r="H415" s="139"/>
      <c r="I415" s="139"/>
      <c r="J415" s="139"/>
      <c r="K415" s="140"/>
      <c r="L415" s="140"/>
      <c r="M415" s="140"/>
      <c r="N415" s="140"/>
      <c r="O415" s="140"/>
      <c r="P415" s="139"/>
      <c r="Q415" s="139"/>
      <c r="R415" s="139"/>
      <c r="S415" s="139"/>
      <c r="T415" s="139"/>
      <c r="U415" s="139"/>
      <c r="V415" s="139"/>
      <c r="W415" s="139"/>
      <c r="X415" s="139"/>
      <c r="Y415" s="139"/>
      <c r="Z415" s="139"/>
      <c r="AA415" s="139"/>
      <c r="AB415" s="139"/>
      <c r="AC415" s="139"/>
      <c r="AD415" s="139"/>
      <c r="AE415" s="139"/>
      <c r="AF415" s="139"/>
      <c r="AG415" s="139"/>
      <c r="AH415" s="139"/>
      <c r="AI415" s="139"/>
    </row>
    <row r="416">
      <c r="A416" s="139"/>
      <c r="B416" s="139"/>
      <c r="C416" s="139"/>
      <c r="D416" s="139"/>
      <c r="E416" s="139"/>
      <c r="F416" s="139"/>
      <c r="G416" s="139"/>
      <c r="H416" s="139"/>
      <c r="I416" s="139"/>
      <c r="J416" s="139"/>
      <c r="K416" s="140"/>
      <c r="L416" s="140"/>
      <c r="M416" s="140"/>
      <c r="N416" s="140"/>
      <c r="O416" s="140"/>
      <c r="P416" s="139"/>
      <c r="Q416" s="139"/>
      <c r="R416" s="139"/>
      <c r="S416" s="139"/>
      <c r="T416" s="139"/>
      <c r="U416" s="139"/>
      <c r="V416" s="139"/>
      <c r="W416" s="139"/>
      <c r="X416" s="139"/>
      <c r="Y416" s="139"/>
      <c r="Z416" s="139"/>
      <c r="AA416" s="139"/>
      <c r="AB416" s="139"/>
      <c r="AC416" s="139"/>
      <c r="AD416" s="139"/>
      <c r="AE416" s="139"/>
      <c r="AF416" s="139"/>
      <c r="AG416" s="139"/>
      <c r="AH416" s="139"/>
      <c r="AI416" s="139"/>
    </row>
    <row r="417">
      <c r="A417" s="139"/>
      <c r="B417" s="139"/>
      <c r="C417" s="139"/>
      <c r="D417" s="139"/>
      <c r="E417" s="139"/>
      <c r="F417" s="139"/>
      <c r="G417" s="139"/>
      <c r="H417" s="139"/>
      <c r="I417" s="139"/>
      <c r="J417" s="139"/>
      <c r="K417" s="140"/>
      <c r="L417" s="140"/>
      <c r="M417" s="140"/>
      <c r="N417" s="140"/>
      <c r="O417" s="140"/>
      <c r="P417" s="139"/>
      <c r="Q417" s="139"/>
      <c r="R417" s="139"/>
      <c r="S417" s="139"/>
      <c r="T417" s="139"/>
      <c r="U417" s="139"/>
      <c r="V417" s="139"/>
      <c r="W417" s="139"/>
      <c r="X417" s="139"/>
      <c r="Y417" s="139"/>
      <c r="Z417" s="139"/>
      <c r="AA417" s="139"/>
      <c r="AB417" s="139"/>
      <c r="AC417" s="139"/>
      <c r="AD417" s="139"/>
      <c r="AE417" s="139"/>
      <c r="AF417" s="139"/>
      <c r="AG417" s="139"/>
      <c r="AH417" s="139"/>
      <c r="AI417" s="139"/>
    </row>
    <row r="418">
      <c r="A418" s="139"/>
      <c r="B418" s="139"/>
      <c r="C418" s="139"/>
      <c r="D418" s="139"/>
      <c r="E418" s="139"/>
      <c r="F418" s="139"/>
      <c r="G418" s="139"/>
      <c r="H418" s="139"/>
      <c r="I418" s="139"/>
      <c r="J418" s="139"/>
      <c r="K418" s="140"/>
      <c r="L418" s="140"/>
      <c r="M418" s="140"/>
      <c r="N418" s="140"/>
      <c r="O418" s="140"/>
      <c r="P418" s="139"/>
      <c r="Q418" s="139"/>
      <c r="R418" s="139"/>
      <c r="S418" s="139"/>
      <c r="T418" s="139"/>
      <c r="U418" s="139"/>
      <c r="V418" s="139"/>
      <c r="W418" s="139"/>
      <c r="X418" s="139"/>
      <c r="Y418" s="139"/>
      <c r="Z418" s="139"/>
      <c r="AA418" s="139"/>
      <c r="AB418" s="139"/>
      <c r="AC418" s="139"/>
      <c r="AD418" s="139"/>
      <c r="AE418" s="139"/>
      <c r="AF418" s="139"/>
      <c r="AG418" s="139"/>
      <c r="AH418" s="139"/>
      <c r="AI418" s="139"/>
    </row>
    <row r="419">
      <c r="A419" s="139"/>
      <c r="B419" s="139"/>
      <c r="C419" s="139"/>
      <c r="D419" s="139"/>
      <c r="E419" s="139"/>
      <c r="F419" s="139"/>
      <c r="G419" s="139"/>
      <c r="H419" s="139"/>
      <c r="I419" s="139"/>
      <c r="J419" s="139"/>
      <c r="K419" s="140"/>
      <c r="L419" s="140"/>
      <c r="M419" s="140"/>
      <c r="N419" s="140"/>
      <c r="O419" s="140"/>
      <c r="P419" s="139"/>
      <c r="Q419" s="139"/>
      <c r="R419" s="139"/>
      <c r="S419" s="139"/>
      <c r="T419" s="139"/>
      <c r="U419" s="139"/>
      <c r="V419" s="139"/>
      <c r="W419" s="139"/>
      <c r="X419" s="139"/>
      <c r="Y419" s="139"/>
      <c r="Z419" s="139"/>
      <c r="AA419" s="139"/>
      <c r="AB419" s="139"/>
      <c r="AC419" s="139"/>
      <c r="AD419" s="139"/>
      <c r="AE419" s="139"/>
      <c r="AF419" s="139"/>
      <c r="AG419" s="139"/>
      <c r="AH419" s="139"/>
      <c r="AI419" s="139"/>
    </row>
    <row r="420">
      <c r="A420" s="139"/>
      <c r="B420" s="139"/>
      <c r="C420" s="139"/>
      <c r="D420" s="139"/>
      <c r="E420" s="139"/>
      <c r="F420" s="139"/>
      <c r="G420" s="139"/>
      <c r="H420" s="139"/>
      <c r="I420" s="139"/>
      <c r="J420" s="139"/>
      <c r="K420" s="140"/>
      <c r="L420" s="140"/>
      <c r="M420" s="140"/>
      <c r="N420" s="140"/>
      <c r="O420" s="140"/>
      <c r="P420" s="139"/>
      <c r="Q420" s="139"/>
      <c r="R420" s="139"/>
      <c r="S420" s="139"/>
      <c r="T420" s="139"/>
      <c r="U420" s="139"/>
      <c r="V420" s="139"/>
      <c r="W420" s="139"/>
      <c r="X420" s="139"/>
      <c r="Y420" s="139"/>
      <c r="Z420" s="139"/>
      <c r="AA420" s="139"/>
      <c r="AB420" s="139"/>
      <c r="AC420" s="139"/>
      <c r="AD420" s="139"/>
      <c r="AE420" s="139"/>
      <c r="AF420" s="139"/>
      <c r="AG420" s="139"/>
      <c r="AH420" s="139"/>
      <c r="AI420" s="139"/>
    </row>
    <row r="421">
      <c r="A421" s="139"/>
      <c r="B421" s="139"/>
      <c r="C421" s="139"/>
      <c r="D421" s="139"/>
      <c r="E421" s="139"/>
      <c r="F421" s="139"/>
      <c r="G421" s="139"/>
      <c r="H421" s="139"/>
      <c r="I421" s="139"/>
      <c r="J421" s="139"/>
      <c r="K421" s="140"/>
      <c r="L421" s="140"/>
      <c r="M421" s="140"/>
      <c r="N421" s="140"/>
      <c r="O421" s="140"/>
      <c r="P421" s="139"/>
      <c r="Q421" s="139"/>
      <c r="R421" s="139"/>
      <c r="S421" s="139"/>
      <c r="T421" s="139"/>
      <c r="U421" s="139"/>
      <c r="V421" s="139"/>
      <c r="W421" s="139"/>
      <c r="X421" s="139"/>
      <c r="Y421" s="139"/>
      <c r="Z421" s="139"/>
      <c r="AA421" s="139"/>
      <c r="AB421" s="139"/>
      <c r="AC421" s="139"/>
      <c r="AD421" s="139"/>
      <c r="AE421" s="139"/>
      <c r="AF421" s="139"/>
      <c r="AG421" s="139"/>
      <c r="AH421" s="139"/>
      <c r="AI421" s="139"/>
    </row>
    <row r="422">
      <c r="A422" s="139"/>
      <c r="B422" s="139"/>
      <c r="C422" s="139"/>
      <c r="D422" s="139"/>
      <c r="E422" s="139"/>
      <c r="F422" s="139"/>
      <c r="G422" s="139"/>
      <c r="H422" s="139"/>
      <c r="I422" s="139"/>
      <c r="J422" s="139"/>
      <c r="K422" s="140"/>
      <c r="L422" s="140"/>
      <c r="M422" s="140"/>
      <c r="N422" s="140"/>
      <c r="O422" s="140"/>
      <c r="P422" s="139"/>
      <c r="Q422" s="139"/>
      <c r="R422" s="139"/>
      <c r="S422" s="139"/>
      <c r="T422" s="139"/>
      <c r="U422" s="139"/>
      <c r="V422" s="139"/>
      <c r="W422" s="139"/>
      <c r="X422" s="139"/>
      <c r="Y422" s="139"/>
      <c r="Z422" s="139"/>
      <c r="AA422" s="139"/>
      <c r="AB422" s="139"/>
      <c r="AC422" s="139"/>
      <c r="AD422" s="139"/>
      <c r="AE422" s="139"/>
      <c r="AF422" s="139"/>
      <c r="AG422" s="139"/>
      <c r="AH422" s="139"/>
      <c r="AI422" s="139"/>
    </row>
    <row r="423">
      <c r="A423" s="139"/>
      <c r="B423" s="139"/>
      <c r="C423" s="139"/>
      <c r="D423" s="139"/>
      <c r="E423" s="139"/>
      <c r="F423" s="139"/>
      <c r="G423" s="139"/>
      <c r="H423" s="139"/>
      <c r="I423" s="139"/>
      <c r="J423" s="139"/>
      <c r="K423" s="140"/>
      <c r="L423" s="140"/>
      <c r="M423" s="140"/>
      <c r="N423" s="140"/>
      <c r="O423" s="140"/>
      <c r="P423" s="139"/>
      <c r="Q423" s="139"/>
      <c r="R423" s="139"/>
      <c r="S423" s="139"/>
      <c r="T423" s="139"/>
      <c r="U423" s="139"/>
      <c r="V423" s="139"/>
      <c r="W423" s="139"/>
      <c r="X423" s="139"/>
      <c r="Y423" s="139"/>
      <c r="Z423" s="139"/>
      <c r="AA423" s="139"/>
      <c r="AB423" s="139"/>
      <c r="AC423" s="139"/>
      <c r="AD423" s="139"/>
      <c r="AE423" s="139"/>
      <c r="AF423" s="139"/>
      <c r="AG423" s="139"/>
      <c r="AH423" s="139"/>
      <c r="AI423" s="139"/>
    </row>
    <row r="424">
      <c r="A424" s="139"/>
      <c r="B424" s="139"/>
      <c r="C424" s="139"/>
      <c r="D424" s="139"/>
      <c r="E424" s="139"/>
      <c r="F424" s="139"/>
      <c r="G424" s="139"/>
      <c r="H424" s="139"/>
      <c r="I424" s="139"/>
      <c r="J424" s="139"/>
      <c r="K424" s="140"/>
      <c r="L424" s="140"/>
      <c r="M424" s="140"/>
      <c r="N424" s="140"/>
      <c r="O424" s="140"/>
      <c r="P424" s="139"/>
      <c r="Q424" s="139"/>
      <c r="R424" s="139"/>
      <c r="S424" s="139"/>
      <c r="T424" s="139"/>
      <c r="U424" s="139"/>
      <c r="V424" s="139"/>
      <c r="W424" s="139"/>
      <c r="X424" s="139"/>
      <c r="Y424" s="139"/>
      <c r="Z424" s="139"/>
      <c r="AA424" s="139"/>
      <c r="AB424" s="139"/>
      <c r="AC424" s="139"/>
      <c r="AD424" s="139"/>
      <c r="AE424" s="139"/>
      <c r="AF424" s="139"/>
      <c r="AG424" s="139"/>
      <c r="AH424" s="139"/>
      <c r="AI424" s="139"/>
    </row>
    <row r="425">
      <c r="A425" s="139"/>
      <c r="B425" s="139"/>
      <c r="C425" s="139"/>
      <c r="D425" s="139"/>
      <c r="E425" s="139"/>
      <c r="F425" s="139"/>
      <c r="G425" s="139"/>
      <c r="H425" s="139"/>
      <c r="I425" s="139"/>
      <c r="J425" s="139"/>
      <c r="K425" s="140"/>
      <c r="L425" s="140"/>
      <c r="M425" s="140"/>
      <c r="N425" s="140"/>
      <c r="O425" s="140"/>
      <c r="P425" s="139"/>
      <c r="Q425" s="139"/>
      <c r="R425" s="139"/>
      <c r="S425" s="139"/>
      <c r="T425" s="139"/>
      <c r="U425" s="139"/>
      <c r="V425" s="139"/>
      <c r="W425" s="139"/>
      <c r="X425" s="139"/>
      <c r="Y425" s="139"/>
      <c r="Z425" s="139"/>
      <c r="AA425" s="139"/>
      <c r="AB425" s="139"/>
      <c r="AC425" s="139"/>
      <c r="AD425" s="139"/>
      <c r="AE425" s="139"/>
      <c r="AF425" s="139"/>
      <c r="AG425" s="139"/>
      <c r="AH425" s="139"/>
      <c r="AI425" s="139"/>
    </row>
    <row r="426">
      <c r="A426" s="139"/>
      <c r="B426" s="139"/>
      <c r="C426" s="139"/>
      <c r="D426" s="139"/>
      <c r="E426" s="139"/>
      <c r="F426" s="139"/>
      <c r="G426" s="139"/>
      <c r="H426" s="139"/>
      <c r="I426" s="139"/>
      <c r="J426" s="139"/>
      <c r="K426" s="140"/>
      <c r="L426" s="140"/>
      <c r="M426" s="140"/>
      <c r="N426" s="140"/>
      <c r="O426" s="140"/>
      <c r="P426" s="139"/>
      <c r="Q426" s="139"/>
      <c r="R426" s="139"/>
      <c r="S426" s="139"/>
      <c r="T426" s="139"/>
      <c r="U426" s="139"/>
      <c r="V426" s="139"/>
      <c r="W426" s="139"/>
      <c r="X426" s="139"/>
      <c r="Y426" s="139"/>
      <c r="Z426" s="139"/>
      <c r="AA426" s="139"/>
      <c r="AB426" s="139"/>
      <c r="AC426" s="139"/>
      <c r="AD426" s="139"/>
      <c r="AE426" s="139"/>
      <c r="AF426" s="139"/>
      <c r="AG426" s="139"/>
      <c r="AH426" s="139"/>
      <c r="AI426" s="139"/>
    </row>
    <row r="427">
      <c r="A427" s="139"/>
      <c r="B427" s="139"/>
      <c r="C427" s="139"/>
      <c r="D427" s="139"/>
      <c r="E427" s="139"/>
      <c r="F427" s="139"/>
      <c r="G427" s="139"/>
      <c r="H427" s="139"/>
      <c r="I427" s="139"/>
      <c r="J427" s="139"/>
      <c r="K427" s="140"/>
      <c r="L427" s="140"/>
      <c r="M427" s="140"/>
      <c r="N427" s="140"/>
      <c r="O427" s="140"/>
      <c r="P427" s="139"/>
      <c r="Q427" s="139"/>
      <c r="R427" s="139"/>
      <c r="S427" s="139"/>
      <c r="T427" s="139"/>
      <c r="U427" s="139"/>
      <c r="V427" s="139"/>
      <c r="W427" s="139"/>
      <c r="X427" s="139"/>
      <c r="Y427" s="139"/>
      <c r="Z427" s="139"/>
      <c r="AA427" s="139"/>
      <c r="AB427" s="139"/>
      <c r="AC427" s="139"/>
      <c r="AD427" s="139"/>
      <c r="AE427" s="139"/>
      <c r="AF427" s="139"/>
      <c r="AG427" s="139"/>
      <c r="AH427" s="139"/>
      <c r="AI427" s="139"/>
    </row>
    <row r="428">
      <c r="A428" s="139"/>
      <c r="B428" s="139"/>
      <c r="C428" s="139"/>
      <c r="D428" s="139"/>
      <c r="E428" s="139"/>
      <c r="F428" s="139"/>
      <c r="G428" s="139"/>
      <c r="H428" s="139"/>
      <c r="I428" s="139"/>
      <c r="J428" s="139"/>
      <c r="K428" s="140"/>
      <c r="L428" s="140"/>
      <c r="M428" s="140"/>
      <c r="N428" s="140"/>
      <c r="O428" s="140"/>
      <c r="P428" s="139"/>
      <c r="Q428" s="139"/>
      <c r="R428" s="139"/>
      <c r="S428" s="139"/>
      <c r="T428" s="139"/>
      <c r="U428" s="139"/>
      <c r="V428" s="139"/>
      <c r="W428" s="139"/>
      <c r="X428" s="139"/>
      <c r="Y428" s="139"/>
      <c r="Z428" s="139"/>
      <c r="AA428" s="139"/>
      <c r="AB428" s="139"/>
      <c r="AC428" s="139"/>
      <c r="AD428" s="139"/>
      <c r="AE428" s="139"/>
      <c r="AF428" s="139"/>
      <c r="AG428" s="139"/>
      <c r="AH428" s="139"/>
      <c r="AI428" s="139"/>
    </row>
    <row r="429">
      <c r="A429" s="139"/>
      <c r="B429" s="139"/>
      <c r="C429" s="139"/>
      <c r="D429" s="139"/>
      <c r="E429" s="139"/>
      <c r="F429" s="139"/>
      <c r="G429" s="139"/>
      <c r="H429" s="139"/>
      <c r="I429" s="139"/>
      <c r="J429" s="139"/>
      <c r="K429" s="140"/>
      <c r="L429" s="140"/>
      <c r="M429" s="140"/>
      <c r="N429" s="140"/>
      <c r="O429" s="140"/>
      <c r="P429" s="139"/>
      <c r="Q429" s="139"/>
      <c r="R429" s="139"/>
      <c r="S429" s="139"/>
      <c r="T429" s="139"/>
      <c r="U429" s="139"/>
      <c r="V429" s="139"/>
      <c r="W429" s="139"/>
      <c r="X429" s="139"/>
      <c r="Y429" s="139"/>
      <c r="Z429" s="139"/>
      <c r="AA429" s="139"/>
      <c r="AB429" s="139"/>
      <c r="AC429" s="139"/>
      <c r="AD429" s="139"/>
      <c r="AE429" s="139"/>
      <c r="AF429" s="139"/>
      <c r="AG429" s="139"/>
      <c r="AH429" s="139"/>
      <c r="AI429" s="139"/>
    </row>
    <row r="430">
      <c r="A430" s="139"/>
      <c r="B430" s="139"/>
      <c r="C430" s="139"/>
      <c r="D430" s="139"/>
      <c r="E430" s="139"/>
      <c r="F430" s="139"/>
      <c r="G430" s="139"/>
      <c r="H430" s="139"/>
      <c r="I430" s="139"/>
      <c r="J430" s="139"/>
      <c r="K430" s="140"/>
      <c r="L430" s="140"/>
      <c r="M430" s="140"/>
      <c r="N430" s="140"/>
      <c r="O430" s="140"/>
      <c r="P430" s="139"/>
      <c r="Q430" s="139"/>
      <c r="R430" s="139"/>
      <c r="S430" s="139"/>
      <c r="T430" s="139"/>
      <c r="U430" s="139"/>
      <c r="V430" s="139"/>
      <c r="W430" s="139"/>
      <c r="X430" s="139"/>
      <c r="Y430" s="139"/>
      <c r="Z430" s="139"/>
      <c r="AA430" s="139"/>
      <c r="AB430" s="139"/>
      <c r="AC430" s="139"/>
      <c r="AD430" s="139"/>
      <c r="AE430" s="139"/>
      <c r="AF430" s="139"/>
      <c r="AG430" s="139"/>
      <c r="AH430" s="139"/>
      <c r="AI430" s="139"/>
    </row>
    <row r="431">
      <c r="A431" s="139"/>
      <c r="B431" s="139"/>
      <c r="C431" s="139"/>
      <c r="D431" s="139"/>
      <c r="E431" s="139"/>
      <c r="F431" s="139"/>
      <c r="G431" s="139"/>
      <c r="H431" s="139"/>
      <c r="I431" s="139"/>
      <c r="J431" s="139"/>
      <c r="K431" s="140"/>
      <c r="L431" s="140"/>
      <c r="M431" s="140"/>
      <c r="N431" s="140"/>
      <c r="O431" s="140"/>
      <c r="P431" s="139"/>
      <c r="Q431" s="139"/>
      <c r="R431" s="139"/>
      <c r="S431" s="139"/>
      <c r="T431" s="139"/>
      <c r="U431" s="139"/>
      <c r="V431" s="139"/>
      <c r="W431" s="139"/>
      <c r="X431" s="139"/>
      <c r="Y431" s="139"/>
      <c r="Z431" s="139"/>
      <c r="AA431" s="139"/>
      <c r="AB431" s="139"/>
      <c r="AC431" s="139"/>
      <c r="AD431" s="139"/>
      <c r="AE431" s="139"/>
      <c r="AF431" s="139"/>
      <c r="AG431" s="139"/>
      <c r="AH431" s="139"/>
      <c r="AI431" s="139"/>
    </row>
    <row r="432">
      <c r="A432" s="139"/>
      <c r="B432" s="139"/>
      <c r="C432" s="139"/>
      <c r="D432" s="139"/>
      <c r="E432" s="139"/>
      <c r="F432" s="139"/>
      <c r="G432" s="139"/>
      <c r="H432" s="139"/>
      <c r="I432" s="139"/>
      <c r="J432" s="139"/>
      <c r="K432" s="140"/>
      <c r="L432" s="140"/>
      <c r="M432" s="140"/>
      <c r="N432" s="140"/>
      <c r="O432" s="140"/>
      <c r="P432" s="139"/>
      <c r="Q432" s="139"/>
      <c r="R432" s="139"/>
      <c r="S432" s="139"/>
      <c r="T432" s="139"/>
      <c r="U432" s="139"/>
      <c r="V432" s="139"/>
      <c r="W432" s="139"/>
      <c r="X432" s="139"/>
      <c r="Y432" s="139"/>
      <c r="Z432" s="139"/>
      <c r="AA432" s="139"/>
      <c r="AB432" s="139"/>
      <c r="AC432" s="139"/>
      <c r="AD432" s="139"/>
      <c r="AE432" s="139"/>
      <c r="AF432" s="139"/>
      <c r="AG432" s="139"/>
      <c r="AH432" s="139"/>
      <c r="AI432" s="139"/>
    </row>
    <row r="433">
      <c r="A433" s="139"/>
      <c r="B433" s="139"/>
      <c r="C433" s="139"/>
      <c r="D433" s="139"/>
      <c r="E433" s="139"/>
      <c r="F433" s="139"/>
      <c r="G433" s="139"/>
      <c r="H433" s="139"/>
      <c r="I433" s="139"/>
      <c r="J433" s="139"/>
      <c r="K433" s="140"/>
      <c r="L433" s="140"/>
      <c r="M433" s="140"/>
      <c r="N433" s="140"/>
      <c r="O433" s="140"/>
      <c r="P433" s="139"/>
      <c r="Q433" s="139"/>
      <c r="R433" s="139"/>
      <c r="S433" s="139"/>
      <c r="T433" s="139"/>
      <c r="U433" s="139"/>
      <c r="V433" s="139"/>
      <c r="W433" s="139"/>
      <c r="X433" s="139"/>
      <c r="Y433" s="139"/>
      <c r="Z433" s="139"/>
      <c r="AA433" s="139"/>
      <c r="AB433" s="139"/>
      <c r="AC433" s="139"/>
      <c r="AD433" s="139"/>
      <c r="AE433" s="139"/>
      <c r="AF433" s="139"/>
      <c r="AG433" s="139"/>
      <c r="AH433" s="139"/>
      <c r="AI433" s="139"/>
    </row>
    <row r="434">
      <c r="A434" s="139"/>
      <c r="B434" s="139"/>
      <c r="C434" s="139"/>
      <c r="D434" s="139"/>
      <c r="E434" s="139"/>
      <c r="F434" s="139"/>
      <c r="G434" s="139"/>
      <c r="H434" s="139"/>
      <c r="I434" s="139"/>
      <c r="J434" s="139"/>
      <c r="K434" s="140"/>
      <c r="L434" s="140"/>
      <c r="M434" s="140"/>
      <c r="N434" s="140"/>
      <c r="O434" s="140"/>
      <c r="P434" s="139"/>
      <c r="Q434" s="139"/>
      <c r="R434" s="139"/>
      <c r="S434" s="139"/>
      <c r="T434" s="139"/>
      <c r="U434" s="139"/>
      <c r="V434" s="139"/>
      <c r="W434" s="139"/>
      <c r="X434" s="139"/>
      <c r="Y434" s="139"/>
      <c r="Z434" s="139"/>
      <c r="AA434" s="139"/>
      <c r="AB434" s="139"/>
      <c r="AC434" s="139"/>
      <c r="AD434" s="139"/>
      <c r="AE434" s="139"/>
      <c r="AF434" s="139"/>
      <c r="AG434" s="139"/>
      <c r="AH434" s="139"/>
      <c r="AI434" s="139"/>
    </row>
    <row r="435">
      <c r="A435" s="139"/>
      <c r="B435" s="139"/>
      <c r="C435" s="139"/>
      <c r="D435" s="139"/>
      <c r="E435" s="139"/>
      <c r="F435" s="139"/>
      <c r="G435" s="139"/>
      <c r="H435" s="139"/>
      <c r="I435" s="139"/>
      <c r="J435" s="139"/>
      <c r="K435" s="140"/>
      <c r="L435" s="140"/>
      <c r="M435" s="140"/>
      <c r="N435" s="140"/>
      <c r="O435" s="140"/>
      <c r="P435" s="139"/>
      <c r="Q435" s="139"/>
      <c r="R435" s="139"/>
      <c r="S435" s="139"/>
      <c r="T435" s="139"/>
      <c r="U435" s="139"/>
      <c r="V435" s="139"/>
      <c r="W435" s="139"/>
      <c r="X435" s="139"/>
      <c r="Y435" s="139"/>
      <c r="Z435" s="139"/>
      <c r="AA435" s="139"/>
      <c r="AB435" s="139"/>
      <c r="AC435" s="139"/>
      <c r="AD435" s="139"/>
      <c r="AE435" s="139"/>
      <c r="AF435" s="139"/>
      <c r="AG435" s="139"/>
      <c r="AH435" s="139"/>
      <c r="AI435" s="139"/>
    </row>
    <row r="436">
      <c r="A436" s="139"/>
      <c r="B436" s="139"/>
      <c r="C436" s="139"/>
      <c r="D436" s="139"/>
      <c r="E436" s="139"/>
      <c r="F436" s="139"/>
      <c r="G436" s="139"/>
      <c r="H436" s="139"/>
      <c r="I436" s="139"/>
      <c r="J436" s="139"/>
      <c r="K436" s="140"/>
      <c r="L436" s="140"/>
      <c r="M436" s="140"/>
      <c r="N436" s="140"/>
      <c r="O436" s="140"/>
      <c r="P436" s="139"/>
      <c r="Q436" s="139"/>
      <c r="R436" s="139"/>
      <c r="S436" s="139"/>
      <c r="T436" s="139"/>
      <c r="U436" s="139"/>
      <c r="V436" s="139"/>
      <c r="W436" s="139"/>
      <c r="X436" s="139"/>
      <c r="Y436" s="139"/>
      <c r="Z436" s="139"/>
      <c r="AA436" s="139"/>
      <c r="AB436" s="139"/>
      <c r="AC436" s="139"/>
      <c r="AD436" s="139"/>
      <c r="AE436" s="139"/>
      <c r="AF436" s="139"/>
      <c r="AG436" s="139"/>
      <c r="AH436" s="139"/>
      <c r="AI436" s="139"/>
    </row>
    <row r="437">
      <c r="A437" s="139"/>
      <c r="B437" s="139"/>
      <c r="C437" s="139"/>
      <c r="D437" s="139"/>
      <c r="E437" s="139"/>
      <c r="F437" s="139"/>
      <c r="G437" s="139"/>
      <c r="H437" s="139"/>
      <c r="I437" s="139"/>
      <c r="J437" s="139"/>
      <c r="K437" s="140"/>
      <c r="L437" s="140"/>
      <c r="M437" s="140"/>
      <c r="N437" s="140"/>
      <c r="O437" s="140"/>
      <c r="P437" s="139"/>
      <c r="Q437" s="139"/>
      <c r="R437" s="139"/>
      <c r="S437" s="139"/>
      <c r="T437" s="139"/>
      <c r="U437" s="139"/>
      <c r="V437" s="139"/>
      <c r="W437" s="139"/>
      <c r="X437" s="139"/>
      <c r="Y437" s="139"/>
      <c r="Z437" s="139"/>
      <c r="AA437" s="139"/>
      <c r="AB437" s="139"/>
      <c r="AC437" s="139"/>
      <c r="AD437" s="139"/>
      <c r="AE437" s="139"/>
      <c r="AF437" s="139"/>
      <c r="AG437" s="139"/>
      <c r="AH437" s="139"/>
      <c r="AI437" s="139"/>
    </row>
    <row r="438">
      <c r="A438" s="139"/>
      <c r="B438" s="139"/>
      <c r="C438" s="139"/>
      <c r="D438" s="139"/>
      <c r="E438" s="139"/>
      <c r="F438" s="139"/>
      <c r="G438" s="139"/>
      <c r="H438" s="139"/>
      <c r="I438" s="139"/>
      <c r="J438" s="139"/>
      <c r="K438" s="140"/>
      <c r="L438" s="140"/>
      <c r="M438" s="140"/>
      <c r="N438" s="140"/>
      <c r="O438" s="140"/>
      <c r="P438" s="139"/>
      <c r="Q438" s="139"/>
      <c r="R438" s="139"/>
      <c r="S438" s="139"/>
      <c r="T438" s="139"/>
      <c r="U438" s="139"/>
      <c r="V438" s="139"/>
      <c r="W438" s="139"/>
      <c r="X438" s="139"/>
      <c r="Y438" s="139"/>
      <c r="Z438" s="139"/>
      <c r="AA438" s="139"/>
      <c r="AB438" s="139"/>
      <c r="AC438" s="139"/>
      <c r="AD438" s="139"/>
      <c r="AE438" s="139"/>
      <c r="AF438" s="139"/>
      <c r="AG438" s="139"/>
      <c r="AH438" s="139"/>
      <c r="AI438" s="139"/>
    </row>
    <row r="439">
      <c r="A439" s="139"/>
      <c r="B439" s="139"/>
      <c r="C439" s="139"/>
      <c r="D439" s="139"/>
      <c r="E439" s="139"/>
      <c r="F439" s="139"/>
      <c r="G439" s="139"/>
      <c r="H439" s="139"/>
      <c r="I439" s="139"/>
      <c r="J439" s="139"/>
      <c r="K439" s="140"/>
      <c r="L439" s="140"/>
      <c r="M439" s="140"/>
      <c r="N439" s="140"/>
      <c r="O439" s="140"/>
      <c r="P439" s="139"/>
      <c r="Q439" s="139"/>
      <c r="R439" s="139"/>
      <c r="S439" s="139"/>
      <c r="T439" s="139"/>
      <c r="U439" s="139"/>
      <c r="V439" s="139"/>
      <c r="W439" s="139"/>
      <c r="X439" s="139"/>
      <c r="Y439" s="139"/>
      <c r="Z439" s="139"/>
      <c r="AA439" s="139"/>
      <c r="AB439" s="139"/>
      <c r="AC439" s="139"/>
      <c r="AD439" s="139"/>
      <c r="AE439" s="139"/>
      <c r="AF439" s="139"/>
      <c r="AG439" s="139"/>
      <c r="AH439" s="139"/>
      <c r="AI439" s="139"/>
    </row>
    <row r="440">
      <c r="A440" s="139"/>
      <c r="B440" s="139"/>
      <c r="C440" s="139"/>
      <c r="D440" s="139"/>
      <c r="E440" s="139"/>
      <c r="F440" s="139"/>
      <c r="G440" s="139"/>
      <c r="H440" s="139"/>
      <c r="I440" s="139"/>
      <c r="J440" s="139"/>
      <c r="K440" s="140"/>
      <c r="L440" s="140"/>
      <c r="M440" s="140"/>
      <c r="N440" s="140"/>
      <c r="O440" s="140"/>
      <c r="P440" s="139"/>
      <c r="Q440" s="139"/>
      <c r="R440" s="139"/>
      <c r="S440" s="139"/>
      <c r="T440" s="139"/>
      <c r="U440" s="139"/>
      <c r="V440" s="139"/>
      <c r="W440" s="139"/>
      <c r="X440" s="139"/>
      <c r="Y440" s="139"/>
      <c r="Z440" s="139"/>
      <c r="AA440" s="139"/>
      <c r="AB440" s="139"/>
      <c r="AC440" s="139"/>
      <c r="AD440" s="139"/>
      <c r="AE440" s="139"/>
      <c r="AF440" s="139"/>
      <c r="AG440" s="139"/>
      <c r="AH440" s="139"/>
      <c r="AI440" s="139"/>
    </row>
    <row r="441">
      <c r="A441" s="139"/>
      <c r="B441" s="139"/>
      <c r="C441" s="139"/>
      <c r="D441" s="139"/>
      <c r="E441" s="139"/>
      <c r="F441" s="139"/>
      <c r="G441" s="139"/>
      <c r="H441" s="139"/>
      <c r="I441" s="139"/>
      <c r="J441" s="139"/>
      <c r="K441" s="140"/>
      <c r="L441" s="140"/>
      <c r="M441" s="140"/>
      <c r="N441" s="140"/>
      <c r="O441" s="140"/>
      <c r="P441" s="139"/>
      <c r="Q441" s="139"/>
      <c r="R441" s="139"/>
      <c r="S441" s="139"/>
      <c r="T441" s="139"/>
      <c r="U441" s="139"/>
      <c r="V441" s="139"/>
      <c r="W441" s="139"/>
      <c r="X441" s="139"/>
      <c r="Y441" s="139"/>
      <c r="Z441" s="139"/>
      <c r="AA441" s="139"/>
      <c r="AB441" s="139"/>
      <c r="AC441" s="139"/>
      <c r="AD441" s="139"/>
      <c r="AE441" s="139"/>
      <c r="AF441" s="139"/>
      <c r="AG441" s="139"/>
      <c r="AH441" s="139"/>
      <c r="AI441" s="139"/>
    </row>
    <row r="442">
      <c r="A442" s="139"/>
      <c r="B442" s="139"/>
      <c r="C442" s="139"/>
      <c r="D442" s="139"/>
      <c r="E442" s="139"/>
      <c r="F442" s="139"/>
      <c r="G442" s="139"/>
      <c r="H442" s="139"/>
      <c r="I442" s="139"/>
      <c r="J442" s="139"/>
      <c r="K442" s="140"/>
      <c r="L442" s="140"/>
      <c r="M442" s="140"/>
      <c r="N442" s="140"/>
      <c r="O442" s="140"/>
      <c r="P442" s="139"/>
      <c r="Q442" s="139"/>
      <c r="R442" s="139"/>
      <c r="S442" s="139"/>
      <c r="T442" s="139"/>
      <c r="U442" s="139"/>
      <c r="V442" s="139"/>
      <c r="W442" s="139"/>
      <c r="X442" s="139"/>
      <c r="Y442" s="139"/>
      <c r="Z442" s="139"/>
      <c r="AA442" s="139"/>
      <c r="AB442" s="139"/>
      <c r="AC442" s="139"/>
      <c r="AD442" s="139"/>
      <c r="AE442" s="139"/>
      <c r="AF442" s="139"/>
      <c r="AG442" s="139"/>
      <c r="AH442" s="139"/>
      <c r="AI442" s="139"/>
    </row>
    <row r="443">
      <c r="A443" s="139"/>
      <c r="B443" s="139"/>
      <c r="C443" s="139"/>
      <c r="D443" s="139"/>
      <c r="E443" s="139"/>
      <c r="F443" s="139"/>
      <c r="G443" s="139"/>
      <c r="H443" s="139"/>
      <c r="I443" s="139"/>
      <c r="J443" s="139"/>
      <c r="K443" s="140"/>
      <c r="L443" s="140"/>
      <c r="M443" s="140"/>
      <c r="N443" s="140"/>
      <c r="O443" s="140"/>
      <c r="P443" s="139"/>
      <c r="Q443" s="139"/>
      <c r="R443" s="139"/>
      <c r="S443" s="139"/>
      <c r="T443" s="139"/>
      <c r="U443" s="139"/>
      <c r="V443" s="139"/>
      <c r="W443" s="139"/>
      <c r="X443" s="139"/>
      <c r="Y443" s="139"/>
      <c r="Z443" s="139"/>
      <c r="AA443" s="139"/>
      <c r="AB443" s="139"/>
      <c r="AC443" s="139"/>
      <c r="AD443" s="139"/>
      <c r="AE443" s="139"/>
      <c r="AF443" s="139"/>
      <c r="AG443" s="139"/>
      <c r="AH443" s="139"/>
      <c r="AI443" s="139"/>
    </row>
    <row r="444">
      <c r="A444" s="139"/>
      <c r="B444" s="139"/>
      <c r="C444" s="139"/>
      <c r="D444" s="139"/>
      <c r="E444" s="139"/>
      <c r="F444" s="139"/>
      <c r="G444" s="139"/>
      <c r="H444" s="139"/>
      <c r="I444" s="139"/>
      <c r="J444" s="139"/>
      <c r="K444" s="140"/>
      <c r="L444" s="140"/>
      <c r="M444" s="140"/>
      <c r="N444" s="140"/>
      <c r="O444" s="140"/>
      <c r="P444" s="139"/>
      <c r="Q444" s="139"/>
      <c r="R444" s="139"/>
      <c r="S444" s="139"/>
      <c r="T444" s="139"/>
      <c r="U444" s="139"/>
      <c r="V444" s="139"/>
      <c r="W444" s="139"/>
      <c r="X444" s="139"/>
      <c r="Y444" s="139"/>
      <c r="Z444" s="139"/>
      <c r="AA444" s="139"/>
      <c r="AB444" s="139"/>
      <c r="AC444" s="139"/>
      <c r="AD444" s="139"/>
      <c r="AE444" s="139"/>
      <c r="AF444" s="139"/>
      <c r="AG444" s="139"/>
      <c r="AH444" s="139"/>
      <c r="AI444" s="139"/>
    </row>
    <row r="445">
      <c r="A445" s="139"/>
      <c r="B445" s="139"/>
      <c r="C445" s="139"/>
      <c r="D445" s="139"/>
      <c r="E445" s="139"/>
      <c r="F445" s="139"/>
      <c r="G445" s="139"/>
      <c r="H445" s="139"/>
      <c r="I445" s="139"/>
      <c r="J445" s="139"/>
      <c r="K445" s="140"/>
      <c r="L445" s="140"/>
      <c r="M445" s="140"/>
      <c r="N445" s="140"/>
      <c r="O445" s="140"/>
      <c r="P445" s="139"/>
      <c r="Q445" s="139"/>
      <c r="R445" s="139"/>
      <c r="S445" s="139"/>
      <c r="T445" s="139"/>
      <c r="U445" s="139"/>
      <c r="V445" s="139"/>
      <c r="W445" s="139"/>
      <c r="X445" s="139"/>
      <c r="Y445" s="139"/>
      <c r="Z445" s="139"/>
      <c r="AA445" s="139"/>
      <c r="AB445" s="139"/>
      <c r="AC445" s="139"/>
      <c r="AD445" s="139"/>
      <c r="AE445" s="139"/>
      <c r="AF445" s="139"/>
      <c r="AG445" s="139"/>
      <c r="AH445" s="139"/>
      <c r="AI445" s="139"/>
    </row>
    <row r="446">
      <c r="A446" s="139"/>
      <c r="B446" s="139"/>
      <c r="C446" s="139"/>
      <c r="D446" s="139"/>
      <c r="E446" s="139"/>
      <c r="F446" s="139"/>
      <c r="G446" s="139"/>
      <c r="H446" s="139"/>
      <c r="I446" s="139"/>
      <c r="J446" s="139"/>
      <c r="K446" s="140"/>
      <c r="L446" s="140"/>
      <c r="M446" s="140"/>
      <c r="N446" s="140"/>
      <c r="O446" s="140"/>
      <c r="P446" s="139"/>
      <c r="Q446" s="139"/>
      <c r="R446" s="139"/>
      <c r="S446" s="139"/>
      <c r="T446" s="139"/>
      <c r="U446" s="139"/>
      <c r="V446" s="139"/>
      <c r="W446" s="139"/>
      <c r="X446" s="139"/>
      <c r="Y446" s="139"/>
      <c r="Z446" s="139"/>
      <c r="AA446" s="139"/>
      <c r="AB446" s="139"/>
      <c r="AC446" s="139"/>
      <c r="AD446" s="139"/>
      <c r="AE446" s="139"/>
      <c r="AF446" s="139"/>
      <c r="AG446" s="139"/>
      <c r="AH446" s="139"/>
      <c r="AI446" s="139"/>
    </row>
    <row r="447">
      <c r="A447" s="139"/>
      <c r="B447" s="139"/>
      <c r="C447" s="139"/>
      <c r="D447" s="139"/>
      <c r="E447" s="139"/>
      <c r="F447" s="139"/>
      <c r="G447" s="139"/>
      <c r="H447" s="139"/>
      <c r="I447" s="139"/>
      <c r="J447" s="139"/>
      <c r="K447" s="140"/>
      <c r="L447" s="140"/>
      <c r="M447" s="140"/>
      <c r="N447" s="140"/>
      <c r="O447" s="140"/>
      <c r="P447" s="139"/>
      <c r="Q447" s="139"/>
      <c r="R447" s="139"/>
      <c r="S447" s="139"/>
      <c r="T447" s="139"/>
      <c r="U447" s="139"/>
      <c r="V447" s="139"/>
      <c r="W447" s="139"/>
      <c r="X447" s="139"/>
      <c r="Y447" s="139"/>
      <c r="Z447" s="139"/>
      <c r="AA447" s="139"/>
      <c r="AB447" s="139"/>
      <c r="AC447" s="139"/>
      <c r="AD447" s="139"/>
      <c r="AE447" s="139"/>
      <c r="AF447" s="139"/>
      <c r="AG447" s="139"/>
      <c r="AH447" s="139"/>
      <c r="AI447" s="139"/>
    </row>
    <row r="448">
      <c r="A448" s="139"/>
      <c r="B448" s="139"/>
      <c r="C448" s="139"/>
      <c r="D448" s="139"/>
      <c r="E448" s="139"/>
      <c r="F448" s="139"/>
      <c r="G448" s="139"/>
      <c r="H448" s="139"/>
      <c r="I448" s="139"/>
      <c r="J448" s="139"/>
      <c r="K448" s="140"/>
      <c r="L448" s="140"/>
      <c r="M448" s="140"/>
      <c r="N448" s="140"/>
      <c r="O448" s="140"/>
      <c r="P448" s="139"/>
      <c r="Q448" s="139"/>
      <c r="R448" s="139"/>
      <c r="S448" s="139"/>
      <c r="T448" s="139"/>
      <c r="U448" s="139"/>
      <c r="V448" s="139"/>
      <c r="W448" s="139"/>
      <c r="X448" s="139"/>
      <c r="Y448" s="139"/>
      <c r="Z448" s="139"/>
      <c r="AA448" s="139"/>
      <c r="AB448" s="139"/>
      <c r="AC448" s="139"/>
      <c r="AD448" s="139"/>
      <c r="AE448" s="139"/>
      <c r="AF448" s="139"/>
      <c r="AG448" s="139"/>
      <c r="AH448" s="139"/>
      <c r="AI448" s="139"/>
    </row>
    <row r="449">
      <c r="A449" s="139"/>
      <c r="B449" s="139"/>
      <c r="C449" s="139"/>
      <c r="D449" s="139"/>
      <c r="E449" s="139"/>
      <c r="F449" s="139"/>
      <c r="G449" s="139"/>
      <c r="H449" s="139"/>
      <c r="I449" s="139"/>
      <c r="J449" s="139"/>
      <c r="K449" s="140"/>
      <c r="L449" s="140"/>
      <c r="M449" s="140"/>
      <c r="N449" s="140"/>
      <c r="O449" s="140"/>
      <c r="P449" s="139"/>
      <c r="Q449" s="139"/>
      <c r="R449" s="139"/>
      <c r="S449" s="139"/>
      <c r="T449" s="139"/>
      <c r="U449" s="139"/>
      <c r="V449" s="139"/>
      <c r="W449" s="139"/>
      <c r="X449" s="139"/>
      <c r="Y449" s="139"/>
      <c r="Z449" s="139"/>
      <c r="AA449" s="139"/>
      <c r="AB449" s="139"/>
      <c r="AC449" s="139"/>
      <c r="AD449" s="139"/>
      <c r="AE449" s="139"/>
      <c r="AF449" s="139"/>
      <c r="AG449" s="139"/>
      <c r="AH449" s="139"/>
      <c r="AI449" s="139"/>
    </row>
    <row r="450">
      <c r="A450" s="139"/>
      <c r="B450" s="139"/>
      <c r="C450" s="139"/>
      <c r="D450" s="139"/>
      <c r="E450" s="139"/>
      <c r="F450" s="139"/>
      <c r="G450" s="139"/>
      <c r="H450" s="139"/>
      <c r="I450" s="139"/>
      <c r="J450" s="139"/>
      <c r="K450" s="140"/>
      <c r="L450" s="140"/>
      <c r="M450" s="140"/>
      <c r="N450" s="140"/>
      <c r="O450" s="140"/>
      <c r="P450" s="139"/>
      <c r="Q450" s="139"/>
      <c r="R450" s="139"/>
      <c r="S450" s="139"/>
      <c r="T450" s="139"/>
      <c r="U450" s="139"/>
      <c r="V450" s="139"/>
      <c r="W450" s="139"/>
      <c r="X450" s="139"/>
      <c r="Y450" s="139"/>
      <c r="Z450" s="139"/>
      <c r="AA450" s="139"/>
      <c r="AB450" s="139"/>
      <c r="AC450" s="139"/>
      <c r="AD450" s="139"/>
      <c r="AE450" s="139"/>
      <c r="AF450" s="139"/>
      <c r="AG450" s="139"/>
      <c r="AH450" s="139"/>
      <c r="AI450" s="139"/>
    </row>
    <row r="451">
      <c r="A451" s="139"/>
      <c r="B451" s="139"/>
      <c r="C451" s="139"/>
      <c r="D451" s="139"/>
      <c r="E451" s="139"/>
      <c r="F451" s="139"/>
      <c r="G451" s="139"/>
      <c r="H451" s="139"/>
      <c r="I451" s="139"/>
      <c r="J451" s="139"/>
      <c r="K451" s="140"/>
      <c r="L451" s="140"/>
      <c r="M451" s="140"/>
      <c r="N451" s="140"/>
      <c r="O451" s="140"/>
      <c r="P451" s="139"/>
      <c r="Q451" s="139"/>
      <c r="R451" s="139"/>
      <c r="S451" s="139"/>
      <c r="T451" s="139"/>
      <c r="U451" s="139"/>
      <c r="V451" s="139"/>
      <c r="W451" s="139"/>
      <c r="X451" s="139"/>
      <c r="Y451" s="139"/>
      <c r="Z451" s="139"/>
      <c r="AA451" s="139"/>
      <c r="AB451" s="139"/>
      <c r="AC451" s="139"/>
      <c r="AD451" s="139"/>
      <c r="AE451" s="139"/>
      <c r="AF451" s="139"/>
      <c r="AG451" s="139"/>
      <c r="AH451" s="139"/>
      <c r="AI451" s="139"/>
    </row>
    <row r="452">
      <c r="A452" s="139"/>
      <c r="B452" s="139"/>
      <c r="C452" s="139"/>
      <c r="D452" s="139"/>
      <c r="E452" s="139"/>
      <c r="F452" s="139"/>
      <c r="G452" s="139"/>
      <c r="H452" s="139"/>
      <c r="I452" s="139"/>
      <c r="J452" s="139"/>
      <c r="K452" s="140"/>
      <c r="L452" s="140"/>
      <c r="M452" s="140"/>
      <c r="N452" s="140"/>
      <c r="O452" s="140"/>
      <c r="P452" s="139"/>
      <c r="Q452" s="139"/>
      <c r="R452" s="139"/>
      <c r="S452" s="139"/>
      <c r="T452" s="139"/>
      <c r="U452" s="139"/>
      <c r="V452" s="139"/>
      <c r="W452" s="139"/>
      <c r="X452" s="139"/>
      <c r="Y452" s="139"/>
      <c r="Z452" s="139"/>
      <c r="AA452" s="139"/>
      <c r="AB452" s="139"/>
      <c r="AC452" s="139"/>
      <c r="AD452" s="139"/>
      <c r="AE452" s="139"/>
      <c r="AF452" s="139"/>
      <c r="AG452" s="139"/>
      <c r="AH452" s="139"/>
      <c r="AI452" s="139"/>
    </row>
    <row r="453">
      <c r="A453" s="139"/>
      <c r="B453" s="139"/>
      <c r="C453" s="139"/>
      <c r="D453" s="139"/>
      <c r="E453" s="139"/>
      <c r="F453" s="139"/>
      <c r="G453" s="139"/>
      <c r="H453" s="139"/>
      <c r="I453" s="139"/>
      <c r="J453" s="139"/>
      <c r="K453" s="140"/>
      <c r="L453" s="140"/>
      <c r="M453" s="140"/>
      <c r="N453" s="140"/>
      <c r="O453" s="140"/>
      <c r="P453" s="139"/>
      <c r="Q453" s="139"/>
      <c r="R453" s="139"/>
      <c r="S453" s="139"/>
      <c r="T453" s="139"/>
      <c r="U453" s="139"/>
      <c r="V453" s="139"/>
      <c r="W453" s="139"/>
      <c r="X453" s="139"/>
      <c r="Y453" s="139"/>
      <c r="Z453" s="139"/>
      <c r="AA453" s="139"/>
      <c r="AB453" s="139"/>
      <c r="AC453" s="139"/>
      <c r="AD453" s="139"/>
      <c r="AE453" s="139"/>
      <c r="AF453" s="139"/>
      <c r="AG453" s="139"/>
      <c r="AH453" s="139"/>
      <c r="AI453" s="139"/>
    </row>
    <row r="454">
      <c r="A454" s="139"/>
      <c r="B454" s="139"/>
      <c r="C454" s="139"/>
      <c r="D454" s="139"/>
      <c r="E454" s="139"/>
      <c r="F454" s="139"/>
      <c r="G454" s="139"/>
      <c r="H454" s="139"/>
      <c r="I454" s="139"/>
      <c r="J454" s="139"/>
      <c r="K454" s="140"/>
      <c r="L454" s="140"/>
      <c r="M454" s="140"/>
      <c r="N454" s="140"/>
      <c r="O454" s="140"/>
      <c r="P454" s="139"/>
      <c r="Q454" s="139"/>
      <c r="R454" s="139"/>
      <c r="S454" s="139"/>
      <c r="T454" s="139"/>
      <c r="U454" s="139"/>
      <c r="V454" s="139"/>
      <c r="W454" s="139"/>
      <c r="X454" s="139"/>
      <c r="Y454" s="139"/>
      <c r="Z454" s="139"/>
      <c r="AA454" s="139"/>
      <c r="AB454" s="139"/>
      <c r="AC454" s="139"/>
      <c r="AD454" s="139"/>
      <c r="AE454" s="139"/>
      <c r="AF454" s="139"/>
      <c r="AG454" s="139"/>
      <c r="AH454" s="139"/>
      <c r="AI454" s="139"/>
    </row>
    <row r="455">
      <c r="A455" s="139"/>
      <c r="B455" s="139"/>
      <c r="C455" s="139"/>
      <c r="D455" s="139"/>
      <c r="E455" s="139"/>
      <c r="F455" s="139"/>
      <c r="G455" s="139"/>
      <c r="H455" s="139"/>
      <c r="I455" s="139"/>
      <c r="J455" s="139"/>
      <c r="K455" s="140"/>
      <c r="L455" s="140"/>
      <c r="M455" s="140"/>
      <c r="N455" s="140"/>
      <c r="O455" s="140"/>
      <c r="P455" s="139"/>
      <c r="Q455" s="139"/>
      <c r="R455" s="139"/>
      <c r="S455" s="139"/>
      <c r="T455" s="139"/>
      <c r="U455" s="139"/>
      <c r="V455" s="139"/>
      <c r="W455" s="139"/>
      <c r="X455" s="139"/>
      <c r="Y455" s="139"/>
      <c r="Z455" s="139"/>
      <c r="AA455" s="139"/>
      <c r="AB455" s="139"/>
      <c r="AC455" s="139"/>
      <c r="AD455" s="139"/>
      <c r="AE455" s="139"/>
      <c r="AF455" s="139"/>
      <c r="AG455" s="139"/>
      <c r="AH455" s="139"/>
      <c r="AI455" s="139"/>
    </row>
    <row r="456">
      <c r="A456" s="139"/>
      <c r="B456" s="139"/>
      <c r="C456" s="139"/>
      <c r="D456" s="139"/>
      <c r="E456" s="139"/>
      <c r="F456" s="139"/>
      <c r="G456" s="139"/>
      <c r="H456" s="139"/>
      <c r="I456" s="139"/>
      <c r="J456" s="139"/>
      <c r="K456" s="140"/>
      <c r="L456" s="140"/>
      <c r="M456" s="140"/>
      <c r="N456" s="140"/>
      <c r="O456" s="140"/>
      <c r="P456" s="139"/>
      <c r="Q456" s="139"/>
      <c r="R456" s="139"/>
      <c r="S456" s="139"/>
      <c r="T456" s="139"/>
      <c r="U456" s="139"/>
      <c r="V456" s="139"/>
      <c r="W456" s="139"/>
      <c r="X456" s="139"/>
      <c r="Y456" s="139"/>
      <c r="Z456" s="139"/>
      <c r="AA456" s="139"/>
      <c r="AB456" s="139"/>
      <c r="AC456" s="139"/>
      <c r="AD456" s="139"/>
      <c r="AE456" s="139"/>
      <c r="AF456" s="139"/>
      <c r="AG456" s="139"/>
      <c r="AH456" s="139"/>
      <c r="AI456" s="139"/>
    </row>
    <row r="457">
      <c r="A457" s="139"/>
      <c r="B457" s="139"/>
      <c r="C457" s="139"/>
      <c r="D457" s="139"/>
      <c r="E457" s="139"/>
      <c r="F457" s="139"/>
      <c r="G457" s="139"/>
      <c r="H457" s="139"/>
      <c r="I457" s="139"/>
      <c r="J457" s="139"/>
      <c r="K457" s="140"/>
      <c r="L457" s="140"/>
      <c r="M457" s="140"/>
      <c r="N457" s="140"/>
      <c r="O457" s="140"/>
      <c r="P457" s="139"/>
      <c r="Q457" s="139"/>
      <c r="R457" s="139"/>
      <c r="S457" s="139"/>
      <c r="T457" s="139"/>
      <c r="U457" s="139"/>
      <c r="V457" s="139"/>
      <c r="W457" s="139"/>
      <c r="X457" s="139"/>
      <c r="Y457" s="139"/>
      <c r="Z457" s="139"/>
      <c r="AA457" s="139"/>
      <c r="AB457" s="139"/>
      <c r="AC457" s="139"/>
      <c r="AD457" s="139"/>
      <c r="AE457" s="139"/>
      <c r="AF457" s="139"/>
      <c r="AG457" s="139"/>
      <c r="AH457" s="139"/>
      <c r="AI457" s="139"/>
    </row>
    <row r="458">
      <c r="A458" s="139"/>
      <c r="B458" s="139"/>
      <c r="C458" s="139"/>
      <c r="D458" s="139"/>
      <c r="E458" s="139"/>
      <c r="F458" s="139"/>
      <c r="G458" s="139"/>
      <c r="H458" s="139"/>
      <c r="I458" s="139"/>
      <c r="J458" s="139"/>
      <c r="K458" s="140"/>
      <c r="L458" s="140"/>
      <c r="M458" s="140"/>
      <c r="N458" s="140"/>
      <c r="O458" s="140"/>
      <c r="P458" s="139"/>
      <c r="Q458" s="139"/>
      <c r="R458" s="139"/>
      <c r="S458" s="139"/>
      <c r="T458" s="139"/>
      <c r="U458" s="139"/>
      <c r="V458" s="139"/>
      <c r="W458" s="139"/>
      <c r="X458" s="139"/>
      <c r="Y458" s="139"/>
      <c r="Z458" s="139"/>
      <c r="AA458" s="139"/>
      <c r="AB458" s="139"/>
      <c r="AC458" s="139"/>
      <c r="AD458" s="139"/>
      <c r="AE458" s="139"/>
      <c r="AF458" s="139"/>
      <c r="AG458" s="139"/>
      <c r="AH458" s="139"/>
      <c r="AI458" s="139"/>
    </row>
    <row r="459">
      <c r="A459" s="139"/>
      <c r="B459" s="139"/>
      <c r="C459" s="139"/>
      <c r="D459" s="139"/>
      <c r="E459" s="139"/>
      <c r="F459" s="139"/>
      <c r="G459" s="139"/>
      <c r="H459" s="139"/>
      <c r="I459" s="139"/>
      <c r="J459" s="139"/>
      <c r="K459" s="140"/>
      <c r="L459" s="140"/>
      <c r="M459" s="140"/>
      <c r="N459" s="140"/>
      <c r="O459" s="140"/>
      <c r="P459" s="139"/>
      <c r="Q459" s="139"/>
      <c r="R459" s="139"/>
      <c r="S459" s="139"/>
      <c r="T459" s="139"/>
      <c r="U459" s="139"/>
      <c r="V459" s="139"/>
      <c r="W459" s="139"/>
      <c r="X459" s="139"/>
      <c r="Y459" s="139"/>
      <c r="Z459" s="139"/>
      <c r="AA459" s="139"/>
      <c r="AB459" s="139"/>
      <c r="AC459" s="139"/>
      <c r="AD459" s="139"/>
      <c r="AE459" s="139"/>
      <c r="AF459" s="139"/>
      <c r="AG459" s="139"/>
      <c r="AH459" s="139"/>
      <c r="AI459" s="139"/>
    </row>
    <row r="460">
      <c r="A460" s="139"/>
      <c r="B460" s="139"/>
      <c r="C460" s="139"/>
      <c r="D460" s="139"/>
      <c r="E460" s="139"/>
      <c r="F460" s="139"/>
      <c r="G460" s="139"/>
      <c r="H460" s="139"/>
      <c r="I460" s="139"/>
      <c r="J460" s="139"/>
      <c r="K460" s="140"/>
      <c r="L460" s="140"/>
      <c r="M460" s="140"/>
      <c r="N460" s="140"/>
      <c r="O460" s="140"/>
      <c r="P460" s="139"/>
      <c r="Q460" s="139"/>
      <c r="R460" s="139"/>
      <c r="S460" s="139"/>
      <c r="T460" s="139"/>
      <c r="U460" s="139"/>
      <c r="V460" s="139"/>
      <c r="W460" s="139"/>
      <c r="X460" s="139"/>
      <c r="Y460" s="139"/>
      <c r="Z460" s="139"/>
      <c r="AA460" s="139"/>
      <c r="AB460" s="139"/>
      <c r="AC460" s="139"/>
      <c r="AD460" s="139"/>
      <c r="AE460" s="139"/>
      <c r="AF460" s="139"/>
      <c r="AG460" s="139"/>
      <c r="AH460" s="139"/>
      <c r="AI460" s="139"/>
    </row>
    <row r="461">
      <c r="A461" s="139"/>
      <c r="B461" s="139"/>
      <c r="C461" s="139"/>
      <c r="D461" s="139"/>
      <c r="E461" s="139"/>
      <c r="F461" s="139"/>
      <c r="G461" s="139"/>
      <c r="H461" s="139"/>
      <c r="I461" s="139"/>
      <c r="J461" s="139"/>
      <c r="K461" s="140"/>
      <c r="L461" s="140"/>
      <c r="M461" s="140"/>
      <c r="N461" s="140"/>
      <c r="O461" s="140"/>
      <c r="P461" s="139"/>
      <c r="Q461" s="139"/>
      <c r="R461" s="139"/>
      <c r="S461" s="139"/>
      <c r="T461" s="139"/>
      <c r="U461" s="139"/>
      <c r="V461" s="139"/>
      <c r="W461" s="139"/>
      <c r="X461" s="139"/>
      <c r="Y461" s="139"/>
      <c r="Z461" s="139"/>
      <c r="AA461" s="139"/>
      <c r="AB461" s="139"/>
      <c r="AC461" s="139"/>
      <c r="AD461" s="139"/>
      <c r="AE461" s="139"/>
      <c r="AF461" s="139"/>
      <c r="AG461" s="139"/>
      <c r="AH461" s="139"/>
      <c r="AI461" s="139"/>
    </row>
    <row r="462">
      <c r="A462" s="139"/>
      <c r="B462" s="139"/>
      <c r="C462" s="139"/>
      <c r="D462" s="139"/>
      <c r="E462" s="139"/>
      <c r="F462" s="139"/>
      <c r="G462" s="139"/>
      <c r="H462" s="139"/>
      <c r="I462" s="139"/>
      <c r="J462" s="139"/>
      <c r="K462" s="140"/>
      <c r="L462" s="140"/>
      <c r="M462" s="140"/>
      <c r="N462" s="140"/>
      <c r="O462" s="140"/>
      <c r="P462" s="139"/>
      <c r="Q462" s="139"/>
      <c r="R462" s="139"/>
      <c r="S462" s="139"/>
      <c r="T462" s="139"/>
      <c r="U462" s="139"/>
      <c r="V462" s="139"/>
      <c r="W462" s="139"/>
      <c r="X462" s="139"/>
      <c r="Y462" s="139"/>
      <c r="Z462" s="139"/>
      <c r="AA462" s="139"/>
      <c r="AB462" s="139"/>
      <c r="AC462" s="139"/>
      <c r="AD462" s="139"/>
      <c r="AE462" s="139"/>
      <c r="AF462" s="139"/>
      <c r="AG462" s="139"/>
      <c r="AH462" s="139"/>
      <c r="AI462" s="139"/>
    </row>
    <row r="463">
      <c r="A463" s="139"/>
      <c r="B463" s="139"/>
      <c r="C463" s="139"/>
      <c r="D463" s="139"/>
      <c r="E463" s="139"/>
      <c r="F463" s="139"/>
      <c r="G463" s="139"/>
      <c r="H463" s="139"/>
      <c r="I463" s="139"/>
      <c r="J463" s="139"/>
      <c r="K463" s="140"/>
      <c r="L463" s="140"/>
      <c r="M463" s="140"/>
      <c r="N463" s="140"/>
      <c r="O463" s="140"/>
      <c r="P463" s="139"/>
      <c r="Q463" s="139"/>
      <c r="R463" s="139"/>
      <c r="S463" s="139"/>
      <c r="T463" s="139"/>
      <c r="U463" s="139"/>
      <c r="V463" s="139"/>
      <c r="W463" s="139"/>
      <c r="X463" s="139"/>
      <c r="Y463" s="139"/>
      <c r="Z463" s="139"/>
      <c r="AA463" s="139"/>
      <c r="AB463" s="139"/>
      <c r="AC463" s="139"/>
      <c r="AD463" s="139"/>
      <c r="AE463" s="139"/>
      <c r="AF463" s="139"/>
      <c r="AG463" s="139"/>
      <c r="AH463" s="139"/>
      <c r="AI463" s="139"/>
    </row>
    <row r="464">
      <c r="A464" s="139"/>
      <c r="B464" s="139"/>
      <c r="C464" s="139"/>
      <c r="D464" s="139"/>
      <c r="E464" s="139"/>
      <c r="F464" s="139"/>
      <c r="G464" s="139"/>
      <c r="H464" s="139"/>
      <c r="I464" s="139"/>
      <c r="J464" s="139"/>
      <c r="K464" s="140"/>
      <c r="L464" s="140"/>
      <c r="M464" s="140"/>
      <c r="N464" s="140"/>
      <c r="O464" s="140"/>
      <c r="P464" s="139"/>
      <c r="Q464" s="139"/>
      <c r="R464" s="139"/>
      <c r="S464" s="139"/>
      <c r="T464" s="139"/>
      <c r="U464" s="139"/>
      <c r="V464" s="139"/>
      <c r="W464" s="139"/>
      <c r="X464" s="139"/>
      <c r="Y464" s="139"/>
      <c r="Z464" s="139"/>
      <c r="AA464" s="139"/>
      <c r="AB464" s="139"/>
      <c r="AC464" s="139"/>
      <c r="AD464" s="139"/>
      <c r="AE464" s="139"/>
      <c r="AF464" s="139"/>
      <c r="AG464" s="139"/>
      <c r="AH464" s="139"/>
      <c r="AI464" s="139"/>
    </row>
    <row r="465">
      <c r="A465" s="139"/>
      <c r="B465" s="139"/>
      <c r="C465" s="139"/>
      <c r="D465" s="139"/>
      <c r="E465" s="139"/>
      <c r="F465" s="139"/>
      <c r="G465" s="139"/>
      <c r="H465" s="139"/>
      <c r="I465" s="139"/>
      <c r="J465" s="139"/>
      <c r="K465" s="140"/>
      <c r="L465" s="140"/>
      <c r="M465" s="140"/>
      <c r="N465" s="140"/>
      <c r="O465" s="140"/>
      <c r="P465" s="139"/>
      <c r="Q465" s="139"/>
      <c r="R465" s="139"/>
      <c r="S465" s="139"/>
      <c r="T465" s="139"/>
      <c r="U465" s="139"/>
      <c r="V465" s="139"/>
      <c r="W465" s="139"/>
      <c r="X465" s="139"/>
      <c r="Y465" s="139"/>
      <c r="Z465" s="139"/>
      <c r="AA465" s="139"/>
      <c r="AB465" s="139"/>
      <c r="AC465" s="139"/>
      <c r="AD465" s="139"/>
      <c r="AE465" s="139"/>
      <c r="AF465" s="139"/>
      <c r="AG465" s="139"/>
      <c r="AH465" s="139"/>
      <c r="AI465" s="139"/>
    </row>
    <row r="466">
      <c r="A466" s="139"/>
      <c r="B466" s="139"/>
      <c r="C466" s="139"/>
      <c r="D466" s="139"/>
      <c r="E466" s="139"/>
      <c r="F466" s="139"/>
      <c r="G466" s="139"/>
      <c r="H466" s="139"/>
      <c r="I466" s="139"/>
      <c r="J466" s="139"/>
      <c r="K466" s="140"/>
      <c r="L466" s="140"/>
      <c r="M466" s="140"/>
      <c r="N466" s="140"/>
      <c r="O466" s="140"/>
      <c r="P466" s="139"/>
      <c r="Q466" s="139"/>
      <c r="R466" s="139"/>
      <c r="S466" s="139"/>
      <c r="T466" s="139"/>
      <c r="U466" s="139"/>
      <c r="V466" s="139"/>
      <c r="W466" s="139"/>
      <c r="X466" s="139"/>
      <c r="Y466" s="139"/>
      <c r="Z466" s="139"/>
      <c r="AA466" s="139"/>
      <c r="AB466" s="139"/>
      <c r="AC466" s="139"/>
      <c r="AD466" s="139"/>
      <c r="AE466" s="139"/>
      <c r="AF466" s="139"/>
      <c r="AG466" s="139"/>
      <c r="AH466" s="139"/>
      <c r="AI466" s="139"/>
    </row>
    <row r="467">
      <c r="A467" s="139"/>
      <c r="B467" s="139"/>
      <c r="C467" s="139"/>
      <c r="D467" s="139"/>
      <c r="E467" s="139"/>
      <c r="F467" s="139"/>
      <c r="G467" s="139"/>
      <c r="H467" s="139"/>
      <c r="I467" s="139"/>
      <c r="J467" s="139"/>
      <c r="K467" s="140"/>
      <c r="L467" s="140"/>
      <c r="M467" s="140"/>
      <c r="N467" s="140"/>
      <c r="O467" s="140"/>
      <c r="P467" s="139"/>
      <c r="Q467" s="139"/>
      <c r="R467" s="139"/>
      <c r="S467" s="139"/>
      <c r="T467" s="139"/>
      <c r="U467" s="139"/>
      <c r="V467" s="139"/>
      <c r="W467" s="139"/>
      <c r="X467" s="139"/>
      <c r="Y467" s="139"/>
      <c r="Z467" s="139"/>
      <c r="AA467" s="139"/>
      <c r="AB467" s="139"/>
      <c r="AC467" s="139"/>
      <c r="AD467" s="139"/>
      <c r="AE467" s="139"/>
      <c r="AF467" s="139"/>
      <c r="AG467" s="139"/>
      <c r="AH467" s="139"/>
      <c r="AI467" s="139"/>
    </row>
    <row r="468">
      <c r="A468" s="139"/>
      <c r="B468" s="139"/>
      <c r="C468" s="139"/>
      <c r="D468" s="139"/>
      <c r="E468" s="139"/>
      <c r="F468" s="139"/>
      <c r="G468" s="139"/>
      <c r="H468" s="139"/>
      <c r="I468" s="139"/>
      <c r="J468" s="139"/>
      <c r="K468" s="140"/>
      <c r="L468" s="140"/>
      <c r="M468" s="140"/>
      <c r="N468" s="140"/>
      <c r="O468" s="140"/>
      <c r="P468" s="139"/>
      <c r="Q468" s="139"/>
      <c r="R468" s="139"/>
      <c r="S468" s="139"/>
      <c r="T468" s="139"/>
      <c r="U468" s="139"/>
      <c r="V468" s="139"/>
      <c r="W468" s="139"/>
      <c r="X468" s="139"/>
      <c r="Y468" s="139"/>
      <c r="Z468" s="139"/>
      <c r="AA468" s="139"/>
      <c r="AB468" s="139"/>
      <c r="AC468" s="139"/>
      <c r="AD468" s="139"/>
      <c r="AE468" s="139"/>
      <c r="AF468" s="139"/>
      <c r="AG468" s="139"/>
      <c r="AH468" s="139"/>
      <c r="AI468" s="139"/>
    </row>
    <row r="469">
      <c r="A469" s="139"/>
      <c r="B469" s="139"/>
      <c r="C469" s="139"/>
      <c r="D469" s="139"/>
      <c r="E469" s="139"/>
      <c r="F469" s="139"/>
      <c r="G469" s="139"/>
      <c r="H469" s="139"/>
      <c r="I469" s="139"/>
      <c r="J469" s="139"/>
      <c r="K469" s="140"/>
      <c r="L469" s="140"/>
      <c r="M469" s="140"/>
      <c r="N469" s="140"/>
      <c r="O469" s="140"/>
      <c r="P469" s="139"/>
      <c r="Q469" s="139"/>
      <c r="R469" s="139"/>
      <c r="S469" s="139"/>
      <c r="T469" s="139"/>
      <c r="U469" s="139"/>
      <c r="V469" s="139"/>
      <c r="W469" s="139"/>
      <c r="X469" s="139"/>
      <c r="Y469" s="139"/>
      <c r="Z469" s="139"/>
      <c r="AA469" s="139"/>
      <c r="AB469" s="139"/>
      <c r="AC469" s="139"/>
      <c r="AD469" s="139"/>
      <c r="AE469" s="139"/>
      <c r="AF469" s="139"/>
      <c r="AG469" s="139"/>
      <c r="AH469" s="139"/>
      <c r="AI469" s="139"/>
    </row>
    <row r="470">
      <c r="A470" s="139"/>
      <c r="B470" s="139"/>
      <c r="C470" s="139"/>
      <c r="D470" s="139"/>
      <c r="E470" s="139"/>
      <c r="F470" s="139"/>
      <c r="G470" s="139"/>
      <c r="H470" s="139"/>
      <c r="I470" s="139"/>
      <c r="J470" s="139"/>
      <c r="K470" s="140"/>
      <c r="L470" s="140"/>
      <c r="M470" s="140"/>
      <c r="N470" s="140"/>
      <c r="O470" s="140"/>
      <c r="P470" s="139"/>
      <c r="Q470" s="139"/>
      <c r="R470" s="139"/>
      <c r="S470" s="139"/>
      <c r="T470" s="139"/>
      <c r="U470" s="139"/>
      <c r="V470" s="139"/>
      <c r="W470" s="139"/>
      <c r="X470" s="139"/>
      <c r="Y470" s="139"/>
      <c r="Z470" s="139"/>
      <c r="AA470" s="139"/>
      <c r="AB470" s="139"/>
      <c r="AC470" s="139"/>
      <c r="AD470" s="139"/>
      <c r="AE470" s="139"/>
      <c r="AF470" s="139"/>
      <c r="AG470" s="139"/>
      <c r="AH470" s="139"/>
      <c r="AI470" s="139"/>
    </row>
    <row r="471">
      <c r="A471" s="139"/>
      <c r="B471" s="139"/>
      <c r="C471" s="139"/>
      <c r="D471" s="139"/>
      <c r="E471" s="139"/>
      <c r="F471" s="139"/>
      <c r="G471" s="139"/>
      <c r="H471" s="139"/>
      <c r="I471" s="139"/>
      <c r="J471" s="139"/>
      <c r="K471" s="140"/>
      <c r="L471" s="140"/>
      <c r="M471" s="140"/>
      <c r="N471" s="140"/>
      <c r="O471" s="140"/>
      <c r="P471" s="139"/>
      <c r="Q471" s="139"/>
      <c r="R471" s="139"/>
      <c r="S471" s="139"/>
      <c r="T471" s="139"/>
      <c r="U471" s="139"/>
      <c r="V471" s="139"/>
      <c r="W471" s="139"/>
      <c r="X471" s="139"/>
      <c r="Y471" s="139"/>
      <c r="Z471" s="139"/>
      <c r="AA471" s="139"/>
      <c r="AB471" s="139"/>
      <c r="AC471" s="139"/>
      <c r="AD471" s="139"/>
      <c r="AE471" s="139"/>
      <c r="AF471" s="139"/>
      <c r="AG471" s="139"/>
      <c r="AH471" s="139"/>
      <c r="AI471" s="139"/>
    </row>
    <row r="472">
      <c r="A472" s="139"/>
      <c r="B472" s="139"/>
      <c r="C472" s="139"/>
      <c r="D472" s="139"/>
      <c r="E472" s="139"/>
      <c r="F472" s="139"/>
      <c r="G472" s="139"/>
      <c r="H472" s="139"/>
      <c r="I472" s="139"/>
      <c r="J472" s="139"/>
      <c r="K472" s="140"/>
      <c r="L472" s="140"/>
      <c r="M472" s="140"/>
      <c r="N472" s="140"/>
      <c r="O472" s="140"/>
      <c r="P472" s="139"/>
      <c r="Q472" s="139"/>
      <c r="R472" s="139"/>
      <c r="S472" s="139"/>
      <c r="T472" s="139"/>
      <c r="U472" s="139"/>
      <c r="V472" s="139"/>
      <c r="W472" s="139"/>
      <c r="X472" s="139"/>
      <c r="Y472" s="139"/>
      <c r="Z472" s="139"/>
      <c r="AA472" s="139"/>
      <c r="AB472" s="139"/>
      <c r="AC472" s="139"/>
      <c r="AD472" s="139"/>
      <c r="AE472" s="139"/>
      <c r="AF472" s="139"/>
      <c r="AG472" s="139"/>
      <c r="AH472" s="139"/>
      <c r="AI472" s="139"/>
    </row>
    <row r="473">
      <c r="A473" s="139"/>
      <c r="B473" s="139"/>
      <c r="C473" s="139"/>
      <c r="D473" s="139"/>
      <c r="E473" s="139"/>
      <c r="F473" s="139"/>
      <c r="G473" s="139"/>
      <c r="H473" s="139"/>
      <c r="I473" s="139"/>
      <c r="J473" s="139"/>
      <c r="K473" s="140"/>
      <c r="L473" s="140"/>
      <c r="M473" s="140"/>
      <c r="N473" s="140"/>
      <c r="O473" s="140"/>
      <c r="P473" s="139"/>
      <c r="Q473" s="139"/>
      <c r="R473" s="139"/>
      <c r="S473" s="139"/>
      <c r="T473" s="139"/>
      <c r="U473" s="139"/>
      <c r="V473" s="139"/>
      <c r="W473" s="139"/>
      <c r="X473" s="139"/>
      <c r="Y473" s="139"/>
      <c r="Z473" s="139"/>
      <c r="AA473" s="139"/>
      <c r="AB473" s="139"/>
      <c r="AC473" s="139"/>
      <c r="AD473" s="139"/>
      <c r="AE473" s="139"/>
      <c r="AF473" s="139"/>
      <c r="AG473" s="139"/>
      <c r="AH473" s="139"/>
      <c r="AI473" s="139"/>
    </row>
    <row r="474">
      <c r="A474" s="139"/>
      <c r="B474" s="139"/>
      <c r="C474" s="139"/>
      <c r="D474" s="139"/>
      <c r="E474" s="139"/>
      <c r="F474" s="139"/>
      <c r="G474" s="139"/>
      <c r="H474" s="139"/>
      <c r="I474" s="139"/>
      <c r="J474" s="139"/>
      <c r="K474" s="140"/>
      <c r="L474" s="140"/>
      <c r="M474" s="140"/>
      <c r="N474" s="140"/>
      <c r="O474" s="140"/>
      <c r="P474" s="139"/>
      <c r="Q474" s="139"/>
      <c r="R474" s="139"/>
      <c r="S474" s="139"/>
      <c r="T474" s="139"/>
      <c r="U474" s="139"/>
      <c r="V474" s="139"/>
      <c r="W474" s="139"/>
      <c r="X474" s="139"/>
      <c r="Y474" s="139"/>
      <c r="Z474" s="139"/>
      <c r="AA474" s="139"/>
      <c r="AB474" s="139"/>
      <c r="AC474" s="139"/>
      <c r="AD474" s="139"/>
      <c r="AE474" s="139"/>
      <c r="AF474" s="139"/>
      <c r="AG474" s="139"/>
      <c r="AH474" s="139"/>
      <c r="AI474" s="139"/>
    </row>
    <row r="475">
      <c r="A475" s="139"/>
      <c r="B475" s="139"/>
      <c r="C475" s="139"/>
      <c r="D475" s="139"/>
      <c r="E475" s="139"/>
      <c r="F475" s="139"/>
      <c r="G475" s="139"/>
      <c r="H475" s="139"/>
      <c r="I475" s="139"/>
      <c r="J475" s="139"/>
      <c r="K475" s="140"/>
      <c r="L475" s="140"/>
      <c r="M475" s="140"/>
      <c r="N475" s="140"/>
      <c r="O475" s="140"/>
      <c r="P475" s="139"/>
      <c r="Q475" s="139"/>
      <c r="R475" s="139"/>
      <c r="S475" s="139"/>
      <c r="T475" s="139"/>
      <c r="U475" s="139"/>
      <c r="V475" s="139"/>
      <c r="W475" s="139"/>
      <c r="X475" s="139"/>
      <c r="Y475" s="139"/>
      <c r="Z475" s="139"/>
      <c r="AA475" s="139"/>
      <c r="AB475" s="139"/>
      <c r="AC475" s="139"/>
      <c r="AD475" s="139"/>
      <c r="AE475" s="139"/>
      <c r="AF475" s="139"/>
      <c r="AG475" s="139"/>
      <c r="AH475" s="139"/>
      <c r="AI475" s="139"/>
    </row>
    <row r="476">
      <c r="A476" s="139"/>
      <c r="B476" s="139"/>
      <c r="C476" s="139"/>
      <c r="D476" s="139"/>
      <c r="E476" s="139"/>
      <c r="F476" s="139"/>
      <c r="G476" s="139"/>
      <c r="H476" s="139"/>
      <c r="I476" s="139"/>
      <c r="J476" s="139"/>
      <c r="K476" s="140"/>
      <c r="L476" s="140"/>
      <c r="M476" s="140"/>
      <c r="N476" s="140"/>
      <c r="O476" s="140"/>
      <c r="P476" s="139"/>
      <c r="Q476" s="139"/>
      <c r="R476" s="139"/>
      <c r="S476" s="139"/>
      <c r="T476" s="139"/>
      <c r="U476" s="139"/>
      <c r="V476" s="139"/>
      <c r="W476" s="139"/>
      <c r="X476" s="139"/>
      <c r="Y476" s="139"/>
      <c r="Z476" s="139"/>
      <c r="AA476" s="139"/>
      <c r="AB476" s="139"/>
      <c r="AC476" s="139"/>
      <c r="AD476" s="139"/>
      <c r="AE476" s="139"/>
      <c r="AF476" s="139"/>
      <c r="AG476" s="139"/>
      <c r="AH476" s="139"/>
      <c r="AI476" s="139"/>
    </row>
    <row r="477">
      <c r="A477" s="139"/>
      <c r="B477" s="139"/>
      <c r="C477" s="139"/>
      <c r="D477" s="139"/>
      <c r="E477" s="139"/>
      <c r="F477" s="139"/>
      <c r="G477" s="139"/>
      <c r="H477" s="139"/>
      <c r="I477" s="139"/>
      <c r="J477" s="139"/>
      <c r="K477" s="140"/>
      <c r="L477" s="140"/>
      <c r="M477" s="140"/>
      <c r="N477" s="140"/>
      <c r="O477" s="140"/>
      <c r="P477" s="139"/>
      <c r="Q477" s="139"/>
      <c r="R477" s="139"/>
      <c r="S477" s="139"/>
      <c r="T477" s="139"/>
      <c r="U477" s="139"/>
      <c r="V477" s="139"/>
      <c r="W477" s="139"/>
      <c r="X477" s="139"/>
      <c r="Y477" s="139"/>
      <c r="Z477" s="139"/>
      <c r="AA477" s="139"/>
      <c r="AB477" s="139"/>
      <c r="AC477" s="139"/>
      <c r="AD477" s="139"/>
      <c r="AE477" s="139"/>
      <c r="AF477" s="139"/>
      <c r="AG477" s="139"/>
      <c r="AH477" s="139"/>
      <c r="AI477" s="139"/>
    </row>
    <row r="478">
      <c r="A478" s="139"/>
      <c r="B478" s="139"/>
      <c r="C478" s="139"/>
      <c r="D478" s="139"/>
      <c r="E478" s="139"/>
      <c r="F478" s="139"/>
      <c r="G478" s="139"/>
      <c r="H478" s="139"/>
      <c r="I478" s="139"/>
      <c r="J478" s="139"/>
      <c r="K478" s="140"/>
      <c r="L478" s="140"/>
      <c r="M478" s="140"/>
      <c r="N478" s="140"/>
      <c r="O478" s="140"/>
      <c r="P478" s="139"/>
      <c r="Q478" s="139"/>
      <c r="R478" s="139"/>
      <c r="S478" s="139"/>
      <c r="T478" s="139"/>
      <c r="U478" s="139"/>
      <c r="V478" s="139"/>
      <c r="W478" s="139"/>
      <c r="X478" s="139"/>
      <c r="Y478" s="139"/>
      <c r="Z478" s="139"/>
      <c r="AA478" s="139"/>
      <c r="AB478" s="139"/>
      <c r="AC478" s="139"/>
      <c r="AD478" s="139"/>
      <c r="AE478" s="139"/>
      <c r="AF478" s="139"/>
      <c r="AG478" s="139"/>
      <c r="AH478" s="139"/>
      <c r="AI478" s="139"/>
    </row>
    <row r="479">
      <c r="A479" s="139"/>
      <c r="B479" s="139"/>
      <c r="C479" s="139"/>
      <c r="D479" s="139"/>
      <c r="E479" s="139"/>
      <c r="F479" s="139"/>
      <c r="G479" s="139"/>
      <c r="H479" s="139"/>
      <c r="I479" s="139"/>
      <c r="J479" s="139"/>
      <c r="K479" s="140"/>
      <c r="L479" s="140"/>
      <c r="M479" s="140"/>
      <c r="N479" s="140"/>
      <c r="O479" s="140"/>
      <c r="P479" s="139"/>
      <c r="Q479" s="139"/>
      <c r="R479" s="139"/>
      <c r="S479" s="139"/>
      <c r="T479" s="139"/>
      <c r="U479" s="139"/>
      <c r="V479" s="139"/>
      <c r="W479" s="139"/>
      <c r="X479" s="139"/>
      <c r="Y479" s="139"/>
      <c r="Z479" s="139"/>
      <c r="AA479" s="139"/>
      <c r="AB479" s="139"/>
      <c r="AC479" s="139"/>
      <c r="AD479" s="139"/>
      <c r="AE479" s="139"/>
      <c r="AF479" s="139"/>
      <c r="AG479" s="139"/>
      <c r="AH479" s="139"/>
      <c r="AI479" s="139"/>
    </row>
    <row r="480">
      <c r="A480" s="139"/>
      <c r="B480" s="139"/>
      <c r="C480" s="139"/>
      <c r="D480" s="139"/>
      <c r="E480" s="139"/>
      <c r="F480" s="139"/>
      <c r="G480" s="139"/>
      <c r="H480" s="139"/>
      <c r="I480" s="139"/>
      <c r="J480" s="139"/>
      <c r="K480" s="140"/>
      <c r="L480" s="140"/>
      <c r="M480" s="140"/>
      <c r="N480" s="140"/>
      <c r="O480" s="140"/>
      <c r="P480" s="139"/>
      <c r="Q480" s="139"/>
      <c r="R480" s="139"/>
      <c r="S480" s="139"/>
      <c r="T480" s="139"/>
      <c r="U480" s="139"/>
      <c r="V480" s="139"/>
      <c r="W480" s="139"/>
      <c r="X480" s="139"/>
      <c r="Y480" s="139"/>
      <c r="Z480" s="139"/>
      <c r="AA480" s="139"/>
      <c r="AB480" s="139"/>
      <c r="AC480" s="139"/>
      <c r="AD480" s="139"/>
      <c r="AE480" s="139"/>
      <c r="AF480" s="139"/>
      <c r="AG480" s="139"/>
      <c r="AH480" s="139"/>
      <c r="AI480" s="139"/>
    </row>
    <row r="481">
      <c r="A481" s="139"/>
      <c r="B481" s="139"/>
      <c r="C481" s="139"/>
      <c r="D481" s="139"/>
      <c r="E481" s="139"/>
      <c r="F481" s="139"/>
      <c r="G481" s="139"/>
      <c r="H481" s="139"/>
      <c r="I481" s="139"/>
      <c r="J481" s="139"/>
      <c r="K481" s="140"/>
      <c r="L481" s="140"/>
      <c r="M481" s="140"/>
      <c r="N481" s="140"/>
      <c r="O481" s="140"/>
      <c r="P481" s="139"/>
      <c r="Q481" s="139"/>
      <c r="R481" s="139"/>
      <c r="S481" s="139"/>
      <c r="T481" s="139"/>
      <c r="U481" s="139"/>
      <c r="V481" s="139"/>
      <c r="W481" s="139"/>
      <c r="X481" s="139"/>
      <c r="Y481" s="139"/>
      <c r="Z481" s="139"/>
      <c r="AA481" s="139"/>
      <c r="AB481" s="139"/>
      <c r="AC481" s="139"/>
      <c r="AD481" s="139"/>
      <c r="AE481" s="139"/>
      <c r="AF481" s="139"/>
      <c r="AG481" s="139"/>
      <c r="AH481" s="139"/>
      <c r="AI481" s="139"/>
    </row>
    <row r="482">
      <c r="A482" s="139"/>
      <c r="B482" s="139"/>
      <c r="C482" s="139"/>
      <c r="D482" s="139"/>
      <c r="E482" s="139"/>
      <c r="F482" s="139"/>
      <c r="G482" s="139"/>
      <c r="H482" s="139"/>
      <c r="I482" s="139"/>
      <c r="J482" s="139"/>
      <c r="K482" s="140"/>
      <c r="L482" s="140"/>
      <c r="M482" s="140"/>
      <c r="N482" s="140"/>
      <c r="O482" s="140"/>
      <c r="P482" s="139"/>
      <c r="Q482" s="139"/>
      <c r="R482" s="139"/>
      <c r="S482" s="139"/>
      <c r="T482" s="139"/>
      <c r="U482" s="139"/>
      <c r="V482" s="139"/>
      <c r="W482" s="139"/>
      <c r="X482" s="139"/>
      <c r="Y482" s="139"/>
      <c r="Z482" s="139"/>
      <c r="AA482" s="139"/>
      <c r="AB482" s="139"/>
      <c r="AC482" s="139"/>
      <c r="AD482" s="139"/>
      <c r="AE482" s="139"/>
      <c r="AF482" s="139"/>
      <c r="AG482" s="139"/>
      <c r="AH482" s="139"/>
      <c r="AI482" s="139"/>
    </row>
    <row r="483">
      <c r="A483" s="139"/>
      <c r="B483" s="139"/>
      <c r="C483" s="139"/>
      <c r="D483" s="139"/>
      <c r="E483" s="139"/>
      <c r="F483" s="139"/>
      <c r="G483" s="139"/>
      <c r="H483" s="139"/>
      <c r="I483" s="139"/>
      <c r="J483" s="139"/>
      <c r="K483" s="140"/>
      <c r="L483" s="140"/>
      <c r="M483" s="140"/>
      <c r="N483" s="140"/>
      <c r="O483" s="140"/>
      <c r="P483" s="139"/>
      <c r="Q483" s="139"/>
      <c r="R483" s="139"/>
      <c r="S483" s="139"/>
      <c r="T483" s="139"/>
      <c r="U483" s="139"/>
      <c r="V483" s="139"/>
      <c r="W483" s="139"/>
      <c r="X483" s="139"/>
      <c r="Y483" s="139"/>
      <c r="Z483" s="139"/>
      <c r="AA483" s="139"/>
      <c r="AB483" s="139"/>
      <c r="AC483" s="139"/>
      <c r="AD483" s="139"/>
      <c r="AE483" s="139"/>
      <c r="AF483" s="139"/>
      <c r="AG483" s="139"/>
      <c r="AH483" s="139"/>
      <c r="AI483" s="139"/>
    </row>
    <row r="484">
      <c r="A484" s="139"/>
      <c r="B484" s="139"/>
      <c r="C484" s="139"/>
      <c r="D484" s="139"/>
      <c r="E484" s="139"/>
      <c r="F484" s="139"/>
      <c r="G484" s="139"/>
      <c r="H484" s="139"/>
      <c r="I484" s="139"/>
      <c r="J484" s="139"/>
      <c r="K484" s="140"/>
      <c r="L484" s="140"/>
      <c r="M484" s="140"/>
      <c r="N484" s="140"/>
      <c r="O484" s="140"/>
      <c r="P484" s="139"/>
      <c r="Q484" s="139"/>
      <c r="R484" s="139"/>
      <c r="S484" s="139"/>
      <c r="T484" s="139"/>
      <c r="U484" s="139"/>
      <c r="V484" s="139"/>
      <c r="W484" s="139"/>
      <c r="X484" s="139"/>
      <c r="Y484" s="139"/>
      <c r="Z484" s="139"/>
      <c r="AA484" s="139"/>
      <c r="AB484" s="139"/>
      <c r="AC484" s="139"/>
      <c r="AD484" s="139"/>
      <c r="AE484" s="139"/>
      <c r="AF484" s="139"/>
      <c r="AG484" s="139"/>
      <c r="AH484" s="139"/>
      <c r="AI484" s="139"/>
    </row>
    <row r="485">
      <c r="A485" s="139"/>
      <c r="B485" s="139"/>
      <c r="C485" s="139"/>
      <c r="D485" s="139"/>
      <c r="E485" s="139"/>
      <c r="F485" s="139"/>
      <c r="G485" s="139"/>
      <c r="H485" s="139"/>
      <c r="I485" s="139"/>
      <c r="J485" s="139"/>
      <c r="K485" s="140"/>
      <c r="L485" s="140"/>
      <c r="M485" s="140"/>
      <c r="N485" s="140"/>
      <c r="O485" s="140"/>
      <c r="P485" s="139"/>
      <c r="Q485" s="139"/>
      <c r="R485" s="139"/>
      <c r="S485" s="139"/>
      <c r="T485" s="139"/>
      <c r="U485" s="139"/>
      <c r="V485" s="139"/>
      <c r="W485" s="139"/>
      <c r="X485" s="139"/>
      <c r="Y485" s="139"/>
      <c r="Z485" s="139"/>
      <c r="AA485" s="139"/>
      <c r="AB485" s="139"/>
      <c r="AC485" s="139"/>
      <c r="AD485" s="139"/>
      <c r="AE485" s="139"/>
      <c r="AF485" s="139"/>
      <c r="AG485" s="139"/>
      <c r="AH485" s="139"/>
      <c r="AI485" s="139"/>
    </row>
    <row r="486">
      <c r="A486" s="139"/>
      <c r="B486" s="139"/>
      <c r="C486" s="139"/>
      <c r="D486" s="139"/>
      <c r="E486" s="139"/>
      <c r="F486" s="139"/>
      <c r="G486" s="139"/>
      <c r="H486" s="139"/>
      <c r="I486" s="139"/>
      <c r="J486" s="139"/>
      <c r="K486" s="140"/>
      <c r="L486" s="140"/>
      <c r="M486" s="140"/>
      <c r="N486" s="140"/>
      <c r="O486" s="140"/>
      <c r="P486" s="139"/>
      <c r="Q486" s="139"/>
      <c r="R486" s="139"/>
      <c r="S486" s="139"/>
      <c r="T486" s="139"/>
      <c r="U486" s="139"/>
      <c r="V486" s="139"/>
      <c r="W486" s="139"/>
      <c r="X486" s="139"/>
      <c r="Y486" s="139"/>
      <c r="Z486" s="139"/>
      <c r="AA486" s="139"/>
      <c r="AB486" s="139"/>
      <c r="AC486" s="139"/>
      <c r="AD486" s="139"/>
      <c r="AE486" s="139"/>
      <c r="AF486" s="139"/>
      <c r="AG486" s="139"/>
      <c r="AH486" s="139"/>
      <c r="AI486" s="139"/>
    </row>
    <row r="487">
      <c r="A487" s="139"/>
      <c r="B487" s="139"/>
      <c r="C487" s="139"/>
      <c r="D487" s="139"/>
      <c r="E487" s="139"/>
      <c r="F487" s="139"/>
      <c r="G487" s="139"/>
      <c r="H487" s="139"/>
      <c r="I487" s="139"/>
      <c r="J487" s="139"/>
      <c r="K487" s="140"/>
      <c r="L487" s="140"/>
      <c r="M487" s="140"/>
      <c r="N487" s="140"/>
      <c r="O487" s="140"/>
      <c r="P487" s="139"/>
      <c r="Q487" s="139"/>
      <c r="R487" s="139"/>
      <c r="S487" s="139"/>
      <c r="T487" s="139"/>
      <c r="U487" s="139"/>
      <c r="V487" s="139"/>
      <c r="W487" s="139"/>
      <c r="X487" s="139"/>
      <c r="Y487" s="139"/>
      <c r="Z487" s="139"/>
      <c r="AA487" s="139"/>
      <c r="AB487" s="139"/>
      <c r="AC487" s="139"/>
      <c r="AD487" s="139"/>
      <c r="AE487" s="139"/>
      <c r="AF487" s="139"/>
      <c r="AG487" s="139"/>
      <c r="AH487" s="139"/>
      <c r="AI487" s="139"/>
    </row>
    <row r="488">
      <c r="A488" s="139"/>
      <c r="B488" s="139"/>
      <c r="C488" s="139"/>
      <c r="D488" s="139"/>
      <c r="E488" s="139"/>
      <c r="F488" s="139"/>
      <c r="G488" s="139"/>
      <c r="H488" s="139"/>
      <c r="I488" s="139"/>
      <c r="J488" s="139"/>
      <c r="K488" s="140"/>
      <c r="L488" s="140"/>
      <c r="M488" s="140"/>
      <c r="N488" s="140"/>
      <c r="O488" s="140"/>
      <c r="P488" s="139"/>
      <c r="Q488" s="139"/>
      <c r="R488" s="139"/>
      <c r="S488" s="139"/>
      <c r="T488" s="139"/>
      <c r="U488" s="139"/>
      <c r="V488" s="139"/>
      <c r="W488" s="139"/>
      <c r="X488" s="139"/>
      <c r="Y488" s="139"/>
      <c r="Z488" s="139"/>
      <c r="AA488" s="139"/>
      <c r="AB488" s="139"/>
      <c r="AC488" s="139"/>
      <c r="AD488" s="139"/>
      <c r="AE488" s="139"/>
      <c r="AF488" s="139"/>
      <c r="AG488" s="139"/>
      <c r="AH488" s="139"/>
      <c r="AI488" s="139"/>
    </row>
    <row r="489">
      <c r="A489" s="139"/>
      <c r="B489" s="139"/>
      <c r="C489" s="139"/>
      <c r="D489" s="139"/>
      <c r="E489" s="139"/>
      <c r="F489" s="139"/>
      <c r="G489" s="139"/>
      <c r="H489" s="139"/>
      <c r="I489" s="139"/>
      <c r="J489" s="139"/>
      <c r="K489" s="140"/>
      <c r="L489" s="140"/>
      <c r="M489" s="140"/>
      <c r="N489" s="140"/>
      <c r="O489" s="140"/>
      <c r="P489" s="139"/>
      <c r="Q489" s="139"/>
      <c r="R489" s="139"/>
      <c r="S489" s="139"/>
      <c r="T489" s="139"/>
      <c r="U489" s="139"/>
      <c r="V489" s="139"/>
      <c r="W489" s="139"/>
      <c r="X489" s="139"/>
      <c r="Y489" s="139"/>
      <c r="Z489" s="139"/>
      <c r="AA489" s="139"/>
      <c r="AB489" s="139"/>
      <c r="AC489" s="139"/>
      <c r="AD489" s="139"/>
      <c r="AE489" s="139"/>
      <c r="AF489" s="139"/>
      <c r="AG489" s="139"/>
      <c r="AH489" s="139"/>
      <c r="AI489" s="139"/>
    </row>
    <row r="490">
      <c r="A490" s="139"/>
      <c r="B490" s="139"/>
      <c r="C490" s="139"/>
      <c r="D490" s="139"/>
      <c r="E490" s="139"/>
      <c r="F490" s="139"/>
      <c r="G490" s="139"/>
      <c r="H490" s="139"/>
      <c r="I490" s="139"/>
      <c r="J490" s="139"/>
      <c r="K490" s="140"/>
      <c r="L490" s="140"/>
      <c r="M490" s="140"/>
      <c r="N490" s="140"/>
      <c r="O490" s="140"/>
      <c r="P490" s="139"/>
      <c r="Q490" s="139"/>
      <c r="R490" s="139"/>
      <c r="S490" s="139"/>
      <c r="T490" s="139"/>
      <c r="U490" s="139"/>
      <c r="V490" s="139"/>
      <c r="W490" s="139"/>
      <c r="X490" s="139"/>
      <c r="Y490" s="139"/>
      <c r="Z490" s="139"/>
      <c r="AA490" s="139"/>
      <c r="AB490" s="139"/>
      <c r="AC490" s="139"/>
      <c r="AD490" s="139"/>
      <c r="AE490" s="139"/>
      <c r="AF490" s="139"/>
      <c r="AG490" s="139"/>
      <c r="AH490" s="139"/>
      <c r="AI490" s="139"/>
    </row>
    <row r="491">
      <c r="A491" s="139"/>
      <c r="B491" s="139"/>
      <c r="C491" s="139"/>
      <c r="D491" s="139"/>
      <c r="E491" s="139"/>
      <c r="F491" s="139"/>
      <c r="G491" s="139"/>
      <c r="H491" s="139"/>
      <c r="I491" s="139"/>
      <c r="J491" s="139"/>
      <c r="K491" s="140"/>
      <c r="L491" s="140"/>
      <c r="M491" s="140"/>
      <c r="N491" s="140"/>
      <c r="O491" s="140"/>
      <c r="P491" s="139"/>
      <c r="Q491" s="139"/>
      <c r="R491" s="139"/>
      <c r="S491" s="139"/>
      <c r="T491" s="139"/>
      <c r="U491" s="139"/>
      <c r="V491" s="139"/>
      <c r="W491" s="139"/>
      <c r="X491" s="139"/>
      <c r="Y491" s="139"/>
      <c r="Z491" s="139"/>
      <c r="AA491" s="139"/>
      <c r="AB491" s="139"/>
      <c r="AC491" s="139"/>
      <c r="AD491" s="139"/>
      <c r="AE491" s="139"/>
      <c r="AF491" s="139"/>
      <c r="AG491" s="139"/>
      <c r="AH491" s="139"/>
      <c r="AI491" s="139"/>
    </row>
    <row r="492">
      <c r="A492" s="139"/>
      <c r="B492" s="139"/>
      <c r="C492" s="139"/>
      <c r="D492" s="139"/>
      <c r="E492" s="139"/>
      <c r="F492" s="139"/>
      <c r="G492" s="139"/>
      <c r="H492" s="139"/>
      <c r="I492" s="139"/>
      <c r="J492" s="139"/>
      <c r="K492" s="140"/>
      <c r="L492" s="140"/>
      <c r="M492" s="140"/>
      <c r="N492" s="140"/>
      <c r="O492" s="140"/>
      <c r="P492" s="139"/>
      <c r="Q492" s="139"/>
      <c r="R492" s="139"/>
      <c r="S492" s="139"/>
      <c r="T492" s="139"/>
      <c r="U492" s="139"/>
      <c r="V492" s="139"/>
      <c r="W492" s="139"/>
      <c r="X492" s="139"/>
      <c r="Y492" s="139"/>
      <c r="Z492" s="139"/>
      <c r="AA492" s="139"/>
      <c r="AB492" s="139"/>
      <c r="AC492" s="139"/>
      <c r="AD492" s="139"/>
      <c r="AE492" s="139"/>
      <c r="AF492" s="139"/>
      <c r="AG492" s="139"/>
      <c r="AH492" s="139"/>
      <c r="AI492" s="139"/>
    </row>
    <row r="493">
      <c r="A493" s="139"/>
      <c r="B493" s="139"/>
      <c r="C493" s="139"/>
      <c r="D493" s="139"/>
      <c r="E493" s="139"/>
      <c r="F493" s="139"/>
      <c r="G493" s="139"/>
      <c r="H493" s="139"/>
      <c r="I493" s="139"/>
      <c r="J493" s="139"/>
      <c r="K493" s="140"/>
      <c r="L493" s="140"/>
      <c r="M493" s="140"/>
      <c r="N493" s="140"/>
      <c r="O493" s="140"/>
      <c r="P493" s="139"/>
      <c r="Q493" s="139"/>
      <c r="R493" s="139"/>
      <c r="S493" s="139"/>
      <c r="T493" s="139"/>
      <c r="U493" s="139"/>
      <c r="V493" s="139"/>
      <c r="W493" s="139"/>
      <c r="X493" s="139"/>
      <c r="Y493" s="139"/>
      <c r="Z493" s="139"/>
      <c r="AA493" s="139"/>
      <c r="AB493" s="139"/>
      <c r="AC493" s="139"/>
      <c r="AD493" s="139"/>
      <c r="AE493" s="139"/>
      <c r="AF493" s="139"/>
      <c r="AG493" s="139"/>
      <c r="AH493" s="139"/>
      <c r="AI493" s="139"/>
    </row>
    <row r="494">
      <c r="A494" s="139"/>
      <c r="B494" s="139"/>
      <c r="C494" s="139"/>
      <c r="D494" s="139"/>
      <c r="E494" s="139"/>
      <c r="F494" s="139"/>
      <c r="G494" s="139"/>
      <c r="H494" s="139"/>
      <c r="I494" s="139"/>
      <c r="J494" s="139"/>
      <c r="K494" s="140"/>
      <c r="L494" s="140"/>
      <c r="M494" s="140"/>
      <c r="N494" s="140"/>
      <c r="O494" s="140"/>
      <c r="P494" s="139"/>
      <c r="Q494" s="139"/>
      <c r="R494" s="139"/>
      <c r="S494" s="139"/>
      <c r="T494" s="139"/>
      <c r="U494" s="139"/>
      <c r="V494" s="139"/>
      <c r="W494" s="139"/>
      <c r="X494" s="139"/>
      <c r="Y494" s="139"/>
      <c r="Z494" s="139"/>
      <c r="AA494" s="139"/>
      <c r="AB494" s="139"/>
      <c r="AC494" s="139"/>
      <c r="AD494" s="139"/>
      <c r="AE494" s="139"/>
      <c r="AF494" s="139"/>
      <c r="AG494" s="139"/>
      <c r="AH494" s="139"/>
      <c r="AI494" s="139"/>
    </row>
    <row r="495">
      <c r="A495" s="139"/>
      <c r="B495" s="139"/>
      <c r="C495" s="139"/>
      <c r="D495" s="139"/>
      <c r="E495" s="139"/>
      <c r="F495" s="139"/>
      <c r="G495" s="139"/>
      <c r="H495" s="139"/>
      <c r="I495" s="139"/>
      <c r="J495" s="139"/>
      <c r="K495" s="140"/>
      <c r="L495" s="140"/>
      <c r="M495" s="140"/>
      <c r="N495" s="140"/>
      <c r="O495" s="140"/>
      <c r="P495" s="139"/>
      <c r="Q495" s="139"/>
      <c r="R495" s="139"/>
      <c r="S495" s="139"/>
      <c r="T495" s="139"/>
      <c r="U495" s="139"/>
      <c r="V495" s="139"/>
      <c r="W495" s="139"/>
      <c r="X495" s="139"/>
      <c r="Y495" s="139"/>
      <c r="Z495" s="139"/>
      <c r="AA495" s="139"/>
      <c r="AB495" s="139"/>
      <c r="AC495" s="139"/>
      <c r="AD495" s="139"/>
      <c r="AE495" s="139"/>
      <c r="AF495" s="139"/>
      <c r="AG495" s="139"/>
      <c r="AH495" s="139"/>
      <c r="AI495" s="139"/>
    </row>
    <row r="496">
      <c r="A496" s="139"/>
      <c r="B496" s="139"/>
      <c r="C496" s="139"/>
      <c r="D496" s="139"/>
      <c r="E496" s="139"/>
      <c r="F496" s="139"/>
      <c r="G496" s="139"/>
      <c r="H496" s="139"/>
      <c r="I496" s="139"/>
      <c r="J496" s="139"/>
      <c r="K496" s="140"/>
      <c r="L496" s="140"/>
      <c r="M496" s="140"/>
      <c r="N496" s="140"/>
      <c r="O496" s="140"/>
      <c r="P496" s="139"/>
      <c r="Q496" s="139"/>
      <c r="R496" s="139"/>
      <c r="S496" s="139"/>
      <c r="T496" s="139"/>
      <c r="U496" s="139"/>
      <c r="V496" s="139"/>
      <c r="W496" s="139"/>
      <c r="X496" s="139"/>
      <c r="Y496" s="139"/>
      <c r="Z496" s="139"/>
      <c r="AA496" s="139"/>
      <c r="AB496" s="139"/>
      <c r="AC496" s="139"/>
      <c r="AD496" s="139"/>
      <c r="AE496" s="139"/>
      <c r="AF496" s="139"/>
      <c r="AG496" s="139"/>
      <c r="AH496" s="139"/>
      <c r="AI496" s="139"/>
    </row>
    <row r="497">
      <c r="A497" s="139"/>
      <c r="B497" s="139"/>
      <c r="C497" s="139"/>
      <c r="D497" s="139"/>
      <c r="E497" s="139"/>
      <c r="F497" s="139"/>
      <c r="G497" s="139"/>
      <c r="H497" s="139"/>
      <c r="I497" s="139"/>
      <c r="J497" s="139"/>
      <c r="K497" s="140"/>
      <c r="L497" s="140"/>
      <c r="M497" s="140"/>
      <c r="N497" s="140"/>
      <c r="O497" s="140"/>
      <c r="P497" s="139"/>
      <c r="Q497" s="139"/>
      <c r="R497" s="139"/>
      <c r="S497" s="139"/>
      <c r="T497" s="139"/>
      <c r="U497" s="139"/>
      <c r="V497" s="139"/>
      <c r="W497" s="139"/>
      <c r="X497" s="139"/>
      <c r="Y497" s="139"/>
      <c r="Z497" s="139"/>
      <c r="AA497" s="139"/>
      <c r="AB497" s="139"/>
      <c r="AC497" s="139"/>
      <c r="AD497" s="139"/>
      <c r="AE497" s="139"/>
      <c r="AF497" s="139"/>
      <c r="AG497" s="139"/>
      <c r="AH497" s="139"/>
      <c r="AI497" s="139"/>
    </row>
    <row r="498">
      <c r="A498" s="139"/>
      <c r="B498" s="139"/>
      <c r="C498" s="139"/>
      <c r="D498" s="139"/>
      <c r="E498" s="139"/>
      <c r="F498" s="139"/>
      <c r="G498" s="139"/>
      <c r="H498" s="139"/>
      <c r="I498" s="139"/>
      <c r="J498" s="139"/>
      <c r="K498" s="140"/>
      <c r="L498" s="140"/>
      <c r="M498" s="140"/>
      <c r="N498" s="140"/>
      <c r="O498" s="140"/>
      <c r="P498" s="139"/>
      <c r="Q498" s="139"/>
      <c r="R498" s="139"/>
      <c r="S498" s="139"/>
      <c r="T498" s="139"/>
      <c r="U498" s="139"/>
      <c r="V498" s="139"/>
      <c r="W498" s="139"/>
      <c r="X498" s="139"/>
      <c r="Y498" s="139"/>
      <c r="Z498" s="139"/>
      <c r="AA498" s="139"/>
      <c r="AB498" s="139"/>
      <c r="AC498" s="139"/>
      <c r="AD498" s="139"/>
      <c r="AE498" s="139"/>
      <c r="AF498" s="139"/>
      <c r="AG498" s="139"/>
      <c r="AH498" s="139"/>
      <c r="AI498" s="139"/>
    </row>
    <row r="499">
      <c r="A499" s="139"/>
      <c r="B499" s="139"/>
      <c r="C499" s="139"/>
      <c r="D499" s="139"/>
      <c r="E499" s="139"/>
      <c r="F499" s="139"/>
      <c r="G499" s="139"/>
      <c r="H499" s="139"/>
      <c r="I499" s="139"/>
      <c r="J499" s="139"/>
      <c r="K499" s="140"/>
      <c r="L499" s="140"/>
      <c r="M499" s="140"/>
      <c r="N499" s="140"/>
      <c r="O499" s="140"/>
      <c r="P499" s="139"/>
      <c r="Q499" s="139"/>
      <c r="R499" s="139"/>
      <c r="S499" s="139"/>
      <c r="T499" s="139"/>
      <c r="U499" s="139"/>
      <c r="V499" s="139"/>
      <c r="W499" s="139"/>
      <c r="X499" s="139"/>
      <c r="Y499" s="139"/>
      <c r="Z499" s="139"/>
      <c r="AA499" s="139"/>
      <c r="AB499" s="139"/>
      <c r="AC499" s="139"/>
      <c r="AD499" s="139"/>
      <c r="AE499" s="139"/>
      <c r="AF499" s="139"/>
      <c r="AG499" s="139"/>
      <c r="AH499" s="139"/>
      <c r="AI499" s="139"/>
    </row>
    <row r="500">
      <c r="A500" s="139"/>
      <c r="B500" s="139"/>
      <c r="C500" s="139"/>
      <c r="D500" s="139"/>
      <c r="E500" s="139"/>
      <c r="F500" s="139"/>
      <c r="G500" s="139"/>
      <c r="H500" s="139"/>
      <c r="I500" s="139"/>
      <c r="J500" s="139"/>
      <c r="K500" s="140"/>
      <c r="L500" s="140"/>
      <c r="M500" s="140"/>
      <c r="N500" s="140"/>
      <c r="O500" s="140"/>
      <c r="P500" s="139"/>
      <c r="Q500" s="139"/>
      <c r="R500" s="139"/>
      <c r="S500" s="139"/>
      <c r="T500" s="139"/>
      <c r="U500" s="139"/>
      <c r="V500" s="139"/>
      <c r="W500" s="139"/>
      <c r="X500" s="139"/>
      <c r="Y500" s="139"/>
      <c r="Z500" s="139"/>
      <c r="AA500" s="139"/>
      <c r="AB500" s="139"/>
      <c r="AC500" s="139"/>
      <c r="AD500" s="139"/>
      <c r="AE500" s="139"/>
      <c r="AF500" s="139"/>
      <c r="AG500" s="139"/>
      <c r="AH500" s="139"/>
      <c r="AI500" s="139"/>
    </row>
    <row r="501">
      <c r="A501" s="139"/>
      <c r="B501" s="139"/>
      <c r="C501" s="139"/>
      <c r="D501" s="139"/>
      <c r="E501" s="139"/>
      <c r="F501" s="139"/>
      <c r="G501" s="139"/>
      <c r="H501" s="139"/>
      <c r="I501" s="139"/>
      <c r="J501" s="139"/>
      <c r="K501" s="140"/>
      <c r="L501" s="140"/>
      <c r="M501" s="140"/>
      <c r="N501" s="140"/>
      <c r="O501" s="140"/>
      <c r="P501" s="139"/>
      <c r="Q501" s="139"/>
      <c r="R501" s="139"/>
      <c r="S501" s="139"/>
      <c r="T501" s="139"/>
      <c r="U501" s="139"/>
      <c r="V501" s="139"/>
      <c r="W501" s="139"/>
      <c r="X501" s="139"/>
      <c r="Y501" s="139"/>
      <c r="Z501" s="139"/>
      <c r="AA501" s="139"/>
      <c r="AB501" s="139"/>
      <c r="AC501" s="139"/>
      <c r="AD501" s="139"/>
      <c r="AE501" s="139"/>
      <c r="AF501" s="139"/>
      <c r="AG501" s="139"/>
      <c r="AH501" s="139"/>
      <c r="AI501" s="139"/>
    </row>
    <row r="502">
      <c r="A502" s="139"/>
      <c r="B502" s="139"/>
      <c r="C502" s="139"/>
      <c r="D502" s="139"/>
      <c r="E502" s="139"/>
      <c r="F502" s="139"/>
      <c r="G502" s="139"/>
      <c r="H502" s="139"/>
      <c r="I502" s="139"/>
      <c r="J502" s="139"/>
      <c r="K502" s="140"/>
      <c r="L502" s="140"/>
      <c r="M502" s="140"/>
      <c r="N502" s="140"/>
      <c r="O502" s="140"/>
      <c r="P502" s="139"/>
      <c r="Q502" s="139"/>
      <c r="R502" s="139"/>
      <c r="S502" s="139"/>
      <c r="T502" s="139"/>
      <c r="U502" s="139"/>
      <c r="V502" s="139"/>
      <c r="W502" s="139"/>
      <c r="X502" s="139"/>
      <c r="Y502" s="139"/>
      <c r="Z502" s="139"/>
      <c r="AA502" s="139"/>
      <c r="AB502" s="139"/>
      <c r="AC502" s="139"/>
      <c r="AD502" s="139"/>
      <c r="AE502" s="139"/>
      <c r="AF502" s="139"/>
      <c r="AG502" s="139"/>
      <c r="AH502" s="139"/>
      <c r="AI502" s="139"/>
    </row>
    <row r="503">
      <c r="A503" s="139"/>
      <c r="B503" s="139"/>
      <c r="C503" s="139"/>
      <c r="D503" s="139"/>
      <c r="E503" s="139"/>
      <c r="F503" s="139"/>
      <c r="G503" s="139"/>
      <c r="H503" s="139"/>
      <c r="I503" s="139"/>
      <c r="J503" s="139"/>
      <c r="K503" s="140"/>
      <c r="L503" s="140"/>
      <c r="M503" s="140"/>
      <c r="N503" s="140"/>
      <c r="O503" s="140"/>
      <c r="P503" s="139"/>
      <c r="Q503" s="139"/>
      <c r="R503" s="139"/>
      <c r="S503" s="139"/>
      <c r="T503" s="139"/>
      <c r="U503" s="139"/>
      <c r="V503" s="139"/>
      <c r="W503" s="139"/>
      <c r="X503" s="139"/>
      <c r="Y503" s="139"/>
      <c r="Z503" s="139"/>
      <c r="AA503" s="139"/>
      <c r="AB503" s="139"/>
      <c r="AC503" s="139"/>
      <c r="AD503" s="139"/>
      <c r="AE503" s="139"/>
      <c r="AF503" s="139"/>
      <c r="AG503" s="139"/>
      <c r="AH503" s="139"/>
      <c r="AI503" s="139"/>
    </row>
    <row r="504">
      <c r="A504" s="139"/>
      <c r="B504" s="139"/>
      <c r="C504" s="139"/>
      <c r="D504" s="139"/>
      <c r="E504" s="139"/>
      <c r="F504" s="139"/>
      <c r="G504" s="139"/>
      <c r="H504" s="139"/>
      <c r="I504" s="139"/>
      <c r="J504" s="139"/>
      <c r="K504" s="140"/>
      <c r="L504" s="140"/>
      <c r="M504" s="140"/>
      <c r="N504" s="140"/>
      <c r="O504" s="140"/>
      <c r="P504" s="139"/>
      <c r="Q504" s="139"/>
      <c r="R504" s="139"/>
      <c r="S504" s="139"/>
      <c r="T504" s="139"/>
      <c r="U504" s="139"/>
      <c r="V504" s="139"/>
      <c r="W504" s="139"/>
      <c r="X504" s="139"/>
      <c r="Y504" s="139"/>
      <c r="Z504" s="139"/>
      <c r="AA504" s="139"/>
      <c r="AB504" s="139"/>
      <c r="AC504" s="139"/>
      <c r="AD504" s="139"/>
      <c r="AE504" s="139"/>
      <c r="AF504" s="139"/>
      <c r="AG504" s="139"/>
      <c r="AH504" s="139"/>
      <c r="AI504" s="139"/>
    </row>
    <row r="505">
      <c r="A505" s="139"/>
      <c r="B505" s="139"/>
      <c r="C505" s="139"/>
      <c r="D505" s="139"/>
      <c r="E505" s="139"/>
      <c r="F505" s="139"/>
      <c r="G505" s="139"/>
      <c r="H505" s="139"/>
      <c r="I505" s="139"/>
      <c r="J505" s="139"/>
      <c r="K505" s="140"/>
      <c r="L505" s="140"/>
      <c r="M505" s="140"/>
      <c r="N505" s="140"/>
      <c r="O505" s="140"/>
      <c r="P505" s="139"/>
      <c r="Q505" s="139"/>
      <c r="R505" s="139"/>
      <c r="S505" s="139"/>
      <c r="T505" s="139"/>
      <c r="U505" s="139"/>
      <c r="V505" s="139"/>
      <c r="W505" s="139"/>
      <c r="X505" s="139"/>
      <c r="Y505" s="139"/>
      <c r="Z505" s="139"/>
      <c r="AA505" s="139"/>
      <c r="AB505" s="139"/>
      <c r="AC505" s="139"/>
      <c r="AD505" s="139"/>
      <c r="AE505" s="139"/>
      <c r="AF505" s="139"/>
      <c r="AG505" s="139"/>
      <c r="AH505" s="139"/>
      <c r="AI505" s="139"/>
    </row>
    <row r="506">
      <c r="A506" s="139"/>
      <c r="B506" s="139"/>
      <c r="C506" s="139"/>
      <c r="D506" s="139"/>
      <c r="E506" s="139"/>
      <c r="F506" s="139"/>
      <c r="G506" s="139"/>
      <c r="H506" s="139"/>
      <c r="I506" s="139"/>
      <c r="J506" s="139"/>
      <c r="K506" s="140"/>
      <c r="L506" s="140"/>
      <c r="M506" s="140"/>
      <c r="N506" s="140"/>
      <c r="O506" s="140"/>
      <c r="P506" s="139"/>
      <c r="Q506" s="139"/>
      <c r="R506" s="139"/>
      <c r="S506" s="139"/>
      <c r="T506" s="139"/>
      <c r="U506" s="139"/>
      <c r="V506" s="139"/>
      <c r="W506" s="139"/>
      <c r="X506" s="139"/>
      <c r="Y506" s="139"/>
      <c r="Z506" s="139"/>
      <c r="AA506" s="139"/>
      <c r="AB506" s="139"/>
      <c r="AC506" s="139"/>
      <c r="AD506" s="139"/>
      <c r="AE506" s="139"/>
      <c r="AF506" s="139"/>
      <c r="AG506" s="139"/>
      <c r="AH506" s="139"/>
      <c r="AI506" s="139"/>
    </row>
    <row r="507">
      <c r="A507" s="139"/>
      <c r="B507" s="139"/>
      <c r="C507" s="139"/>
      <c r="D507" s="139"/>
      <c r="E507" s="139"/>
      <c r="F507" s="139"/>
      <c r="G507" s="139"/>
      <c r="H507" s="139"/>
      <c r="I507" s="139"/>
      <c r="J507" s="139"/>
      <c r="K507" s="140"/>
      <c r="L507" s="140"/>
      <c r="M507" s="140"/>
      <c r="N507" s="140"/>
      <c r="O507" s="140"/>
      <c r="P507" s="139"/>
      <c r="Q507" s="139"/>
      <c r="R507" s="139"/>
      <c r="S507" s="139"/>
      <c r="T507" s="139"/>
      <c r="U507" s="139"/>
      <c r="V507" s="139"/>
      <c r="W507" s="139"/>
      <c r="X507" s="139"/>
      <c r="Y507" s="139"/>
      <c r="Z507" s="139"/>
      <c r="AA507" s="139"/>
      <c r="AB507" s="139"/>
      <c r="AC507" s="139"/>
      <c r="AD507" s="139"/>
      <c r="AE507" s="139"/>
      <c r="AF507" s="139"/>
      <c r="AG507" s="139"/>
      <c r="AH507" s="139"/>
      <c r="AI507" s="139"/>
    </row>
    <row r="508">
      <c r="A508" s="139"/>
      <c r="B508" s="139"/>
      <c r="C508" s="139"/>
      <c r="D508" s="139"/>
      <c r="E508" s="139"/>
      <c r="F508" s="139"/>
      <c r="G508" s="139"/>
      <c r="H508" s="139"/>
      <c r="I508" s="139"/>
      <c r="J508" s="139"/>
      <c r="K508" s="140"/>
      <c r="L508" s="140"/>
      <c r="M508" s="140"/>
      <c r="N508" s="140"/>
      <c r="O508" s="140"/>
      <c r="P508" s="139"/>
      <c r="Q508" s="139"/>
      <c r="R508" s="139"/>
      <c r="S508" s="139"/>
      <c r="T508" s="139"/>
      <c r="U508" s="139"/>
      <c r="V508" s="139"/>
      <c r="W508" s="139"/>
      <c r="X508" s="139"/>
      <c r="Y508" s="139"/>
      <c r="Z508" s="139"/>
      <c r="AA508" s="139"/>
      <c r="AB508" s="139"/>
      <c r="AC508" s="139"/>
      <c r="AD508" s="139"/>
      <c r="AE508" s="139"/>
      <c r="AF508" s="139"/>
      <c r="AG508" s="139"/>
      <c r="AH508" s="139"/>
      <c r="AI508" s="139"/>
    </row>
    <row r="509">
      <c r="A509" s="139"/>
      <c r="B509" s="139"/>
      <c r="C509" s="139"/>
      <c r="D509" s="139"/>
      <c r="E509" s="139"/>
      <c r="F509" s="139"/>
      <c r="G509" s="139"/>
      <c r="H509" s="139"/>
      <c r="I509" s="139"/>
      <c r="J509" s="139"/>
      <c r="K509" s="140"/>
      <c r="L509" s="140"/>
      <c r="M509" s="140"/>
      <c r="N509" s="140"/>
      <c r="O509" s="140"/>
      <c r="P509" s="139"/>
      <c r="Q509" s="139"/>
      <c r="R509" s="139"/>
      <c r="S509" s="139"/>
      <c r="T509" s="139"/>
      <c r="U509" s="139"/>
      <c r="V509" s="139"/>
      <c r="W509" s="139"/>
      <c r="X509" s="139"/>
      <c r="Y509" s="139"/>
      <c r="Z509" s="139"/>
      <c r="AA509" s="139"/>
      <c r="AB509" s="139"/>
      <c r="AC509" s="139"/>
      <c r="AD509" s="139"/>
      <c r="AE509" s="139"/>
      <c r="AF509" s="139"/>
      <c r="AG509" s="139"/>
      <c r="AH509" s="139"/>
      <c r="AI509" s="139"/>
    </row>
    <row r="510">
      <c r="A510" s="139"/>
      <c r="B510" s="139"/>
      <c r="C510" s="139"/>
      <c r="D510" s="139"/>
      <c r="E510" s="139"/>
      <c r="F510" s="139"/>
      <c r="G510" s="139"/>
      <c r="H510" s="139"/>
      <c r="I510" s="139"/>
      <c r="J510" s="139"/>
      <c r="K510" s="140"/>
      <c r="L510" s="140"/>
      <c r="M510" s="140"/>
      <c r="N510" s="140"/>
      <c r="O510" s="140"/>
      <c r="P510" s="139"/>
      <c r="Q510" s="139"/>
      <c r="R510" s="139"/>
      <c r="S510" s="139"/>
      <c r="T510" s="139"/>
      <c r="U510" s="139"/>
      <c r="V510" s="139"/>
      <c r="W510" s="139"/>
      <c r="X510" s="139"/>
      <c r="Y510" s="139"/>
      <c r="Z510" s="139"/>
      <c r="AA510" s="139"/>
      <c r="AB510" s="139"/>
      <c r="AC510" s="139"/>
      <c r="AD510" s="139"/>
      <c r="AE510" s="139"/>
      <c r="AF510" s="139"/>
      <c r="AG510" s="139"/>
      <c r="AH510" s="139"/>
      <c r="AI510" s="139"/>
    </row>
    <row r="511">
      <c r="A511" s="139"/>
      <c r="B511" s="139"/>
      <c r="C511" s="139"/>
      <c r="D511" s="139"/>
      <c r="E511" s="139"/>
      <c r="F511" s="139"/>
      <c r="G511" s="139"/>
      <c r="H511" s="139"/>
      <c r="I511" s="139"/>
      <c r="J511" s="139"/>
      <c r="K511" s="140"/>
      <c r="L511" s="140"/>
      <c r="M511" s="140"/>
      <c r="N511" s="140"/>
      <c r="O511" s="140"/>
      <c r="P511" s="139"/>
      <c r="Q511" s="139"/>
      <c r="R511" s="139"/>
      <c r="S511" s="139"/>
      <c r="T511" s="139"/>
      <c r="U511" s="139"/>
      <c r="V511" s="139"/>
      <c r="W511" s="139"/>
      <c r="X511" s="139"/>
      <c r="Y511" s="139"/>
      <c r="Z511" s="139"/>
      <c r="AA511" s="139"/>
      <c r="AB511" s="139"/>
      <c r="AC511" s="139"/>
      <c r="AD511" s="139"/>
      <c r="AE511" s="139"/>
      <c r="AF511" s="139"/>
      <c r="AG511" s="139"/>
      <c r="AH511" s="139"/>
      <c r="AI511" s="139"/>
    </row>
    <row r="512">
      <c r="A512" s="139"/>
      <c r="B512" s="139"/>
      <c r="C512" s="139"/>
      <c r="D512" s="139"/>
      <c r="E512" s="139"/>
      <c r="F512" s="139"/>
      <c r="G512" s="139"/>
      <c r="H512" s="139"/>
      <c r="I512" s="139"/>
      <c r="J512" s="139"/>
      <c r="K512" s="140"/>
      <c r="L512" s="140"/>
      <c r="M512" s="140"/>
      <c r="N512" s="140"/>
      <c r="O512" s="140"/>
      <c r="P512" s="139"/>
      <c r="Q512" s="139"/>
      <c r="R512" s="139"/>
      <c r="S512" s="139"/>
      <c r="T512" s="139"/>
      <c r="U512" s="139"/>
      <c r="V512" s="139"/>
      <c r="W512" s="139"/>
      <c r="X512" s="139"/>
      <c r="Y512" s="139"/>
      <c r="Z512" s="139"/>
      <c r="AA512" s="139"/>
      <c r="AB512" s="139"/>
      <c r="AC512" s="139"/>
      <c r="AD512" s="139"/>
      <c r="AE512" s="139"/>
      <c r="AF512" s="139"/>
      <c r="AG512" s="139"/>
      <c r="AH512" s="139"/>
      <c r="AI512" s="139"/>
    </row>
    <row r="513">
      <c r="A513" s="139"/>
      <c r="B513" s="139"/>
      <c r="C513" s="139"/>
      <c r="D513" s="139"/>
      <c r="E513" s="139"/>
      <c r="F513" s="139"/>
      <c r="G513" s="139"/>
      <c r="H513" s="139"/>
      <c r="I513" s="139"/>
      <c r="J513" s="139"/>
      <c r="K513" s="140"/>
      <c r="L513" s="140"/>
      <c r="M513" s="140"/>
      <c r="N513" s="140"/>
      <c r="O513" s="140"/>
      <c r="P513" s="139"/>
      <c r="Q513" s="139"/>
      <c r="R513" s="139"/>
      <c r="S513" s="139"/>
      <c r="T513" s="139"/>
      <c r="U513" s="139"/>
      <c r="V513" s="139"/>
      <c r="W513" s="139"/>
      <c r="X513" s="139"/>
      <c r="Y513" s="139"/>
      <c r="Z513" s="139"/>
      <c r="AA513" s="139"/>
      <c r="AB513" s="139"/>
      <c r="AC513" s="139"/>
      <c r="AD513" s="139"/>
      <c r="AE513" s="139"/>
      <c r="AF513" s="139"/>
      <c r="AG513" s="139"/>
      <c r="AH513" s="139"/>
      <c r="AI513" s="139"/>
    </row>
    <row r="514">
      <c r="A514" s="139"/>
      <c r="B514" s="139"/>
      <c r="C514" s="139"/>
      <c r="D514" s="139"/>
      <c r="E514" s="139"/>
      <c r="F514" s="139"/>
      <c r="G514" s="139"/>
      <c r="H514" s="139"/>
      <c r="I514" s="139"/>
      <c r="J514" s="139"/>
      <c r="K514" s="140"/>
      <c r="L514" s="140"/>
      <c r="M514" s="140"/>
      <c r="N514" s="140"/>
      <c r="O514" s="140"/>
      <c r="P514" s="139"/>
      <c r="Q514" s="139"/>
      <c r="R514" s="139"/>
      <c r="S514" s="139"/>
      <c r="T514" s="139"/>
      <c r="U514" s="139"/>
      <c r="V514" s="139"/>
      <c r="W514" s="139"/>
      <c r="X514" s="139"/>
      <c r="Y514" s="139"/>
      <c r="Z514" s="139"/>
      <c r="AA514" s="139"/>
      <c r="AB514" s="139"/>
      <c r="AC514" s="139"/>
      <c r="AD514" s="139"/>
      <c r="AE514" s="139"/>
      <c r="AF514" s="139"/>
      <c r="AG514" s="139"/>
      <c r="AH514" s="139"/>
      <c r="AI514" s="139"/>
    </row>
    <row r="515">
      <c r="A515" s="139"/>
      <c r="B515" s="139"/>
      <c r="C515" s="139"/>
      <c r="D515" s="139"/>
      <c r="E515" s="139"/>
      <c r="F515" s="139"/>
      <c r="G515" s="139"/>
      <c r="H515" s="139"/>
      <c r="I515" s="139"/>
      <c r="J515" s="139"/>
      <c r="K515" s="140"/>
      <c r="L515" s="140"/>
      <c r="M515" s="140"/>
      <c r="N515" s="140"/>
      <c r="O515" s="140"/>
      <c r="P515" s="139"/>
      <c r="Q515" s="139"/>
      <c r="R515" s="139"/>
      <c r="S515" s="139"/>
      <c r="T515" s="139"/>
      <c r="U515" s="139"/>
      <c r="V515" s="139"/>
      <c r="W515" s="139"/>
      <c r="X515" s="139"/>
      <c r="Y515" s="139"/>
      <c r="Z515" s="139"/>
      <c r="AA515" s="139"/>
      <c r="AB515" s="139"/>
      <c r="AC515" s="139"/>
      <c r="AD515" s="139"/>
      <c r="AE515" s="139"/>
      <c r="AF515" s="139"/>
      <c r="AG515" s="139"/>
      <c r="AH515" s="139"/>
      <c r="AI515" s="139"/>
    </row>
    <row r="516">
      <c r="A516" s="139"/>
      <c r="B516" s="139"/>
      <c r="C516" s="139"/>
      <c r="D516" s="139"/>
      <c r="E516" s="139"/>
      <c r="F516" s="139"/>
      <c r="G516" s="139"/>
      <c r="H516" s="139"/>
      <c r="I516" s="139"/>
      <c r="J516" s="139"/>
      <c r="K516" s="140"/>
      <c r="L516" s="140"/>
      <c r="M516" s="140"/>
      <c r="N516" s="140"/>
      <c r="O516" s="140"/>
      <c r="P516" s="139"/>
      <c r="Q516" s="139"/>
      <c r="R516" s="139"/>
      <c r="S516" s="139"/>
      <c r="T516" s="139"/>
      <c r="U516" s="139"/>
      <c r="V516" s="139"/>
      <c r="W516" s="139"/>
      <c r="X516" s="139"/>
      <c r="Y516" s="139"/>
      <c r="Z516" s="139"/>
      <c r="AA516" s="139"/>
      <c r="AB516" s="139"/>
      <c r="AC516" s="139"/>
      <c r="AD516" s="139"/>
      <c r="AE516" s="139"/>
      <c r="AF516" s="139"/>
      <c r="AG516" s="139"/>
      <c r="AH516" s="139"/>
      <c r="AI516" s="139"/>
    </row>
    <row r="517">
      <c r="A517" s="139"/>
      <c r="B517" s="139"/>
      <c r="C517" s="139"/>
      <c r="D517" s="139"/>
      <c r="E517" s="139"/>
      <c r="F517" s="139"/>
      <c r="G517" s="139"/>
      <c r="H517" s="139"/>
      <c r="I517" s="139"/>
      <c r="J517" s="139"/>
      <c r="K517" s="140"/>
      <c r="L517" s="140"/>
      <c r="M517" s="140"/>
      <c r="N517" s="140"/>
      <c r="O517" s="140"/>
      <c r="P517" s="139"/>
      <c r="Q517" s="139"/>
      <c r="R517" s="139"/>
      <c r="S517" s="139"/>
      <c r="T517" s="139"/>
      <c r="U517" s="139"/>
      <c r="V517" s="139"/>
      <c r="W517" s="139"/>
      <c r="X517" s="139"/>
      <c r="Y517" s="139"/>
      <c r="Z517" s="139"/>
      <c r="AA517" s="139"/>
      <c r="AB517" s="139"/>
      <c r="AC517" s="139"/>
      <c r="AD517" s="139"/>
      <c r="AE517" s="139"/>
      <c r="AF517" s="139"/>
      <c r="AG517" s="139"/>
      <c r="AH517" s="139"/>
      <c r="AI517" s="139"/>
    </row>
    <row r="518">
      <c r="A518" s="139"/>
      <c r="B518" s="139"/>
      <c r="C518" s="139"/>
      <c r="D518" s="139"/>
      <c r="E518" s="139"/>
      <c r="F518" s="139"/>
      <c r="G518" s="139"/>
      <c r="H518" s="139"/>
      <c r="I518" s="139"/>
      <c r="J518" s="139"/>
      <c r="K518" s="140"/>
      <c r="L518" s="140"/>
      <c r="M518" s="140"/>
      <c r="N518" s="140"/>
      <c r="O518" s="140"/>
      <c r="P518" s="139"/>
      <c r="Q518" s="139"/>
      <c r="R518" s="139"/>
      <c r="S518" s="139"/>
      <c r="T518" s="139"/>
      <c r="U518" s="139"/>
      <c r="V518" s="139"/>
      <c r="W518" s="139"/>
      <c r="X518" s="139"/>
      <c r="Y518" s="139"/>
      <c r="Z518" s="139"/>
      <c r="AA518" s="139"/>
      <c r="AB518" s="139"/>
      <c r="AC518" s="139"/>
      <c r="AD518" s="139"/>
      <c r="AE518" s="139"/>
      <c r="AF518" s="139"/>
      <c r="AG518" s="139"/>
      <c r="AH518" s="139"/>
      <c r="AI518" s="139"/>
    </row>
    <row r="519">
      <c r="A519" s="139"/>
      <c r="B519" s="139"/>
      <c r="C519" s="139"/>
      <c r="D519" s="139"/>
      <c r="E519" s="139"/>
      <c r="F519" s="139"/>
      <c r="G519" s="139"/>
      <c r="H519" s="139"/>
      <c r="I519" s="139"/>
      <c r="J519" s="139"/>
      <c r="K519" s="140"/>
      <c r="L519" s="140"/>
      <c r="M519" s="140"/>
      <c r="N519" s="140"/>
      <c r="O519" s="140"/>
      <c r="P519" s="139"/>
      <c r="Q519" s="139"/>
      <c r="R519" s="139"/>
      <c r="S519" s="139"/>
      <c r="T519" s="139"/>
      <c r="U519" s="139"/>
      <c r="V519" s="139"/>
      <c r="W519" s="139"/>
      <c r="X519" s="139"/>
      <c r="Y519" s="139"/>
      <c r="Z519" s="139"/>
      <c r="AA519" s="139"/>
      <c r="AB519" s="139"/>
      <c r="AC519" s="139"/>
      <c r="AD519" s="139"/>
      <c r="AE519" s="139"/>
      <c r="AF519" s="139"/>
      <c r="AG519" s="139"/>
      <c r="AH519" s="139"/>
      <c r="AI519" s="139"/>
    </row>
    <row r="520">
      <c r="A520" s="139"/>
      <c r="B520" s="139"/>
      <c r="C520" s="139"/>
      <c r="D520" s="139"/>
      <c r="E520" s="139"/>
      <c r="F520" s="139"/>
      <c r="G520" s="139"/>
      <c r="H520" s="139"/>
      <c r="I520" s="139"/>
      <c r="J520" s="139"/>
      <c r="K520" s="140"/>
      <c r="L520" s="140"/>
      <c r="M520" s="140"/>
      <c r="N520" s="140"/>
      <c r="O520" s="140"/>
      <c r="P520" s="139"/>
      <c r="Q520" s="139"/>
      <c r="R520" s="139"/>
      <c r="S520" s="139"/>
      <c r="T520" s="139"/>
      <c r="U520" s="139"/>
      <c r="V520" s="139"/>
      <c r="W520" s="139"/>
      <c r="X520" s="139"/>
      <c r="Y520" s="139"/>
      <c r="Z520" s="139"/>
      <c r="AA520" s="139"/>
      <c r="AB520" s="139"/>
      <c r="AC520" s="139"/>
      <c r="AD520" s="139"/>
      <c r="AE520" s="139"/>
      <c r="AF520" s="139"/>
      <c r="AG520" s="139"/>
      <c r="AH520" s="139"/>
      <c r="AI520" s="139"/>
    </row>
    <row r="521">
      <c r="A521" s="139"/>
      <c r="B521" s="139"/>
      <c r="C521" s="139"/>
      <c r="D521" s="139"/>
      <c r="E521" s="139"/>
      <c r="F521" s="139"/>
      <c r="G521" s="139"/>
      <c r="H521" s="139"/>
      <c r="I521" s="139"/>
      <c r="J521" s="139"/>
      <c r="K521" s="140"/>
      <c r="L521" s="140"/>
      <c r="M521" s="140"/>
      <c r="N521" s="140"/>
      <c r="O521" s="140"/>
      <c r="P521" s="139"/>
      <c r="Q521" s="139"/>
      <c r="R521" s="139"/>
      <c r="S521" s="139"/>
      <c r="T521" s="139"/>
      <c r="U521" s="139"/>
      <c r="V521" s="139"/>
      <c r="W521" s="139"/>
      <c r="X521" s="139"/>
      <c r="Y521" s="139"/>
      <c r="Z521" s="139"/>
      <c r="AA521" s="139"/>
      <c r="AB521" s="139"/>
      <c r="AC521" s="139"/>
      <c r="AD521" s="139"/>
      <c r="AE521" s="139"/>
      <c r="AF521" s="139"/>
      <c r="AG521" s="139"/>
      <c r="AH521" s="139"/>
      <c r="AI521" s="139"/>
    </row>
    <row r="522">
      <c r="A522" s="139"/>
      <c r="B522" s="139"/>
      <c r="C522" s="139"/>
      <c r="D522" s="139"/>
      <c r="E522" s="139"/>
      <c r="F522" s="139"/>
      <c r="G522" s="139"/>
      <c r="H522" s="139"/>
      <c r="I522" s="139"/>
      <c r="J522" s="139"/>
      <c r="K522" s="140"/>
      <c r="L522" s="140"/>
      <c r="M522" s="140"/>
      <c r="N522" s="140"/>
      <c r="O522" s="140"/>
      <c r="P522" s="139"/>
      <c r="Q522" s="139"/>
      <c r="R522" s="139"/>
      <c r="S522" s="139"/>
      <c r="T522" s="139"/>
      <c r="U522" s="139"/>
      <c r="V522" s="139"/>
      <c r="W522" s="139"/>
      <c r="X522" s="139"/>
      <c r="Y522" s="139"/>
      <c r="Z522" s="139"/>
      <c r="AA522" s="139"/>
      <c r="AB522" s="139"/>
      <c r="AC522" s="139"/>
      <c r="AD522" s="139"/>
      <c r="AE522" s="139"/>
      <c r="AF522" s="139"/>
      <c r="AG522" s="139"/>
      <c r="AH522" s="139"/>
      <c r="AI522" s="139"/>
    </row>
    <row r="523">
      <c r="A523" s="139"/>
      <c r="B523" s="139"/>
      <c r="C523" s="139"/>
      <c r="D523" s="139"/>
      <c r="E523" s="139"/>
      <c r="F523" s="139"/>
      <c r="G523" s="139"/>
      <c r="H523" s="139"/>
      <c r="I523" s="139"/>
      <c r="J523" s="139"/>
      <c r="K523" s="140"/>
      <c r="L523" s="140"/>
      <c r="M523" s="140"/>
      <c r="N523" s="140"/>
      <c r="O523" s="140"/>
      <c r="P523" s="139"/>
      <c r="Q523" s="139"/>
      <c r="R523" s="139"/>
      <c r="S523" s="139"/>
      <c r="T523" s="139"/>
      <c r="U523" s="139"/>
      <c r="V523" s="139"/>
      <c r="W523" s="139"/>
      <c r="X523" s="139"/>
      <c r="Y523" s="139"/>
      <c r="Z523" s="139"/>
      <c r="AA523" s="139"/>
      <c r="AB523" s="139"/>
      <c r="AC523" s="139"/>
      <c r="AD523" s="139"/>
      <c r="AE523" s="139"/>
      <c r="AF523" s="139"/>
      <c r="AG523" s="139"/>
      <c r="AH523" s="139"/>
      <c r="AI523" s="139"/>
    </row>
    <row r="524">
      <c r="A524" s="139"/>
      <c r="B524" s="139"/>
      <c r="C524" s="139"/>
      <c r="D524" s="139"/>
      <c r="E524" s="139"/>
      <c r="F524" s="139"/>
      <c r="G524" s="139"/>
      <c r="H524" s="139"/>
      <c r="I524" s="139"/>
      <c r="J524" s="139"/>
      <c r="K524" s="140"/>
      <c r="L524" s="140"/>
      <c r="M524" s="140"/>
      <c r="N524" s="140"/>
      <c r="O524" s="140"/>
      <c r="P524" s="139"/>
      <c r="Q524" s="139"/>
      <c r="R524" s="139"/>
      <c r="S524" s="139"/>
      <c r="T524" s="139"/>
      <c r="U524" s="139"/>
      <c r="V524" s="139"/>
      <c r="W524" s="139"/>
      <c r="X524" s="139"/>
      <c r="Y524" s="139"/>
      <c r="Z524" s="139"/>
      <c r="AA524" s="139"/>
      <c r="AB524" s="139"/>
      <c r="AC524" s="139"/>
      <c r="AD524" s="139"/>
      <c r="AE524" s="139"/>
      <c r="AF524" s="139"/>
      <c r="AG524" s="139"/>
      <c r="AH524" s="139"/>
      <c r="AI524" s="139"/>
    </row>
    <row r="525">
      <c r="A525" s="139"/>
      <c r="B525" s="139"/>
      <c r="C525" s="139"/>
      <c r="D525" s="139"/>
      <c r="E525" s="139"/>
      <c r="F525" s="139"/>
      <c r="G525" s="139"/>
      <c r="H525" s="139"/>
      <c r="I525" s="139"/>
      <c r="J525" s="139"/>
      <c r="K525" s="140"/>
      <c r="L525" s="140"/>
      <c r="M525" s="140"/>
      <c r="N525" s="140"/>
      <c r="O525" s="140"/>
      <c r="P525" s="139"/>
      <c r="Q525" s="139"/>
      <c r="R525" s="139"/>
      <c r="S525" s="139"/>
      <c r="T525" s="139"/>
      <c r="U525" s="139"/>
      <c r="V525" s="139"/>
      <c r="W525" s="139"/>
      <c r="X525" s="139"/>
      <c r="Y525" s="139"/>
      <c r="Z525" s="139"/>
      <c r="AA525" s="139"/>
      <c r="AB525" s="139"/>
      <c r="AC525" s="139"/>
      <c r="AD525" s="139"/>
      <c r="AE525" s="139"/>
      <c r="AF525" s="139"/>
      <c r="AG525" s="139"/>
      <c r="AH525" s="139"/>
      <c r="AI525" s="139"/>
    </row>
    <row r="526">
      <c r="A526" s="139"/>
      <c r="B526" s="139"/>
      <c r="C526" s="139"/>
      <c r="D526" s="139"/>
      <c r="E526" s="139"/>
      <c r="F526" s="139"/>
      <c r="G526" s="139"/>
      <c r="H526" s="139"/>
      <c r="I526" s="139"/>
      <c r="J526" s="139"/>
      <c r="K526" s="140"/>
      <c r="L526" s="140"/>
      <c r="M526" s="140"/>
      <c r="N526" s="140"/>
      <c r="O526" s="140"/>
      <c r="P526" s="139"/>
      <c r="Q526" s="139"/>
      <c r="R526" s="139"/>
      <c r="S526" s="139"/>
      <c r="T526" s="139"/>
      <c r="U526" s="139"/>
      <c r="V526" s="139"/>
      <c r="W526" s="139"/>
      <c r="X526" s="139"/>
      <c r="Y526" s="139"/>
      <c r="Z526" s="139"/>
      <c r="AA526" s="139"/>
      <c r="AB526" s="139"/>
      <c r="AC526" s="139"/>
      <c r="AD526" s="139"/>
      <c r="AE526" s="139"/>
      <c r="AF526" s="139"/>
      <c r="AG526" s="139"/>
      <c r="AH526" s="139"/>
      <c r="AI526" s="139"/>
    </row>
    <row r="527">
      <c r="A527" s="139"/>
      <c r="B527" s="139"/>
      <c r="C527" s="139"/>
      <c r="D527" s="139"/>
      <c r="E527" s="139"/>
      <c r="F527" s="139"/>
      <c r="G527" s="139"/>
      <c r="H527" s="139"/>
      <c r="I527" s="139"/>
      <c r="J527" s="139"/>
      <c r="K527" s="140"/>
      <c r="L527" s="140"/>
      <c r="M527" s="140"/>
      <c r="N527" s="140"/>
      <c r="O527" s="140"/>
      <c r="P527" s="139"/>
      <c r="Q527" s="139"/>
      <c r="R527" s="139"/>
      <c r="S527" s="139"/>
      <c r="T527" s="139"/>
      <c r="U527" s="139"/>
      <c r="V527" s="139"/>
      <c r="W527" s="139"/>
      <c r="X527" s="139"/>
      <c r="Y527" s="139"/>
      <c r="Z527" s="139"/>
      <c r="AA527" s="139"/>
      <c r="AB527" s="139"/>
      <c r="AC527" s="139"/>
      <c r="AD527" s="139"/>
      <c r="AE527" s="139"/>
      <c r="AF527" s="139"/>
      <c r="AG527" s="139"/>
      <c r="AH527" s="139"/>
      <c r="AI527" s="139"/>
    </row>
    <row r="528">
      <c r="A528" s="139"/>
      <c r="B528" s="139"/>
      <c r="C528" s="139"/>
      <c r="D528" s="139"/>
      <c r="E528" s="139"/>
      <c r="F528" s="139"/>
      <c r="G528" s="139"/>
      <c r="H528" s="139"/>
      <c r="I528" s="139"/>
      <c r="J528" s="139"/>
      <c r="K528" s="140"/>
      <c r="L528" s="140"/>
      <c r="M528" s="140"/>
      <c r="N528" s="140"/>
      <c r="O528" s="140"/>
      <c r="P528" s="139"/>
      <c r="Q528" s="139"/>
      <c r="R528" s="139"/>
      <c r="S528" s="139"/>
      <c r="T528" s="139"/>
      <c r="U528" s="139"/>
      <c r="V528" s="139"/>
      <c r="W528" s="139"/>
      <c r="X528" s="139"/>
      <c r="Y528" s="139"/>
      <c r="Z528" s="139"/>
      <c r="AA528" s="139"/>
      <c r="AB528" s="139"/>
      <c r="AC528" s="139"/>
      <c r="AD528" s="139"/>
      <c r="AE528" s="139"/>
      <c r="AF528" s="139"/>
      <c r="AG528" s="139"/>
      <c r="AH528" s="139"/>
      <c r="AI528" s="139"/>
    </row>
    <row r="529">
      <c r="A529" s="139"/>
      <c r="B529" s="139"/>
      <c r="C529" s="139"/>
      <c r="D529" s="139"/>
      <c r="E529" s="139"/>
      <c r="F529" s="139"/>
      <c r="G529" s="139"/>
      <c r="H529" s="139"/>
      <c r="I529" s="139"/>
      <c r="J529" s="139"/>
      <c r="K529" s="140"/>
      <c r="L529" s="140"/>
      <c r="M529" s="140"/>
      <c r="N529" s="140"/>
      <c r="O529" s="140"/>
      <c r="P529" s="139"/>
      <c r="Q529" s="139"/>
      <c r="R529" s="139"/>
      <c r="S529" s="139"/>
      <c r="T529" s="139"/>
      <c r="U529" s="139"/>
      <c r="V529" s="139"/>
      <c r="W529" s="139"/>
      <c r="X529" s="139"/>
      <c r="Y529" s="139"/>
      <c r="Z529" s="139"/>
      <c r="AA529" s="139"/>
      <c r="AB529" s="139"/>
      <c r="AC529" s="139"/>
      <c r="AD529" s="139"/>
      <c r="AE529" s="139"/>
      <c r="AF529" s="139"/>
      <c r="AG529" s="139"/>
      <c r="AH529" s="139"/>
      <c r="AI529" s="139"/>
    </row>
    <row r="530">
      <c r="A530" s="139"/>
      <c r="B530" s="139"/>
      <c r="C530" s="139"/>
      <c r="D530" s="139"/>
      <c r="E530" s="139"/>
      <c r="F530" s="139"/>
      <c r="G530" s="139"/>
      <c r="H530" s="139"/>
      <c r="I530" s="139"/>
      <c r="J530" s="139"/>
      <c r="K530" s="140"/>
      <c r="L530" s="140"/>
      <c r="M530" s="140"/>
      <c r="N530" s="140"/>
      <c r="O530" s="140"/>
      <c r="P530" s="139"/>
      <c r="Q530" s="139"/>
      <c r="R530" s="139"/>
      <c r="S530" s="139"/>
      <c r="T530" s="139"/>
      <c r="U530" s="139"/>
      <c r="V530" s="139"/>
      <c r="W530" s="139"/>
      <c r="X530" s="139"/>
      <c r="Y530" s="139"/>
      <c r="Z530" s="139"/>
      <c r="AA530" s="139"/>
      <c r="AB530" s="139"/>
      <c r="AC530" s="139"/>
      <c r="AD530" s="139"/>
      <c r="AE530" s="139"/>
      <c r="AF530" s="139"/>
      <c r="AG530" s="139"/>
      <c r="AH530" s="139"/>
      <c r="AI530" s="139"/>
    </row>
    <row r="531">
      <c r="A531" s="139"/>
      <c r="B531" s="139"/>
      <c r="C531" s="139"/>
      <c r="D531" s="139"/>
      <c r="E531" s="139"/>
      <c r="F531" s="139"/>
      <c r="G531" s="139"/>
      <c r="H531" s="139"/>
      <c r="I531" s="139"/>
      <c r="J531" s="139"/>
      <c r="K531" s="140"/>
      <c r="L531" s="140"/>
      <c r="M531" s="140"/>
      <c r="N531" s="140"/>
      <c r="O531" s="140"/>
      <c r="P531" s="139"/>
      <c r="Q531" s="139"/>
      <c r="R531" s="139"/>
      <c r="S531" s="139"/>
      <c r="T531" s="139"/>
      <c r="U531" s="139"/>
      <c r="V531" s="139"/>
      <c r="W531" s="139"/>
      <c r="X531" s="139"/>
      <c r="Y531" s="139"/>
      <c r="Z531" s="139"/>
      <c r="AA531" s="139"/>
      <c r="AB531" s="139"/>
      <c r="AC531" s="139"/>
      <c r="AD531" s="139"/>
      <c r="AE531" s="139"/>
      <c r="AF531" s="139"/>
      <c r="AG531" s="139"/>
      <c r="AH531" s="139"/>
      <c r="AI531" s="139"/>
    </row>
    <row r="532">
      <c r="A532" s="139"/>
      <c r="B532" s="139"/>
      <c r="C532" s="139"/>
      <c r="D532" s="139"/>
      <c r="E532" s="139"/>
      <c r="F532" s="139"/>
      <c r="G532" s="139"/>
      <c r="H532" s="139"/>
      <c r="I532" s="139"/>
      <c r="J532" s="139"/>
      <c r="K532" s="140"/>
      <c r="L532" s="140"/>
      <c r="M532" s="140"/>
      <c r="N532" s="140"/>
      <c r="O532" s="140"/>
      <c r="P532" s="139"/>
      <c r="Q532" s="139"/>
      <c r="R532" s="139"/>
      <c r="S532" s="139"/>
      <c r="T532" s="139"/>
      <c r="U532" s="139"/>
      <c r="V532" s="139"/>
      <c r="W532" s="139"/>
      <c r="X532" s="139"/>
      <c r="Y532" s="139"/>
      <c r="Z532" s="139"/>
      <c r="AA532" s="139"/>
      <c r="AB532" s="139"/>
      <c r="AC532" s="139"/>
      <c r="AD532" s="139"/>
      <c r="AE532" s="139"/>
      <c r="AF532" s="139"/>
      <c r="AG532" s="139"/>
      <c r="AH532" s="139"/>
      <c r="AI532" s="139"/>
    </row>
    <row r="533">
      <c r="A533" s="139"/>
      <c r="B533" s="139"/>
      <c r="C533" s="139"/>
      <c r="D533" s="139"/>
      <c r="E533" s="139"/>
      <c r="F533" s="139"/>
      <c r="G533" s="139"/>
      <c r="H533" s="139"/>
      <c r="I533" s="139"/>
      <c r="J533" s="139"/>
      <c r="K533" s="140"/>
      <c r="L533" s="140"/>
      <c r="M533" s="140"/>
      <c r="N533" s="140"/>
      <c r="O533" s="140"/>
      <c r="P533" s="139"/>
      <c r="Q533" s="139"/>
      <c r="R533" s="139"/>
      <c r="S533" s="139"/>
      <c r="T533" s="139"/>
      <c r="U533" s="139"/>
      <c r="V533" s="139"/>
      <c r="W533" s="139"/>
      <c r="X533" s="139"/>
      <c r="Y533" s="139"/>
      <c r="Z533" s="139"/>
      <c r="AA533" s="139"/>
      <c r="AB533" s="139"/>
      <c r="AC533" s="139"/>
      <c r="AD533" s="139"/>
      <c r="AE533" s="139"/>
      <c r="AF533" s="139"/>
      <c r="AG533" s="139"/>
      <c r="AH533" s="139"/>
      <c r="AI533" s="139"/>
    </row>
    <row r="534">
      <c r="A534" s="139"/>
      <c r="B534" s="139"/>
      <c r="C534" s="139"/>
      <c r="D534" s="139"/>
      <c r="E534" s="139"/>
      <c r="F534" s="139"/>
      <c r="G534" s="139"/>
      <c r="H534" s="139"/>
      <c r="I534" s="139"/>
      <c r="J534" s="139"/>
      <c r="K534" s="140"/>
      <c r="L534" s="140"/>
      <c r="M534" s="140"/>
      <c r="N534" s="140"/>
      <c r="O534" s="140"/>
      <c r="P534" s="139"/>
      <c r="Q534" s="139"/>
      <c r="R534" s="139"/>
      <c r="S534" s="139"/>
      <c r="T534" s="139"/>
      <c r="U534" s="139"/>
      <c r="V534" s="139"/>
      <c r="W534" s="139"/>
      <c r="X534" s="139"/>
      <c r="Y534" s="139"/>
      <c r="Z534" s="139"/>
      <c r="AA534" s="139"/>
      <c r="AB534" s="139"/>
      <c r="AC534" s="139"/>
      <c r="AD534" s="139"/>
      <c r="AE534" s="139"/>
      <c r="AF534" s="139"/>
      <c r="AG534" s="139"/>
      <c r="AH534" s="139"/>
      <c r="AI534" s="139"/>
    </row>
    <row r="535">
      <c r="A535" s="139"/>
      <c r="B535" s="139"/>
      <c r="C535" s="139"/>
      <c r="D535" s="139"/>
      <c r="E535" s="139"/>
      <c r="F535" s="139"/>
      <c r="G535" s="139"/>
      <c r="H535" s="139"/>
      <c r="I535" s="139"/>
      <c r="J535" s="139"/>
      <c r="K535" s="140"/>
      <c r="L535" s="140"/>
      <c r="M535" s="140"/>
      <c r="N535" s="140"/>
      <c r="O535" s="140"/>
      <c r="P535" s="139"/>
      <c r="Q535" s="139"/>
      <c r="R535" s="139"/>
      <c r="S535" s="139"/>
      <c r="T535" s="139"/>
      <c r="U535" s="139"/>
      <c r="V535" s="139"/>
      <c r="W535" s="139"/>
      <c r="X535" s="139"/>
      <c r="Y535" s="139"/>
      <c r="Z535" s="139"/>
      <c r="AA535" s="139"/>
      <c r="AB535" s="139"/>
      <c r="AC535" s="139"/>
      <c r="AD535" s="139"/>
      <c r="AE535" s="139"/>
      <c r="AF535" s="139"/>
      <c r="AG535" s="139"/>
      <c r="AH535" s="139"/>
      <c r="AI535" s="139"/>
    </row>
    <row r="536">
      <c r="A536" s="139"/>
      <c r="B536" s="139"/>
      <c r="C536" s="139"/>
      <c r="D536" s="139"/>
      <c r="E536" s="139"/>
      <c r="F536" s="139"/>
      <c r="G536" s="139"/>
      <c r="H536" s="139"/>
      <c r="I536" s="139"/>
      <c r="J536" s="139"/>
      <c r="K536" s="140"/>
      <c r="L536" s="140"/>
      <c r="M536" s="140"/>
      <c r="N536" s="140"/>
      <c r="O536" s="140"/>
      <c r="P536" s="139"/>
      <c r="Q536" s="139"/>
      <c r="R536" s="139"/>
      <c r="S536" s="139"/>
      <c r="T536" s="139"/>
      <c r="U536" s="139"/>
      <c r="V536" s="139"/>
      <c r="W536" s="139"/>
      <c r="X536" s="139"/>
      <c r="Y536" s="139"/>
      <c r="Z536" s="139"/>
      <c r="AA536" s="139"/>
      <c r="AB536" s="139"/>
      <c r="AC536" s="139"/>
      <c r="AD536" s="139"/>
      <c r="AE536" s="139"/>
      <c r="AF536" s="139"/>
      <c r="AG536" s="139"/>
      <c r="AH536" s="139"/>
      <c r="AI536" s="139"/>
    </row>
    <row r="537">
      <c r="A537" s="139"/>
      <c r="B537" s="139"/>
      <c r="C537" s="139"/>
      <c r="D537" s="139"/>
      <c r="E537" s="139"/>
      <c r="F537" s="139"/>
      <c r="G537" s="139"/>
      <c r="H537" s="139"/>
      <c r="I537" s="139"/>
      <c r="J537" s="139"/>
      <c r="K537" s="140"/>
      <c r="L537" s="140"/>
      <c r="M537" s="140"/>
      <c r="N537" s="140"/>
      <c r="O537" s="140"/>
      <c r="P537" s="139"/>
      <c r="Q537" s="139"/>
      <c r="R537" s="139"/>
      <c r="S537" s="139"/>
      <c r="T537" s="139"/>
      <c r="U537" s="139"/>
      <c r="V537" s="139"/>
      <c r="W537" s="139"/>
      <c r="X537" s="139"/>
      <c r="Y537" s="139"/>
      <c r="Z537" s="139"/>
      <c r="AA537" s="139"/>
      <c r="AB537" s="139"/>
      <c r="AC537" s="139"/>
      <c r="AD537" s="139"/>
      <c r="AE537" s="139"/>
      <c r="AF537" s="139"/>
      <c r="AG537" s="139"/>
      <c r="AH537" s="139"/>
      <c r="AI537" s="139"/>
    </row>
    <row r="538">
      <c r="A538" s="139"/>
      <c r="B538" s="139"/>
      <c r="C538" s="139"/>
      <c r="D538" s="139"/>
      <c r="E538" s="139"/>
      <c r="F538" s="139"/>
      <c r="G538" s="139"/>
      <c r="H538" s="139"/>
      <c r="I538" s="139"/>
      <c r="J538" s="139"/>
      <c r="K538" s="140"/>
      <c r="L538" s="140"/>
      <c r="M538" s="140"/>
      <c r="N538" s="140"/>
      <c r="O538" s="140"/>
      <c r="P538" s="139"/>
      <c r="Q538" s="139"/>
      <c r="R538" s="139"/>
      <c r="S538" s="139"/>
      <c r="T538" s="139"/>
      <c r="U538" s="139"/>
      <c r="V538" s="139"/>
      <c r="W538" s="139"/>
      <c r="X538" s="139"/>
      <c r="Y538" s="139"/>
      <c r="Z538" s="139"/>
      <c r="AA538" s="139"/>
      <c r="AB538" s="139"/>
      <c r="AC538" s="139"/>
      <c r="AD538" s="139"/>
      <c r="AE538" s="139"/>
      <c r="AF538" s="139"/>
      <c r="AG538" s="139"/>
      <c r="AH538" s="139"/>
      <c r="AI538" s="139"/>
    </row>
    <row r="539">
      <c r="A539" s="139"/>
      <c r="B539" s="139"/>
      <c r="C539" s="139"/>
      <c r="D539" s="139"/>
      <c r="E539" s="139"/>
      <c r="F539" s="139"/>
      <c r="G539" s="139"/>
      <c r="H539" s="139"/>
      <c r="I539" s="139"/>
      <c r="J539" s="139"/>
      <c r="K539" s="140"/>
      <c r="L539" s="140"/>
      <c r="M539" s="140"/>
      <c r="N539" s="140"/>
      <c r="O539" s="140"/>
      <c r="P539" s="139"/>
      <c r="Q539" s="139"/>
      <c r="R539" s="139"/>
      <c r="S539" s="139"/>
      <c r="T539" s="139"/>
      <c r="U539" s="139"/>
      <c r="V539" s="139"/>
      <c r="W539" s="139"/>
      <c r="X539" s="139"/>
      <c r="Y539" s="139"/>
      <c r="Z539" s="139"/>
      <c r="AA539" s="139"/>
      <c r="AB539" s="139"/>
      <c r="AC539" s="139"/>
      <c r="AD539" s="139"/>
      <c r="AE539" s="139"/>
      <c r="AF539" s="139"/>
      <c r="AG539" s="139"/>
      <c r="AH539" s="139"/>
      <c r="AI539" s="139"/>
    </row>
    <row r="540">
      <c r="A540" s="139"/>
      <c r="B540" s="139"/>
      <c r="C540" s="139"/>
      <c r="D540" s="139"/>
      <c r="E540" s="139"/>
      <c r="F540" s="139"/>
      <c r="G540" s="139"/>
      <c r="H540" s="139"/>
      <c r="I540" s="139"/>
      <c r="J540" s="139"/>
      <c r="K540" s="140"/>
      <c r="L540" s="140"/>
      <c r="M540" s="140"/>
      <c r="N540" s="140"/>
      <c r="O540" s="140"/>
      <c r="P540" s="139"/>
      <c r="Q540" s="139"/>
      <c r="R540" s="139"/>
      <c r="S540" s="139"/>
      <c r="T540" s="139"/>
      <c r="U540" s="139"/>
      <c r="V540" s="139"/>
      <c r="W540" s="139"/>
      <c r="X540" s="139"/>
      <c r="Y540" s="139"/>
      <c r="Z540" s="139"/>
      <c r="AA540" s="139"/>
      <c r="AB540" s="139"/>
      <c r="AC540" s="139"/>
      <c r="AD540" s="139"/>
      <c r="AE540" s="139"/>
      <c r="AF540" s="139"/>
      <c r="AG540" s="139"/>
      <c r="AH540" s="139"/>
      <c r="AI540" s="139"/>
    </row>
    <row r="541">
      <c r="A541" s="139"/>
      <c r="B541" s="139"/>
      <c r="C541" s="139"/>
      <c r="D541" s="139"/>
      <c r="E541" s="139"/>
      <c r="F541" s="139"/>
      <c r="G541" s="139"/>
      <c r="H541" s="139"/>
      <c r="I541" s="139"/>
      <c r="J541" s="139"/>
      <c r="K541" s="140"/>
      <c r="L541" s="140"/>
      <c r="M541" s="140"/>
      <c r="N541" s="140"/>
      <c r="O541" s="140"/>
      <c r="P541" s="139"/>
      <c r="Q541" s="139"/>
      <c r="R541" s="139"/>
      <c r="S541" s="139"/>
      <c r="T541" s="139"/>
      <c r="U541" s="139"/>
      <c r="V541" s="139"/>
      <c r="W541" s="139"/>
      <c r="X541" s="139"/>
      <c r="Y541" s="139"/>
      <c r="Z541" s="139"/>
      <c r="AA541" s="139"/>
      <c r="AB541" s="139"/>
      <c r="AC541" s="139"/>
      <c r="AD541" s="139"/>
      <c r="AE541" s="139"/>
      <c r="AF541" s="139"/>
      <c r="AG541" s="139"/>
      <c r="AH541" s="139"/>
      <c r="AI541" s="139"/>
    </row>
    <row r="542">
      <c r="A542" s="139"/>
      <c r="B542" s="139"/>
      <c r="C542" s="139"/>
      <c r="D542" s="139"/>
      <c r="E542" s="139"/>
      <c r="F542" s="139"/>
      <c r="G542" s="139"/>
      <c r="H542" s="139"/>
      <c r="I542" s="139"/>
      <c r="J542" s="139"/>
      <c r="K542" s="140"/>
      <c r="L542" s="140"/>
      <c r="M542" s="140"/>
      <c r="N542" s="140"/>
      <c r="O542" s="140"/>
      <c r="P542" s="139"/>
      <c r="Q542" s="139"/>
      <c r="R542" s="139"/>
      <c r="S542" s="139"/>
      <c r="T542" s="139"/>
      <c r="U542" s="139"/>
      <c r="V542" s="139"/>
      <c r="W542" s="139"/>
      <c r="X542" s="139"/>
      <c r="Y542" s="139"/>
      <c r="Z542" s="139"/>
      <c r="AA542" s="139"/>
      <c r="AB542" s="139"/>
      <c r="AC542" s="139"/>
      <c r="AD542" s="139"/>
      <c r="AE542" s="139"/>
      <c r="AF542" s="139"/>
      <c r="AG542" s="139"/>
      <c r="AH542" s="139"/>
      <c r="AI542" s="139"/>
    </row>
    <row r="543">
      <c r="A543" s="139"/>
      <c r="B543" s="139"/>
      <c r="C543" s="139"/>
      <c r="D543" s="139"/>
      <c r="E543" s="139"/>
      <c r="F543" s="139"/>
      <c r="G543" s="139"/>
      <c r="H543" s="139"/>
      <c r="I543" s="139"/>
      <c r="J543" s="139"/>
      <c r="K543" s="140"/>
      <c r="L543" s="140"/>
      <c r="M543" s="140"/>
      <c r="N543" s="140"/>
      <c r="O543" s="140"/>
      <c r="P543" s="139"/>
      <c r="Q543" s="139"/>
      <c r="R543" s="139"/>
      <c r="S543" s="139"/>
      <c r="T543" s="139"/>
      <c r="U543" s="139"/>
      <c r="V543" s="139"/>
      <c r="W543" s="139"/>
      <c r="X543" s="139"/>
      <c r="Y543" s="139"/>
      <c r="Z543" s="139"/>
      <c r="AA543" s="139"/>
      <c r="AB543" s="139"/>
      <c r="AC543" s="139"/>
      <c r="AD543" s="139"/>
      <c r="AE543" s="139"/>
      <c r="AF543" s="139"/>
      <c r="AG543" s="139"/>
      <c r="AH543" s="139"/>
      <c r="AI543" s="139"/>
    </row>
    <row r="544">
      <c r="A544" s="139"/>
      <c r="B544" s="139"/>
      <c r="C544" s="139"/>
      <c r="D544" s="139"/>
      <c r="E544" s="139"/>
      <c r="F544" s="139"/>
      <c r="G544" s="139"/>
      <c r="H544" s="139"/>
      <c r="I544" s="139"/>
      <c r="J544" s="139"/>
      <c r="K544" s="140"/>
      <c r="L544" s="140"/>
      <c r="M544" s="140"/>
      <c r="N544" s="140"/>
      <c r="O544" s="140"/>
      <c r="P544" s="139"/>
      <c r="Q544" s="139"/>
      <c r="R544" s="139"/>
      <c r="S544" s="139"/>
      <c r="T544" s="139"/>
      <c r="U544" s="139"/>
      <c r="V544" s="139"/>
      <c r="W544" s="139"/>
      <c r="X544" s="139"/>
      <c r="Y544" s="139"/>
      <c r="Z544" s="139"/>
      <c r="AA544" s="139"/>
      <c r="AB544" s="139"/>
      <c r="AC544" s="139"/>
      <c r="AD544" s="139"/>
      <c r="AE544" s="139"/>
      <c r="AF544" s="139"/>
      <c r="AG544" s="139"/>
      <c r="AH544" s="139"/>
      <c r="AI544" s="139"/>
    </row>
    <row r="545">
      <c r="A545" s="139"/>
      <c r="B545" s="139"/>
      <c r="C545" s="139"/>
      <c r="D545" s="139"/>
      <c r="E545" s="139"/>
      <c r="F545" s="139"/>
      <c r="G545" s="139"/>
      <c r="H545" s="139"/>
      <c r="I545" s="139"/>
      <c r="J545" s="139"/>
      <c r="K545" s="140"/>
      <c r="L545" s="140"/>
      <c r="M545" s="140"/>
      <c r="N545" s="140"/>
      <c r="O545" s="140"/>
      <c r="P545" s="139"/>
      <c r="Q545" s="139"/>
      <c r="R545" s="139"/>
      <c r="S545" s="139"/>
      <c r="T545" s="139"/>
      <c r="U545" s="139"/>
      <c r="V545" s="139"/>
      <c r="W545" s="139"/>
      <c r="X545" s="139"/>
      <c r="Y545" s="139"/>
      <c r="Z545" s="139"/>
      <c r="AA545" s="139"/>
      <c r="AB545" s="139"/>
      <c r="AC545" s="139"/>
      <c r="AD545" s="139"/>
      <c r="AE545" s="139"/>
      <c r="AF545" s="139"/>
      <c r="AG545" s="139"/>
      <c r="AH545" s="139"/>
      <c r="AI545" s="139"/>
    </row>
    <row r="546">
      <c r="A546" s="139"/>
      <c r="B546" s="139"/>
      <c r="C546" s="139"/>
      <c r="D546" s="139"/>
      <c r="E546" s="139"/>
      <c r="F546" s="139"/>
      <c r="G546" s="139"/>
      <c r="H546" s="139"/>
      <c r="I546" s="139"/>
      <c r="J546" s="139"/>
      <c r="K546" s="140"/>
      <c r="L546" s="140"/>
      <c r="M546" s="140"/>
      <c r="N546" s="140"/>
      <c r="O546" s="140"/>
      <c r="P546" s="139"/>
      <c r="Q546" s="139"/>
      <c r="R546" s="139"/>
      <c r="S546" s="139"/>
      <c r="T546" s="139"/>
      <c r="U546" s="139"/>
      <c r="V546" s="139"/>
      <c r="W546" s="139"/>
      <c r="X546" s="139"/>
      <c r="Y546" s="139"/>
      <c r="Z546" s="139"/>
      <c r="AA546" s="139"/>
      <c r="AB546" s="139"/>
      <c r="AC546" s="139"/>
      <c r="AD546" s="139"/>
      <c r="AE546" s="139"/>
      <c r="AF546" s="139"/>
      <c r="AG546" s="139"/>
      <c r="AH546" s="139"/>
      <c r="AI546" s="139"/>
    </row>
    <row r="547">
      <c r="A547" s="139"/>
      <c r="B547" s="139"/>
      <c r="C547" s="139"/>
      <c r="D547" s="139"/>
      <c r="E547" s="139"/>
      <c r="F547" s="139"/>
      <c r="G547" s="139"/>
      <c r="H547" s="139"/>
      <c r="I547" s="139"/>
      <c r="J547" s="139"/>
      <c r="K547" s="140"/>
      <c r="L547" s="140"/>
      <c r="M547" s="140"/>
      <c r="N547" s="140"/>
      <c r="O547" s="140"/>
      <c r="P547" s="139"/>
      <c r="Q547" s="139"/>
      <c r="R547" s="139"/>
      <c r="S547" s="139"/>
      <c r="T547" s="139"/>
      <c r="U547" s="139"/>
      <c r="V547" s="139"/>
      <c r="W547" s="139"/>
      <c r="X547" s="139"/>
      <c r="Y547" s="139"/>
      <c r="Z547" s="139"/>
      <c r="AA547" s="139"/>
      <c r="AB547" s="139"/>
      <c r="AC547" s="139"/>
      <c r="AD547" s="139"/>
      <c r="AE547" s="139"/>
      <c r="AF547" s="139"/>
      <c r="AG547" s="139"/>
      <c r="AH547" s="139"/>
      <c r="AI547" s="139"/>
    </row>
    <row r="548">
      <c r="A548" s="139"/>
      <c r="B548" s="139"/>
      <c r="C548" s="139"/>
      <c r="D548" s="139"/>
      <c r="E548" s="139"/>
      <c r="F548" s="139"/>
      <c r="G548" s="139"/>
      <c r="H548" s="139"/>
      <c r="I548" s="139"/>
      <c r="J548" s="139"/>
      <c r="K548" s="140"/>
      <c r="L548" s="140"/>
      <c r="M548" s="140"/>
      <c r="N548" s="140"/>
      <c r="O548" s="140"/>
      <c r="P548" s="139"/>
      <c r="Q548" s="139"/>
      <c r="R548" s="139"/>
      <c r="S548" s="139"/>
      <c r="T548" s="139"/>
      <c r="U548" s="139"/>
      <c r="V548" s="139"/>
      <c r="W548" s="139"/>
      <c r="X548" s="139"/>
      <c r="Y548" s="139"/>
      <c r="Z548" s="139"/>
      <c r="AA548" s="139"/>
      <c r="AB548" s="139"/>
      <c r="AC548" s="139"/>
      <c r="AD548" s="139"/>
      <c r="AE548" s="139"/>
      <c r="AF548" s="139"/>
      <c r="AG548" s="139"/>
      <c r="AH548" s="139"/>
      <c r="AI548" s="139"/>
    </row>
    <row r="549">
      <c r="A549" s="139"/>
      <c r="B549" s="139"/>
      <c r="C549" s="139"/>
      <c r="D549" s="139"/>
      <c r="E549" s="139"/>
      <c r="F549" s="139"/>
      <c r="G549" s="139"/>
      <c r="H549" s="139"/>
      <c r="I549" s="139"/>
      <c r="J549" s="139"/>
      <c r="K549" s="140"/>
      <c r="L549" s="140"/>
      <c r="M549" s="140"/>
      <c r="N549" s="140"/>
      <c r="O549" s="140"/>
      <c r="P549" s="139"/>
      <c r="Q549" s="139"/>
      <c r="R549" s="139"/>
      <c r="S549" s="139"/>
      <c r="T549" s="139"/>
      <c r="U549" s="139"/>
      <c r="V549" s="139"/>
      <c r="W549" s="139"/>
      <c r="X549" s="139"/>
      <c r="Y549" s="139"/>
      <c r="Z549" s="139"/>
      <c r="AA549" s="139"/>
      <c r="AB549" s="139"/>
      <c r="AC549" s="139"/>
      <c r="AD549" s="139"/>
      <c r="AE549" s="139"/>
      <c r="AF549" s="139"/>
      <c r="AG549" s="139"/>
      <c r="AH549" s="139"/>
      <c r="AI549" s="139"/>
    </row>
    <row r="550">
      <c r="A550" s="139"/>
      <c r="B550" s="139"/>
      <c r="C550" s="139"/>
      <c r="D550" s="139"/>
      <c r="E550" s="139"/>
      <c r="F550" s="139"/>
      <c r="G550" s="139"/>
      <c r="H550" s="139"/>
      <c r="I550" s="139"/>
      <c r="J550" s="139"/>
      <c r="K550" s="140"/>
      <c r="L550" s="140"/>
      <c r="M550" s="140"/>
      <c r="N550" s="140"/>
      <c r="O550" s="140"/>
      <c r="P550" s="139"/>
      <c r="Q550" s="139"/>
      <c r="R550" s="139"/>
      <c r="S550" s="139"/>
      <c r="T550" s="139"/>
      <c r="U550" s="139"/>
      <c r="V550" s="139"/>
      <c r="W550" s="139"/>
      <c r="X550" s="139"/>
      <c r="Y550" s="139"/>
      <c r="Z550" s="139"/>
      <c r="AA550" s="139"/>
      <c r="AB550" s="139"/>
      <c r="AC550" s="139"/>
      <c r="AD550" s="139"/>
      <c r="AE550" s="139"/>
      <c r="AF550" s="139"/>
      <c r="AG550" s="139"/>
      <c r="AH550" s="139"/>
      <c r="AI550" s="139"/>
    </row>
    <row r="551">
      <c r="A551" s="139"/>
      <c r="B551" s="139"/>
      <c r="C551" s="139"/>
      <c r="D551" s="139"/>
      <c r="E551" s="139"/>
      <c r="F551" s="139"/>
      <c r="G551" s="139"/>
      <c r="H551" s="139"/>
      <c r="I551" s="139"/>
      <c r="J551" s="139"/>
      <c r="K551" s="140"/>
      <c r="L551" s="140"/>
      <c r="M551" s="140"/>
      <c r="N551" s="140"/>
      <c r="O551" s="140"/>
      <c r="P551" s="139"/>
      <c r="Q551" s="139"/>
      <c r="R551" s="139"/>
      <c r="S551" s="139"/>
      <c r="T551" s="139"/>
      <c r="U551" s="139"/>
      <c r="V551" s="139"/>
      <c r="W551" s="139"/>
      <c r="X551" s="139"/>
      <c r="Y551" s="139"/>
      <c r="Z551" s="139"/>
      <c r="AA551" s="139"/>
      <c r="AB551" s="139"/>
      <c r="AC551" s="139"/>
      <c r="AD551" s="139"/>
      <c r="AE551" s="139"/>
      <c r="AF551" s="139"/>
      <c r="AG551" s="139"/>
      <c r="AH551" s="139"/>
      <c r="AI551" s="139"/>
    </row>
    <row r="552">
      <c r="A552" s="139"/>
      <c r="B552" s="139"/>
      <c r="C552" s="139"/>
      <c r="D552" s="139"/>
      <c r="E552" s="139"/>
      <c r="F552" s="139"/>
      <c r="G552" s="139"/>
      <c r="H552" s="139"/>
      <c r="I552" s="139"/>
      <c r="J552" s="139"/>
      <c r="K552" s="140"/>
      <c r="L552" s="140"/>
      <c r="M552" s="140"/>
      <c r="N552" s="140"/>
      <c r="O552" s="140"/>
      <c r="P552" s="139"/>
      <c r="Q552" s="139"/>
      <c r="R552" s="139"/>
      <c r="S552" s="139"/>
      <c r="T552" s="139"/>
      <c r="U552" s="139"/>
      <c r="V552" s="139"/>
      <c r="W552" s="139"/>
      <c r="X552" s="139"/>
      <c r="Y552" s="139"/>
      <c r="Z552" s="139"/>
      <c r="AA552" s="139"/>
      <c r="AB552" s="139"/>
      <c r="AC552" s="139"/>
      <c r="AD552" s="139"/>
      <c r="AE552" s="139"/>
      <c r="AF552" s="139"/>
      <c r="AG552" s="139"/>
      <c r="AH552" s="139"/>
      <c r="AI552" s="139"/>
    </row>
    <row r="553">
      <c r="A553" s="139"/>
      <c r="B553" s="139"/>
      <c r="C553" s="139"/>
      <c r="D553" s="139"/>
      <c r="E553" s="139"/>
      <c r="F553" s="139"/>
      <c r="G553" s="139"/>
      <c r="H553" s="139"/>
      <c r="I553" s="139"/>
      <c r="J553" s="139"/>
      <c r="K553" s="140"/>
      <c r="L553" s="140"/>
      <c r="M553" s="140"/>
      <c r="N553" s="140"/>
      <c r="O553" s="140"/>
      <c r="P553" s="139"/>
      <c r="Q553" s="139"/>
      <c r="R553" s="139"/>
      <c r="S553" s="139"/>
      <c r="T553" s="139"/>
      <c r="U553" s="139"/>
      <c r="V553" s="139"/>
      <c r="W553" s="139"/>
      <c r="X553" s="139"/>
      <c r="Y553" s="139"/>
      <c r="Z553" s="139"/>
      <c r="AA553" s="139"/>
      <c r="AB553" s="139"/>
      <c r="AC553" s="139"/>
      <c r="AD553" s="139"/>
      <c r="AE553" s="139"/>
      <c r="AF553" s="139"/>
      <c r="AG553" s="139"/>
      <c r="AH553" s="139"/>
      <c r="AI553" s="139"/>
    </row>
    <row r="554">
      <c r="A554" s="139"/>
      <c r="B554" s="139"/>
      <c r="C554" s="139"/>
      <c r="D554" s="139"/>
      <c r="E554" s="139"/>
      <c r="F554" s="139"/>
      <c r="G554" s="139"/>
      <c r="H554" s="139"/>
      <c r="I554" s="139"/>
      <c r="J554" s="139"/>
      <c r="K554" s="140"/>
      <c r="L554" s="140"/>
      <c r="M554" s="140"/>
      <c r="N554" s="140"/>
      <c r="O554" s="140"/>
      <c r="P554" s="139"/>
      <c r="Q554" s="139"/>
      <c r="R554" s="139"/>
      <c r="S554" s="139"/>
      <c r="T554" s="139"/>
      <c r="U554" s="139"/>
      <c r="V554" s="139"/>
      <c r="W554" s="139"/>
      <c r="X554" s="139"/>
      <c r="Y554" s="139"/>
      <c r="Z554" s="139"/>
      <c r="AA554" s="139"/>
      <c r="AB554" s="139"/>
      <c r="AC554" s="139"/>
      <c r="AD554" s="139"/>
      <c r="AE554" s="139"/>
      <c r="AF554" s="139"/>
      <c r="AG554" s="139"/>
      <c r="AH554" s="139"/>
      <c r="AI554" s="139"/>
    </row>
    <row r="555">
      <c r="A555" s="139"/>
      <c r="B555" s="139"/>
      <c r="C555" s="139"/>
      <c r="D555" s="139"/>
      <c r="E555" s="139"/>
      <c r="F555" s="139"/>
      <c r="G555" s="139"/>
      <c r="H555" s="139"/>
      <c r="I555" s="139"/>
      <c r="J555" s="139"/>
      <c r="K555" s="140"/>
      <c r="L555" s="140"/>
      <c r="M555" s="140"/>
      <c r="N555" s="140"/>
      <c r="O555" s="140"/>
      <c r="P555" s="139"/>
      <c r="Q555" s="139"/>
      <c r="R555" s="139"/>
      <c r="S555" s="139"/>
      <c r="T555" s="139"/>
      <c r="U555" s="139"/>
      <c r="V555" s="139"/>
      <c r="W555" s="139"/>
      <c r="X555" s="139"/>
      <c r="Y555" s="139"/>
      <c r="Z555" s="139"/>
      <c r="AA555" s="139"/>
      <c r="AB555" s="139"/>
      <c r="AC555" s="139"/>
      <c r="AD555" s="139"/>
      <c r="AE555" s="139"/>
      <c r="AF555" s="139"/>
      <c r="AG555" s="139"/>
      <c r="AH555" s="139"/>
      <c r="AI555" s="139"/>
    </row>
    <row r="556">
      <c r="A556" s="139"/>
      <c r="B556" s="139"/>
      <c r="C556" s="139"/>
      <c r="D556" s="139"/>
      <c r="E556" s="139"/>
      <c r="F556" s="139"/>
      <c r="G556" s="139"/>
      <c r="H556" s="139"/>
      <c r="I556" s="139"/>
      <c r="J556" s="139"/>
      <c r="K556" s="140"/>
      <c r="L556" s="140"/>
      <c r="M556" s="140"/>
      <c r="N556" s="140"/>
      <c r="O556" s="140"/>
      <c r="P556" s="139"/>
      <c r="Q556" s="139"/>
      <c r="R556" s="139"/>
      <c r="S556" s="139"/>
      <c r="T556" s="139"/>
      <c r="U556" s="139"/>
      <c r="V556" s="139"/>
      <c r="W556" s="139"/>
      <c r="X556" s="139"/>
      <c r="Y556" s="139"/>
      <c r="Z556" s="139"/>
      <c r="AA556" s="139"/>
      <c r="AB556" s="139"/>
      <c r="AC556" s="139"/>
      <c r="AD556" s="139"/>
      <c r="AE556" s="139"/>
      <c r="AF556" s="139"/>
      <c r="AG556" s="139"/>
      <c r="AH556" s="139"/>
      <c r="AI556" s="139"/>
    </row>
    <row r="557">
      <c r="A557" s="139"/>
      <c r="B557" s="139"/>
      <c r="C557" s="139"/>
      <c r="D557" s="139"/>
      <c r="E557" s="139"/>
      <c r="F557" s="139"/>
      <c r="G557" s="139"/>
      <c r="H557" s="139"/>
      <c r="I557" s="139"/>
      <c r="J557" s="139"/>
      <c r="K557" s="140"/>
      <c r="L557" s="140"/>
      <c r="M557" s="140"/>
      <c r="N557" s="140"/>
      <c r="O557" s="140"/>
      <c r="P557" s="139"/>
      <c r="Q557" s="139"/>
      <c r="R557" s="139"/>
      <c r="S557" s="139"/>
      <c r="T557" s="139"/>
      <c r="U557" s="139"/>
      <c r="V557" s="139"/>
      <c r="W557" s="139"/>
      <c r="X557" s="139"/>
      <c r="Y557" s="139"/>
      <c r="Z557" s="139"/>
      <c r="AA557" s="139"/>
      <c r="AB557" s="139"/>
      <c r="AC557" s="139"/>
      <c r="AD557" s="139"/>
      <c r="AE557" s="139"/>
      <c r="AF557" s="139"/>
      <c r="AG557" s="139"/>
      <c r="AH557" s="139"/>
      <c r="AI557" s="139"/>
    </row>
    <row r="558">
      <c r="A558" s="139"/>
      <c r="B558" s="139"/>
      <c r="C558" s="139"/>
      <c r="D558" s="139"/>
      <c r="E558" s="139"/>
      <c r="F558" s="139"/>
      <c r="G558" s="139"/>
      <c r="H558" s="139"/>
      <c r="I558" s="139"/>
      <c r="J558" s="139"/>
      <c r="K558" s="140"/>
      <c r="L558" s="140"/>
      <c r="M558" s="140"/>
      <c r="N558" s="140"/>
      <c r="O558" s="140"/>
      <c r="P558" s="139"/>
      <c r="Q558" s="139"/>
      <c r="R558" s="139"/>
      <c r="S558" s="139"/>
      <c r="T558" s="139"/>
      <c r="U558" s="139"/>
      <c r="V558" s="139"/>
      <c r="W558" s="139"/>
      <c r="X558" s="139"/>
      <c r="Y558" s="139"/>
      <c r="Z558" s="139"/>
      <c r="AA558" s="139"/>
      <c r="AB558" s="139"/>
      <c r="AC558" s="139"/>
      <c r="AD558" s="139"/>
      <c r="AE558" s="139"/>
      <c r="AF558" s="139"/>
      <c r="AG558" s="139"/>
      <c r="AH558" s="139"/>
      <c r="AI558" s="139"/>
    </row>
    <row r="559">
      <c r="A559" s="139"/>
      <c r="B559" s="139"/>
      <c r="C559" s="139"/>
      <c r="D559" s="139"/>
      <c r="E559" s="139"/>
      <c r="F559" s="139"/>
      <c r="G559" s="139"/>
      <c r="H559" s="139"/>
      <c r="I559" s="139"/>
      <c r="J559" s="139"/>
      <c r="K559" s="140"/>
      <c r="L559" s="140"/>
      <c r="M559" s="140"/>
      <c r="N559" s="140"/>
      <c r="O559" s="140"/>
      <c r="P559" s="139"/>
      <c r="Q559" s="139"/>
      <c r="R559" s="139"/>
      <c r="S559" s="139"/>
      <c r="T559" s="139"/>
      <c r="U559" s="139"/>
      <c r="V559" s="139"/>
      <c r="W559" s="139"/>
      <c r="X559" s="139"/>
      <c r="Y559" s="139"/>
      <c r="Z559" s="139"/>
      <c r="AA559" s="139"/>
      <c r="AB559" s="139"/>
      <c r="AC559" s="139"/>
      <c r="AD559" s="139"/>
      <c r="AE559" s="139"/>
      <c r="AF559" s="139"/>
      <c r="AG559" s="139"/>
      <c r="AH559" s="139"/>
      <c r="AI559" s="139"/>
    </row>
    <row r="560">
      <c r="A560" s="139"/>
      <c r="B560" s="139"/>
      <c r="C560" s="139"/>
      <c r="D560" s="139"/>
      <c r="E560" s="139"/>
      <c r="F560" s="139"/>
      <c r="G560" s="139"/>
      <c r="H560" s="139"/>
      <c r="I560" s="139"/>
      <c r="J560" s="139"/>
      <c r="K560" s="140"/>
      <c r="L560" s="140"/>
      <c r="M560" s="140"/>
      <c r="N560" s="140"/>
      <c r="O560" s="140"/>
      <c r="P560" s="139"/>
      <c r="Q560" s="139"/>
      <c r="R560" s="139"/>
      <c r="S560" s="139"/>
      <c r="T560" s="139"/>
      <c r="U560" s="139"/>
      <c r="V560" s="139"/>
      <c r="W560" s="139"/>
      <c r="X560" s="139"/>
      <c r="Y560" s="139"/>
      <c r="Z560" s="139"/>
      <c r="AA560" s="139"/>
      <c r="AB560" s="139"/>
      <c r="AC560" s="139"/>
      <c r="AD560" s="139"/>
      <c r="AE560" s="139"/>
      <c r="AF560" s="139"/>
      <c r="AG560" s="139"/>
      <c r="AH560" s="139"/>
      <c r="AI560" s="139"/>
    </row>
    <row r="561">
      <c r="A561" s="139"/>
      <c r="B561" s="139"/>
      <c r="C561" s="139"/>
      <c r="D561" s="139"/>
      <c r="E561" s="139"/>
      <c r="F561" s="139"/>
      <c r="G561" s="139"/>
      <c r="H561" s="139"/>
      <c r="I561" s="139"/>
      <c r="J561" s="139"/>
      <c r="K561" s="140"/>
      <c r="L561" s="140"/>
      <c r="M561" s="140"/>
      <c r="N561" s="140"/>
      <c r="O561" s="140"/>
      <c r="P561" s="139"/>
      <c r="Q561" s="139"/>
      <c r="R561" s="139"/>
      <c r="S561" s="139"/>
      <c r="T561" s="139"/>
      <c r="U561" s="139"/>
      <c r="V561" s="139"/>
      <c r="W561" s="139"/>
      <c r="X561" s="139"/>
      <c r="Y561" s="139"/>
      <c r="Z561" s="139"/>
      <c r="AA561" s="139"/>
      <c r="AB561" s="139"/>
      <c r="AC561" s="139"/>
      <c r="AD561" s="139"/>
      <c r="AE561" s="139"/>
      <c r="AF561" s="139"/>
      <c r="AG561" s="139"/>
      <c r="AH561" s="139"/>
      <c r="AI561" s="139"/>
    </row>
    <row r="562">
      <c r="A562" s="139"/>
      <c r="B562" s="139"/>
      <c r="C562" s="139"/>
      <c r="D562" s="139"/>
      <c r="E562" s="139"/>
      <c r="F562" s="139"/>
      <c r="G562" s="139"/>
      <c r="H562" s="139"/>
      <c r="I562" s="139"/>
      <c r="J562" s="139"/>
      <c r="K562" s="140"/>
      <c r="L562" s="140"/>
      <c r="M562" s="140"/>
      <c r="N562" s="140"/>
      <c r="O562" s="140"/>
      <c r="P562" s="139"/>
      <c r="Q562" s="139"/>
      <c r="R562" s="139"/>
      <c r="S562" s="139"/>
      <c r="T562" s="139"/>
      <c r="U562" s="139"/>
      <c r="V562" s="139"/>
      <c r="W562" s="139"/>
      <c r="X562" s="139"/>
      <c r="Y562" s="139"/>
      <c r="Z562" s="139"/>
      <c r="AA562" s="139"/>
      <c r="AB562" s="139"/>
      <c r="AC562" s="139"/>
      <c r="AD562" s="139"/>
      <c r="AE562" s="139"/>
      <c r="AF562" s="139"/>
      <c r="AG562" s="139"/>
      <c r="AH562" s="139"/>
      <c r="AI562" s="139"/>
    </row>
    <row r="563">
      <c r="A563" s="139"/>
      <c r="B563" s="139"/>
      <c r="C563" s="139"/>
      <c r="D563" s="139"/>
      <c r="E563" s="139"/>
      <c r="F563" s="139"/>
      <c r="G563" s="139"/>
      <c r="H563" s="139"/>
      <c r="I563" s="139"/>
      <c r="J563" s="139"/>
      <c r="K563" s="140"/>
      <c r="L563" s="140"/>
      <c r="M563" s="140"/>
      <c r="N563" s="140"/>
      <c r="O563" s="140"/>
      <c r="P563" s="139"/>
      <c r="Q563" s="139"/>
      <c r="R563" s="139"/>
      <c r="S563" s="139"/>
      <c r="T563" s="139"/>
      <c r="U563" s="139"/>
      <c r="V563" s="139"/>
      <c r="W563" s="139"/>
      <c r="X563" s="139"/>
      <c r="Y563" s="139"/>
      <c r="Z563" s="139"/>
      <c r="AA563" s="139"/>
      <c r="AB563" s="139"/>
      <c r="AC563" s="139"/>
      <c r="AD563" s="139"/>
      <c r="AE563" s="139"/>
      <c r="AF563" s="139"/>
      <c r="AG563" s="139"/>
      <c r="AH563" s="139"/>
      <c r="AI563" s="139"/>
    </row>
    <row r="564">
      <c r="A564" s="139"/>
      <c r="B564" s="139"/>
      <c r="C564" s="139"/>
      <c r="D564" s="139"/>
      <c r="E564" s="139"/>
      <c r="F564" s="139"/>
      <c r="G564" s="139"/>
      <c r="H564" s="139"/>
      <c r="I564" s="139"/>
      <c r="J564" s="139"/>
      <c r="K564" s="140"/>
      <c r="L564" s="140"/>
      <c r="M564" s="140"/>
      <c r="N564" s="140"/>
      <c r="O564" s="140"/>
      <c r="P564" s="139"/>
      <c r="Q564" s="139"/>
      <c r="R564" s="139"/>
      <c r="S564" s="139"/>
      <c r="T564" s="139"/>
      <c r="U564" s="139"/>
      <c r="V564" s="139"/>
      <c r="W564" s="139"/>
      <c r="X564" s="139"/>
      <c r="Y564" s="139"/>
      <c r="Z564" s="139"/>
      <c r="AA564" s="139"/>
      <c r="AB564" s="139"/>
      <c r="AC564" s="139"/>
      <c r="AD564" s="139"/>
      <c r="AE564" s="139"/>
      <c r="AF564" s="139"/>
      <c r="AG564" s="139"/>
      <c r="AH564" s="139"/>
      <c r="AI564" s="139"/>
    </row>
    <row r="565">
      <c r="A565" s="139"/>
      <c r="B565" s="139"/>
      <c r="C565" s="139"/>
      <c r="D565" s="139"/>
      <c r="E565" s="139"/>
      <c r="F565" s="139"/>
      <c r="G565" s="139"/>
      <c r="H565" s="139"/>
      <c r="I565" s="139"/>
      <c r="J565" s="139"/>
      <c r="K565" s="140"/>
      <c r="L565" s="140"/>
      <c r="M565" s="140"/>
      <c r="N565" s="140"/>
      <c r="O565" s="140"/>
      <c r="P565" s="139"/>
      <c r="Q565" s="139"/>
      <c r="R565" s="139"/>
      <c r="S565" s="139"/>
      <c r="T565" s="139"/>
      <c r="U565" s="139"/>
      <c r="V565" s="139"/>
      <c r="W565" s="139"/>
      <c r="X565" s="139"/>
      <c r="Y565" s="139"/>
      <c r="Z565" s="139"/>
      <c r="AA565" s="139"/>
      <c r="AB565" s="139"/>
      <c r="AC565" s="139"/>
      <c r="AD565" s="139"/>
      <c r="AE565" s="139"/>
      <c r="AF565" s="139"/>
      <c r="AG565" s="139"/>
      <c r="AH565" s="139"/>
      <c r="AI565" s="139"/>
    </row>
    <row r="566">
      <c r="A566" s="139"/>
      <c r="B566" s="139"/>
      <c r="C566" s="139"/>
      <c r="D566" s="139"/>
      <c r="E566" s="139"/>
      <c r="F566" s="139"/>
      <c r="G566" s="139"/>
      <c r="H566" s="139"/>
      <c r="I566" s="139"/>
      <c r="J566" s="139"/>
      <c r="K566" s="140"/>
      <c r="L566" s="140"/>
      <c r="M566" s="140"/>
      <c r="N566" s="140"/>
      <c r="O566" s="140"/>
      <c r="P566" s="139"/>
      <c r="Q566" s="139"/>
      <c r="R566" s="139"/>
      <c r="S566" s="139"/>
      <c r="T566" s="139"/>
      <c r="U566" s="139"/>
      <c r="V566" s="139"/>
      <c r="W566" s="139"/>
      <c r="X566" s="139"/>
      <c r="Y566" s="139"/>
      <c r="Z566" s="139"/>
      <c r="AA566" s="139"/>
      <c r="AB566" s="139"/>
      <c r="AC566" s="139"/>
      <c r="AD566" s="139"/>
      <c r="AE566" s="139"/>
      <c r="AF566" s="139"/>
      <c r="AG566" s="139"/>
      <c r="AH566" s="139"/>
      <c r="AI566" s="139"/>
    </row>
    <row r="567">
      <c r="A567" s="139"/>
      <c r="B567" s="139"/>
      <c r="C567" s="139"/>
      <c r="D567" s="139"/>
      <c r="E567" s="139"/>
      <c r="F567" s="139"/>
      <c r="G567" s="139"/>
      <c r="H567" s="139"/>
      <c r="I567" s="139"/>
      <c r="J567" s="139"/>
      <c r="K567" s="140"/>
      <c r="L567" s="140"/>
      <c r="M567" s="140"/>
      <c r="N567" s="140"/>
      <c r="O567" s="140"/>
      <c r="P567" s="139"/>
      <c r="Q567" s="139"/>
      <c r="R567" s="139"/>
      <c r="S567" s="139"/>
      <c r="T567" s="139"/>
      <c r="U567" s="139"/>
      <c r="V567" s="139"/>
      <c r="W567" s="139"/>
      <c r="X567" s="139"/>
      <c r="Y567" s="139"/>
      <c r="Z567" s="139"/>
      <c r="AA567" s="139"/>
      <c r="AB567" s="139"/>
      <c r="AC567" s="139"/>
      <c r="AD567" s="139"/>
      <c r="AE567" s="139"/>
      <c r="AF567" s="139"/>
      <c r="AG567" s="139"/>
      <c r="AH567" s="139"/>
      <c r="AI567" s="139"/>
    </row>
    <row r="568">
      <c r="A568" s="139"/>
      <c r="B568" s="139"/>
      <c r="C568" s="139"/>
      <c r="D568" s="139"/>
      <c r="E568" s="139"/>
      <c r="F568" s="139"/>
      <c r="G568" s="139"/>
      <c r="H568" s="139"/>
      <c r="I568" s="139"/>
      <c r="J568" s="139"/>
      <c r="K568" s="140"/>
      <c r="L568" s="140"/>
      <c r="M568" s="140"/>
      <c r="N568" s="140"/>
      <c r="O568" s="140"/>
      <c r="P568" s="139"/>
      <c r="Q568" s="139"/>
      <c r="R568" s="139"/>
      <c r="S568" s="139"/>
      <c r="T568" s="139"/>
      <c r="U568" s="139"/>
      <c r="V568" s="139"/>
      <c r="W568" s="139"/>
      <c r="X568" s="139"/>
      <c r="Y568" s="139"/>
      <c r="Z568" s="139"/>
      <c r="AA568" s="139"/>
      <c r="AB568" s="139"/>
      <c r="AC568" s="139"/>
      <c r="AD568" s="139"/>
      <c r="AE568" s="139"/>
      <c r="AF568" s="139"/>
      <c r="AG568" s="139"/>
      <c r="AH568" s="139"/>
      <c r="AI568" s="139"/>
    </row>
    <row r="569">
      <c r="A569" s="139"/>
      <c r="B569" s="139"/>
      <c r="C569" s="139"/>
      <c r="D569" s="139"/>
      <c r="E569" s="139"/>
      <c r="F569" s="139"/>
      <c r="G569" s="139"/>
      <c r="H569" s="139"/>
      <c r="I569" s="139"/>
      <c r="J569" s="139"/>
      <c r="K569" s="140"/>
      <c r="L569" s="140"/>
      <c r="M569" s="140"/>
      <c r="N569" s="140"/>
      <c r="O569" s="140"/>
      <c r="P569" s="139"/>
      <c r="Q569" s="139"/>
      <c r="R569" s="139"/>
      <c r="S569" s="139"/>
      <c r="T569" s="139"/>
      <c r="U569" s="139"/>
      <c r="V569" s="139"/>
      <c r="W569" s="139"/>
      <c r="X569" s="139"/>
      <c r="Y569" s="139"/>
      <c r="Z569" s="139"/>
      <c r="AA569" s="139"/>
      <c r="AB569" s="139"/>
      <c r="AC569" s="139"/>
      <c r="AD569" s="139"/>
      <c r="AE569" s="139"/>
      <c r="AF569" s="139"/>
      <c r="AG569" s="139"/>
      <c r="AH569" s="139"/>
      <c r="AI569" s="139"/>
    </row>
    <row r="570">
      <c r="A570" s="139"/>
      <c r="B570" s="139"/>
      <c r="C570" s="139"/>
      <c r="D570" s="139"/>
      <c r="E570" s="139"/>
      <c r="F570" s="139"/>
      <c r="G570" s="139"/>
      <c r="H570" s="139"/>
      <c r="I570" s="139"/>
      <c r="J570" s="139"/>
      <c r="K570" s="140"/>
      <c r="L570" s="140"/>
      <c r="M570" s="140"/>
      <c r="N570" s="140"/>
      <c r="O570" s="140"/>
      <c r="P570" s="139"/>
      <c r="Q570" s="139"/>
      <c r="R570" s="139"/>
      <c r="S570" s="139"/>
      <c r="T570" s="139"/>
      <c r="U570" s="139"/>
      <c r="V570" s="139"/>
      <c r="W570" s="139"/>
      <c r="X570" s="139"/>
      <c r="Y570" s="139"/>
      <c r="Z570" s="139"/>
      <c r="AA570" s="139"/>
      <c r="AB570" s="139"/>
      <c r="AC570" s="139"/>
      <c r="AD570" s="139"/>
      <c r="AE570" s="139"/>
      <c r="AF570" s="139"/>
      <c r="AG570" s="139"/>
      <c r="AH570" s="139"/>
      <c r="AI570" s="139"/>
    </row>
    <row r="571">
      <c r="A571" s="139"/>
      <c r="B571" s="139"/>
      <c r="C571" s="139"/>
      <c r="D571" s="139"/>
      <c r="E571" s="139"/>
      <c r="F571" s="139"/>
      <c r="G571" s="139"/>
      <c r="H571" s="139"/>
      <c r="I571" s="139"/>
      <c r="J571" s="139"/>
      <c r="K571" s="140"/>
      <c r="L571" s="140"/>
      <c r="M571" s="140"/>
      <c r="N571" s="140"/>
      <c r="O571" s="140"/>
      <c r="P571" s="139"/>
      <c r="Q571" s="139"/>
      <c r="R571" s="139"/>
      <c r="S571" s="139"/>
      <c r="T571" s="139"/>
      <c r="U571" s="139"/>
      <c r="V571" s="139"/>
      <c r="W571" s="139"/>
      <c r="X571" s="139"/>
      <c r="Y571" s="139"/>
      <c r="Z571" s="139"/>
      <c r="AA571" s="139"/>
      <c r="AB571" s="139"/>
      <c r="AC571" s="139"/>
      <c r="AD571" s="139"/>
      <c r="AE571" s="139"/>
      <c r="AF571" s="139"/>
      <c r="AG571" s="139"/>
      <c r="AH571" s="139"/>
      <c r="AI571" s="139"/>
    </row>
    <row r="572">
      <c r="A572" s="139"/>
      <c r="B572" s="139"/>
      <c r="C572" s="139"/>
      <c r="D572" s="139"/>
      <c r="E572" s="139"/>
      <c r="F572" s="139"/>
      <c r="G572" s="139"/>
      <c r="H572" s="139"/>
      <c r="I572" s="139"/>
      <c r="J572" s="139"/>
      <c r="K572" s="140"/>
      <c r="L572" s="140"/>
      <c r="M572" s="140"/>
      <c r="N572" s="140"/>
      <c r="O572" s="140"/>
      <c r="P572" s="139"/>
      <c r="Q572" s="139"/>
      <c r="R572" s="139"/>
      <c r="S572" s="139"/>
      <c r="T572" s="139"/>
      <c r="U572" s="139"/>
      <c r="V572" s="139"/>
      <c r="W572" s="139"/>
      <c r="X572" s="139"/>
      <c r="Y572" s="139"/>
      <c r="Z572" s="139"/>
      <c r="AA572" s="139"/>
      <c r="AB572" s="139"/>
      <c r="AC572" s="139"/>
      <c r="AD572" s="139"/>
      <c r="AE572" s="139"/>
      <c r="AF572" s="139"/>
      <c r="AG572" s="139"/>
      <c r="AH572" s="139"/>
      <c r="AI572" s="139"/>
    </row>
    <row r="573">
      <c r="A573" s="139"/>
      <c r="B573" s="139"/>
      <c r="C573" s="139"/>
      <c r="D573" s="139"/>
      <c r="E573" s="139"/>
      <c r="F573" s="139"/>
      <c r="G573" s="139"/>
      <c r="H573" s="139"/>
      <c r="I573" s="139"/>
      <c r="J573" s="139"/>
      <c r="K573" s="140"/>
      <c r="L573" s="140"/>
      <c r="M573" s="140"/>
      <c r="N573" s="140"/>
      <c r="O573" s="140"/>
      <c r="P573" s="139"/>
      <c r="Q573" s="139"/>
      <c r="R573" s="139"/>
      <c r="S573" s="139"/>
      <c r="T573" s="139"/>
      <c r="U573" s="139"/>
      <c r="V573" s="139"/>
      <c r="W573" s="139"/>
      <c r="X573" s="139"/>
      <c r="Y573" s="139"/>
      <c r="Z573" s="139"/>
      <c r="AA573" s="139"/>
      <c r="AB573" s="139"/>
      <c r="AC573" s="139"/>
      <c r="AD573" s="139"/>
      <c r="AE573" s="139"/>
      <c r="AF573" s="139"/>
      <c r="AG573" s="139"/>
      <c r="AH573" s="139"/>
      <c r="AI573" s="139"/>
    </row>
    <row r="574">
      <c r="A574" s="139"/>
      <c r="B574" s="139"/>
      <c r="C574" s="139"/>
      <c r="D574" s="139"/>
      <c r="E574" s="139"/>
      <c r="F574" s="139"/>
      <c r="G574" s="139"/>
      <c r="H574" s="139"/>
      <c r="I574" s="139"/>
      <c r="J574" s="139"/>
      <c r="K574" s="140"/>
      <c r="L574" s="140"/>
      <c r="M574" s="140"/>
      <c r="N574" s="140"/>
      <c r="O574" s="140"/>
      <c r="P574" s="139"/>
      <c r="Q574" s="139"/>
      <c r="R574" s="139"/>
      <c r="S574" s="139"/>
      <c r="T574" s="139"/>
      <c r="U574" s="139"/>
      <c r="V574" s="139"/>
      <c r="W574" s="139"/>
      <c r="X574" s="139"/>
      <c r="Y574" s="139"/>
      <c r="Z574" s="139"/>
      <c r="AA574" s="139"/>
      <c r="AB574" s="139"/>
      <c r="AC574" s="139"/>
      <c r="AD574" s="139"/>
      <c r="AE574" s="139"/>
      <c r="AF574" s="139"/>
      <c r="AG574" s="139"/>
      <c r="AH574" s="139"/>
      <c r="AI574" s="139"/>
    </row>
    <row r="575">
      <c r="A575" s="139"/>
      <c r="B575" s="139"/>
      <c r="C575" s="139"/>
      <c r="D575" s="139"/>
      <c r="E575" s="139"/>
      <c r="F575" s="139"/>
      <c r="G575" s="139"/>
      <c r="H575" s="139"/>
      <c r="I575" s="139"/>
      <c r="J575" s="139"/>
      <c r="K575" s="140"/>
      <c r="L575" s="140"/>
      <c r="M575" s="140"/>
      <c r="N575" s="140"/>
      <c r="O575" s="140"/>
      <c r="P575" s="139"/>
      <c r="Q575" s="139"/>
      <c r="R575" s="139"/>
      <c r="S575" s="139"/>
      <c r="T575" s="139"/>
      <c r="U575" s="139"/>
      <c r="V575" s="139"/>
      <c r="W575" s="139"/>
      <c r="X575" s="139"/>
      <c r="Y575" s="139"/>
      <c r="Z575" s="139"/>
      <c r="AA575" s="139"/>
      <c r="AB575" s="139"/>
      <c r="AC575" s="139"/>
      <c r="AD575" s="139"/>
      <c r="AE575" s="139"/>
      <c r="AF575" s="139"/>
      <c r="AG575" s="139"/>
      <c r="AH575" s="139"/>
      <c r="AI575" s="139"/>
    </row>
    <row r="576">
      <c r="A576" s="139"/>
      <c r="B576" s="139"/>
      <c r="C576" s="139"/>
      <c r="D576" s="139"/>
      <c r="E576" s="139"/>
      <c r="F576" s="139"/>
      <c r="G576" s="139"/>
      <c r="H576" s="139"/>
      <c r="I576" s="139"/>
      <c r="J576" s="139"/>
      <c r="K576" s="140"/>
      <c r="L576" s="140"/>
      <c r="M576" s="140"/>
      <c r="N576" s="140"/>
      <c r="O576" s="140"/>
      <c r="P576" s="139"/>
      <c r="Q576" s="139"/>
      <c r="R576" s="139"/>
      <c r="S576" s="139"/>
      <c r="T576" s="139"/>
      <c r="U576" s="139"/>
      <c r="V576" s="139"/>
      <c r="W576" s="139"/>
      <c r="X576" s="139"/>
      <c r="Y576" s="139"/>
      <c r="Z576" s="139"/>
      <c r="AA576" s="139"/>
      <c r="AB576" s="139"/>
      <c r="AC576" s="139"/>
      <c r="AD576" s="139"/>
      <c r="AE576" s="139"/>
      <c r="AF576" s="139"/>
      <c r="AG576" s="139"/>
      <c r="AH576" s="139"/>
      <c r="AI576" s="139"/>
    </row>
    <row r="577">
      <c r="A577" s="139"/>
      <c r="B577" s="139"/>
      <c r="C577" s="139"/>
      <c r="D577" s="139"/>
      <c r="E577" s="139"/>
      <c r="F577" s="139"/>
      <c r="G577" s="139"/>
      <c r="H577" s="139"/>
      <c r="I577" s="139"/>
      <c r="J577" s="139"/>
      <c r="K577" s="140"/>
      <c r="L577" s="140"/>
      <c r="M577" s="140"/>
      <c r="N577" s="140"/>
      <c r="O577" s="140"/>
      <c r="P577" s="139"/>
      <c r="Q577" s="139"/>
      <c r="R577" s="139"/>
      <c r="S577" s="139"/>
      <c r="T577" s="139"/>
      <c r="U577" s="139"/>
      <c r="V577" s="139"/>
      <c r="W577" s="139"/>
      <c r="X577" s="139"/>
      <c r="Y577" s="139"/>
      <c r="Z577" s="139"/>
      <c r="AA577" s="139"/>
      <c r="AB577" s="139"/>
      <c r="AC577" s="139"/>
      <c r="AD577" s="139"/>
      <c r="AE577" s="139"/>
      <c r="AF577" s="139"/>
      <c r="AG577" s="139"/>
      <c r="AH577" s="139"/>
      <c r="AI577" s="139"/>
    </row>
    <row r="578">
      <c r="A578" s="139"/>
      <c r="B578" s="139"/>
      <c r="C578" s="139"/>
      <c r="D578" s="139"/>
      <c r="E578" s="139"/>
      <c r="F578" s="139"/>
      <c r="G578" s="139"/>
      <c r="H578" s="139"/>
      <c r="I578" s="139"/>
      <c r="J578" s="139"/>
      <c r="K578" s="140"/>
      <c r="L578" s="140"/>
      <c r="M578" s="140"/>
      <c r="N578" s="140"/>
      <c r="O578" s="140"/>
      <c r="P578" s="139"/>
      <c r="Q578" s="139"/>
      <c r="R578" s="139"/>
      <c r="S578" s="139"/>
      <c r="T578" s="139"/>
      <c r="U578" s="139"/>
      <c r="V578" s="139"/>
      <c r="W578" s="139"/>
      <c r="X578" s="139"/>
      <c r="Y578" s="139"/>
      <c r="Z578" s="139"/>
      <c r="AA578" s="139"/>
      <c r="AB578" s="139"/>
      <c r="AC578" s="139"/>
      <c r="AD578" s="139"/>
      <c r="AE578" s="139"/>
      <c r="AF578" s="139"/>
      <c r="AG578" s="139"/>
      <c r="AH578" s="139"/>
      <c r="AI578" s="139"/>
    </row>
    <row r="579">
      <c r="A579" s="139"/>
      <c r="B579" s="139"/>
      <c r="C579" s="139"/>
      <c r="D579" s="139"/>
      <c r="E579" s="139"/>
      <c r="F579" s="139"/>
      <c r="G579" s="139"/>
      <c r="H579" s="139"/>
      <c r="I579" s="139"/>
      <c r="J579" s="139"/>
      <c r="K579" s="140"/>
      <c r="L579" s="140"/>
      <c r="M579" s="140"/>
      <c r="N579" s="140"/>
      <c r="O579" s="140"/>
      <c r="P579" s="139"/>
      <c r="Q579" s="139"/>
      <c r="R579" s="139"/>
      <c r="S579" s="139"/>
      <c r="T579" s="139"/>
      <c r="U579" s="139"/>
      <c r="V579" s="139"/>
      <c r="W579" s="139"/>
      <c r="X579" s="139"/>
      <c r="Y579" s="139"/>
      <c r="Z579" s="139"/>
      <c r="AA579" s="139"/>
      <c r="AB579" s="139"/>
      <c r="AC579" s="139"/>
      <c r="AD579" s="139"/>
      <c r="AE579" s="139"/>
      <c r="AF579" s="139"/>
      <c r="AG579" s="139"/>
      <c r="AH579" s="139"/>
      <c r="AI579" s="139"/>
    </row>
    <row r="580">
      <c r="A580" s="139"/>
      <c r="B580" s="139"/>
      <c r="C580" s="139"/>
      <c r="D580" s="139"/>
      <c r="E580" s="139"/>
      <c r="F580" s="139"/>
      <c r="G580" s="139"/>
      <c r="H580" s="139"/>
      <c r="I580" s="139"/>
      <c r="J580" s="139"/>
      <c r="K580" s="140"/>
      <c r="L580" s="140"/>
      <c r="M580" s="140"/>
      <c r="N580" s="140"/>
      <c r="O580" s="140"/>
      <c r="P580" s="139"/>
      <c r="Q580" s="139"/>
      <c r="R580" s="139"/>
      <c r="S580" s="139"/>
      <c r="T580" s="139"/>
      <c r="U580" s="139"/>
      <c r="V580" s="139"/>
      <c r="W580" s="139"/>
      <c r="X580" s="139"/>
      <c r="Y580" s="139"/>
      <c r="Z580" s="139"/>
      <c r="AA580" s="139"/>
      <c r="AB580" s="139"/>
      <c r="AC580" s="139"/>
      <c r="AD580" s="139"/>
      <c r="AE580" s="139"/>
      <c r="AF580" s="139"/>
      <c r="AG580" s="139"/>
      <c r="AH580" s="139"/>
      <c r="AI580" s="139"/>
    </row>
    <row r="581">
      <c r="A581" s="139"/>
      <c r="B581" s="139"/>
      <c r="C581" s="139"/>
      <c r="D581" s="139"/>
      <c r="E581" s="139"/>
      <c r="F581" s="139"/>
      <c r="G581" s="139"/>
      <c r="H581" s="139"/>
      <c r="I581" s="139"/>
      <c r="J581" s="139"/>
      <c r="K581" s="140"/>
      <c r="L581" s="140"/>
      <c r="M581" s="140"/>
      <c r="N581" s="140"/>
      <c r="O581" s="140"/>
      <c r="P581" s="139"/>
      <c r="Q581" s="139"/>
      <c r="R581" s="139"/>
      <c r="S581" s="139"/>
      <c r="T581" s="139"/>
      <c r="U581" s="139"/>
      <c r="V581" s="139"/>
      <c r="W581" s="139"/>
      <c r="X581" s="139"/>
      <c r="Y581" s="139"/>
      <c r="Z581" s="139"/>
      <c r="AA581" s="139"/>
      <c r="AB581" s="139"/>
      <c r="AC581" s="139"/>
      <c r="AD581" s="139"/>
      <c r="AE581" s="139"/>
      <c r="AF581" s="139"/>
      <c r="AG581" s="139"/>
      <c r="AH581" s="139"/>
      <c r="AI581" s="139"/>
    </row>
    <row r="582">
      <c r="A582" s="139"/>
      <c r="B582" s="139"/>
      <c r="C582" s="139"/>
      <c r="D582" s="139"/>
      <c r="E582" s="139"/>
      <c r="F582" s="139"/>
      <c r="G582" s="139"/>
      <c r="H582" s="139"/>
      <c r="I582" s="139"/>
      <c r="J582" s="139"/>
      <c r="K582" s="140"/>
      <c r="L582" s="140"/>
      <c r="M582" s="140"/>
      <c r="N582" s="140"/>
      <c r="O582" s="140"/>
      <c r="P582" s="139"/>
      <c r="Q582" s="139"/>
      <c r="R582" s="139"/>
      <c r="S582" s="139"/>
      <c r="T582" s="139"/>
      <c r="U582" s="139"/>
      <c r="V582" s="139"/>
      <c r="W582" s="139"/>
      <c r="X582" s="139"/>
      <c r="Y582" s="139"/>
      <c r="Z582" s="139"/>
      <c r="AA582" s="139"/>
      <c r="AB582" s="139"/>
      <c r="AC582" s="139"/>
      <c r="AD582" s="139"/>
      <c r="AE582" s="139"/>
      <c r="AF582" s="139"/>
      <c r="AG582" s="139"/>
      <c r="AH582" s="139"/>
      <c r="AI582" s="139"/>
    </row>
    <row r="583">
      <c r="A583" s="139"/>
      <c r="B583" s="139"/>
      <c r="C583" s="139"/>
      <c r="D583" s="139"/>
      <c r="E583" s="139"/>
      <c r="F583" s="139"/>
      <c r="G583" s="139"/>
      <c r="H583" s="139"/>
      <c r="I583" s="139"/>
      <c r="J583" s="139"/>
      <c r="K583" s="140"/>
      <c r="L583" s="140"/>
      <c r="M583" s="140"/>
      <c r="N583" s="140"/>
      <c r="O583" s="140"/>
      <c r="P583" s="139"/>
      <c r="Q583" s="139"/>
      <c r="R583" s="139"/>
      <c r="S583" s="139"/>
      <c r="T583" s="139"/>
      <c r="U583" s="139"/>
      <c r="V583" s="139"/>
      <c r="W583" s="139"/>
      <c r="X583" s="139"/>
      <c r="Y583" s="139"/>
      <c r="Z583" s="139"/>
      <c r="AA583" s="139"/>
      <c r="AB583" s="139"/>
      <c r="AC583" s="139"/>
      <c r="AD583" s="139"/>
      <c r="AE583" s="139"/>
      <c r="AF583" s="139"/>
      <c r="AG583" s="139"/>
      <c r="AH583" s="139"/>
      <c r="AI583" s="139"/>
    </row>
    <row r="584">
      <c r="A584" s="139"/>
      <c r="B584" s="139"/>
      <c r="C584" s="139"/>
      <c r="D584" s="139"/>
      <c r="E584" s="139"/>
      <c r="F584" s="139"/>
      <c r="G584" s="139"/>
      <c r="H584" s="139"/>
      <c r="I584" s="139"/>
      <c r="J584" s="139"/>
      <c r="K584" s="140"/>
      <c r="L584" s="140"/>
      <c r="M584" s="140"/>
      <c r="N584" s="140"/>
      <c r="O584" s="140"/>
      <c r="P584" s="139"/>
      <c r="Q584" s="139"/>
      <c r="R584" s="139"/>
      <c r="S584" s="139"/>
      <c r="T584" s="139"/>
      <c r="U584" s="139"/>
      <c r="V584" s="139"/>
      <c r="W584" s="139"/>
      <c r="X584" s="139"/>
      <c r="Y584" s="139"/>
      <c r="Z584" s="139"/>
      <c r="AA584" s="139"/>
      <c r="AB584" s="139"/>
      <c r="AC584" s="139"/>
      <c r="AD584" s="139"/>
      <c r="AE584" s="139"/>
      <c r="AF584" s="139"/>
      <c r="AG584" s="139"/>
      <c r="AH584" s="139"/>
      <c r="AI584" s="139"/>
    </row>
    <row r="585">
      <c r="A585" s="139"/>
      <c r="B585" s="139"/>
      <c r="C585" s="139"/>
      <c r="D585" s="139"/>
      <c r="E585" s="139"/>
      <c r="F585" s="139"/>
      <c r="G585" s="139"/>
      <c r="H585" s="139"/>
      <c r="I585" s="139"/>
      <c r="J585" s="139"/>
      <c r="K585" s="140"/>
      <c r="L585" s="140"/>
      <c r="M585" s="140"/>
      <c r="N585" s="140"/>
      <c r="O585" s="140"/>
      <c r="P585" s="139"/>
      <c r="Q585" s="139"/>
      <c r="R585" s="139"/>
      <c r="S585" s="139"/>
      <c r="T585" s="139"/>
      <c r="U585" s="139"/>
      <c r="V585" s="139"/>
      <c r="W585" s="139"/>
      <c r="X585" s="139"/>
      <c r="Y585" s="139"/>
      <c r="Z585" s="139"/>
      <c r="AA585" s="139"/>
      <c r="AB585" s="139"/>
      <c r="AC585" s="139"/>
      <c r="AD585" s="139"/>
      <c r="AE585" s="139"/>
      <c r="AF585" s="139"/>
      <c r="AG585" s="139"/>
      <c r="AH585" s="139"/>
      <c r="AI585" s="139"/>
    </row>
    <row r="586">
      <c r="A586" s="139"/>
      <c r="B586" s="139"/>
      <c r="C586" s="139"/>
      <c r="D586" s="139"/>
      <c r="E586" s="139"/>
      <c r="F586" s="139"/>
      <c r="G586" s="139"/>
      <c r="H586" s="139"/>
      <c r="I586" s="139"/>
      <c r="J586" s="139"/>
      <c r="K586" s="140"/>
      <c r="L586" s="140"/>
      <c r="M586" s="140"/>
      <c r="N586" s="140"/>
      <c r="O586" s="140"/>
      <c r="P586" s="139"/>
      <c r="Q586" s="139"/>
      <c r="R586" s="139"/>
      <c r="S586" s="139"/>
      <c r="T586" s="139"/>
      <c r="U586" s="139"/>
      <c r="V586" s="139"/>
      <c r="W586" s="139"/>
      <c r="X586" s="139"/>
      <c r="Y586" s="139"/>
      <c r="Z586" s="139"/>
      <c r="AA586" s="139"/>
      <c r="AB586" s="139"/>
      <c r="AC586" s="139"/>
      <c r="AD586" s="139"/>
      <c r="AE586" s="139"/>
      <c r="AF586" s="139"/>
      <c r="AG586" s="139"/>
      <c r="AH586" s="139"/>
      <c r="AI586" s="139"/>
    </row>
    <row r="587">
      <c r="A587" s="139"/>
      <c r="B587" s="139"/>
      <c r="C587" s="139"/>
      <c r="D587" s="139"/>
      <c r="E587" s="139"/>
      <c r="F587" s="139"/>
      <c r="G587" s="139"/>
      <c r="H587" s="139"/>
      <c r="I587" s="139"/>
      <c r="J587" s="139"/>
      <c r="K587" s="140"/>
      <c r="L587" s="140"/>
      <c r="M587" s="140"/>
      <c r="N587" s="140"/>
      <c r="O587" s="140"/>
      <c r="P587" s="139"/>
      <c r="Q587" s="139"/>
      <c r="R587" s="139"/>
      <c r="S587" s="139"/>
      <c r="T587" s="139"/>
      <c r="U587" s="139"/>
      <c r="V587" s="139"/>
      <c r="W587" s="139"/>
      <c r="X587" s="139"/>
      <c r="Y587" s="139"/>
      <c r="Z587" s="139"/>
      <c r="AA587" s="139"/>
      <c r="AB587" s="139"/>
      <c r="AC587" s="139"/>
      <c r="AD587" s="139"/>
      <c r="AE587" s="139"/>
      <c r="AF587" s="139"/>
      <c r="AG587" s="139"/>
      <c r="AH587" s="139"/>
      <c r="AI587" s="139"/>
    </row>
    <row r="588">
      <c r="A588" s="139"/>
      <c r="B588" s="139"/>
      <c r="C588" s="139"/>
      <c r="D588" s="139"/>
      <c r="E588" s="139"/>
      <c r="F588" s="139"/>
      <c r="G588" s="139"/>
      <c r="H588" s="139"/>
      <c r="I588" s="139"/>
      <c r="J588" s="139"/>
      <c r="K588" s="140"/>
      <c r="L588" s="140"/>
      <c r="M588" s="140"/>
      <c r="N588" s="140"/>
      <c r="O588" s="140"/>
      <c r="P588" s="139"/>
      <c r="Q588" s="139"/>
      <c r="R588" s="139"/>
      <c r="S588" s="139"/>
      <c r="T588" s="139"/>
      <c r="U588" s="139"/>
      <c r="V588" s="139"/>
      <c r="W588" s="139"/>
      <c r="X588" s="139"/>
      <c r="Y588" s="139"/>
      <c r="Z588" s="139"/>
      <c r="AA588" s="139"/>
      <c r="AB588" s="139"/>
      <c r="AC588" s="139"/>
      <c r="AD588" s="139"/>
      <c r="AE588" s="139"/>
      <c r="AF588" s="139"/>
      <c r="AG588" s="139"/>
      <c r="AH588" s="139"/>
      <c r="AI588" s="139"/>
    </row>
    <row r="589">
      <c r="A589" s="139"/>
      <c r="B589" s="139"/>
      <c r="C589" s="139"/>
      <c r="D589" s="139"/>
      <c r="E589" s="139"/>
      <c r="F589" s="139"/>
      <c r="G589" s="139"/>
      <c r="H589" s="139"/>
      <c r="I589" s="139"/>
      <c r="J589" s="139"/>
      <c r="K589" s="140"/>
      <c r="L589" s="140"/>
      <c r="M589" s="140"/>
      <c r="N589" s="140"/>
      <c r="O589" s="140"/>
      <c r="P589" s="139"/>
      <c r="Q589" s="139"/>
      <c r="R589" s="139"/>
      <c r="S589" s="139"/>
      <c r="T589" s="139"/>
      <c r="U589" s="139"/>
      <c r="V589" s="139"/>
      <c r="W589" s="139"/>
      <c r="X589" s="139"/>
      <c r="Y589" s="139"/>
      <c r="Z589" s="139"/>
      <c r="AA589" s="139"/>
      <c r="AB589" s="139"/>
      <c r="AC589" s="139"/>
      <c r="AD589" s="139"/>
      <c r="AE589" s="139"/>
      <c r="AF589" s="139"/>
      <c r="AG589" s="139"/>
      <c r="AH589" s="139"/>
      <c r="AI589" s="139"/>
    </row>
    <row r="590">
      <c r="A590" s="139"/>
      <c r="B590" s="139"/>
      <c r="C590" s="139"/>
      <c r="D590" s="139"/>
      <c r="E590" s="139"/>
      <c r="F590" s="139"/>
      <c r="G590" s="139"/>
      <c r="H590" s="139"/>
      <c r="I590" s="139"/>
      <c r="J590" s="139"/>
      <c r="K590" s="140"/>
      <c r="L590" s="140"/>
      <c r="M590" s="140"/>
      <c r="N590" s="140"/>
      <c r="O590" s="140"/>
      <c r="P590" s="139"/>
      <c r="Q590" s="139"/>
      <c r="R590" s="139"/>
      <c r="S590" s="139"/>
      <c r="T590" s="139"/>
      <c r="U590" s="139"/>
      <c r="V590" s="139"/>
      <c r="W590" s="139"/>
      <c r="X590" s="139"/>
      <c r="Y590" s="139"/>
      <c r="Z590" s="139"/>
      <c r="AA590" s="139"/>
      <c r="AB590" s="139"/>
      <c r="AC590" s="139"/>
      <c r="AD590" s="139"/>
      <c r="AE590" s="139"/>
      <c r="AF590" s="139"/>
      <c r="AG590" s="139"/>
      <c r="AH590" s="139"/>
      <c r="AI590" s="139"/>
    </row>
    <row r="591">
      <c r="A591" s="139"/>
      <c r="B591" s="139"/>
      <c r="C591" s="139"/>
      <c r="D591" s="139"/>
      <c r="E591" s="139"/>
      <c r="F591" s="139"/>
      <c r="G591" s="139"/>
      <c r="H591" s="139"/>
      <c r="I591" s="139"/>
      <c r="J591" s="139"/>
      <c r="K591" s="140"/>
      <c r="L591" s="140"/>
      <c r="M591" s="140"/>
      <c r="N591" s="140"/>
      <c r="O591" s="140"/>
      <c r="P591" s="139"/>
      <c r="Q591" s="139"/>
      <c r="R591" s="139"/>
      <c r="S591" s="139"/>
      <c r="T591" s="139"/>
      <c r="U591" s="139"/>
      <c r="V591" s="139"/>
      <c r="W591" s="139"/>
      <c r="X591" s="139"/>
      <c r="Y591" s="139"/>
      <c r="Z591" s="139"/>
      <c r="AA591" s="139"/>
      <c r="AB591" s="139"/>
      <c r="AC591" s="139"/>
      <c r="AD591" s="139"/>
      <c r="AE591" s="139"/>
      <c r="AF591" s="139"/>
      <c r="AG591" s="139"/>
      <c r="AH591" s="139"/>
      <c r="AI591" s="139"/>
    </row>
    <row r="592">
      <c r="A592" s="139"/>
      <c r="B592" s="139"/>
      <c r="C592" s="139"/>
      <c r="D592" s="139"/>
      <c r="E592" s="139"/>
      <c r="F592" s="139"/>
      <c r="G592" s="139"/>
      <c r="H592" s="139"/>
      <c r="I592" s="139"/>
      <c r="J592" s="139"/>
      <c r="K592" s="140"/>
      <c r="L592" s="140"/>
      <c r="M592" s="140"/>
      <c r="N592" s="140"/>
      <c r="O592" s="140"/>
      <c r="P592" s="139"/>
      <c r="Q592" s="139"/>
      <c r="R592" s="139"/>
      <c r="S592" s="139"/>
      <c r="T592" s="139"/>
      <c r="U592" s="139"/>
      <c r="V592" s="139"/>
      <c r="W592" s="139"/>
      <c r="X592" s="139"/>
      <c r="Y592" s="139"/>
      <c r="Z592" s="139"/>
      <c r="AA592" s="139"/>
      <c r="AB592" s="139"/>
      <c r="AC592" s="139"/>
      <c r="AD592" s="139"/>
      <c r="AE592" s="139"/>
      <c r="AF592" s="139"/>
      <c r="AG592" s="139"/>
      <c r="AH592" s="139"/>
      <c r="AI592" s="139"/>
    </row>
    <row r="593">
      <c r="A593" s="139"/>
      <c r="B593" s="139"/>
      <c r="C593" s="139"/>
      <c r="D593" s="139"/>
      <c r="E593" s="139"/>
      <c r="F593" s="139"/>
      <c r="G593" s="139"/>
      <c r="H593" s="139"/>
      <c r="I593" s="139"/>
      <c r="J593" s="139"/>
      <c r="K593" s="140"/>
      <c r="L593" s="140"/>
      <c r="M593" s="140"/>
      <c r="N593" s="140"/>
      <c r="O593" s="140"/>
      <c r="P593" s="139"/>
      <c r="Q593" s="139"/>
      <c r="R593" s="139"/>
      <c r="S593" s="139"/>
      <c r="T593" s="139"/>
      <c r="U593" s="139"/>
      <c r="V593" s="139"/>
      <c r="W593" s="139"/>
      <c r="X593" s="139"/>
      <c r="Y593" s="139"/>
      <c r="Z593" s="139"/>
      <c r="AA593" s="139"/>
      <c r="AB593" s="139"/>
      <c r="AC593" s="139"/>
      <c r="AD593" s="139"/>
      <c r="AE593" s="139"/>
      <c r="AF593" s="139"/>
      <c r="AG593" s="139"/>
      <c r="AH593" s="139"/>
      <c r="AI593" s="139"/>
    </row>
    <row r="594">
      <c r="A594" s="139"/>
      <c r="B594" s="139"/>
      <c r="C594" s="139"/>
      <c r="D594" s="139"/>
      <c r="E594" s="139"/>
      <c r="F594" s="139"/>
      <c r="G594" s="139"/>
      <c r="H594" s="139"/>
      <c r="I594" s="139"/>
      <c r="J594" s="139"/>
      <c r="K594" s="140"/>
      <c r="L594" s="140"/>
      <c r="M594" s="140"/>
      <c r="N594" s="140"/>
      <c r="O594" s="140"/>
      <c r="P594" s="139"/>
      <c r="Q594" s="139"/>
      <c r="R594" s="139"/>
      <c r="S594" s="139"/>
      <c r="T594" s="139"/>
      <c r="U594" s="139"/>
      <c r="V594" s="139"/>
      <c r="W594" s="139"/>
      <c r="X594" s="139"/>
      <c r="Y594" s="139"/>
      <c r="Z594" s="139"/>
      <c r="AA594" s="139"/>
      <c r="AB594" s="139"/>
      <c r="AC594" s="139"/>
      <c r="AD594" s="139"/>
      <c r="AE594" s="139"/>
      <c r="AF594" s="139"/>
      <c r="AG594" s="139"/>
      <c r="AH594" s="139"/>
      <c r="AI594" s="139"/>
    </row>
    <row r="595">
      <c r="A595" s="139"/>
      <c r="B595" s="139"/>
      <c r="C595" s="139"/>
      <c r="D595" s="139"/>
      <c r="E595" s="139"/>
      <c r="F595" s="139"/>
      <c r="G595" s="139"/>
      <c r="H595" s="139"/>
      <c r="I595" s="139"/>
      <c r="J595" s="139"/>
      <c r="K595" s="140"/>
      <c r="L595" s="140"/>
      <c r="M595" s="140"/>
      <c r="N595" s="140"/>
      <c r="O595" s="140"/>
      <c r="P595" s="139"/>
      <c r="Q595" s="139"/>
      <c r="R595" s="139"/>
      <c r="S595" s="139"/>
      <c r="T595" s="139"/>
      <c r="U595" s="139"/>
      <c r="V595" s="139"/>
      <c r="W595" s="139"/>
      <c r="X595" s="139"/>
      <c r="Y595" s="139"/>
      <c r="Z595" s="139"/>
      <c r="AA595" s="139"/>
      <c r="AB595" s="139"/>
      <c r="AC595" s="139"/>
      <c r="AD595" s="139"/>
      <c r="AE595" s="139"/>
      <c r="AF595" s="139"/>
      <c r="AG595" s="139"/>
      <c r="AH595" s="139"/>
      <c r="AI595" s="139"/>
    </row>
    <row r="596">
      <c r="A596" s="139"/>
      <c r="B596" s="139"/>
      <c r="C596" s="139"/>
      <c r="D596" s="139"/>
      <c r="E596" s="139"/>
      <c r="F596" s="139"/>
      <c r="G596" s="139"/>
      <c r="H596" s="139"/>
      <c r="I596" s="139"/>
      <c r="J596" s="139"/>
      <c r="K596" s="140"/>
      <c r="L596" s="140"/>
      <c r="M596" s="140"/>
      <c r="N596" s="140"/>
      <c r="O596" s="140"/>
      <c r="P596" s="139"/>
      <c r="Q596" s="139"/>
      <c r="R596" s="139"/>
      <c r="S596" s="139"/>
      <c r="T596" s="139"/>
      <c r="U596" s="139"/>
      <c r="V596" s="139"/>
      <c r="W596" s="139"/>
      <c r="X596" s="139"/>
      <c r="Y596" s="139"/>
      <c r="Z596" s="139"/>
      <c r="AA596" s="139"/>
      <c r="AB596" s="139"/>
      <c r="AC596" s="139"/>
      <c r="AD596" s="139"/>
      <c r="AE596" s="139"/>
      <c r="AF596" s="139"/>
      <c r="AG596" s="139"/>
      <c r="AH596" s="139"/>
      <c r="AI596" s="139"/>
    </row>
    <row r="597">
      <c r="A597" s="139"/>
      <c r="B597" s="139"/>
      <c r="C597" s="139"/>
      <c r="D597" s="139"/>
      <c r="E597" s="139"/>
      <c r="F597" s="139"/>
      <c r="G597" s="139"/>
      <c r="H597" s="139"/>
      <c r="I597" s="139"/>
      <c r="J597" s="139"/>
      <c r="K597" s="140"/>
      <c r="L597" s="140"/>
      <c r="M597" s="140"/>
      <c r="N597" s="140"/>
      <c r="O597" s="140"/>
      <c r="P597" s="139"/>
      <c r="Q597" s="139"/>
      <c r="R597" s="139"/>
      <c r="S597" s="139"/>
      <c r="T597" s="139"/>
      <c r="U597" s="139"/>
      <c r="V597" s="139"/>
      <c r="W597" s="139"/>
      <c r="X597" s="139"/>
      <c r="Y597" s="139"/>
      <c r="Z597" s="139"/>
      <c r="AA597" s="139"/>
      <c r="AB597" s="139"/>
      <c r="AC597" s="139"/>
      <c r="AD597" s="139"/>
      <c r="AE597" s="139"/>
      <c r="AF597" s="139"/>
      <c r="AG597" s="139"/>
      <c r="AH597" s="139"/>
      <c r="AI597" s="139"/>
    </row>
    <row r="598">
      <c r="A598" s="139"/>
      <c r="B598" s="139"/>
      <c r="C598" s="139"/>
      <c r="D598" s="139"/>
      <c r="E598" s="139"/>
      <c r="F598" s="139"/>
      <c r="G598" s="139"/>
      <c r="H598" s="139"/>
      <c r="I598" s="139"/>
      <c r="J598" s="139"/>
      <c r="K598" s="140"/>
      <c r="L598" s="140"/>
      <c r="M598" s="140"/>
      <c r="N598" s="140"/>
      <c r="O598" s="140"/>
      <c r="P598" s="139"/>
      <c r="Q598" s="139"/>
      <c r="R598" s="139"/>
      <c r="S598" s="139"/>
      <c r="T598" s="139"/>
      <c r="U598" s="139"/>
      <c r="V598" s="139"/>
      <c r="W598" s="139"/>
      <c r="X598" s="139"/>
      <c r="Y598" s="139"/>
      <c r="Z598" s="139"/>
      <c r="AA598" s="139"/>
      <c r="AB598" s="139"/>
      <c r="AC598" s="139"/>
      <c r="AD598" s="139"/>
      <c r="AE598" s="139"/>
      <c r="AF598" s="139"/>
      <c r="AG598" s="139"/>
      <c r="AH598" s="139"/>
      <c r="AI598" s="139"/>
    </row>
    <row r="599">
      <c r="A599" s="139"/>
      <c r="B599" s="139"/>
      <c r="C599" s="139"/>
      <c r="D599" s="139"/>
      <c r="E599" s="139"/>
      <c r="F599" s="139"/>
      <c r="G599" s="139"/>
      <c r="H599" s="139"/>
      <c r="I599" s="139"/>
      <c r="J599" s="139"/>
      <c r="K599" s="140"/>
      <c r="L599" s="140"/>
      <c r="M599" s="140"/>
      <c r="N599" s="140"/>
      <c r="O599" s="140"/>
      <c r="P599" s="139"/>
      <c r="Q599" s="139"/>
      <c r="R599" s="139"/>
      <c r="S599" s="139"/>
      <c r="T599" s="139"/>
      <c r="U599" s="139"/>
      <c r="V599" s="139"/>
      <c r="W599" s="139"/>
      <c r="X599" s="139"/>
      <c r="Y599" s="139"/>
      <c r="Z599" s="139"/>
      <c r="AA599" s="139"/>
      <c r="AB599" s="139"/>
      <c r="AC599" s="139"/>
      <c r="AD599" s="139"/>
      <c r="AE599" s="139"/>
      <c r="AF599" s="139"/>
      <c r="AG599" s="139"/>
      <c r="AH599" s="139"/>
      <c r="AI599" s="139"/>
    </row>
    <row r="600">
      <c r="A600" s="139"/>
      <c r="B600" s="139"/>
      <c r="C600" s="139"/>
      <c r="D600" s="139"/>
      <c r="E600" s="139"/>
      <c r="F600" s="139"/>
      <c r="G600" s="139"/>
      <c r="H600" s="139"/>
      <c r="I600" s="139"/>
      <c r="J600" s="139"/>
      <c r="K600" s="140"/>
      <c r="L600" s="140"/>
      <c r="M600" s="140"/>
      <c r="N600" s="140"/>
      <c r="O600" s="140"/>
      <c r="P600" s="139"/>
      <c r="Q600" s="139"/>
      <c r="R600" s="139"/>
      <c r="S600" s="139"/>
      <c r="T600" s="139"/>
      <c r="U600" s="139"/>
      <c r="V600" s="139"/>
      <c r="W600" s="139"/>
      <c r="X600" s="139"/>
      <c r="Y600" s="139"/>
      <c r="Z600" s="139"/>
      <c r="AA600" s="139"/>
      <c r="AB600" s="139"/>
      <c r="AC600" s="139"/>
      <c r="AD600" s="139"/>
      <c r="AE600" s="139"/>
      <c r="AF600" s="139"/>
      <c r="AG600" s="139"/>
      <c r="AH600" s="139"/>
      <c r="AI600" s="139"/>
    </row>
    <row r="601">
      <c r="A601" s="139"/>
      <c r="B601" s="139"/>
      <c r="C601" s="139"/>
      <c r="D601" s="139"/>
      <c r="E601" s="139"/>
      <c r="F601" s="139"/>
      <c r="G601" s="139"/>
      <c r="H601" s="139"/>
      <c r="I601" s="139"/>
      <c r="J601" s="139"/>
      <c r="K601" s="140"/>
      <c r="L601" s="140"/>
      <c r="M601" s="140"/>
      <c r="N601" s="140"/>
      <c r="O601" s="140"/>
      <c r="P601" s="139"/>
      <c r="Q601" s="139"/>
      <c r="R601" s="139"/>
      <c r="S601" s="139"/>
      <c r="T601" s="139"/>
      <c r="U601" s="139"/>
      <c r="V601" s="139"/>
      <c r="W601" s="139"/>
      <c r="X601" s="139"/>
      <c r="Y601" s="139"/>
      <c r="Z601" s="139"/>
      <c r="AA601" s="139"/>
      <c r="AB601" s="139"/>
      <c r="AC601" s="139"/>
      <c r="AD601" s="139"/>
      <c r="AE601" s="139"/>
      <c r="AF601" s="139"/>
      <c r="AG601" s="139"/>
      <c r="AH601" s="139"/>
      <c r="AI601" s="139"/>
    </row>
    <row r="602">
      <c r="A602" s="139"/>
      <c r="B602" s="139"/>
      <c r="C602" s="139"/>
      <c r="D602" s="139"/>
      <c r="E602" s="139"/>
      <c r="F602" s="139"/>
      <c r="G602" s="139"/>
      <c r="H602" s="139"/>
      <c r="I602" s="139"/>
      <c r="J602" s="139"/>
      <c r="K602" s="140"/>
      <c r="L602" s="140"/>
      <c r="M602" s="140"/>
      <c r="N602" s="140"/>
      <c r="O602" s="140"/>
      <c r="P602" s="139"/>
      <c r="Q602" s="139"/>
      <c r="R602" s="139"/>
      <c r="S602" s="139"/>
      <c r="T602" s="139"/>
      <c r="U602" s="139"/>
      <c r="V602" s="139"/>
      <c r="W602" s="139"/>
      <c r="X602" s="139"/>
      <c r="Y602" s="139"/>
      <c r="Z602" s="139"/>
      <c r="AA602" s="139"/>
      <c r="AB602" s="139"/>
      <c r="AC602" s="139"/>
      <c r="AD602" s="139"/>
      <c r="AE602" s="139"/>
      <c r="AF602" s="139"/>
      <c r="AG602" s="139"/>
      <c r="AH602" s="139"/>
      <c r="AI602" s="139"/>
    </row>
    <row r="603">
      <c r="A603" s="139"/>
      <c r="B603" s="139"/>
      <c r="C603" s="139"/>
      <c r="D603" s="139"/>
      <c r="E603" s="139"/>
      <c r="F603" s="139"/>
      <c r="G603" s="139"/>
      <c r="H603" s="139"/>
      <c r="I603" s="139"/>
      <c r="J603" s="139"/>
      <c r="K603" s="140"/>
      <c r="L603" s="140"/>
      <c r="M603" s="140"/>
      <c r="N603" s="140"/>
      <c r="O603" s="140"/>
      <c r="P603" s="139"/>
      <c r="Q603" s="139"/>
      <c r="R603" s="139"/>
      <c r="S603" s="139"/>
      <c r="T603" s="139"/>
      <c r="U603" s="139"/>
      <c r="V603" s="139"/>
      <c r="W603" s="139"/>
      <c r="X603" s="139"/>
      <c r="Y603" s="139"/>
      <c r="Z603" s="139"/>
      <c r="AA603" s="139"/>
      <c r="AB603" s="139"/>
      <c r="AC603" s="139"/>
      <c r="AD603" s="139"/>
      <c r="AE603" s="139"/>
      <c r="AF603" s="139"/>
      <c r="AG603" s="139"/>
      <c r="AH603" s="139"/>
      <c r="AI603" s="139"/>
    </row>
    <row r="604">
      <c r="A604" s="139"/>
      <c r="B604" s="139"/>
      <c r="C604" s="139"/>
      <c r="D604" s="139"/>
      <c r="E604" s="139"/>
      <c r="F604" s="139"/>
      <c r="G604" s="139"/>
      <c r="H604" s="139"/>
      <c r="I604" s="139"/>
      <c r="J604" s="139"/>
      <c r="K604" s="140"/>
      <c r="L604" s="140"/>
      <c r="M604" s="140"/>
      <c r="N604" s="140"/>
      <c r="O604" s="140"/>
      <c r="P604" s="139"/>
      <c r="Q604" s="139"/>
      <c r="R604" s="139"/>
      <c r="S604" s="139"/>
      <c r="T604" s="139"/>
      <c r="U604" s="139"/>
      <c r="V604" s="139"/>
      <c r="W604" s="139"/>
      <c r="X604" s="139"/>
      <c r="Y604" s="139"/>
      <c r="Z604" s="139"/>
      <c r="AA604" s="139"/>
      <c r="AB604" s="139"/>
      <c r="AC604" s="139"/>
      <c r="AD604" s="139"/>
      <c r="AE604" s="139"/>
      <c r="AF604" s="139"/>
      <c r="AG604" s="139"/>
      <c r="AH604" s="139"/>
      <c r="AI604" s="139"/>
    </row>
    <row r="605">
      <c r="A605" s="139"/>
      <c r="B605" s="139"/>
      <c r="C605" s="139"/>
      <c r="D605" s="139"/>
      <c r="E605" s="139"/>
      <c r="F605" s="139"/>
      <c r="G605" s="139"/>
      <c r="H605" s="139"/>
      <c r="I605" s="139"/>
      <c r="J605" s="139"/>
      <c r="K605" s="140"/>
      <c r="L605" s="140"/>
      <c r="M605" s="140"/>
      <c r="N605" s="140"/>
      <c r="O605" s="140"/>
      <c r="P605" s="139"/>
      <c r="Q605" s="139"/>
      <c r="R605" s="139"/>
      <c r="S605" s="139"/>
      <c r="T605" s="139"/>
      <c r="U605" s="139"/>
      <c r="V605" s="139"/>
      <c r="W605" s="139"/>
      <c r="X605" s="139"/>
      <c r="Y605" s="139"/>
      <c r="Z605" s="139"/>
      <c r="AA605" s="139"/>
      <c r="AB605" s="139"/>
      <c r="AC605" s="139"/>
      <c r="AD605" s="139"/>
      <c r="AE605" s="139"/>
      <c r="AF605" s="139"/>
      <c r="AG605" s="139"/>
      <c r="AH605" s="139"/>
      <c r="AI605" s="139"/>
    </row>
    <row r="606">
      <c r="A606" s="139"/>
      <c r="B606" s="139"/>
      <c r="C606" s="139"/>
      <c r="D606" s="139"/>
      <c r="E606" s="139"/>
      <c r="F606" s="139"/>
      <c r="G606" s="139"/>
      <c r="H606" s="139"/>
      <c r="I606" s="139"/>
      <c r="J606" s="139"/>
      <c r="K606" s="140"/>
      <c r="L606" s="140"/>
      <c r="M606" s="140"/>
      <c r="N606" s="140"/>
      <c r="O606" s="140"/>
      <c r="P606" s="139"/>
      <c r="Q606" s="139"/>
      <c r="R606" s="139"/>
      <c r="S606" s="139"/>
      <c r="T606" s="139"/>
      <c r="U606" s="139"/>
      <c r="V606" s="139"/>
      <c r="W606" s="139"/>
      <c r="X606" s="139"/>
      <c r="Y606" s="139"/>
      <c r="Z606" s="139"/>
      <c r="AA606" s="139"/>
      <c r="AB606" s="139"/>
      <c r="AC606" s="139"/>
      <c r="AD606" s="139"/>
      <c r="AE606" s="139"/>
      <c r="AF606" s="139"/>
      <c r="AG606" s="139"/>
      <c r="AH606" s="139"/>
      <c r="AI606" s="139"/>
    </row>
    <row r="607">
      <c r="A607" s="139"/>
      <c r="B607" s="139"/>
      <c r="C607" s="139"/>
      <c r="D607" s="139"/>
      <c r="E607" s="139"/>
      <c r="F607" s="139"/>
      <c r="G607" s="139"/>
      <c r="H607" s="139"/>
      <c r="I607" s="139"/>
      <c r="J607" s="139"/>
      <c r="K607" s="140"/>
      <c r="L607" s="140"/>
      <c r="M607" s="140"/>
      <c r="N607" s="140"/>
      <c r="O607" s="140"/>
      <c r="P607" s="139"/>
      <c r="Q607" s="139"/>
      <c r="R607" s="139"/>
      <c r="S607" s="139"/>
      <c r="T607" s="139"/>
      <c r="U607" s="139"/>
      <c r="V607" s="139"/>
      <c r="W607" s="139"/>
      <c r="X607" s="139"/>
      <c r="Y607" s="139"/>
      <c r="Z607" s="139"/>
      <c r="AA607" s="139"/>
      <c r="AB607" s="139"/>
      <c r="AC607" s="139"/>
      <c r="AD607" s="139"/>
      <c r="AE607" s="139"/>
      <c r="AF607" s="139"/>
      <c r="AG607" s="139"/>
      <c r="AH607" s="139"/>
      <c r="AI607" s="139"/>
    </row>
    <row r="608">
      <c r="A608" s="139"/>
      <c r="B608" s="139"/>
      <c r="C608" s="139"/>
      <c r="D608" s="139"/>
      <c r="E608" s="139"/>
      <c r="F608" s="139"/>
      <c r="G608" s="139"/>
      <c r="H608" s="139"/>
      <c r="I608" s="139"/>
      <c r="J608" s="139"/>
      <c r="K608" s="140"/>
      <c r="L608" s="140"/>
      <c r="M608" s="140"/>
      <c r="N608" s="140"/>
      <c r="O608" s="140"/>
      <c r="P608" s="139"/>
      <c r="Q608" s="139"/>
      <c r="R608" s="139"/>
      <c r="S608" s="139"/>
      <c r="T608" s="139"/>
      <c r="U608" s="139"/>
      <c r="V608" s="139"/>
      <c r="W608" s="139"/>
      <c r="X608" s="139"/>
      <c r="Y608" s="139"/>
      <c r="Z608" s="139"/>
      <c r="AA608" s="139"/>
      <c r="AB608" s="139"/>
      <c r="AC608" s="139"/>
      <c r="AD608" s="139"/>
      <c r="AE608" s="139"/>
      <c r="AF608" s="139"/>
      <c r="AG608" s="139"/>
      <c r="AH608" s="139"/>
      <c r="AI608" s="139"/>
    </row>
    <row r="609">
      <c r="A609" s="139"/>
      <c r="B609" s="139"/>
      <c r="C609" s="139"/>
      <c r="D609" s="139"/>
      <c r="E609" s="139"/>
      <c r="F609" s="139"/>
      <c r="G609" s="139"/>
      <c r="H609" s="139"/>
      <c r="I609" s="139"/>
      <c r="J609" s="139"/>
      <c r="K609" s="140"/>
      <c r="L609" s="140"/>
      <c r="M609" s="140"/>
      <c r="N609" s="140"/>
      <c r="O609" s="140"/>
      <c r="P609" s="139"/>
      <c r="Q609" s="139"/>
      <c r="R609" s="139"/>
      <c r="S609" s="139"/>
      <c r="T609" s="139"/>
      <c r="U609" s="139"/>
      <c r="V609" s="139"/>
      <c r="W609" s="139"/>
      <c r="X609" s="139"/>
      <c r="Y609" s="139"/>
      <c r="Z609" s="139"/>
      <c r="AA609" s="139"/>
      <c r="AB609" s="139"/>
      <c r="AC609" s="139"/>
      <c r="AD609" s="139"/>
      <c r="AE609" s="139"/>
      <c r="AF609" s="139"/>
      <c r="AG609" s="139"/>
      <c r="AH609" s="139"/>
      <c r="AI609" s="139"/>
    </row>
    <row r="610">
      <c r="A610" s="139"/>
      <c r="B610" s="139"/>
      <c r="C610" s="139"/>
      <c r="D610" s="139"/>
      <c r="E610" s="139"/>
      <c r="F610" s="139"/>
      <c r="G610" s="139"/>
      <c r="H610" s="139"/>
      <c r="I610" s="139"/>
      <c r="J610" s="139"/>
      <c r="K610" s="140"/>
      <c r="L610" s="140"/>
      <c r="M610" s="140"/>
      <c r="N610" s="140"/>
      <c r="O610" s="140"/>
      <c r="P610" s="139"/>
      <c r="Q610" s="139"/>
      <c r="R610" s="139"/>
      <c r="S610" s="139"/>
      <c r="T610" s="139"/>
      <c r="U610" s="139"/>
      <c r="V610" s="139"/>
      <c r="W610" s="139"/>
      <c r="X610" s="139"/>
      <c r="Y610" s="139"/>
      <c r="Z610" s="139"/>
      <c r="AA610" s="139"/>
      <c r="AB610" s="139"/>
      <c r="AC610" s="139"/>
      <c r="AD610" s="139"/>
      <c r="AE610" s="139"/>
      <c r="AF610" s="139"/>
      <c r="AG610" s="139"/>
      <c r="AH610" s="139"/>
      <c r="AI610" s="139"/>
    </row>
    <row r="611">
      <c r="A611" s="139"/>
      <c r="B611" s="139"/>
      <c r="C611" s="139"/>
      <c r="D611" s="139"/>
      <c r="E611" s="139"/>
      <c r="F611" s="139"/>
      <c r="G611" s="139"/>
      <c r="H611" s="139"/>
      <c r="I611" s="139"/>
      <c r="J611" s="139"/>
      <c r="K611" s="140"/>
      <c r="L611" s="140"/>
      <c r="M611" s="140"/>
      <c r="N611" s="140"/>
      <c r="O611" s="140"/>
      <c r="P611" s="139"/>
      <c r="Q611" s="139"/>
      <c r="R611" s="139"/>
      <c r="S611" s="139"/>
      <c r="T611" s="139"/>
      <c r="U611" s="139"/>
      <c r="V611" s="139"/>
      <c r="W611" s="139"/>
      <c r="X611" s="139"/>
      <c r="Y611" s="139"/>
      <c r="Z611" s="139"/>
      <c r="AA611" s="139"/>
      <c r="AB611" s="139"/>
      <c r="AC611" s="139"/>
      <c r="AD611" s="139"/>
      <c r="AE611" s="139"/>
      <c r="AF611" s="139"/>
      <c r="AG611" s="139"/>
      <c r="AH611" s="139"/>
      <c r="AI611" s="139"/>
    </row>
    <row r="612">
      <c r="A612" s="139"/>
      <c r="B612" s="139"/>
      <c r="C612" s="139"/>
      <c r="D612" s="139"/>
      <c r="E612" s="139"/>
      <c r="F612" s="139"/>
      <c r="G612" s="139"/>
      <c r="H612" s="139"/>
      <c r="I612" s="139"/>
      <c r="J612" s="139"/>
      <c r="K612" s="140"/>
      <c r="L612" s="140"/>
      <c r="M612" s="140"/>
      <c r="N612" s="140"/>
      <c r="O612" s="140"/>
      <c r="P612" s="139"/>
      <c r="Q612" s="139"/>
      <c r="R612" s="139"/>
      <c r="S612" s="139"/>
      <c r="T612" s="139"/>
      <c r="U612" s="139"/>
      <c r="V612" s="139"/>
      <c r="W612" s="139"/>
      <c r="X612" s="139"/>
      <c r="Y612" s="139"/>
      <c r="Z612" s="139"/>
      <c r="AA612" s="139"/>
      <c r="AB612" s="139"/>
      <c r="AC612" s="139"/>
      <c r="AD612" s="139"/>
      <c r="AE612" s="139"/>
      <c r="AF612" s="139"/>
      <c r="AG612" s="139"/>
      <c r="AH612" s="139"/>
      <c r="AI612" s="139"/>
    </row>
    <row r="613">
      <c r="A613" s="139"/>
      <c r="B613" s="139"/>
      <c r="C613" s="139"/>
      <c r="D613" s="139"/>
      <c r="E613" s="139"/>
      <c r="F613" s="139"/>
      <c r="G613" s="139"/>
      <c r="H613" s="139"/>
      <c r="I613" s="139"/>
      <c r="J613" s="139"/>
      <c r="K613" s="140"/>
      <c r="L613" s="140"/>
      <c r="M613" s="140"/>
      <c r="N613" s="140"/>
      <c r="O613" s="140"/>
      <c r="P613" s="139"/>
      <c r="Q613" s="139"/>
      <c r="R613" s="139"/>
      <c r="S613" s="139"/>
      <c r="T613" s="139"/>
      <c r="U613" s="139"/>
      <c r="V613" s="139"/>
      <c r="W613" s="139"/>
      <c r="X613" s="139"/>
      <c r="Y613" s="139"/>
      <c r="Z613" s="139"/>
      <c r="AA613" s="139"/>
      <c r="AB613" s="139"/>
      <c r="AC613" s="139"/>
      <c r="AD613" s="139"/>
      <c r="AE613" s="139"/>
      <c r="AF613" s="139"/>
      <c r="AG613" s="139"/>
      <c r="AH613" s="139"/>
      <c r="AI613" s="139"/>
    </row>
    <row r="614">
      <c r="A614" s="139"/>
      <c r="B614" s="139"/>
      <c r="C614" s="139"/>
      <c r="D614" s="139"/>
      <c r="E614" s="139"/>
      <c r="F614" s="139"/>
      <c r="G614" s="139"/>
      <c r="H614" s="139"/>
      <c r="I614" s="139"/>
      <c r="J614" s="139"/>
      <c r="K614" s="140"/>
      <c r="L614" s="140"/>
      <c r="M614" s="140"/>
      <c r="N614" s="140"/>
      <c r="O614" s="140"/>
      <c r="P614" s="139"/>
      <c r="Q614" s="139"/>
      <c r="R614" s="139"/>
      <c r="S614" s="139"/>
      <c r="T614" s="139"/>
      <c r="U614" s="139"/>
      <c r="V614" s="139"/>
      <c r="W614" s="139"/>
      <c r="X614" s="139"/>
      <c r="Y614" s="139"/>
      <c r="Z614" s="139"/>
      <c r="AA614" s="139"/>
      <c r="AB614" s="139"/>
      <c r="AC614" s="139"/>
      <c r="AD614" s="139"/>
      <c r="AE614" s="139"/>
      <c r="AF614" s="139"/>
      <c r="AG614" s="139"/>
      <c r="AH614" s="139"/>
      <c r="AI614" s="139"/>
    </row>
    <row r="615">
      <c r="A615" s="139"/>
      <c r="B615" s="139"/>
      <c r="C615" s="139"/>
      <c r="D615" s="139"/>
      <c r="E615" s="139"/>
      <c r="F615" s="139"/>
      <c r="G615" s="139"/>
      <c r="H615" s="139"/>
      <c r="I615" s="139"/>
      <c r="J615" s="139"/>
      <c r="K615" s="140"/>
      <c r="L615" s="140"/>
      <c r="M615" s="140"/>
      <c r="N615" s="140"/>
      <c r="O615" s="140"/>
      <c r="P615" s="139"/>
      <c r="Q615" s="139"/>
      <c r="R615" s="139"/>
      <c r="S615" s="139"/>
      <c r="T615" s="139"/>
      <c r="U615" s="139"/>
      <c r="V615" s="139"/>
      <c r="W615" s="139"/>
      <c r="X615" s="139"/>
      <c r="Y615" s="139"/>
      <c r="Z615" s="139"/>
      <c r="AA615" s="139"/>
      <c r="AB615" s="139"/>
      <c r="AC615" s="139"/>
      <c r="AD615" s="139"/>
      <c r="AE615" s="139"/>
      <c r="AF615" s="139"/>
      <c r="AG615" s="139"/>
      <c r="AH615" s="139"/>
      <c r="AI615" s="139"/>
    </row>
    <row r="616">
      <c r="A616" s="139"/>
      <c r="B616" s="139"/>
      <c r="C616" s="139"/>
      <c r="D616" s="139"/>
      <c r="E616" s="139"/>
      <c r="F616" s="139"/>
      <c r="G616" s="139"/>
      <c r="H616" s="139"/>
      <c r="I616" s="139"/>
      <c r="J616" s="139"/>
      <c r="K616" s="140"/>
      <c r="L616" s="140"/>
      <c r="M616" s="140"/>
      <c r="N616" s="140"/>
      <c r="O616" s="140"/>
      <c r="P616" s="139"/>
      <c r="Q616" s="139"/>
      <c r="R616" s="139"/>
      <c r="S616" s="139"/>
      <c r="T616" s="139"/>
      <c r="U616" s="139"/>
      <c r="V616" s="139"/>
      <c r="W616" s="139"/>
      <c r="X616" s="139"/>
      <c r="Y616" s="139"/>
      <c r="Z616" s="139"/>
      <c r="AA616" s="139"/>
      <c r="AB616" s="139"/>
      <c r="AC616" s="139"/>
      <c r="AD616" s="139"/>
      <c r="AE616" s="139"/>
      <c r="AF616" s="139"/>
      <c r="AG616" s="139"/>
      <c r="AH616" s="139"/>
      <c r="AI616" s="139"/>
    </row>
    <row r="617">
      <c r="A617" s="139"/>
      <c r="B617" s="139"/>
      <c r="C617" s="139"/>
      <c r="D617" s="139"/>
      <c r="E617" s="139"/>
      <c r="F617" s="139"/>
      <c r="G617" s="139"/>
      <c r="H617" s="139"/>
      <c r="I617" s="139"/>
      <c r="J617" s="139"/>
      <c r="K617" s="140"/>
      <c r="L617" s="140"/>
      <c r="M617" s="140"/>
      <c r="N617" s="140"/>
      <c r="O617" s="140"/>
      <c r="P617" s="139"/>
      <c r="Q617" s="139"/>
      <c r="R617" s="139"/>
      <c r="S617" s="139"/>
      <c r="T617" s="139"/>
      <c r="U617" s="139"/>
      <c r="V617" s="139"/>
      <c r="W617" s="139"/>
      <c r="X617" s="139"/>
      <c r="Y617" s="139"/>
      <c r="Z617" s="139"/>
      <c r="AA617" s="139"/>
      <c r="AB617" s="139"/>
      <c r="AC617" s="139"/>
      <c r="AD617" s="139"/>
      <c r="AE617" s="139"/>
      <c r="AF617" s="139"/>
      <c r="AG617" s="139"/>
      <c r="AH617" s="139"/>
      <c r="AI617" s="139"/>
    </row>
    <row r="618">
      <c r="A618" s="139"/>
      <c r="B618" s="139"/>
      <c r="C618" s="139"/>
      <c r="D618" s="139"/>
      <c r="E618" s="139"/>
      <c r="F618" s="139"/>
      <c r="G618" s="139"/>
      <c r="H618" s="139"/>
      <c r="I618" s="139"/>
      <c r="J618" s="139"/>
      <c r="K618" s="140"/>
      <c r="L618" s="140"/>
      <c r="M618" s="140"/>
      <c r="N618" s="140"/>
      <c r="O618" s="140"/>
      <c r="P618" s="139"/>
      <c r="Q618" s="139"/>
      <c r="R618" s="139"/>
      <c r="S618" s="139"/>
      <c r="T618" s="139"/>
      <c r="U618" s="139"/>
      <c r="V618" s="139"/>
      <c r="W618" s="139"/>
      <c r="X618" s="139"/>
      <c r="Y618" s="139"/>
      <c r="Z618" s="139"/>
      <c r="AA618" s="139"/>
      <c r="AB618" s="139"/>
      <c r="AC618" s="139"/>
      <c r="AD618" s="139"/>
      <c r="AE618" s="139"/>
      <c r="AF618" s="139"/>
      <c r="AG618" s="139"/>
      <c r="AH618" s="139"/>
      <c r="AI618" s="139"/>
    </row>
    <row r="619">
      <c r="A619" s="139"/>
      <c r="B619" s="139"/>
      <c r="C619" s="139"/>
      <c r="D619" s="139"/>
      <c r="E619" s="139"/>
      <c r="F619" s="139"/>
      <c r="G619" s="139"/>
      <c r="H619" s="139"/>
      <c r="I619" s="139"/>
      <c r="J619" s="139"/>
      <c r="K619" s="140"/>
      <c r="L619" s="140"/>
      <c r="M619" s="140"/>
      <c r="N619" s="140"/>
      <c r="O619" s="140"/>
      <c r="P619" s="139"/>
      <c r="Q619" s="139"/>
      <c r="R619" s="139"/>
      <c r="S619" s="139"/>
      <c r="T619" s="139"/>
      <c r="U619" s="139"/>
      <c r="V619" s="139"/>
      <c r="W619" s="139"/>
      <c r="X619" s="139"/>
      <c r="Y619" s="139"/>
      <c r="Z619" s="139"/>
      <c r="AA619" s="139"/>
      <c r="AB619" s="139"/>
      <c r="AC619" s="139"/>
      <c r="AD619" s="139"/>
      <c r="AE619" s="139"/>
      <c r="AF619" s="139"/>
      <c r="AG619" s="139"/>
      <c r="AH619" s="139"/>
      <c r="AI619" s="139"/>
    </row>
    <row r="620">
      <c r="A620" s="139"/>
      <c r="B620" s="139"/>
      <c r="C620" s="139"/>
      <c r="D620" s="139"/>
      <c r="E620" s="139"/>
      <c r="F620" s="139"/>
      <c r="G620" s="139"/>
      <c r="H620" s="139"/>
      <c r="I620" s="139"/>
      <c r="J620" s="139"/>
      <c r="K620" s="140"/>
      <c r="L620" s="140"/>
      <c r="M620" s="140"/>
      <c r="N620" s="140"/>
      <c r="O620" s="140"/>
      <c r="P620" s="139"/>
      <c r="Q620" s="139"/>
      <c r="R620" s="139"/>
      <c r="S620" s="139"/>
      <c r="T620" s="139"/>
      <c r="U620" s="139"/>
      <c r="V620" s="139"/>
      <c r="W620" s="139"/>
      <c r="X620" s="139"/>
      <c r="Y620" s="139"/>
      <c r="Z620" s="139"/>
      <c r="AA620" s="139"/>
      <c r="AB620" s="139"/>
      <c r="AC620" s="139"/>
      <c r="AD620" s="139"/>
      <c r="AE620" s="139"/>
      <c r="AF620" s="139"/>
      <c r="AG620" s="139"/>
      <c r="AH620" s="139"/>
      <c r="AI620" s="139"/>
    </row>
    <row r="621">
      <c r="A621" s="139"/>
      <c r="B621" s="139"/>
      <c r="C621" s="139"/>
      <c r="D621" s="139"/>
      <c r="E621" s="139"/>
      <c r="F621" s="139"/>
      <c r="G621" s="139"/>
      <c r="H621" s="139"/>
      <c r="I621" s="139"/>
      <c r="J621" s="139"/>
      <c r="K621" s="140"/>
      <c r="L621" s="140"/>
      <c r="M621" s="140"/>
      <c r="N621" s="140"/>
      <c r="O621" s="140"/>
      <c r="P621" s="139"/>
      <c r="Q621" s="139"/>
      <c r="R621" s="139"/>
      <c r="S621" s="139"/>
      <c r="T621" s="139"/>
      <c r="U621" s="139"/>
      <c r="V621" s="139"/>
      <c r="W621" s="139"/>
      <c r="X621" s="139"/>
      <c r="Y621" s="139"/>
      <c r="Z621" s="139"/>
      <c r="AA621" s="139"/>
      <c r="AB621" s="139"/>
      <c r="AC621" s="139"/>
      <c r="AD621" s="139"/>
      <c r="AE621" s="139"/>
      <c r="AF621" s="139"/>
      <c r="AG621" s="139"/>
      <c r="AH621" s="139"/>
      <c r="AI621" s="139"/>
    </row>
    <row r="622">
      <c r="A622" s="139"/>
      <c r="B622" s="139"/>
      <c r="C622" s="139"/>
      <c r="D622" s="139"/>
      <c r="E622" s="139"/>
      <c r="F622" s="139"/>
      <c r="G622" s="139"/>
      <c r="H622" s="139"/>
      <c r="I622" s="139"/>
      <c r="J622" s="139"/>
      <c r="K622" s="140"/>
      <c r="L622" s="140"/>
      <c r="M622" s="140"/>
      <c r="N622" s="140"/>
      <c r="O622" s="140"/>
      <c r="P622" s="139"/>
      <c r="Q622" s="139"/>
      <c r="R622" s="139"/>
      <c r="S622" s="139"/>
      <c r="T622" s="139"/>
      <c r="U622" s="139"/>
      <c r="V622" s="139"/>
      <c r="W622" s="139"/>
      <c r="X622" s="139"/>
      <c r="Y622" s="139"/>
      <c r="Z622" s="139"/>
      <c r="AA622" s="139"/>
      <c r="AB622" s="139"/>
      <c r="AC622" s="139"/>
      <c r="AD622" s="139"/>
      <c r="AE622" s="139"/>
      <c r="AF622" s="139"/>
      <c r="AG622" s="139"/>
      <c r="AH622" s="139"/>
      <c r="AI622" s="139"/>
    </row>
    <row r="623">
      <c r="A623" s="139"/>
      <c r="B623" s="139"/>
      <c r="C623" s="139"/>
      <c r="D623" s="139"/>
      <c r="E623" s="139"/>
      <c r="F623" s="139"/>
      <c r="G623" s="139"/>
      <c r="H623" s="139"/>
      <c r="I623" s="139"/>
      <c r="J623" s="139"/>
      <c r="K623" s="140"/>
      <c r="L623" s="140"/>
      <c r="M623" s="140"/>
      <c r="N623" s="140"/>
      <c r="O623" s="140"/>
      <c r="P623" s="139"/>
      <c r="Q623" s="139"/>
      <c r="R623" s="139"/>
      <c r="S623" s="139"/>
      <c r="T623" s="139"/>
      <c r="U623" s="139"/>
      <c r="V623" s="139"/>
      <c r="W623" s="139"/>
      <c r="X623" s="139"/>
      <c r="Y623" s="139"/>
      <c r="Z623" s="139"/>
      <c r="AA623" s="139"/>
      <c r="AB623" s="139"/>
      <c r="AC623" s="139"/>
      <c r="AD623" s="139"/>
      <c r="AE623" s="139"/>
      <c r="AF623" s="139"/>
      <c r="AG623" s="139"/>
      <c r="AH623" s="139"/>
      <c r="AI623" s="139"/>
    </row>
    <row r="624">
      <c r="A624" s="139"/>
      <c r="B624" s="139"/>
      <c r="C624" s="139"/>
      <c r="D624" s="139"/>
      <c r="E624" s="139"/>
      <c r="F624" s="139"/>
      <c r="G624" s="139"/>
      <c r="H624" s="139"/>
      <c r="I624" s="139"/>
      <c r="J624" s="139"/>
      <c r="K624" s="140"/>
      <c r="L624" s="140"/>
      <c r="M624" s="140"/>
      <c r="N624" s="140"/>
      <c r="O624" s="140"/>
      <c r="P624" s="139"/>
      <c r="Q624" s="139"/>
      <c r="R624" s="139"/>
      <c r="S624" s="139"/>
      <c r="T624" s="139"/>
      <c r="U624" s="139"/>
      <c r="V624" s="139"/>
      <c r="W624" s="139"/>
      <c r="X624" s="139"/>
      <c r="Y624" s="139"/>
      <c r="Z624" s="139"/>
      <c r="AA624" s="139"/>
      <c r="AB624" s="139"/>
      <c r="AC624" s="139"/>
      <c r="AD624" s="139"/>
      <c r="AE624" s="139"/>
      <c r="AF624" s="139"/>
      <c r="AG624" s="139"/>
      <c r="AH624" s="139"/>
      <c r="AI624" s="139"/>
    </row>
    <row r="625">
      <c r="A625" s="139"/>
      <c r="B625" s="139"/>
      <c r="C625" s="139"/>
      <c r="D625" s="139"/>
      <c r="E625" s="139"/>
      <c r="F625" s="139"/>
      <c r="G625" s="139"/>
      <c r="H625" s="139"/>
      <c r="I625" s="139"/>
      <c r="J625" s="139"/>
      <c r="K625" s="140"/>
      <c r="L625" s="140"/>
      <c r="M625" s="140"/>
      <c r="N625" s="140"/>
      <c r="O625" s="140"/>
      <c r="P625" s="139"/>
      <c r="Q625" s="139"/>
      <c r="R625" s="139"/>
      <c r="S625" s="139"/>
      <c r="T625" s="139"/>
      <c r="U625" s="139"/>
      <c r="V625" s="139"/>
      <c r="W625" s="139"/>
      <c r="X625" s="139"/>
      <c r="Y625" s="139"/>
      <c r="Z625" s="139"/>
      <c r="AA625" s="139"/>
      <c r="AB625" s="139"/>
      <c r="AC625" s="139"/>
      <c r="AD625" s="139"/>
      <c r="AE625" s="139"/>
      <c r="AF625" s="139"/>
      <c r="AG625" s="139"/>
      <c r="AH625" s="139"/>
      <c r="AI625" s="139"/>
    </row>
    <row r="626">
      <c r="A626" s="139"/>
      <c r="B626" s="139"/>
      <c r="C626" s="139"/>
      <c r="D626" s="139"/>
      <c r="E626" s="139"/>
      <c r="F626" s="139"/>
      <c r="G626" s="139"/>
      <c r="H626" s="139"/>
      <c r="I626" s="139"/>
      <c r="J626" s="139"/>
      <c r="K626" s="140"/>
      <c r="L626" s="140"/>
      <c r="M626" s="140"/>
      <c r="N626" s="140"/>
      <c r="O626" s="140"/>
      <c r="P626" s="139"/>
      <c r="Q626" s="139"/>
      <c r="R626" s="139"/>
      <c r="S626" s="139"/>
      <c r="T626" s="139"/>
      <c r="U626" s="139"/>
      <c r="V626" s="139"/>
      <c r="W626" s="139"/>
      <c r="X626" s="139"/>
      <c r="Y626" s="139"/>
      <c r="Z626" s="139"/>
      <c r="AA626" s="139"/>
      <c r="AB626" s="139"/>
      <c r="AC626" s="139"/>
      <c r="AD626" s="139"/>
      <c r="AE626" s="139"/>
      <c r="AF626" s="139"/>
      <c r="AG626" s="139"/>
      <c r="AH626" s="139"/>
      <c r="AI626" s="139"/>
    </row>
    <row r="627">
      <c r="A627" s="139"/>
      <c r="B627" s="139"/>
      <c r="C627" s="139"/>
      <c r="D627" s="139"/>
      <c r="E627" s="139"/>
      <c r="F627" s="139"/>
      <c r="G627" s="139"/>
      <c r="H627" s="139"/>
      <c r="I627" s="139"/>
      <c r="J627" s="139"/>
      <c r="K627" s="140"/>
      <c r="L627" s="140"/>
      <c r="M627" s="140"/>
      <c r="N627" s="140"/>
      <c r="O627" s="140"/>
      <c r="P627" s="139"/>
      <c r="Q627" s="139"/>
      <c r="R627" s="139"/>
      <c r="S627" s="139"/>
      <c r="T627" s="139"/>
      <c r="U627" s="139"/>
      <c r="V627" s="139"/>
      <c r="W627" s="139"/>
      <c r="X627" s="139"/>
      <c r="Y627" s="139"/>
      <c r="Z627" s="139"/>
      <c r="AA627" s="139"/>
      <c r="AB627" s="139"/>
      <c r="AC627" s="139"/>
      <c r="AD627" s="139"/>
      <c r="AE627" s="139"/>
      <c r="AF627" s="139"/>
      <c r="AG627" s="139"/>
      <c r="AH627" s="139"/>
      <c r="AI627" s="139"/>
    </row>
    <row r="628">
      <c r="A628" s="139"/>
      <c r="B628" s="139"/>
      <c r="C628" s="139"/>
      <c r="D628" s="139"/>
      <c r="E628" s="139"/>
      <c r="F628" s="139"/>
      <c r="G628" s="139"/>
      <c r="H628" s="139"/>
      <c r="I628" s="139"/>
      <c r="J628" s="139"/>
      <c r="K628" s="140"/>
      <c r="L628" s="140"/>
      <c r="M628" s="140"/>
      <c r="N628" s="140"/>
      <c r="O628" s="140"/>
      <c r="P628" s="139"/>
      <c r="Q628" s="139"/>
      <c r="R628" s="139"/>
      <c r="S628" s="139"/>
      <c r="T628" s="139"/>
      <c r="U628" s="139"/>
      <c r="V628" s="139"/>
      <c r="W628" s="139"/>
      <c r="X628" s="139"/>
      <c r="Y628" s="139"/>
      <c r="Z628" s="139"/>
      <c r="AA628" s="139"/>
      <c r="AB628" s="139"/>
      <c r="AC628" s="139"/>
      <c r="AD628" s="139"/>
      <c r="AE628" s="139"/>
      <c r="AF628" s="139"/>
      <c r="AG628" s="139"/>
      <c r="AH628" s="139"/>
      <c r="AI628" s="139"/>
    </row>
    <row r="629">
      <c r="A629" s="139"/>
      <c r="B629" s="139"/>
      <c r="C629" s="139"/>
      <c r="D629" s="139"/>
      <c r="E629" s="139"/>
      <c r="F629" s="139"/>
      <c r="G629" s="139"/>
      <c r="H629" s="139"/>
      <c r="I629" s="139"/>
      <c r="J629" s="139"/>
      <c r="K629" s="140"/>
      <c r="L629" s="140"/>
      <c r="M629" s="140"/>
      <c r="N629" s="140"/>
      <c r="O629" s="140"/>
      <c r="P629" s="139"/>
      <c r="Q629" s="139"/>
      <c r="R629" s="139"/>
      <c r="S629" s="139"/>
      <c r="T629" s="139"/>
      <c r="U629" s="139"/>
      <c r="V629" s="139"/>
      <c r="W629" s="139"/>
      <c r="X629" s="139"/>
      <c r="Y629" s="139"/>
      <c r="Z629" s="139"/>
      <c r="AA629" s="139"/>
      <c r="AB629" s="139"/>
      <c r="AC629" s="139"/>
      <c r="AD629" s="139"/>
      <c r="AE629" s="139"/>
      <c r="AF629" s="139"/>
      <c r="AG629" s="139"/>
      <c r="AH629" s="139"/>
      <c r="AI629" s="139"/>
    </row>
    <row r="630">
      <c r="A630" s="139"/>
      <c r="B630" s="139"/>
      <c r="C630" s="139"/>
      <c r="D630" s="139"/>
      <c r="E630" s="139"/>
      <c r="F630" s="139"/>
      <c r="G630" s="139"/>
      <c r="H630" s="139"/>
      <c r="I630" s="139"/>
      <c r="J630" s="139"/>
      <c r="K630" s="140"/>
      <c r="L630" s="140"/>
      <c r="M630" s="140"/>
      <c r="N630" s="140"/>
      <c r="O630" s="140"/>
      <c r="P630" s="139"/>
      <c r="Q630" s="139"/>
      <c r="R630" s="139"/>
      <c r="S630" s="139"/>
      <c r="T630" s="139"/>
      <c r="U630" s="139"/>
      <c r="V630" s="139"/>
      <c r="W630" s="139"/>
      <c r="X630" s="139"/>
      <c r="Y630" s="139"/>
      <c r="Z630" s="139"/>
      <c r="AA630" s="139"/>
      <c r="AB630" s="139"/>
      <c r="AC630" s="139"/>
      <c r="AD630" s="139"/>
      <c r="AE630" s="139"/>
      <c r="AF630" s="139"/>
      <c r="AG630" s="139"/>
      <c r="AH630" s="139"/>
      <c r="AI630" s="139"/>
    </row>
    <row r="631">
      <c r="A631" s="139"/>
      <c r="B631" s="139"/>
      <c r="C631" s="139"/>
      <c r="D631" s="139"/>
      <c r="E631" s="139"/>
      <c r="F631" s="139"/>
      <c r="G631" s="139"/>
      <c r="H631" s="139"/>
      <c r="I631" s="139"/>
      <c r="J631" s="139"/>
      <c r="K631" s="140"/>
      <c r="L631" s="140"/>
      <c r="M631" s="140"/>
      <c r="N631" s="140"/>
      <c r="O631" s="140"/>
      <c r="P631" s="139"/>
      <c r="Q631" s="139"/>
      <c r="R631" s="139"/>
      <c r="S631" s="139"/>
      <c r="T631" s="139"/>
      <c r="U631" s="139"/>
      <c r="V631" s="139"/>
      <c r="W631" s="139"/>
      <c r="X631" s="139"/>
      <c r="Y631" s="139"/>
      <c r="Z631" s="139"/>
      <c r="AA631" s="139"/>
      <c r="AB631" s="139"/>
      <c r="AC631" s="139"/>
      <c r="AD631" s="139"/>
      <c r="AE631" s="139"/>
      <c r="AF631" s="139"/>
      <c r="AG631" s="139"/>
      <c r="AH631" s="139"/>
      <c r="AI631" s="139"/>
    </row>
    <row r="632">
      <c r="A632" s="139"/>
      <c r="B632" s="139"/>
      <c r="C632" s="139"/>
      <c r="D632" s="139"/>
      <c r="E632" s="139"/>
      <c r="F632" s="139"/>
      <c r="G632" s="139"/>
      <c r="H632" s="139"/>
      <c r="I632" s="139"/>
      <c r="J632" s="139"/>
      <c r="K632" s="140"/>
      <c r="L632" s="140"/>
      <c r="M632" s="140"/>
      <c r="N632" s="140"/>
      <c r="O632" s="140"/>
      <c r="P632" s="139"/>
      <c r="Q632" s="139"/>
      <c r="R632" s="139"/>
      <c r="S632" s="139"/>
      <c r="T632" s="139"/>
      <c r="U632" s="139"/>
      <c r="V632" s="139"/>
      <c r="W632" s="139"/>
      <c r="X632" s="139"/>
      <c r="Y632" s="139"/>
      <c r="Z632" s="139"/>
      <c r="AA632" s="139"/>
      <c r="AB632" s="139"/>
      <c r="AC632" s="139"/>
      <c r="AD632" s="139"/>
      <c r="AE632" s="139"/>
      <c r="AF632" s="139"/>
      <c r="AG632" s="139"/>
      <c r="AH632" s="139"/>
      <c r="AI632" s="139"/>
    </row>
    <row r="633">
      <c r="A633" s="139"/>
      <c r="B633" s="139"/>
      <c r="C633" s="139"/>
      <c r="D633" s="139"/>
      <c r="E633" s="139"/>
      <c r="F633" s="139"/>
      <c r="G633" s="139"/>
      <c r="H633" s="139"/>
      <c r="I633" s="139"/>
      <c r="J633" s="139"/>
      <c r="K633" s="140"/>
      <c r="L633" s="140"/>
      <c r="M633" s="140"/>
      <c r="N633" s="140"/>
      <c r="O633" s="140"/>
      <c r="P633" s="139"/>
      <c r="Q633" s="139"/>
      <c r="R633" s="139"/>
      <c r="S633" s="139"/>
      <c r="T633" s="139"/>
      <c r="U633" s="139"/>
      <c r="V633" s="139"/>
      <c r="W633" s="139"/>
      <c r="X633" s="139"/>
      <c r="Y633" s="139"/>
      <c r="Z633" s="139"/>
      <c r="AA633" s="139"/>
      <c r="AB633" s="139"/>
      <c r="AC633" s="139"/>
      <c r="AD633" s="139"/>
      <c r="AE633" s="139"/>
      <c r="AF633" s="139"/>
      <c r="AG633" s="139"/>
      <c r="AH633" s="139"/>
      <c r="AI633" s="139"/>
    </row>
    <row r="634">
      <c r="A634" s="139"/>
      <c r="B634" s="139"/>
      <c r="C634" s="139"/>
      <c r="D634" s="139"/>
      <c r="E634" s="139"/>
      <c r="F634" s="139"/>
      <c r="G634" s="139"/>
      <c r="H634" s="139"/>
      <c r="I634" s="139"/>
      <c r="J634" s="139"/>
      <c r="K634" s="140"/>
      <c r="L634" s="140"/>
      <c r="M634" s="140"/>
      <c r="N634" s="140"/>
      <c r="O634" s="140"/>
      <c r="P634" s="139"/>
      <c r="Q634" s="139"/>
      <c r="R634" s="139"/>
      <c r="S634" s="139"/>
      <c r="T634" s="139"/>
      <c r="U634" s="139"/>
      <c r="V634" s="139"/>
      <c r="W634" s="139"/>
      <c r="X634" s="139"/>
      <c r="Y634" s="139"/>
      <c r="Z634" s="139"/>
      <c r="AA634" s="139"/>
      <c r="AB634" s="139"/>
      <c r="AC634" s="139"/>
      <c r="AD634" s="139"/>
      <c r="AE634" s="139"/>
      <c r="AF634" s="139"/>
      <c r="AG634" s="139"/>
      <c r="AH634" s="139"/>
      <c r="AI634" s="139"/>
    </row>
    <row r="635">
      <c r="A635" s="139"/>
      <c r="B635" s="139"/>
      <c r="C635" s="139"/>
      <c r="D635" s="139"/>
      <c r="E635" s="139"/>
      <c r="F635" s="139"/>
      <c r="G635" s="139"/>
      <c r="H635" s="139"/>
      <c r="I635" s="139"/>
      <c r="J635" s="139"/>
      <c r="K635" s="140"/>
      <c r="L635" s="140"/>
      <c r="M635" s="140"/>
      <c r="N635" s="140"/>
      <c r="O635" s="140"/>
      <c r="P635" s="139"/>
      <c r="Q635" s="139"/>
      <c r="R635" s="139"/>
      <c r="S635" s="139"/>
      <c r="T635" s="139"/>
      <c r="U635" s="139"/>
      <c r="V635" s="139"/>
      <c r="W635" s="139"/>
      <c r="X635" s="139"/>
      <c r="Y635" s="139"/>
      <c r="Z635" s="139"/>
      <c r="AA635" s="139"/>
      <c r="AB635" s="139"/>
      <c r="AC635" s="139"/>
      <c r="AD635" s="139"/>
      <c r="AE635" s="139"/>
      <c r="AF635" s="139"/>
      <c r="AG635" s="139"/>
      <c r="AH635" s="139"/>
      <c r="AI635" s="139"/>
    </row>
    <row r="636">
      <c r="A636" s="139"/>
      <c r="B636" s="139"/>
      <c r="C636" s="139"/>
      <c r="D636" s="139"/>
      <c r="E636" s="139"/>
      <c r="F636" s="139"/>
      <c r="G636" s="139"/>
      <c r="H636" s="139"/>
      <c r="I636" s="139"/>
      <c r="J636" s="139"/>
      <c r="K636" s="140"/>
      <c r="L636" s="140"/>
      <c r="M636" s="140"/>
      <c r="N636" s="140"/>
      <c r="O636" s="140"/>
      <c r="P636" s="139"/>
      <c r="Q636" s="139"/>
      <c r="R636" s="139"/>
      <c r="S636" s="139"/>
      <c r="T636" s="139"/>
      <c r="U636" s="139"/>
      <c r="V636" s="139"/>
      <c r="W636" s="139"/>
      <c r="X636" s="139"/>
      <c r="Y636" s="139"/>
      <c r="Z636" s="139"/>
      <c r="AA636" s="139"/>
      <c r="AB636" s="139"/>
      <c r="AC636" s="139"/>
      <c r="AD636" s="139"/>
      <c r="AE636" s="139"/>
      <c r="AF636" s="139"/>
      <c r="AG636" s="139"/>
      <c r="AH636" s="139"/>
      <c r="AI636" s="139"/>
    </row>
    <row r="637">
      <c r="A637" s="139"/>
      <c r="B637" s="139"/>
      <c r="C637" s="139"/>
      <c r="D637" s="139"/>
      <c r="E637" s="139"/>
      <c r="F637" s="139"/>
      <c r="G637" s="139"/>
      <c r="H637" s="139"/>
      <c r="I637" s="139"/>
      <c r="J637" s="139"/>
      <c r="K637" s="140"/>
      <c r="L637" s="140"/>
      <c r="M637" s="140"/>
      <c r="N637" s="140"/>
      <c r="O637" s="140"/>
      <c r="P637" s="139"/>
      <c r="Q637" s="139"/>
      <c r="R637" s="139"/>
      <c r="S637" s="139"/>
      <c r="T637" s="139"/>
      <c r="U637" s="139"/>
      <c r="V637" s="139"/>
      <c r="W637" s="139"/>
      <c r="X637" s="139"/>
      <c r="Y637" s="139"/>
      <c r="Z637" s="139"/>
      <c r="AA637" s="139"/>
      <c r="AB637" s="139"/>
      <c r="AC637" s="139"/>
      <c r="AD637" s="139"/>
      <c r="AE637" s="139"/>
      <c r="AF637" s="139"/>
      <c r="AG637" s="139"/>
      <c r="AH637" s="139"/>
      <c r="AI637" s="139"/>
    </row>
    <row r="638">
      <c r="A638" s="139"/>
      <c r="B638" s="139"/>
      <c r="C638" s="139"/>
      <c r="D638" s="139"/>
      <c r="E638" s="139"/>
      <c r="F638" s="139"/>
      <c r="G638" s="139"/>
      <c r="H638" s="139"/>
      <c r="I638" s="139"/>
      <c r="J638" s="139"/>
      <c r="K638" s="140"/>
      <c r="L638" s="140"/>
      <c r="M638" s="140"/>
      <c r="N638" s="140"/>
      <c r="O638" s="140"/>
      <c r="P638" s="139"/>
      <c r="Q638" s="139"/>
      <c r="R638" s="139"/>
      <c r="S638" s="139"/>
      <c r="T638" s="139"/>
      <c r="U638" s="139"/>
      <c r="V638" s="139"/>
      <c r="W638" s="139"/>
      <c r="X638" s="139"/>
      <c r="Y638" s="139"/>
      <c r="Z638" s="139"/>
      <c r="AA638" s="139"/>
      <c r="AB638" s="139"/>
      <c r="AC638" s="139"/>
      <c r="AD638" s="139"/>
      <c r="AE638" s="139"/>
      <c r="AF638" s="139"/>
      <c r="AG638" s="139"/>
      <c r="AH638" s="139"/>
      <c r="AI638" s="139"/>
    </row>
    <row r="639">
      <c r="A639" s="139"/>
      <c r="B639" s="139"/>
      <c r="C639" s="139"/>
      <c r="D639" s="139"/>
      <c r="E639" s="139"/>
      <c r="F639" s="139"/>
      <c r="G639" s="139"/>
      <c r="H639" s="139"/>
      <c r="I639" s="139"/>
      <c r="J639" s="139"/>
      <c r="K639" s="140"/>
      <c r="L639" s="140"/>
      <c r="M639" s="140"/>
      <c r="N639" s="140"/>
      <c r="O639" s="140"/>
      <c r="P639" s="139"/>
      <c r="Q639" s="139"/>
      <c r="R639" s="139"/>
      <c r="S639" s="139"/>
      <c r="T639" s="139"/>
      <c r="U639" s="139"/>
      <c r="V639" s="139"/>
      <c r="W639" s="139"/>
      <c r="X639" s="139"/>
      <c r="Y639" s="139"/>
      <c r="Z639" s="139"/>
      <c r="AA639" s="139"/>
      <c r="AB639" s="139"/>
      <c r="AC639" s="139"/>
      <c r="AD639" s="139"/>
      <c r="AE639" s="139"/>
      <c r="AF639" s="139"/>
      <c r="AG639" s="139"/>
      <c r="AH639" s="139"/>
      <c r="AI639" s="139"/>
    </row>
    <row r="640">
      <c r="A640" s="139"/>
      <c r="B640" s="139"/>
      <c r="C640" s="139"/>
      <c r="D640" s="139"/>
      <c r="E640" s="139"/>
      <c r="F640" s="139"/>
      <c r="G640" s="139"/>
      <c r="H640" s="139"/>
      <c r="I640" s="139"/>
      <c r="J640" s="139"/>
      <c r="K640" s="140"/>
      <c r="L640" s="140"/>
      <c r="M640" s="140"/>
      <c r="N640" s="140"/>
      <c r="O640" s="140"/>
      <c r="P640" s="139"/>
      <c r="Q640" s="139"/>
      <c r="R640" s="139"/>
      <c r="S640" s="139"/>
      <c r="T640" s="139"/>
      <c r="U640" s="139"/>
      <c r="V640" s="139"/>
      <c r="W640" s="139"/>
      <c r="X640" s="139"/>
      <c r="Y640" s="139"/>
      <c r="Z640" s="139"/>
      <c r="AA640" s="139"/>
      <c r="AB640" s="139"/>
      <c r="AC640" s="139"/>
      <c r="AD640" s="139"/>
      <c r="AE640" s="139"/>
      <c r="AF640" s="139"/>
      <c r="AG640" s="139"/>
      <c r="AH640" s="139"/>
      <c r="AI640" s="139"/>
    </row>
    <row r="641">
      <c r="A641" s="139"/>
      <c r="B641" s="139"/>
      <c r="C641" s="139"/>
      <c r="D641" s="139"/>
      <c r="E641" s="139"/>
      <c r="F641" s="139"/>
      <c r="G641" s="139"/>
      <c r="H641" s="139"/>
      <c r="I641" s="139"/>
      <c r="J641" s="139"/>
      <c r="K641" s="140"/>
      <c r="L641" s="140"/>
      <c r="M641" s="140"/>
      <c r="N641" s="140"/>
      <c r="O641" s="140"/>
      <c r="P641" s="139"/>
      <c r="Q641" s="139"/>
      <c r="R641" s="139"/>
      <c r="S641" s="139"/>
      <c r="T641" s="139"/>
      <c r="U641" s="139"/>
      <c r="V641" s="139"/>
      <c r="W641" s="139"/>
      <c r="X641" s="139"/>
      <c r="Y641" s="139"/>
      <c r="Z641" s="139"/>
      <c r="AA641" s="139"/>
      <c r="AB641" s="139"/>
      <c r="AC641" s="139"/>
      <c r="AD641" s="139"/>
      <c r="AE641" s="139"/>
      <c r="AF641" s="139"/>
      <c r="AG641" s="139"/>
      <c r="AH641" s="139"/>
      <c r="AI641" s="139"/>
    </row>
    <row r="642">
      <c r="A642" s="139"/>
      <c r="B642" s="139"/>
      <c r="C642" s="139"/>
      <c r="D642" s="139"/>
      <c r="E642" s="139"/>
      <c r="F642" s="139"/>
      <c r="G642" s="139"/>
      <c r="H642" s="139"/>
      <c r="I642" s="139"/>
      <c r="J642" s="139"/>
      <c r="K642" s="140"/>
      <c r="L642" s="140"/>
      <c r="M642" s="140"/>
      <c r="N642" s="140"/>
      <c r="O642" s="140"/>
      <c r="P642" s="139"/>
      <c r="Q642" s="139"/>
      <c r="R642" s="139"/>
      <c r="S642" s="139"/>
      <c r="T642" s="139"/>
      <c r="U642" s="139"/>
      <c r="V642" s="139"/>
      <c r="W642" s="139"/>
      <c r="X642" s="139"/>
      <c r="Y642" s="139"/>
      <c r="Z642" s="139"/>
      <c r="AA642" s="139"/>
      <c r="AB642" s="139"/>
      <c r="AC642" s="139"/>
      <c r="AD642" s="139"/>
      <c r="AE642" s="139"/>
      <c r="AF642" s="139"/>
      <c r="AG642" s="139"/>
      <c r="AH642" s="139"/>
      <c r="AI642" s="139"/>
    </row>
    <row r="643">
      <c r="A643" s="139"/>
      <c r="B643" s="139"/>
      <c r="C643" s="139"/>
      <c r="D643" s="139"/>
      <c r="E643" s="139"/>
      <c r="F643" s="139"/>
      <c r="G643" s="139"/>
      <c r="H643" s="139"/>
      <c r="I643" s="139"/>
      <c r="J643" s="139"/>
      <c r="K643" s="140"/>
      <c r="L643" s="140"/>
      <c r="M643" s="140"/>
      <c r="N643" s="140"/>
      <c r="O643" s="140"/>
      <c r="P643" s="139"/>
      <c r="Q643" s="139"/>
      <c r="R643" s="139"/>
      <c r="S643" s="139"/>
      <c r="T643" s="139"/>
      <c r="U643" s="139"/>
      <c r="V643" s="139"/>
      <c r="W643" s="139"/>
      <c r="X643" s="139"/>
      <c r="Y643" s="139"/>
      <c r="Z643" s="139"/>
      <c r="AA643" s="139"/>
      <c r="AB643" s="139"/>
      <c r="AC643" s="139"/>
      <c r="AD643" s="139"/>
      <c r="AE643" s="139"/>
      <c r="AF643" s="139"/>
      <c r="AG643" s="139"/>
      <c r="AH643" s="139"/>
      <c r="AI643" s="139"/>
    </row>
    <row r="644">
      <c r="A644" s="139"/>
      <c r="B644" s="139"/>
      <c r="C644" s="139"/>
      <c r="D644" s="139"/>
      <c r="E644" s="139"/>
      <c r="F644" s="139"/>
      <c r="G644" s="139"/>
      <c r="H644" s="139"/>
      <c r="I644" s="139"/>
      <c r="J644" s="139"/>
      <c r="K644" s="140"/>
      <c r="L644" s="140"/>
      <c r="M644" s="140"/>
      <c r="N644" s="140"/>
      <c r="O644" s="140"/>
      <c r="P644" s="139"/>
      <c r="Q644" s="139"/>
      <c r="R644" s="139"/>
      <c r="S644" s="139"/>
      <c r="T644" s="139"/>
      <c r="U644" s="139"/>
      <c r="V644" s="139"/>
      <c r="W644" s="139"/>
      <c r="X644" s="139"/>
      <c r="Y644" s="139"/>
      <c r="Z644" s="139"/>
      <c r="AA644" s="139"/>
      <c r="AB644" s="139"/>
      <c r="AC644" s="139"/>
      <c r="AD644" s="139"/>
      <c r="AE644" s="139"/>
      <c r="AF644" s="139"/>
      <c r="AG644" s="139"/>
      <c r="AH644" s="139"/>
      <c r="AI644" s="139"/>
    </row>
    <row r="645">
      <c r="A645" s="139"/>
      <c r="B645" s="139"/>
      <c r="C645" s="139"/>
      <c r="D645" s="139"/>
      <c r="E645" s="139"/>
      <c r="F645" s="139"/>
      <c r="G645" s="139"/>
      <c r="H645" s="139"/>
      <c r="I645" s="139"/>
      <c r="J645" s="139"/>
      <c r="K645" s="140"/>
      <c r="L645" s="140"/>
      <c r="M645" s="140"/>
      <c r="N645" s="140"/>
      <c r="O645" s="140"/>
      <c r="P645" s="139"/>
      <c r="Q645" s="139"/>
      <c r="R645" s="139"/>
      <c r="S645" s="139"/>
      <c r="T645" s="139"/>
      <c r="U645" s="139"/>
      <c r="V645" s="139"/>
      <c r="W645" s="139"/>
      <c r="X645" s="139"/>
      <c r="Y645" s="139"/>
      <c r="Z645" s="139"/>
      <c r="AA645" s="139"/>
      <c r="AB645" s="139"/>
      <c r="AC645" s="139"/>
      <c r="AD645" s="139"/>
      <c r="AE645" s="139"/>
      <c r="AF645" s="139"/>
      <c r="AG645" s="139"/>
      <c r="AH645" s="139"/>
      <c r="AI645" s="139"/>
    </row>
    <row r="646">
      <c r="A646" s="139"/>
      <c r="B646" s="139"/>
      <c r="C646" s="139"/>
      <c r="D646" s="139"/>
      <c r="E646" s="139"/>
      <c r="F646" s="139"/>
      <c r="G646" s="139"/>
      <c r="H646" s="139"/>
      <c r="I646" s="139"/>
      <c r="J646" s="139"/>
      <c r="K646" s="140"/>
      <c r="L646" s="140"/>
      <c r="M646" s="140"/>
      <c r="N646" s="140"/>
      <c r="O646" s="140"/>
      <c r="P646" s="139"/>
      <c r="Q646" s="139"/>
      <c r="R646" s="139"/>
      <c r="S646" s="139"/>
      <c r="T646" s="139"/>
      <c r="U646" s="139"/>
      <c r="V646" s="139"/>
      <c r="W646" s="139"/>
      <c r="X646" s="139"/>
      <c r="Y646" s="139"/>
      <c r="Z646" s="139"/>
      <c r="AA646" s="139"/>
      <c r="AB646" s="139"/>
      <c r="AC646" s="139"/>
      <c r="AD646" s="139"/>
      <c r="AE646" s="139"/>
      <c r="AF646" s="139"/>
      <c r="AG646" s="139"/>
      <c r="AH646" s="139"/>
      <c r="AI646" s="139"/>
    </row>
    <row r="647">
      <c r="A647" s="139"/>
      <c r="B647" s="139"/>
      <c r="C647" s="139"/>
      <c r="D647" s="139"/>
      <c r="E647" s="139"/>
      <c r="F647" s="139"/>
      <c r="G647" s="139"/>
      <c r="H647" s="139"/>
      <c r="I647" s="139"/>
      <c r="J647" s="139"/>
      <c r="K647" s="140"/>
      <c r="L647" s="140"/>
      <c r="M647" s="140"/>
      <c r="N647" s="140"/>
      <c r="O647" s="140"/>
      <c r="P647" s="139"/>
      <c r="Q647" s="139"/>
      <c r="R647" s="139"/>
      <c r="S647" s="139"/>
      <c r="T647" s="139"/>
      <c r="U647" s="139"/>
      <c r="V647" s="139"/>
      <c r="W647" s="139"/>
      <c r="X647" s="139"/>
      <c r="Y647" s="139"/>
      <c r="Z647" s="139"/>
      <c r="AA647" s="139"/>
      <c r="AB647" s="139"/>
      <c r="AC647" s="139"/>
      <c r="AD647" s="139"/>
      <c r="AE647" s="139"/>
      <c r="AF647" s="139"/>
      <c r="AG647" s="139"/>
      <c r="AH647" s="139"/>
      <c r="AI647" s="139"/>
    </row>
    <row r="648">
      <c r="A648" s="139"/>
      <c r="B648" s="139"/>
      <c r="C648" s="139"/>
      <c r="D648" s="139"/>
      <c r="E648" s="139"/>
      <c r="F648" s="139"/>
      <c r="G648" s="139"/>
      <c r="H648" s="139"/>
      <c r="I648" s="139"/>
      <c r="J648" s="139"/>
      <c r="K648" s="140"/>
      <c r="L648" s="140"/>
      <c r="M648" s="140"/>
      <c r="N648" s="140"/>
      <c r="O648" s="140"/>
      <c r="P648" s="139"/>
      <c r="Q648" s="139"/>
      <c r="R648" s="139"/>
      <c r="S648" s="139"/>
      <c r="T648" s="139"/>
      <c r="U648" s="139"/>
      <c r="V648" s="139"/>
      <c r="W648" s="139"/>
      <c r="X648" s="139"/>
      <c r="Y648" s="139"/>
      <c r="Z648" s="139"/>
      <c r="AA648" s="139"/>
      <c r="AB648" s="139"/>
      <c r="AC648" s="139"/>
      <c r="AD648" s="139"/>
      <c r="AE648" s="139"/>
      <c r="AF648" s="139"/>
      <c r="AG648" s="139"/>
      <c r="AH648" s="139"/>
      <c r="AI648" s="139"/>
    </row>
    <row r="649">
      <c r="A649" s="139"/>
      <c r="B649" s="139"/>
      <c r="C649" s="139"/>
      <c r="D649" s="139"/>
      <c r="E649" s="139"/>
      <c r="F649" s="139"/>
      <c r="G649" s="139"/>
      <c r="H649" s="139"/>
      <c r="I649" s="139"/>
      <c r="J649" s="139"/>
      <c r="K649" s="140"/>
      <c r="L649" s="140"/>
      <c r="M649" s="140"/>
      <c r="N649" s="140"/>
      <c r="O649" s="140"/>
      <c r="P649" s="139"/>
      <c r="Q649" s="139"/>
      <c r="R649" s="139"/>
      <c r="S649" s="139"/>
      <c r="T649" s="139"/>
      <c r="U649" s="139"/>
      <c r="V649" s="139"/>
      <c r="W649" s="139"/>
      <c r="X649" s="139"/>
      <c r="Y649" s="139"/>
      <c r="Z649" s="139"/>
      <c r="AA649" s="139"/>
      <c r="AB649" s="139"/>
      <c r="AC649" s="139"/>
      <c r="AD649" s="139"/>
      <c r="AE649" s="139"/>
      <c r="AF649" s="139"/>
      <c r="AG649" s="139"/>
      <c r="AH649" s="139"/>
      <c r="AI649" s="139"/>
    </row>
    <row r="650">
      <c r="A650" s="139"/>
      <c r="B650" s="139"/>
      <c r="C650" s="139"/>
      <c r="D650" s="139"/>
      <c r="E650" s="139"/>
      <c r="F650" s="139"/>
      <c r="G650" s="139"/>
      <c r="H650" s="139"/>
      <c r="I650" s="139"/>
      <c r="J650" s="139"/>
      <c r="K650" s="140"/>
      <c r="L650" s="140"/>
      <c r="M650" s="140"/>
      <c r="N650" s="140"/>
      <c r="O650" s="140"/>
      <c r="P650" s="139"/>
      <c r="Q650" s="139"/>
      <c r="R650" s="139"/>
      <c r="S650" s="139"/>
      <c r="T650" s="139"/>
      <c r="U650" s="139"/>
      <c r="V650" s="139"/>
      <c r="W650" s="139"/>
      <c r="X650" s="139"/>
      <c r="Y650" s="139"/>
      <c r="Z650" s="139"/>
      <c r="AA650" s="139"/>
      <c r="AB650" s="139"/>
      <c r="AC650" s="139"/>
      <c r="AD650" s="139"/>
      <c r="AE650" s="139"/>
      <c r="AF650" s="139"/>
      <c r="AG650" s="139"/>
      <c r="AH650" s="139"/>
      <c r="AI650" s="139"/>
    </row>
    <row r="651">
      <c r="A651" s="139"/>
      <c r="B651" s="139"/>
      <c r="C651" s="139"/>
      <c r="D651" s="139"/>
      <c r="E651" s="139"/>
      <c r="F651" s="139"/>
      <c r="G651" s="139"/>
      <c r="H651" s="139"/>
      <c r="I651" s="139"/>
      <c r="J651" s="139"/>
      <c r="K651" s="140"/>
      <c r="L651" s="140"/>
      <c r="M651" s="140"/>
      <c r="N651" s="140"/>
      <c r="O651" s="140"/>
      <c r="P651" s="139"/>
      <c r="Q651" s="139"/>
      <c r="R651" s="139"/>
      <c r="S651" s="139"/>
      <c r="T651" s="139"/>
      <c r="U651" s="139"/>
      <c r="V651" s="139"/>
      <c r="W651" s="139"/>
      <c r="X651" s="139"/>
      <c r="Y651" s="139"/>
      <c r="Z651" s="139"/>
      <c r="AA651" s="139"/>
      <c r="AB651" s="139"/>
      <c r="AC651" s="139"/>
      <c r="AD651" s="139"/>
      <c r="AE651" s="139"/>
      <c r="AF651" s="139"/>
      <c r="AG651" s="139"/>
      <c r="AH651" s="139"/>
      <c r="AI651" s="139"/>
    </row>
    <row r="652">
      <c r="A652" s="139"/>
      <c r="B652" s="139"/>
      <c r="C652" s="139"/>
      <c r="D652" s="139"/>
      <c r="E652" s="139"/>
      <c r="F652" s="139"/>
      <c r="G652" s="139"/>
      <c r="H652" s="139"/>
      <c r="I652" s="139"/>
      <c r="J652" s="139"/>
      <c r="K652" s="140"/>
      <c r="L652" s="140"/>
      <c r="M652" s="140"/>
      <c r="N652" s="140"/>
      <c r="O652" s="140"/>
      <c r="P652" s="139"/>
      <c r="Q652" s="139"/>
      <c r="R652" s="139"/>
      <c r="S652" s="139"/>
      <c r="T652" s="139"/>
      <c r="U652" s="139"/>
      <c r="V652" s="139"/>
      <c r="W652" s="139"/>
      <c r="X652" s="139"/>
      <c r="Y652" s="139"/>
      <c r="Z652" s="139"/>
      <c r="AA652" s="139"/>
      <c r="AB652" s="139"/>
      <c r="AC652" s="139"/>
      <c r="AD652" s="139"/>
      <c r="AE652" s="139"/>
      <c r="AF652" s="139"/>
      <c r="AG652" s="139"/>
      <c r="AH652" s="139"/>
      <c r="AI652" s="139"/>
    </row>
    <row r="653">
      <c r="A653" s="139"/>
      <c r="B653" s="139"/>
      <c r="C653" s="139"/>
      <c r="D653" s="139"/>
      <c r="E653" s="139"/>
      <c r="F653" s="139"/>
      <c r="G653" s="139"/>
      <c r="H653" s="139"/>
      <c r="I653" s="139"/>
      <c r="J653" s="139"/>
      <c r="K653" s="140"/>
      <c r="L653" s="140"/>
      <c r="M653" s="140"/>
      <c r="N653" s="140"/>
      <c r="O653" s="140"/>
      <c r="P653" s="139"/>
      <c r="Q653" s="139"/>
      <c r="R653" s="139"/>
      <c r="S653" s="139"/>
      <c r="T653" s="139"/>
      <c r="U653" s="139"/>
      <c r="V653" s="139"/>
      <c r="W653" s="139"/>
      <c r="X653" s="139"/>
      <c r="Y653" s="139"/>
      <c r="Z653" s="139"/>
      <c r="AA653" s="139"/>
      <c r="AB653" s="139"/>
      <c r="AC653" s="139"/>
      <c r="AD653" s="139"/>
      <c r="AE653" s="139"/>
      <c r="AF653" s="139"/>
      <c r="AG653" s="139"/>
      <c r="AH653" s="139"/>
      <c r="AI653" s="139"/>
    </row>
    <row r="654">
      <c r="A654" s="139"/>
      <c r="B654" s="139"/>
      <c r="C654" s="139"/>
      <c r="D654" s="139"/>
      <c r="E654" s="139"/>
      <c r="F654" s="139"/>
      <c r="G654" s="139"/>
      <c r="H654" s="139"/>
      <c r="I654" s="139"/>
      <c r="J654" s="139"/>
      <c r="K654" s="140"/>
      <c r="L654" s="140"/>
      <c r="M654" s="140"/>
      <c r="N654" s="140"/>
      <c r="O654" s="140"/>
      <c r="P654" s="139"/>
      <c r="Q654" s="139"/>
      <c r="R654" s="139"/>
      <c r="S654" s="139"/>
      <c r="T654" s="139"/>
      <c r="U654" s="139"/>
      <c r="V654" s="139"/>
      <c r="W654" s="139"/>
      <c r="X654" s="139"/>
      <c r="Y654" s="139"/>
      <c r="Z654" s="139"/>
      <c r="AA654" s="139"/>
      <c r="AB654" s="139"/>
      <c r="AC654" s="139"/>
      <c r="AD654" s="139"/>
      <c r="AE654" s="139"/>
      <c r="AF654" s="139"/>
      <c r="AG654" s="139"/>
      <c r="AH654" s="139"/>
      <c r="AI654" s="139"/>
    </row>
    <row r="655">
      <c r="A655" s="139"/>
      <c r="B655" s="139"/>
      <c r="C655" s="139"/>
      <c r="D655" s="139"/>
      <c r="E655" s="139"/>
      <c r="F655" s="139"/>
      <c r="G655" s="139"/>
      <c r="H655" s="139"/>
      <c r="I655" s="139"/>
      <c r="J655" s="139"/>
      <c r="K655" s="140"/>
      <c r="L655" s="140"/>
      <c r="M655" s="140"/>
      <c r="N655" s="140"/>
      <c r="O655" s="140"/>
      <c r="P655" s="139"/>
      <c r="Q655" s="139"/>
      <c r="R655" s="139"/>
      <c r="S655" s="139"/>
      <c r="T655" s="139"/>
      <c r="U655" s="139"/>
      <c r="V655" s="139"/>
      <c r="W655" s="139"/>
      <c r="X655" s="139"/>
      <c r="Y655" s="139"/>
      <c r="Z655" s="139"/>
      <c r="AA655" s="139"/>
      <c r="AB655" s="139"/>
      <c r="AC655" s="139"/>
      <c r="AD655" s="139"/>
      <c r="AE655" s="139"/>
      <c r="AF655" s="139"/>
      <c r="AG655" s="139"/>
      <c r="AH655" s="139"/>
      <c r="AI655" s="139"/>
    </row>
    <row r="656">
      <c r="A656" s="139"/>
      <c r="B656" s="139"/>
      <c r="C656" s="139"/>
      <c r="D656" s="139"/>
      <c r="E656" s="139"/>
      <c r="F656" s="139"/>
      <c r="G656" s="139"/>
      <c r="H656" s="139"/>
      <c r="I656" s="139"/>
      <c r="J656" s="139"/>
      <c r="K656" s="140"/>
      <c r="L656" s="140"/>
      <c r="M656" s="140"/>
      <c r="N656" s="140"/>
      <c r="O656" s="140"/>
      <c r="P656" s="139"/>
      <c r="Q656" s="139"/>
      <c r="R656" s="139"/>
      <c r="S656" s="139"/>
      <c r="T656" s="139"/>
      <c r="U656" s="139"/>
      <c r="V656" s="139"/>
      <c r="W656" s="139"/>
      <c r="X656" s="139"/>
      <c r="Y656" s="139"/>
      <c r="Z656" s="139"/>
      <c r="AA656" s="139"/>
      <c r="AB656" s="139"/>
      <c r="AC656" s="139"/>
      <c r="AD656" s="139"/>
      <c r="AE656" s="139"/>
      <c r="AF656" s="139"/>
      <c r="AG656" s="139"/>
      <c r="AH656" s="139"/>
      <c r="AI656" s="139"/>
    </row>
    <row r="657">
      <c r="A657" s="139"/>
      <c r="B657" s="139"/>
      <c r="C657" s="139"/>
      <c r="D657" s="139"/>
      <c r="E657" s="139"/>
      <c r="F657" s="139"/>
      <c r="G657" s="139"/>
      <c r="H657" s="139"/>
      <c r="I657" s="139"/>
      <c r="J657" s="139"/>
      <c r="K657" s="140"/>
      <c r="L657" s="140"/>
      <c r="M657" s="140"/>
      <c r="N657" s="140"/>
      <c r="O657" s="140"/>
      <c r="P657" s="139"/>
      <c r="Q657" s="139"/>
      <c r="R657" s="139"/>
      <c r="S657" s="139"/>
      <c r="T657" s="139"/>
      <c r="U657" s="139"/>
      <c r="V657" s="139"/>
      <c r="W657" s="139"/>
      <c r="X657" s="139"/>
      <c r="Y657" s="139"/>
      <c r="Z657" s="139"/>
      <c r="AA657" s="139"/>
      <c r="AB657" s="139"/>
      <c r="AC657" s="139"/>
      <c r="AD657" s="139"/>
      <c r="AE657" s="139"/>
      <c r="AF657" s="139"/>
      <c r="AG657" s="139"/>
      <c r="AH657" s="139"/>
      <c r="AI657" s="139"/>
    </row>
    <row r="658">
      <c r="A658" s="139"/>
      <c r="B658" s="139"/>
      <c r="C658" s="139"/>
      <c r="D658" s="139"/>
      <c r="E658" s="139"/>
      <c r="F658" s="139"/>
      <c r="G658" s="139"/>
      <c r="H658" s="139"/>
      <c r="I658" s="139"/>
      <c r="J658" s="139"/>
      <c r="K658" s="140"/>
      <c r="L658" s="140"/>
      <c r="M658" s="140"/>
      <c r="N658" s="140"/>
      <c r="O658" s="140"/>
      <c r="P658" s="139"/>
      <c r="Q658" s="139"/>
      <c r="R658" s="139"/>
      <c r="S658" s="139"/>
      <c r="T658" s="139"/>
      <c r="U658" s="139"/>
      <c r="V658" s="139"/>
      <c r="W658" s="139"/>
      <c r="X658" s="139"/>
      <c r="Y658" s="139"/>
      <c r="Z658" s="139"/>
      <c r="AA658" s="139"/>
      <c r="AB658" s="139"/>
      <c r="AC658" s="139"/>
      <c r="AD658" s="139"/>
      <c r="AE658" s="139"/>
      <c r="AF658" s="139"/>
      <c r="AG658" s="139"/>
      <c r="AH658" s="139"/>
      <c r="AI658" s="139"/>
    </row>
    <row r="659">
      <c r="A659" s="139"/>
      <c r="B659" s="139"/>
      <c r="C659" s="139"/>
      <c r="D659" s="139"/>
      <c r="E659" s="139"/>
      <c r="F659" s="139"/>
      <c r="G659" s="139"/>
      <c r="H659" s="139"/>
      <c r="I659" s="139"/>
      <c r="J659" s="139"/>
      <c r="K659" s="140"/>
      <c r="L659" s="140"/>
      <c r="M659" s="140"/>
      <c r="N659" s="140"/>
      <c r="O659" s="140"/>
      <c r="P659" s="139"/>
      <c r="Q659" s="139"/>
      <c r="R659" s="139"/>
      <c r="S659" s="139"/>
      <c r="T659" s="139"/>
      <c r="U659" s="139"/>
      <c r="V659" s="139"/>
      <c r="W659" s="139"/>
      <c r="X659" s="139"/>
      <c r="Y659" s="139"/>
      <c r="Z659" s="139"/>
      <c r="AA659" s="139"/>
      <c r="AB659" s="139"/>
      <c r="AC659" s="139"/>
      <c r="AD659" s="139"/>
      <c r="AE659" s="139"/>
      <c r="AF659" s="139"/>
      <c r="AG659" s="139"/>
      <c r="AH659" s="139"/>
      <c r="AI659" s="139"/>
    </row>
    <row r="660">
      <c r="A660" s="139"/>
      <c r="B660" s="139"/>
      <c r="C660" s="139"/>
      <c r="D660" s="139"/>
      <c r="E660" s="139"/>
      <c r="F660" s="139"/>
      <c r="G660" s="139"/>
      <c r="H660" s="139"/>
      <c r="I660" s="139"/>
      <c r="J660" s="139"/>
      <c r="K660" s="140"/>
      <c r="L660" s="140"/>
      <c r="M660" s="140"/>
      <c r="N660" s="140"/>
      <c r="O660" s="140"/>
      <c r="P660" s="139"/>
      <c r="Q660" s="139"/>
      <c r="R660" s="139"/>
      <c r="S660" s="139"/>
      <c r="T660" s="139"/>
      <c r="U660" s="139"/>
      <c r="V660" s="139"/>
      <c r="W660" s="139"/>
      <c r="X660" s="139"/>
      <c r="Y660" s="139"/>
      <c r="Z660" s="139"/>
      <c r="AA660" s="139"/>
      <c r="AB660" s="139"/>
      <c r="AC660" s="139"/>
      <c r="AD660" s="139"/>
      <c r="AE660" s="139"/>
      <c r="AF660" s="139"/>
      <c r="AG660" s="139"/>
      <c r="AH660" s="139"/>
      <c r="AI660" s="139"/>
    </row>
    <row r="661">
      <c r="A661" s="139"/>
      <c r="B661" s="139"/>
      <c r="C661" s="139"/>
      <c r="D661" s="139"/>
      <c r="E661" s="139"/>
      <c r="F661" s="139"/>
      <c r="G661" s="139"/>
      <c r="H661" s="139"/>
      <c r="I661" s="139"/>
      <c r="J661" s="139"/>
      <c r="K661" s="140"/>
      <c r="L661" s="140"/>
      <c r="M661" s="140"/>
      <c r="N661" s="140"/>
      <c r="O661" s="140"/>
      <c r="P661" s="139"/>
      <c r="Q661" s="139"/>
      <c r="R661" s="139"/>
      <c r="S661" s="139"/>
      <c r="T661" s="139"/>
      <c r="U661" s="139"/>
      <c r="V661" s="139"/>
      <c r="W661" s="139"/>
      <c r="X661" s="139"/>
      <c r="Y661" s="139"/>
      <c r="Z661" s="139"/>
      <c r="AA661" s="139"/>
      <c r="AB661" s="139"/>
      <c r="AC661" s="139"/>
      <c r="AD661" s="139"/>
      <c r="AE661" s="139"/>
      <c r="AF661" s="139"/>
      <c r="AG661" s="139"/>
      <c r="AH661" s="139"/>
      <c r="AI661" s="139"/>
    </row>
    <row r="662">
      <c r="A662" s="139"/>
      <c r="B662" s="139"/>
      <c r="C662" s="139"/>
      <c r="D662" s="139"/>
      <c r="E662" s="139"/>
      <c r="F662" s="139"/>
      <c r="G662" s="139"/>
      <c r="H662" s="139"/>
      <c r="I662" s="139"/>
      <c r="J662" s="139"/>
      <c r="K662" s="140"/>
      <c r="L662" s="140"/>
      <c r="M662" s="140"/>
      <c r="N662" s="140"/>
      <c r="O662" s="140"/>
      <c r="P662" s="139"/>
      <c r="Q662" s="139"/>
      <c r="R662" s="139"/>
      <c r="S662" s="139"/>
      <c r="T662" s="139"/>
      <c r="U662" s="139"/>
      <c r="V662" s="139"/>
      <c r="W662" s="139"/>
      <c r="X662" s="139"/>
      <c r="Y662" s="139"/>
      <c r="Z662" s="139"/>
      <c r="AA662" s="139"/>
      <c r="AB662" s="139"/>
      <c r="AC662" s="139"/>
      <c r="AD662" s="139"/>
      <c r="AE662" s="139"/>
      <c r="AF662" s="139"/>
      <c r="AG662" s="139"/>
      <c r="AH662" s="139"/>
      <c r="AI662" s="139"/>
    </row>
    <row r="663">
      <c r="A663" s="139"/>
      <c r="B663" s="139"/>
      <c r="C663" s="139"/>
      <c r="D663" s="139"/>
      <c r="E663" s="139"/>
      <c r="F663" s="139"/>
      <c r="G663" s="139"/>
      <c r="H663" s="139"/>
      <c r="I663" s="139"/>
      <c r="J663" s="139"/>
      <c r="K663" s="140"/>
      <c r="L663" s="140"/>
      <c r="M663" s="140"/>
      <c r="N663" s="140"/>
      <c r="O663" s="140"/>
      <c r="P663" s="139"/>
      <c r="Q663" s="139"/>
      <c r="R663" s="139"/>
      <c r="S663" s="139"/>
      <c r="T663" s="139"/>
      <c r="U663" s="139"/>
      <c r="V663" s="139"/>
      <c r="W663" s="139"/>
      <c r="X663" s="139"/>
      <c r="Y663" s="139"/>
      <c r="Z663" s="139"/>
      <c r="AA663" s="139"/>
      <c r="AB663" s="139"/>
      <c r="AC663" s="139"/>
      <c r="AD663" s="139"/>
      <c r="AE663" s="139"/>
      <c r="AF663" s="139"/>
      <c r="AG663" s="139"/>
      <c r="AH663" s="139"/>
      <c r="AI663" s="139"/>
    </row>
    <row r="664">
      <c r="A664" s="139"/>
      <c r="B664" s="139"/>
      <c r="C664" s="139"/>
      <c r="D664" s="139"/>
      <c r="E664" s="139"/>
      <c r="F664" s="139"/>
      <c r="G664" s="139"/>
      <c r="H664" s="139"/>
      <c r="I664" s="139"/>
      <c r="J664" s="139"/>
      <c r="K664" s="140"/>
      <c r="L664" s="140"/>
      <c r="M664" s="140"/>
      <c r="N664" s="140"/>
      <c r="O664" s="140"/>
      <c r="P664" s="139"/>
      <c r="Q664" s="139"/>
      <c r="R664" s="139"/>
      <c r="S664" s="139"/>
      <c r="T664" s="139"/>
      <c r="U664" s="139"/>
      <c r="V664" s="139"/>
      <c r="W664" s="139"/>
      <c r="X664" s="139"/>
      <c r="Y664" s="139"/>
      <c r="Z664" s="139"/>
      <c r="AA664" s="139"/>
      <c r="AB664" s="139"/>
      <c r="AC664" s="139"/>
      <c r="AD664" s="139"/>
      <c r="AE664" s="139"/>
      <c r="AF664" s="139"/>
      <c r="AG664" s="139"/>
      <c r="AH664" s="139"/>
      <c r="AI664" s="139"/>
    </row>
    <row r="665">
      <c r="A665" s="139"/>
      <c r="B665" s="139"/>
      <c r="C665" s="139"/>
      <c r="D665" s="139"/>
      <c r="E665" s="139"/>
      <c r="F665" s="139"/>
      <c r="G665" s="139"/>
      <c r="H665" s="139"/>
      <c r="I665" s="139"/>
      <c r="J665" s="139"/>
      <c r="K665" s="140"/>
      <c r="L665" s="140"/>
      <c r="M665" s="140"/>
      <c r="N665" s="140"/>
      <c r="O665" s="140"/>
      <c r="P665" s="139"/>
      <c r="Q665" s="139"/>
      <c r="R665" s="139"/>
      <c r="S665" s="139"/>
      <c r="T665" s="139"/>
      <c r="U665" s="139"/>
      <c r="V665" s="139"/>
      <c r="W665" s="139"/>
      <c r="X665" s="139"/>
      <c r="Y665" s="139"/>
      <c r="Z665" s="139"/>
      <c r="AA665" s="139"/>
      <c r="AB665" s="139"/>
      <c r="AC665" s="139"/>
      <c r="AD665" s="139"/>
      <c r="AE665" s="139"/>
      <c r="AF665" s="139"/>
      <c r="AG665" s="139"/>
      <c r="AH665" s="139"/>
      <c r="AI665" s="139"/>
    </row>
    <row r="666">
      <c r="A666" s="139"/>
      <c r="B666" s="139"/>
      <c r="C666" s="139"/>
      <c r="D666" s="139"/>
      <c r="E666" s="139"/>
      <c r="F666" s="139"/>
      <c r="G666" s="139"/>
      <c r="H666" s="139"/>
      <c r="I666" s="139"/>
      <c r="J666" s="139"/>
      <c r="K666" s="140"/>
      <c r="L666" s="140"/>
      <c r="M666" s="140"/>
      <c r="N666" s="140"/>
      <c r="O666" s="140"/>
      <c r="P666" s="139"/>
      <c r="Q666" s="139"/>
      <c r="R666" s="139"/>
      <c r="S666" s="139"/>
      <c r="T666" s="139"/>
      <c r="U666" s="139"/>
      <c r="V666" s="139"/>
      <c r="W666" s="139"/>
      <c r="X666" s="139"/>
      <c r="Y666" s="139"/>
      <c r="Z666" s="139"/>
      <c r="AA666" s="139"/>
      <c r="AB666" s="139"/>
      <c r="AC666" s="139"/>
      <c r="AD666" s="139"/>
      <c r="AE666" s="139"/>
      <c r="AF666" s="139"/>
      <c r="AG666" s="139"/>
      <c r="AH666" s="139"/>
      <c r="AI666" s="139"/>
    </row>
    <row r="667">
      <c r="A667" s="139"/>
      <c r="B667" s="139"/>
      <c r="C667" s="139"/>
      <c r="D667" s="139"/>
      <c r="E667" s="139"/>
      <c r="F667" s="139"/>
      <c r="G667" s="139"/>
      <c r="H667" s="139"/>
      <c r="I667" s="139"/>
      <c r="J667" s="139"/>
      <c r="K667" s="140"/>
      <c r="L667" s="140"/>
      <c r="M667" s="140"/>
      <c r="N667" s="140"/>
      <c r="O667" s="140"/>
      <c r="P667" s="139"/>
      <c r="Q667" s="139"/>
      <c r="R667" s="139"/>
      <c r="S667" s="139"/>
      <c r="T667" s="139"/>
      <c r="U667" s="139"/>
      <c r="V667" s="139"/>
      <c r="W667" s="139"/>
      <c r="X667" s="139"/>
      <c r="Y667" s="139"/>
      <c r="Z667" s="139"/>
      <c r="AA667" s="139"/>
      <c r="AB667" s="139"/>
      <c r="AC667" s="139"/>
      <c r="AD667" s="139"/>
      <c r="AE667" s="139"/>
      <c r="AF667" s="139"/>
      <c r="AG667" s="139"/>
      <c r="AH667" s="139"/>
      <c r="AI667" s="139"/>
    </row>
    <row r="668">
      <c r="A668" s="139"/>
      <c r="B668" s="139"/>
      <c r="C668" s="139"/>
      <c r="D668" s="139"/>
      <c r="E668" s="139"/>
      <c r="F668" s="139"/>
      <c r="G668" s="139"/>
      <c r="H668" s="139"/>
      <c r="I668" s="139"/>
      <c r="J668" s="139"/>
      <c r="K668" s="140"/>
      <c r="L668" s="140"/>
      <c r="M668" s="140"/>
      <c r="N668" s="140"/>
      <c r="O668" s="140"/>
      <c r="P668" s="139"/>
      <c r="Q668" s="139"/>
      <c r="R668" s="139"/>
      <c r="S668" s="139"/>
      <c r="T668" s="139"/>
      <c r="U668" s="139"/>
      <c r="V668" s="139"/>
      <c r="W668" s="139"/>
      <c r="X668" s="139"/>
      <c r="Y668" s="139"/>
      <c r="Z668" s="139"/>
      <c r="AA668" s="139"/>
      <c r="AB668" s="139"/>
      <c r="AC668" s="139"/>
      <c r="AD668" s="139"/>
      <c r="AE668" s="139"/>
      <c r="AF668" s="139"/>
      <c r="AG668" s="139"/>
      <c r="AH668" s="139"/>
      <c r="AI668" s="139"/>
    </row>
    <row r="669">
      <c r="A669" s="139"/>
      <c r="B669" s="139"/>
      <c r="C669" s="139"/>
      <c r="D669" s="139"/>
      <c r="E669" s="139"/>
      <c r="F669" s="139"/>
      <c r="G669" s="139"/>
      <c r="H669" s="139"/>
      <c r="I669" s="139"/>
      <c r="J669" s="139"/>
      <c r="K669" s="140"/>
      <c r="L669" s="140"/>
      <c r="M669" s="140"/>
      <c r="N669" s="140"/>
      <c r="O669" s="140"/>
      <c r="P669" s="139"/>
      <c r="Q669" s="139"/>
      <c r="R669" s="139"/>
      <c r="S669" s="139"/>
      <c r="T669" s="139"/>
      <c r="U669" s="139"/>
      <c r="V669" s="139"/>
      <c r="W669" s="139"/>
      <c r="X669" s="139"/>
      <c r="Y669" s="139"/>
      <c r="Z669" s="139"/>
      <c r="AA669" s="139"/>
      <c r="AB669" s="139"/>
      <c r="AC669" s="139"/>
      <c r="AD669" s="139"/>
      <c r="AE669" s="139"/>
      <c r="AF669" s="139"/>
      <c r="AG669" s="139"/>
      <c r="AH669" s="139"/>
      <c r="AI669" s="139"/>
    </row>
    <row r="670">
      <c r="A670" s="139"/>
      <c r="B670" s="139"/>
      <c r="C670" s="139"/>
      <c r="D670" s="139"/>
      <c r="E670" s="139"/>
      <c r="F670" s="139"/>
      <c r="G670" s="139"/>
      <c r="H670" s="139"/>
      <c r="I670" s="139"/>
      <c r="J670" s="139"/>
      <c r="K670" s="140"/>
      <c r="L670" s="140"/>
      <c r="M670" s="140"/>
      <c r="N670" s="140"/>
      <c r="O670" s="140"/>
      <c r="P670" s="139"/>
      <c r="Q670" s="139"/>
      <c r="R670" s="139"/>
      <c r="S670" s="139"/>
      <c r="T670" s="139"/>
      <c r="U670" s="139"/>
      <c r="V670" s="139"/>
      <c r="W670" s="139"/>
      <c r="X670" s="139"/>
      <c r="Y670" s="139"/>
      <c r="Z670" s="139"/>
      <c r="AA670" s="139"/>
      <c r="AB670" s="139"/>
      <c r="AC670" s="139"/>
      <c r="AD670" s="139"/>
      <c r="AE670" s="139"/>
      <c r="AF670" s="139"/>
      <c r="AG670" s="139"/>
      <c r="AH670" s="139"/>
      <c r="AI670" s="139"/>
    </row>
    <row r="671">
      <c r="A671" s="139"/>
      <c r="B671" s="139"/>
      <c r="C671" s="139"/>
      <c r="D671" s="139"/>
      <c r="E671" s="139"/>
      <c r="F671" s="139"/>
      <c r="G671" s="139"/>
      <c r="H671" s="139"/>
      <c r="I671" s="139"/>
      <c r="J671" s="139"/>
      <c r="K671" s="140"/>
      <c r="L671" s="140"/>
      <c r="M671" s="140"/>
      <c r="N671" s="140"/>
      <c r="O671" s="140"/>
      <c r="P671" s="139"/>
      <c r="Q671" s="139"/>
      <c r="R671" s="139"/>
      <c r="S671" s="139"/>
      <c r="T671" s="139"/>
      <c r="U671" s="139"/>
      <c r="V671" s="139"/>
      <c r="W671" s="139"/>
      <c r="X671" s="139"/>
      <c r="Y671" s="139"/>
      <c r="Z671" s="139"/>
      <c r="AA671" s="139"/>
      <c r="AB671" s="139"/>
      <c r="AC671" s="139"/>
      <c r="AD671" s="139"/>
      <c r="AE671" s="139"/>
      <c r="AF671" s="139"/>
      <c r="AG671" s="139"/>
      <c r="AH671" s="139"/>
      <c r="AI671" s="139"/>
    </row>
    <row r="672">
      <c r="A672" s="139"/>
      <c r="B672" s="139"/>
      <c r="C672" s="139"/>
      <c r="D672" s="139"/>
      <c r="E672" s="139"/>
      <c r="F672" s="139"/>
      <c r="G672" s="139"/>
      <c r="H672" s="139"/>
      <c r="I672" s="139"/>
      <c r="J672" s="139"/>
      <c r="K672" s="140"/>
      <c r="L672" s="140"/>
      <c r="M672" s="140"/>
      <c r="N672" s="140"/>
      <c r="O672" s="140"/>
      <c r="P672" s="139"/>
      <c r="Q672" s="139"/>
      <c r="R672" s="139"/>
      <c r="S672" s="139"/>
      <c r="T672" s="139"/>
      <c r="U672" s="139"/>
      <c r="V672" s="139"/>
      <c r="W672" s="139"/>
      <c r="X672" s="139"/>
      <c r="Y672" s="139"/>
      <c r="Z672" s="139"/>
      <c r="AA672" s="139"/>
      <c r="AB672" s="139"/>
      <c r="AC672" s="139"/>
      <c r="AD672" s="139"/>
      <c r="AE672" s="139"/>
      <c r="AF672" s="139"/>
      <c r="AG672" s="139"/>
      <c r="AH672" s="139"/>
      <c r="AI672" s="139"/>
    </row>
    <row r="673">
      <c r="A673" s="139"/>
      <c r="B673" s="139"/>
      <c r="C673" s="139"/>
      <c r="D673" s="139"/>
      <c r="E673" s="139"/>
      <c r="F673" s="139"/>
      <c r="G673" s="139"/>
      <c r="H673" s="139"/>
      <c r="I673" s="139"/>
      <c r="J673" s="139"/>
      <c r="K673" s="140"/>
      <c r="L673" s="140"/>
      <c r="M673" s="140"/>
      <c r="N673" s="140"/>
      <c r="O673" s="140"/>
      <c r="P673" s="139"/>
      <c r="Q673" s="139"/>
      <c r="R673" s="139"/>
      <c r="S673" s="139"/>
      <c r="T673" s="139"/>
      <c r="U673" s="139"/>
      <c r="V673" s="139"/>
      <c r="W673" s="139"/>
      <c r="X673" s="139"/>
      <c r="Y673" s="139"/>
      <c r="Z673" s="139"/>
      <c r="AA673" s="139"/>
      <c r="AB673" s="139"/>
      <c r="AC673" s="139"/>
      <c r="AD673" s="139"/>
      <c r="AE673" s="139"/>
      <c r="AF673" s="139"/>
      <c r="AG673" s="139"/>
      <c r="AH673" s="139"/>
      <c r="AI673" s="139"/>
    </row>
    <row r="674">
      <c r="A674" s="139"/>
      <c r="B674" s="139"/>
      <c r="C674" s="139"/>
      <c r="D674" s="139"/>
      <c r="E674" s="139"/>
      <c r="F674" s="139"/>
      <c r="G674" s="139"/>
      <c r="H674" s="139"/>
      <c r="I674" s="139"/>
      <c r="J674" s="139"/>
      <c r="K674" s="140"/>
      <c r="L674" s="140"/>
      <c r="M674" s="140"/>
      <c r="N674" s="140"/>
      <c r="O674" s="140"/>
      <c r="P674" s="139"/>
      <c r="Q674" s="139"/>
      <c r="R674" s="139"/>
      <c r="S674" s="139"/>
      <c r="T674" s="139"/>
      <c r="U674" s="139"/>
      <c r="V674" s="139"/>
      <c r="W674" s="139"/>
      <c r="X674" s="139"/>
      <c r="Y674" s="139"/>
      <c r="Z674" s="139"/>
      <c r="AA674" s="139"/>
      <c r="AB674" s="139"/>
      <c r="AC674" s="139"/>
      <c r="AD674" s="139"/>
      <c r="AE674" s="139"/>
      <c r="AF674" s="139"/>
      <c r="AG674" s="139"/>
      <c r="AH674" s="139"/>
      <c r="AI674" s="139"/>
    </row>
    <row r="675">
      <c r="A675" s="139"/>
      <c r="B675" s="139"/>
      <c r="C675" s="139"/>
      <c r="D675" s="139"/>
      <c r="E675" s="139"/>
      <c r="F675" s="139"/>
      <c r="G675" s="139"/>
      <c r="H675" s="139"/>
      <c r="I675" s="139"/>
      <c r="J675" s="139"/>
      <c r="K675" s="140"/>
      <c r="L675" s="140"/>
      <c r="M675" s="140"/>
      <c r="N675" s="140"/>
      <c r="O675" s="140"/>
      <c r="P675" s="139"/>
      <c r="Q675" s="139"/>
      <c r="R675" s="139"/>
      <c r="S675" s="139"/>
      <c r="T675" s="139"/>
      <c r="U675" s="139"/>
      <c r="V675" s="139"/>
      <c r="W675" s="139"/>
      <c r="X675" s="139"/>
      <c r="Y675" s="139"/>
      <c r="Z675" s="139"/>
      <c r="AA675" s="139"/>
      <c r="AB675" s="139"/>
      <c r="AC675" s="139"/>
      <c r="AD675" s="139"/>
      <c r="AE675" s="139"/>
      <c r="AF675" s="139"/>
      <c r="AG675" s="139"/>
      <c r="AH675" s="139"/>
      <c r="AI675" s="139"/>
    </row>
    <row r="676">
      <c r="A676" s="139"/>
      <c r="B676" s="139"/>
      <c r="C676" s="139"/>
      <c r="D676" s="139"/>
      <c r="E676" s="139"/>
      <c r="F676" s="139"/>
      <c r="G676" s="139"/>
      <c r="H676" s="139"/>
      <c r="I676" s="139"/>
      <c r="J676" s="139"/>
      <c r="K676" s="140"/>
      <c r="L676" s="140"/>
      <c r="M676" s="140"/>
      <c r="N676" s="140"/>
      <c r="O676" s="140"/>
      <c r="P676" s="139"/>
      <c r="Q676" s="139"/>
      <c r="R676" s="139"/>
      <c r="S676" s="139"/>
      <c r="T676" s="139"/>
      <c r="U676" s="139"/>
      <c r="V676" s="139"/>
      <c r="W676" s="139"/>
      <c r="X676" s="139"/>
      <c r="Y676" s="139"/>
      <c r="Z676" s="139"/>
      <c r="AA676" s="139"/>
      <c r="AB676" s="139"/>
      <c r="AC676" s="139"/>
      <c r="AD676" s="139"/>
      <c r="AE676" s="139"/>
      <c r="AF676" s="139"/>
      <c r="AG676" s="139"/>
      <c r="AH676" s="139"/>
      <c r="AI676" s="139"/>
    </row>
    <row r="677">
      <c r="A677" s="139"/>
      <c r="B677" s="139"/>
      <c r="C677" s="139"/>
      <c r="D677" s="139"/>
      <c r="E677" s="139"/>
      <c r="F677" s="139"/>
      <c r="G677" s="139"/>
      <c r="H677" s="139"/>
      <c r="I677" s="139"/>
      <c r="J677" s="139"/>
      <c r="K677" s="140"/>
      <c r="L677" s="140"/>
      <c r="M677" s="140"/>
      <c r="N677" s="140"/>
      <c r="O677" s="140"/>
      <c r="P677" s="139"/>
      <c r="Q677" s="139"/>
      <c r="R677" s="139"/>
      <c r="S677" s="139"/>
      <c r="T677" s="139"/>
      <c r="U677" s="139"/>
      <c r="V677" s="139"/>
      <c r="W677" s="139"/>
      <c r="X677" s="139"/>
      <c r="Y677" s="139"/>
      <c r="Z677" s="139"/>
      <c r="AA677" s="139"/>
      <c r="AB677" s="139"/>
      <c r="AC677" s="139"/>
      <c r="AD677" s="139"/>
      <c r="AE677" s="139"/>
      <c r="AF677" s="139"/>
      <c r="AG677" s="139"/>
      <c r="AH677" s="139"/>
      <c r="AI677" s="139"/>
    </row>
    <row r="678">
      <c r="A678" s="139"/>
      <c r="B678" s="139"/>
      <c r="C678" s="139"/>
      <c r="D678" s="139"/>
      <c r="E678" s="139"/>
      <c r="F678" s="139"/>
      <c r="G678" s="139"/>
      <c r="H678" s="139"/>
      <c r="I678" s="139"/>
      <c r="J678" s="139"/>
      <c r="K678" s="140"/>
      <c r="L678" s="140"/>
      <c r="M678" s="140"/>
      <c r="N678" s="140"/>
      <c r="O678" s="140"/>
      <c r="P678" s="139"/>
      <c r="Q678" s="139"/>
      <c r="R678" s="139"/>
      <c r="S678" s="139"/>
      <c r="T678" s="139"/>
      <c r="U678" s="139"/>
      <c r="V678" s="139"/>
      <c r="W678" s="139"/>
      <c r="X678" s="139"/>
      <c r="Y678" s="139"/>
      <c r="Z678" s="139"/>
      <c r="AA678" s="139"/>
      <c r="AB678" s="139"/>
      <c r="AC678" s="139"/>
      <c r="AD678" s="139"/>
      <c r="AE678" s="139"/>
      <c r="AF678" s="139"/>
      <c r="AG678" s="139"/>
      <c r="AH678" s="139"/>
      <c r="AI678" s="139"/>
    </row>
    <row r="679">
      <c r="A679" s="139"/>
      <c r="B679" s="139"/>
      <c r="C679" s="139"/>
      <c r="D679" s="139"/>
      <c r="E679" s="139"/>
      <c r="F679" s="139"/>
      <c r="G679" s="139"/>
      <c r="H679" s="139"/>
      <c r="I679" s="139"/>
      <c r="J679" s="139"/>
      <c r="K679" s="140"/>
      <c r="L679" s="140"/>
      <c r="M679" s="140"/>
      <c r="N679" s="140"/>
      <c r="O679" s="140"/>
      <c r="P679" s="139"/>
      <c r="Q679" s="139"/>
      <c r="R679" s="139"/>
      <c r="S679" s="139"/>
      <c r="T679" s="139"/>
      <c r="U679" s="139"/>
      <c r="V679" s="139"/>
      <c r="W679" s="139"/>
      <c r="X679" s="139"/>
      <c r="Y679" s="139"/>
      <c r="Z679" s="139"/>
      <c r="AA679" s="139"/>
      <c r="AB679" s="139"/>
      <c r="AC679" s="139"/>
      <c r="AD679" s="139"/>
      <c r="AE679" s="139"/>
      <c r="AF679" s="139"/>
      <c r="AG679" s="139"/>
      <c r="AH679" s="139"/>
      <c r="AI679" s="139"/>
    </row>
    <row r="680">
      <c r="A680" s="139"/>
      <c r="B680" s="139"/>
      <c r="C680" s="139"/>
      <c r="D680" s="139"/>
      <c r="E680" s="139"/>
      <c r="F680" s="139"/>
      <c r="G680" s="139"/>
      <c r="H680" s="139"/>
      <c r="I680" s="139"/>
      <c r="J680" s="139"/>
      <c r="K680" s="140"/>
      <c r="L680" s="140"/>
      <c r="M680" s="140"/>
      <c r="N680" s="140"/>
      <c r="O680" s="140"/>
      <c r="P680" s="139"/>
      <c r="Q680" s="139"/>
      <c r="R680" s="139"/>
      <c r="S680" s="139"/>
      <c r="T680" s="139"/>
      <c r="U680" s="139"/>
      <c r="V680" s="139"/>
      <c r="W680" s="139"/>
      <c r="X680" s="139"/>
      <c r="Y680" s="139"/>
      <c r="Z680" s="139"/>
      <c r="AA680" s="139"/>
      <c r="AB680" s="139"/>
      <c r="AC680" s="139"/>
      <c r="AD680" s="139"/>
      <c r="AE680" s="139"/>
      <c r="AF680" s="139"/>
      <c r="AG680" s="139"/>
      <c r="AH680" s="139"/>
      <c r="AI680" s="139"/>
    </row>
    <row r="681">
      <c r="A681" s="139"/>
      <c r="B681" s="139"/>
      <c r="C681" s="139"/>
      <c r="D681" s="139"/>
      <c r="E681" s="139"/>
      <c r="F681" s="139"/>
      <c r="G681" s="139"/>
      <c r="H681" s="139"/>
      <c r="I681" s="139"/>
      <c r="J681" s="139"/>
      <c r="K681" s="140"/>
      <c r="L681" s="140"/>
      <c r="M681" s="140"/>
      <c r="N681" s="140"/>
      <c r="O681" s="140"/>
      <c r="P681" s="139"/>
      <c r="Q681" s="139"/>
      <c r="R681" s="139"/>
      <c r="S681" s="139"/>
      <c r="T681" s="139"/>
      <c r="U681" s="139"/>
      <c r="V681" s="139"/>
      <c r="W681" s="139"/>
      <c r="X681" s="139"/>
      <c r="Y681" s="139"/>
      <c r="Z681" s="139"/>
      <c r="AA681" s="139"/>
      <c r="AB681" s="139"/>
      <c r="AC681" s="139"/>
      <c r="AD681" s="139"/>
      <c r="AE681" s="139"/>
      <c r="AF681" s="139"/>
      <c r="AG681" s="139"/>
      <c r="AH681" s="139"/>
      <c r="AI681" s="139"/>
    </row>
    <row r="682">
      <c r="A682" s="139"/>
      <c r="B682" s="139"/>
      <c r="C682" s="139"/>
      <c r="D682" s="139"/>
      <c r="E682" s="139"/>
      <c r="F682" s="139"/>
      <c r="G682" s="139"/>
      <c r="H682" s="139"/>
      <c r="I682" s="139"/>
      <c r="J682" s="139"/>
      <c r="K682" s="140"/>
      <c r="L682" s="140"/>
      <c r="M682" s="140"/>
      <c r="N682" s="140"/>
      <c r="O682" s="140"/>
      <c r="P682" s="139"/>
      <c r="Q682" s="139"/>
      <c r="R682" s="139"/>
      <c r="S682" s="139"/>
      <c r="T682" s="139"/>
      <c r="U682" s="139"/>
      <c r="V682" s="139"/>
      <c r="W682" s="139"/>
      <c r="X682" s="139"/>
      <c r="Y682" s="139"/>
      <c r="Z682" s="139"/>
      <c r="AA682" s="139"/>
      <c r="AB682" s="139"/>
      <c r="AC682" s="139"/>
      <c r="AD682" s="139"/>
      <c r="AE682" s="139"/>
      <c r="AF682" s="139"/>
      <c r="AG682" s="139"/>
      <c r="AH682" s="139"/>
      <c r="AI682" s="139"/>
    </row>
    <row r="683">
      <c r="A683" s="139"/>
      <c r="B683" s="139"/>
      <c r="C683" s="139"/>
      <c r="D683" s="139"/>
      <c r="E683" s="139"/>
      <c r="F683" s="139"/>
      <c r="G683" s="139"/>
      <c r="H683" s="139"/>
      <c r="I683" s="139"/>
      <c r="J683" s="139"/>
      <c r="K683" s="140"/>
      <c r="L683" s="140"/>
      <c r="M683" s="140"/>
      <c r="N683" s="140"/>
      <c r="O683" s="140"/>
      <c r="P683" s="139"/>
      <c r="Q683" s="139"/>
      <c r="R683" s="139"/>
      <c r="S683" s="139"/>
      <c r="T683" s="139"/>
      <c r="U683" s="139"/>
      <c r="V683" s="139"/>
      <c r="W683" s="139"/>
      <c r="X683" s="139"/>
      <c r="Y683" s="139"/>
      <c r="Z683" s="139"/>
      <c r="AA683" s="139"/>
      <c r="AB683" s="139"/>
      <c r="AC683" s="139"/>
      <c r="AD683" s="139"/>
      <c r="AE683" s="139"/>
      <c r="AF683" s="139"/>
      <c r="AG683" s="139"/>
      <c r="AH683" s="139"/>
      <c r="AI683" s="139"/>
    </row>
    <row r="684">
      <c r="A684" s="139"/>
      <c r="B684" s="139"/>
      <c r="C684" s="139"/>
      <c r="D684" s="139"/>
      <c r="E684" s="139"/>
      <c r="F684" s="139"/>
      <c r="G684" s="139"/>
      <c r="H684" s="139"/>
      <c r="I684" s="139"/>
      <c r="J684" s="139"/>
      <c r="K684" s="140"/>
      <c r="L684" s="140"/>
      <c r="M684" s="140"/>
      <c r="N684" s="140"/>
      <c r="O684" s="140"/>
      <c r="P684" s="139"/>
      <c r="Q684" s="139"/>
      <c r="R684" s="139"/>
      <c r="S684" s="139"/>
      <c r="T684" s="139"/>
      <c r="U684" s="139"/>
      <c r="V684" s="139"/>
      <c r="W684" s="139"/>
      <c r="X684" s="139"/>
      <c r="Y684" s="139"/>
      <c r="Z684" s="139"/>
      <c r="AA684" s="139"/>
      <c r="AB684" s="139"/>
      <c r="AC684" s="139"/>
      <c r="AD684" s="139"/>
      <c r="AE684" s="139"/>
      <c r="AF684" s="139"/>
      <c r="AG684" s="139"/>
      <c r="AH684" s="139"/>
      <c r="AI684" s="139"/>
    </row>
    <row r="685">
      <c r="A685" s="139"/>
      <c r="B685" s="139"/>
      <c r="C685" s="139"/>
      <c r="D685" s="139"/>
      <c r="E685" s="139"/>
      <c r="F685" s="139"/>
      <c r="G685" s="139"/>
      <c r="H685" s="139"/>
      <c r="I685" s="139"/>
      <c r="J685" s="139"/>
      <c r="K685" s="140"/>
      <c r="L685" s="140"/>
      <c r="M685" s="140"/>
      <c r="N685" s="140"/>
      <c r="O685" s="140"/>
      <c r="P685" s="139"/>
      <c r="Q685" s="139"/>
      <c r="R685" s="139"/>
      <c r="S685" s="139"/>
      <c r="T685" s="139"/>
      <c r="U685" s="139"/>
      <c r="V685" s="139"/>
      <c r="W685" s="139"/>
      <c r="X685" s="139"/>
      <c r="Y685" s="139"/>
      <c r="Z685" s="139"/>
      <c r="AA685" s="139"/>
      <c r="AB685" s="139"/>
      <c r="AC685" s="139"/>
      <c r="AD685" s="139"/>
      <c r="AE685" s="139"/>
      <c r="AF685" s="139"/>
      <c r="AG685" s="139"/>
      <c r="AH685" s="139"/>
      <c r="AI685" s="139"/>
    </row>
    <row r="686">
      <c r="A686" s="139"/>
      <c r="B686" s="139"/>
      <c r="C686" s="139"/>
      <c r="D686" s="139"/>
      <c r="E686" s="139"/>
      <c r="F686" s="139"/>
      <c r="G686" s="139"/>
      <c r="H686" s="139"/>
      <c r="I686" s="139"/>
      <c r="J686" s="139"/>
      <c r="K686" s="140"/>
      <c r="L686" s="140"/>
      <c r="M686" s="140"/>
      <c r="N686" s="140"/>
      <c r="O686" s="140"/>
      <c r="P686" s="139"/>
      <c r="Q686" s="139"/>
      <c r="R686" s="139"/>
      <c r="S686" s="139"/>
      <c r="T686" s="139"/>
      <c r="U686" s="139"/>
      <c r="V686" s="139"/>
      <c r="W686" s="139"/>
      <c r="X686" s="139"/>
      <c r="Y686" s="139"/>
      <c r="Z686" s="139"/>
      <c r="AA686" s="139"/>
      <c r="AB686" s="139"/>
      <c r="AC686" s="139"/>
      <c r="AD686" s="139"/>
      <c r="AE686" s="139"/>
      <c r="AF686" s="139"/>
      <c r="AG686" s="139"/>
      <c r="AH686" s="139"/>
      <c r="AI686" s="139"/>
    </row>
    <row r="687">
      <c r="A687" s="139"/>
      <c r="B687" s="139"/>
      <c r="C687" s="139"/>
      <c r="D687" s="139"/>
      <c r="E687" s="139"/>
      <c r="F687" s="139"/>
      <c r="G687" s="139"/>
      <c r="H687" s="139"/>
      <c r="I687" s="139"/>
      <c r="J687" s="139"/>
      <c r="K687" s="140"/>
      <c r="L687" s="140"/>
      <c r="M687" s="140"/>
      <c r="N687" s="140"/>
      <c r="O687" s="140"/>
      <c r="P687" s="139"/>
      <c r="Q687" s="139"/>
      <c r="R687" s="139"/>
      <c r="S687" s="139"/>
      <c r="T687" s="139"/>
      <c r="U687" s="139"/>
      <c r="V687" s="139"/>
      <c r="W687" s="139"/>
      <c r="X687" s="139"/>
      <c r="Y687" s="139"/>
      <c r="Z687" s="139"/>
      <c r="AA687" s="139"/>
      <c r="AB687" s="139"/>
      <c r="AC687" s="139"/>
      <c r="AD687" s="139"/>
      <c r="AE687" s="139"/>
      <c r="AF687" s="139"/>
      <c r="AG687" s="139"/>
      <c r="AH687" s="139"/>
      <c r="AI687" s="139"/>
    </row>
    <row r="688">
      <c r="A688" s="139"/>
      <c r="B688" s="139"/>
      <c r="C688" s="139"/>
      <c r="D688" s="139"/>
      <c r="E688" s="139"/>
      <c r="F688" s="139"/>
      <c r="G688" s="139"/>
      <c r="H688" s="139"/>
      <c r="I688" s="139"/>
      <c r="J688" s="139"/>
      <c r="K688" s="140"/>
      <c r="L688" s="140"/>
      <c r="M688" s="140"/>
      <c r="N688" s="140"/>
      <c r="O688" s="140"/>
      <c r="P688" s="139"/>
      <c r="Q688" s="139"/>
      <c r="R688" s="139"/>
      <c r="S688" s="139"/>
      <c r="T688" s="139"/>
      <c r="U688" s="139"/>
      <c r="V688" s="139"/>
      <c r="W688" s="139"/>
      <c r="X688" s="139"/>
      <c r="Y688" s="139"/>
      <c r="Z688" s="139"/>
      <c r="AA688" s="139"/>
      <c r="AB688" s="139"/>
      <c r="AC688" s="139"/>
      <c r="AD688" s="139"/>
      <c r="AE688" s="139"/>
      <c r="AF688" s="139"/>
      <c r="AG688" s="139"/>
      <c r="AH688" s="139"/>
      <c r="AI688" s="139"/>
    </row>
    <row r="689">
      <c r="A689" s="139"/>
      <c r="B689" s="139"/>
      <c r="C689" s="139"/>
      <c r="D689" s="139"/>
      <c r="E689" s="139"/>
      <c r="F689" s="139"/>
      <c r="G689" s="139"/>
      <c r="H689" s="139"/>
      <c r="I689" s="139"/>
      <c r="J689" s="139"/>
      <c r="K689" s="140"/>
      <c r="L689" s="140"/>
      <c r="M689" s="140"/>
      <c r="N689" s="140"/>
      <c r="O689" s="140"/>
      <c r="P689" s="139"/>
      <c r="Q689" s="139"/>
      <c r="R689" s="139"/>
      <c r="S689" s="139"/>
      <c r="T689" s="139"/>
      <c r="U689" s="139"/>
      <c r="V689" s="139"/>
      <c r="W689" s="139"/>
      <c r="X689" s="139"/>
      <c r="Y689" s="139"/>
      <c r="Z689" s="139"/>
      <c r="AA689" s="139"/>
      <c r="AB689" s="139"/>
      <c r="AC689" s="139"/>
      <c r="AD689" s="139"/>
      <c r="AE689" s="139"/>
      <c r="AF689" s="139"/>
      <c r="AG689" s="139"/>
      <c r="AH689" s="139"/>
      <c r="AI689" s="139"/>
    </row>
    <row r="690">
      <c r="A690" s="139"/>
      <c r="B690" s="139"/>
      <c r="C690" s="139"/>
      <c r="D690" s="139"/>
      <c r="E690" s="139"/>
      <c r="F690" s="139"/>
      <c r="G690" s="139"/>
      <c r="H690" s="139"/>
      <c r="I690" s="139"/>
      <c r="J690" s="139"/>
      <c r="K690" s="140"/>
      <c r="L690" s="140"/>
      <c r="M690" s="140"/>
      <c r="N690" s="140"/>
      <c r="O690" s="140"/>
      <c r="P690" s="139"/>
      <c r="Q690" s="139"/>
      <c r="R690" s="139"/>
      <c r="S690" s="139"/>
      <c r="T690" s="139"/>
      <c r="U690" s="139"/>
      <c r="V690" s="139"/>
      <c r="W690" s="139"/>
      <c r="X690" s="139"/>
      <c r="Y690" s="139"/>
      <c r="Z690" s="139"/>
      <c r="AA690" s="139"/>
      <c r="AB690" s="139"/>
      <c r="AC690" s="139"/>
      <c r="AD690" s="139"/>
      <c r="AE690" s="139"/>
      <c r="AF690" s="139"/>
      <c r="AG690" s="139"/>
      <c r="AH690" s="139"/>
      <c r="AI690" s="139"/>
    </row>
    <row r="691">
      <c r="A691" s="139"/>
      <c r="B691" s="139"/>
      <c r="C691" s="139"/>
      <c r="D691" s="139"/>
      <c r="E691" s="139"/>
      <c r="F691" s="139"/>
      <c r="G691" s="139"/>
      <c r="H691" s="139"/>
      <c r="I691" s="139"/>
      <c r="J691" s="139"/>
      <c r="K691" s="140"/>
      <c r="L691" s="140"/>
      <c r="M691" s="140"/>
      <c r="N691" s="140"/>
      <c r="O691" s="140"/>
      <c r="P691" s="139"/>
      <c r="Q691" s="139"/>
      <c r="R691" s="139"/>
      <c r="S691" s="139"/>
      <c r="T691" s="139"/>
      <c r="U691" s="139"/>
      <c r="V691" s="139"/>
      <c r="W691" s="139"/>
      <c r="X691" s="139"/>
      <c r="Y691" s="139"/>
      <c r="Z691" s="139"/>
      <c r="AA691" s="139"/>
      <c r="AB691" s="139"/>
      <c r="AC691" s="139"/>
      <c r="AD691" s="139"/>
      <c r="AE691" s="139"/>
      <c r="AF691" s="139"/>
      <c r="AG691" s="139"/>
      <c r="AH691" s="139"/>
      <c r="AI691" s="139"/>
    </row>
    <row r="692">
      <c r="A692" s="139"/>
      <c r="B692" s="139"/>
      <c r="C692" s="139"/>
      <c r="D692" s="139"/>
      <c r="E692" s="139"/>
      <c r="F692" s="139"/>
      <c r="G692" s="139"/>
      <c r="H692" s="139"/>
      <c r="I692" s="139"/>
      <c r="J692" s="139"/>
      <c r="K692" s="140"/>
      <c r="L692" s="140"/>
      <c r="M692" s="140"/>
      <c r="N692" s="140"/>
      <c r="O692" s="140"/>
      <c r="P692" s="139"/>
      <c r="Q692" s="139"/>
      <c r="R692" s="139"/>
      <c r="S692" s="139"/>
      <c r="T692" s="139"/>
      <c r="U692" s="139"/>
      <c r="V692" s="139"/>
      <c r="W692" s="139"/>
      <c r="X692" s="139"/>
      <c r="Y692" s="139"/>
      <c r="Z692" s="139"/>
      <c r="AA692" s="139"/>
      <c r="AB692" s="139"/>
      <c r="AC692" s="139"/>
      <c r="AD692" s="139"/>
      <c r="AE692" s="139"/>
      <c r="AF692" s="139"/>
      <c r="AG692" s="139"/>
      <c r="AH692" s="139"/>
      <c r="AI692" s="139"/>
    </row>
    <row r="693">
      <c r="A693" s="139"/>
      <c r="B693" s="139"/>
      <c r="C693" s="139"/>
      <c r="D693" s="139"/>
      <c r="E693" s="139"/>
      <c r="F693" s="139"/>
      <c r="G693" s="139"/>
      <c r="H693" s="139"/>
      <c r="I693" s="139"/>
      <c r="J693" s="139"/>
      <c r="K693" s="140"/>
      <c r="L693" s="140"/>
      <c r="M693" s="140"/>
      <c r="N693" s="140"/>
      <c r="O693" s="140"/>
      <c r="P693" s="139"/>
      <c r="Q693" s="139"/>
      <c r="R693" s="139"/>
      <c r="S693" s="139"/>
      <c r="T693" s="139"/>
      <c r="U693" s="139"/>
      <c r="V693" s="139"/>
      <c r="W693" s="139"/>
      <c r="X693" s="139"/>
      <c r="Y693" s="139"/>
      <c r="Z693" s="139"/>
      <c r="AA693" s="139"/>
      <c r="AB693" s="139"/>
      <c r="AC693" s="139"/>
      <c r="AD693" s="139"/>
      <c r="AE693" s="139"/>
      <c r="AF693" s="139"/>
      <c r="AG693" s="139"/>
      <c r="AH693" s="139"/>
      <c r="AI693" s="139"/>
    </row>
    <row r="694">
      <c r="A694" s="139"/>
      <c r="B694" s="139"/>
      <c r="C694" s="139"/>
      <c r="D694" s="139"/>
      <c r="E694" s="139"/>
      <c r="F694" s="139"/>
      <c r="G694" s="139"/>
      <c r="H694" s="139"/>
      <c r="I694" s="139"/>
      <c r="J694" s="139"/>
      <c r="K694" s="140"/>
      <c r="L694" s="140"/>
      <c r="M694" s="140"/>
      <c r="N694" s="140"/>
      <c r="O694" s="140"/>
      <c r="P694" s="139"/>
      <c r="Q694" s="139"/>
      <c r="R694" s="139"/>
      <c r="S694" s="139"/>
      <c r="T694" s="139"/>
      <c r="U694" s="139"/>
      <c r="V694" s="139"/>
      <c r="W694" s="139"/>
      <c r="X694" s="139"/>
      <c r="Y694" s="139"/>
      <c r="Z694" s="139"/>
      <c r="AA694" s="139"/>
      <c r="AB694" s="139"/>
      <c r="AC694" s="139"/>
      <c r="AD694" s="139"/>
      <c r="AE694" s="139"/>
      <c r="AF694" s="139"/>
      <c r="AG694" s="139"/>
      <c r="AH694" s="139"/>
      <c r="AI694" s="139"/>
    </row>
    <row r="695">
      <c r="A695" s="139"/>
      <c r="B695" s="139"/>
      <c r="C695" s="139"/>
      <c r="D695" s="139"/>
      <c r="E695" s="139"/>
      <c r="F695" s="139"/>
      <c r="G695" s="139"/>
      <c r="H695" s="139"/>
      <c r="I695" s="139"/>
      <c r="J695" s="139"/>
      <c r="K695" s="140"/>
      <c r="L695" s="140"/>
      <c r="M695" s="140"/>
      <c r="N695" s="140"/>
      <c r="O695" s="140"/>
      <c r="P695" s="139"/>
      <c r="Q695" s="139"/>
      <c r="R695" s="139"/>
      <c r="S695" s="139"/>
      <c r="T695" s="139"/>
      <c r="U695" s="139"/>
      <c r="V695" s="139"/>
      <c r="W695" s="139"/>
      <c r="X695" s="139"/>
      <c r="Y695" s="139"/>
      <c r="Z695" s="139"/>
      <c r="AA695" s="139"/>
      <c r="AB695" s="139"/>
      <c r="AC695" s="139"/>
      <c r="AD695" s="139"/>
      <c r="AE695" s="139"/>
      <c r="AF695" s="139"/>
      <c r="AG695" s="139"/>
      <c r="AH695" s="139"/>
      <c r="AI695" s="139"/>
    </row>
    <row r="696">
      <c r="A696" s="139"/>
      <c r="B696" s="139"/>
      <c r="C696" s="139"/>
      <c r="D696" s="139"/>
      <c r="E696" s="139"/>
      <c r="F696" s="139"/>
      <c r="G696" s="139"/>
      <c r="H696" s="139"/>
      <c r="I696" s="139"/>
      <c r="J696" s="139"/>
      <c r="K696" s="140"/>
      <c r="L696" s="140"/>
      <c r="M696" s="140"/>
      <c r="N696" s="140"/>
      <c r="O696" s="140"/>
      <c r="P696" s="139"/>
      <c r="Q696" s="139"/>
      <c r="R696" s="139"/>
      <c r="S696" s="139"/>
      <c r="T696" s="139"/>
      <c r="U696" s="139"/>
      <c r="V696" s="139"/>
      <c r="W696" s="139"/>
      <c r="X696" s="139"/>
      <c r="Y696" s="139"/>
      <c r="Z696" s="139"/>
      <c r="AA696" s="139"/>
      <c r="AB696" s="139"/>
      <c r="AC696" s="139"/>
      <c r="AD696" s="139"/>
      <c r="AE696" s="139"/>
      <c r="AF696" s="139"/>
      <c r="AG696" s="139"/>
      <c r="AH696" s="139"/>
      <c r="AI696" s="139"/>
    </row>
    <row r="697">
      <c r="A697" s="139"/>
      <c r="B697" s="139"/>
      <c r="C697" s="139"/>
      <c r="D697" s="139"/>
      <c r="E697" s="139"/>
      <c r="F697" s="139"/>
      <c r="G697" s="139"/>
      <c r="H697" s="139"/>
      <c r="I697" s="139"/>
      <c r="J697" s="139"/>
      <c r="K697" s="140"/>
      <c r="L697" s="140"/>
      <c r="M697" s="140"/>
      <c r="N697" s="140"/>
      <c r="O697" s="140"/>
      <c r="P697" s="139"/>
      <c r="Q697" s="139"/>
      <c r="R697" s="139"/>
      <c r="S697" s="139"/>
      <c r="T697" s="139"/>
      <c r="U697" s="139"/>
      <c r="V697" s="139"/>
      <c r="W697" s="139"/>
      <c r="X697" s="139"/>
      <c r="Y697" s="139"/>
      <c r="Z697" s="139"/>
      <c r="AA697" s="139"/>
      <c r="AB697" s="139"/>
      <c r="AC697" s="139"/>
      <c r="AD697" s="139"/>
      <c r="AE697" s="139"/>
      <c r="AF697" s="139"/>
      <c r="AG697" s="139"/>
      <c r="AH697" s="139"/>
      <c r="AI697" s="139"/>
    </row>
    <row r="698">
      <c r="A698" s="139"/>
      <c r="B698" s="139"/>
      <c r="C698" s="139"/>
      <c r="D698" s="139"/>
      <c r="E698" s="139"/>
      <c r="F698" s="139"/>
      <c r="G698" s="139"/>
      <c r="H698" s="139"/>
      <c r="I698" s="139"/>
      <c r="J698" s="139"/>
      <c r="K698" s="140"/>
      <c r="L698" s="140"/>
      <c r="M698" s="140"/>
      <c r="N698" s="140"/>
      <c r="O698" s="140"/>
      <c r="P698" s="139"/>
      <c r="Q698" s="139"/>
      <c r="R698" s="139"/>
      <c r="S698" s="139"/>
      <c r="T698" s="139"/>
      <c r="U698" s="139"/>
      <c r="V698" s="139"/>
      <c r="W698" s="139"/>
      <c r="X698" s="139"/>
      <c r="Y698" s="139"/>
      <c r="Z698" s="139"/>
      <c r="AA698" s="139"/>
      <c r="AB698" s="139"/>
      <c r="AC698" s="139"/>
      <c r="AD698" s="139"/>
      <c r="AE698" s="139"/>
      <c r="AF698" s="139"/>
      <c r="AG698" s="139"/>
      <c r="AH698" s="139"/>
      <c r="AI698" s="139"/>
    </row>
    <row r="699">
      <c r="A699" s="139"/>
      <c r="B699" s="139"/>
      <c r="C699" s="139"/>
      <c r="D699" s="139"/>
      <c r="E699" s="139"/>
      <c r="F699" s="139"/>
      <c r="G699" s="139"/>
      <c r="H699" s="139"/>
      <c r="I699" s="139"/>
      <c r="J699" s="139"/>
      <c r="K699" s="140"/>
      <c r="L699" s="140"/>
      <c r="M699" s="140"/>
      <c r="N699" s="140"/>
      <c r="O699" s="140"/>
      <c r="P699" s="139"/>
      <c r="Q699" s="139"/>
      <c r="R699" s="139"/>
      <c r="S699" s="139"/>
      <c r="T699" s="139"/>
      <c r="U699" s="139"/>
      <c r="V699" s="139"/>
      <c r="W699" s="139"/>
      <c r="X699" s="139"/>
      <c r="Y699" s="139"/>
      <c r="Z699" s="139"/>
      <c r="AA699" s="139"/>
      <c r="AB699" s="139"/>
      <c r="AC699" s="139"/>
      <c r="AD699" s="139"/>
      <c r="AE699" s="139"/>
      <c r="AF699" s="139"/>
      <c r="AG699" s="139"/>
      <c r="AH699" s="139"/>
      <c r="AI699" s="139"/>
    </row>
    <row r="700">
      <c r="A700" s="139"/>
      <c r="B700" s="139"/>
      <c r="C700" s="139"/>
      <c r="D700" s="139"/>
      <c r="E700" s="139"/>
      <c r="F700" s="139"/>
      <c r="G700" s="139"/>
      <c r="H700" s="139"/>
      <c r="I700" s="139"/>
      <c r="J700" s="139"/>
      <c r="K700" s="140"/>
      <c r="L700" s="140"/>
      <c r="M700" s="140"/>
      <c r="N700" s="140"/>
      <c r="O700" s="140"/>
      <c r="P700" s="139"/>
      <c r="Q700" s="139"/>
      <c r="R700" s="139"/>
      <c r="S700" s="139"/>
      <c r="T700" s="139"/>
      <c r="U700" s="139"/>
      <c r="V700" s="139"/>
      <c r="W700" s="139"/>
      <c r="X700" s="139"/>
      <c r="Y700" s="139"/>
      <c r="Z700" s="139"/>
      <c r="AA700" s="139"/>
      <c r="AB700" s="139"/>
      <c r="AC700" s="139"/>
      <c r="AD700" s="139"/>
      <c r="AE700" s="139"/>
      <c r="AF700" s="139"/>
      <c r="AG700" s="139"/>
      <c r="AH700" s="139"/>
      <c r="AI700" s="139"/>
    </row>
    <row r="701">
      <c r="A701" s="139"/>
      <c r="B701" s="139"/>
      <c r="C701" s="139"/>
      <c r="D701" s="139"/>
      <c r="E701" s="139"/>
      <c r="F701" s="139"/>
      <c r="G701" s="139"/>
      <c r="H701" s="139"/>
      <c r="I701" s="139"/>
      <c r="J701" s="139"/>
      <c r="K701" s="140"/>
      <c r="L701" s="140"/>
      <c r="M701" s="140"/>
      <c r="N701" s="140"/>
      <c r="O701" s="140"/>
      <c r="P701" s="139"/>
      <c r="Q701" s="139"/>
      <c r="R701" s="139"/>
      <c r="S701" s="139"/>
      <c r="T701" s="139"/>
      <c r="U701" s="139"/>
      <c r="V701" s="139"/>
      <c r="W701" s="139"/>
      <c r="X701" s="139"/>
      <c r="Y701" s="139"/>
      <c r="Z701" s="139"/>
      <c r="AA701" s="139"/>
      <c r="AB701" s="139"/>
      <c r="AC701" s="139"/>
      <c r="AD701" s="139"/>
      <c r="AE701" s="139"/>
      <c r="AF701" s="139"/>
      <c r="AG701" s="139"/>
      <c r="AH701" s="139"/>
      <c r="AI701" s="139"/>
    </row>
    <row r="702">
      <c r="A702" s="139"/>
      <c r="B702" s="139"/>
      <c r="C702" s="139"/>
      <c r="D702" s="139"/>
      <c r="E702" s="139"/>
      <c r="F702" s="139"/>
      <c r="G702" s="139"/>
      <c r="H702" s="139"/>
      <c r="I702" s="139"/>
      <c r="J702" s="139"/>
      <c r="K702" s="140"/>
      <c r="L702" s="140"/>
      <c r="M702" s="140"/>
      <c r="N702" s="140"/>
      <c r="O702" s="140"/>
      <c r="P702" s="139"/>
      <c r="Q702" s="139"/>
      <c r="R702" s="139"/>
      <c r="S702" s="139"/>
      <c r="T702" s="139"/>
      <c r="U702" s="139"/>
      <c r="V702" s="139"/>
      <c r="W702" s="139"/>
      <c r="X702" s="139"/>
      <c r="Y702" s="139"/>
      <c r="Z702" s="139"/>
      <c r="AA702" s="139"/>
      <c r="AB702" s="139"/>
      <c r="AC702" s="139"/>
      <c r="AD702" s="139"/>
      <c r="AE702" s="139"/>
      <c r="AF702" s="139"/>
      <c r="AG702" s="139"/>
      <c r="AH702" s="139"/>
      <c r="AI702" s="139"/>
    </row>
    <row r="703">
      <c r="A703" s="139"/>
      <c r="B703" s="139"/>
      <c r="C703" s="139"/>
      <c r="D703" s="139"/>
      <c r="E703" s="139"/>
      <c r="F703" s="139"/>
      <c r="G703" s="139"/>
      <c r="H703" s="139"/>
      <c r="I703" s="139"/>
      <c r="J703" s="139"/>
      <c r="K703" s="140"/>
      <c r="L703" s="140"/>
      <c r="M703" s="140"/>
      <c r="N703" s="140"/>
      <c r="O703" s="140"/>
      <c r="P703" s="139"/>
      <c r="Q703" s="139"/>
      <c r="R703" s="139"/>
      <c r="S703" s="139"/>
      <c r="T703" s="139"/>
      <c r="U703" s="139"/>
      <c r="V703" s="139"/>
      <c r="W703" s="139"/>
      <c r="X703" s="139"/>
      <c r="Y703" s="139"/>
      <c r="Z703" s="139"/>
      <c r="AA703" s="139"/>
      <c r="AB703" s="139"/>
      <c r="AC703" s="139"/>
      <c r="AD703" s="139"/>
      <c r="AE703" s="139"/>
      <c r="AF703" s="139"/>
      <c r="AG703" s="139"/>
      <c r="AH703" s="139"/>
      <c r="AI703" s="139"/>
    </row>
    <row r="704">
      <c r="A704" s="139"/>
      <c r="B704" s="139"/>
      <c r="C704" s="139"/>
      <c r="D704" s="139"/>
      <c r="E704" s="139"/>
      <c r="F704" s="139"/>
      <c r="G704" s="139"/>
      <c r="H704" s="139"/>
      <c r="I704" s="139"/>
      <c r="J704" s="139"/>
      <c r="K704" s="140"/>
      <c r="L704" s="140"/>
      <c r="M704" s="140"/>
      <c r="N704" s="140"/>
      <c r="O704" s="140"/>
      <c r="P704" s="139"/>
      <c r="Q704" s="139"/>
      <c r="R704" s="139"/>
      <c r="S704" s="139"/>
      <c r="T704" s="139"/>
      <c r="U704" s="139"/>
      <c r="V704" s="139"/>
      <c r="W704" s="139"/>
      <c r="X704" s="139"/>
      <c r="Y704" s="139"/>
      <c r="Z704" s="139"/>
      <c r="AA704" s="139"/>
      <c r="AB704" s="139"/>
      <c r="AC704" s="139"/>
      <c r="AD704" s="139"/>
      <c r="AE704" s="139"/>
      <c r="AF704" s="139"/>
      <c r="AG704" s="139"/>
      <c r="AH704" s="139"/>
      <c r="AI704" s="139"/>
    </row>
    <row r="705">
      <c r="A705" s="139"/>
      <c r="B705" s="139"/>
      <c r="C705" s="139"/>
      <c r="D705" s="139"/>
      <c r="E705" s="139"/>
      <c r="F705" s="139"/>
      <c r="G705" s="139"/>
      <c r="H705" s="139"/>
      <c r="I705" s="139"/>
      <c r="J705" s="139"/>
      <c r="K705" s="140"/>
      <c r="L705" s="140"/>
      <c r="M705" s="140"/>
      <c r="N705" s="140"/>
      <c r="O705" s="140"/>
      <c r="P705" s="139"/>
      <c r="Q705" s="139"/>
      <c r="R705" s="139"/>
      <c r="S705" s="139"/>
      <c r="T705" s="139"/>
      <c r="U705" s="139"/>
      <c r="V705" s="139"/>
      <c r="W705" s="139"/>
      <c r="X705" s="139"/>
      <c r="Y705" s="139"/>
      <c r="Z705" s="139"/>
      <c r="AA705" s="139"/>
      <c r="AB705" s="139"/>
      <c r="AC705" s="139"/>
      <c r="AD705" s="139"/>
      <c r="AE705" s="139"/>
      <c r="AF705" s="139"/>
      <c r="AG705" s="139"/>
      <c r="AH705" s="139"/>
      <c r="AI705" s="139"/>
    </row>
    <row r="706">
      <c r="A706" s="139"/>
      <c r="B706" s="139"/>
      <c r="C706" s="139"/>
      <c r="D706" s="139"/>
      <c r="E706" s="139"/>
      <c r="F706" s="139"/>
      <c r="G706" s="139"/>
      <c r="H706" s="139"/>
      <c r="I706" s="139"/>
      <c r="J706" s="139"/>
      <c r="K706" s="140"/>
      <c r="L706" s="140"/>
      <c r="M706" s="140"/>
      <c r="N706" s="140"/>
      <c r="O706" s="140"/>
      <c r="P706" s="139"/>
      <c r="Q706" s="139"/>
      <c r="R706" s="139"/>
      <c r="S706" s="139"/>
      <c r="T706" s="139"/>
      <c r="U706" s="139"/>
      <c r="V706" s="139"/>
      <c r="W706" s="139"/>
      <c r="X706" s="139"/>
      <c r="Y706" s="139"/>
      <c r="Z706" s="139"/>
      <c r="AA706" s="139"/>
      <c r="AB706" s="139"/>
      <c r="AC706" s="139"/>
      <c r="AD706" s="139"/>
      <c r="AE706" s="139"/>
      <c r="AF706" s="139"/>
      <c r="AG706" s="139"/>
      <c r="AH706" s="139"/>
      <c r="AI706" s="139"/>
    </row>
    <row r="707">
      <c r="A707" s="139"/>
      <c r="B707" s="139"/>
      <c r="C707" s="139"/>
      <c r="D707" s="139"/>
      <c r="E707" s="139"/>
      <c r="F707" s="139"/>
      <c r="G707" s="139"/>
      <c r="H707" s="139"/>
      <c r="I707" s="139"/>
      <c r="J707" s="139"/>
      <c r="K707" s="140"/>
      <c r="L707" s="140"/>
      <c r="M707" s="140"/>
      <c r="N707" s="140"/>
      <c r="O707" s="140"/>
      <c r="P707" s="139"/>
      <c r="Q707" s="139"/>
      <c r="R707" s="139"/>
      <c r="S707" s="139"/>
      <c r="T707" s="139"/>
      <c r="U707" s="139"/>
      <c r="V707" s="139"/>
      <c r="W707" s="139"/>
      <c r="X707" s="139"/>
      <c r="Y707" s="139"/>
      <c r="Z707" s="139"/>
      <c r="AA707" s="139"/>
      <c r="AB707" s="139"/>
      <c r="AC707" s="139"/>
      <c r="AD707" s="139"/>
      <c r="AE707" s="139"/>
      <c r="AF707" s="139"/>
      <c r="AG707" s="139"/>
      <c r="AH707" s="139"/>
      <c r="AI707" s="139"/>
    </row>
    <row r="708">
      <c r="A708" s="139"/>
      <c r="B708" s="139"/>
      <c r="C708" s="139"/>
      <c r="D708" s="139"/>
      <c r="E708" s="139"/>
      <c r="F708" s="139"/>
      <c r="G708" s="139"/>
      <c r="H708" s="139"/>
      <c r="I708" s="139"/>
      <c r="J708" s="139"/>
      <c r="K708" s="140"/>
      <c r="L708" s="140"/>
      <c r="M708" s="140"/>
      <c r="N708" s="140"/>
      <c r="O708" s="140"/>
      <c r="P708" s="139"/>
      <c r="Q708" s="139"/>
      <c r="R708" s="139"/>
      <c r="S708" s="139"/>
      <c r="T708" s="139"/>
      <c r="U708" s="139"/>
      <c r="V708" s="139"/>
      <c r="W708" s="139"/>
      <c r="X708" s="139"/>
      <c r="Y708" s="139"/>
      <c r="Z708" s="139"/>
      <c r="AA708" s="139"/>
      <c r="AB708" s="139"/>
      <c r="AC708" s="139"/>
      <c r="AD708" s="139"/>
      <c r="AE708" s="139"/>
      <c r="AF708" s="139"/>
      <c r="AG708" s="139"/>
      <c r="AH708" s="139"/>
      <c r="AI708" s="139"/>
    </row>
    <row r="709">
      <c r="A709" s="139"/>
      <c r="B709" s="139"/>
      <c r="C709" s="139"/>
      <c r="D709" s="139"/>
      <c r="E709" s="139"/>
      <c r="F709" s="139"/>
      <c r="G709" s="139"/>
      <c r="H709" s="139"/>
      <c r="I709" s="139"/>
      <c r="J709" s="139"/>
      <c r="K709" s="140"/>
      <c r="L709" s="140"/>
      <c r="M709" s="140"/>
      <c r="N709" s="140"/>
      <c r="O709" s="140"/>
      <c r="P709" s="139"/>
      <c r="Q709" s="139"/>
      <c r="R709" s="139"/>
      <c r="S709" s="139"/>
      <c r="T709" s="139"/>
      <c r="U709" s="139"/>
      <c r="V709" s="139"/>
      <c r="W709" s="139"/>
      <c r="X709" s="139"/>
      <c r="Y709" s="139"/>
      <c r="Z709" s="139"/>
      <c r="AA709" s="139"/>
      <c r="AB709" s="139"/>
      <c r="AC709" s="139"/>
      <c r="AD709" s="139"/>
      <c r="AE709" s="139"/>
      <c r="AF709" s="139"/>
      <c r="AG709" s="139"/>
      <c r="AH709" s="139"/>
      <c r="AI709" s="139"/>
    </row>
    <row r="710">
      <c r="A710" s="139"/>
      <c r="B710" s="139"/>
      <c r="C710" s="139"/>
      <c r="D710" s="139"/>
      <c r="E710" s="139"/>
      <c r="F710" s="139"/>
      <c r="G710" s="139"/>
      <c r="H710" s="139"/>
      <c r="I710" s="139"/>
      <c r="J710" s="139"/>
      <c r="K710" s="140"/>
      <c r="L710" s="140"/>
      <c r="M710" s="140"/>
      <c r="N710" s="140"/>
      <c r="O710" s="140"/>
      <c r="P710" s="139"/>
      <c r="Q710" s="139"/>
      <c r="R710" s="139"/>
      <c r="S710" s="139"/>
      <c r="T710" s="139"/>
      <c r="U710" s="139"/>
      <c r="V710" s="139"/>
      <c r="W710" s="139"/>
      <c r="X710" s="139"/>
      <c r="Y710" s="139"/>
      <c r="Z710" s="139"/>
      <c r="AA710" s="139"/>
      <c r="AB710" s="139"/>
      <c r="AC710" s="139"/>
      <c r="AD710" s="139"/>
      <c r="AE710" s="139"/>
      <c r="AF710" s="139"/>
      <c r="AG710" s="139"/>
      <c r="AH710" s="139"/>
      <c r="AI710" s="139"/>
    </row>
    <row r="711">
      <c r="A711" s="139"/>
      <c r="B711" s="139"/>
      <c r="C711" s="139"/>
      <c r="D711" s="139"/>
      <c r="E711" s="139"/>
      <c r="F711" s="139"/>
      <c r="G711" s="139"/>
      <c r="H711" s="139"/>
      <c r="I711" s="139"/>
      <c r="J711" s="139"/>
      <c r="K711" s="140"/>
      <c r="L711" s="140"/>
      <c r="M711" s="140"/>
      <c r="N711" s="140"/>
      <c r="O711" s="140"/>
      <c r="P711" s="139"/>
      <c r="Q711" s="139"/>
      <c r="R711" s="139"/>
      <c r="S711" s="139"/>
      <c r="T711" s="139"/>
      <c r="U711" s="139"/>
      <c r="V711" s="139"/>
      <c r="W711" s="139"/>
      <c r="X711" s="139"/>
      <c r="Y711" s="139"/>
      <c r="Z711" s="139"/>
      <c r="AA711" s="139"/>
      <c r="AB711" s="139"/>
      <c r="AC711" s="139"/>
      <c r="AD711" s="139"/>
      <c r="AE711" s="139"/>
      <c r="AF711" s="139"/>
      <c r="AG711" s="139"/>
      <c r="AH711" s="139"/>
      <c r="AI711" s="139"/>
    </row>
    <row r="712">
      <c r="A712" s="139"/>
      <c r="B712" s="139"/>
      <c r="C712" s="139"/>
      <c r="D712" s="139"/>
      <c r="E712" s="139"/>
      <c r="F712" s="139"/>
      <c r="G712" s="139"/>
      <c r="H712" s="139"/>
      <c r="I712" s="139"/>
      <c r="J712" s="139"/>
      <c r="K712" s="140"/>
      <c r="L712" s="140"/>
      <c r="M712" s="140"/>
      <c r="N712" s="140"/>
      <c r="O712" s="140"/>
      <c r="P712" s="139"/>
      <c r="Q712" s="139"/>
      <c r="R712" s="139"/>
      <c r="S712" s="139"/>
      <c r="T712" s="139"/>
      <c r="U712" s="139"/>
      <c r="V712" s="139"/>
      <c r="W712" s="139"/>
      <c r="X712" s="139"/>
      <c r="Y712" s="139"/>
      <c r="Z712" s="139"/>
      <c r="AA712" s="139"/>
      <c r="AB712" s="139"/>
      <c r="AC712" s="139"/>
      <c r="AD712" s="139"/>
      <c r="AE712" s="139"/>
      <c r="AF712" s="139"/>
      <c r="AG712" s="139"/>
      <c r="AH712" s="139"/>
      <c r="AI712" s="139"/>
    </row>
    <row r="713">
      <c r="A713" s="139"/>
      <c r="B713" s="139"/>
      <c r="C713" s="139"/>
      <c r="D713" s="139"/>
      <c r="E713" s="139"/>
      <c r="F713" s="139"/>
      <c r="G713" s="139"/>
      <c r="H713" s="139"/>
      <c r="I713" s="139"/>
      <c r="J713" s="139"/>
      <c r="K713" s="140"/>
      <c r="L713" s="140"/>
      <c r="M713" s="140"/>
      <c r="N713" s="140"/>
      <c r="O713" s="140"/>
      <c r="P713" s="139"/>
      <c r="Q713" s="139"/>
      <c r="R713" s="139"/>
      <c r="S713" s="139"/>
      <c r="T713" s="139"/>
      <c r="U713" s="139"/>
      <c r="V713" s="139"/>
      <c r="W713" s="139"/>
      <c r="X713" s="139"/>
      <c r="Y713" s="139"/>
      <c r="Z713" s="139"/>
      <c r="AA713" s="139"/>
      <c r="AB713" s="139"/>
      <c r="AC713" s="139"/>
      <c r="AD713" s="139"/>
      <c r="AE713" s="139"/>
      <c r="AF713" s="139"/>
      <c r="AG713" s="139"/>
      <c r="AH713" s="139"/>
      <c r="AI713" s="139"/>
    </row>
    <row r="714">
      <c r="A714" s="139"/>
      <c r="B714" s="139"/>
      <c r="C714" s="139"/>
      <c r="D714" s="139"/>
      <c r="E714" s="139"/>
      <c r="F714" s="139"/>
      <c r="G714" s="139"/>
      <c r="H714" s="139"/>
      <c r="I714" s="139"/>
      <c r="J714" s="139"/>
      <c r="K714" s="140"/>
      <c r="L714" s="140"/>
      <c r="M714" s="140"/>
      <c r="N714" s="140"/>
      <c r="O714" s="140"/>
      <c r="P714" s="139"/>
      <c r="Q714" s="139"/>
      <c r="R714" s="139"/>
      <c r="S714" s="139"/>
      <c r="T714" s="139"/>
      <c r="U714" s="139"/>
      <c r="V714" s="139"/>
      <c r="W714" s="139"/>
      <c r="X714" s="139"/>
      <c r="Y714" s="139"/>
      <c r="Z714" s="139"/>
      <c r="AA714" s="139"/>
      <c r="AB714" s="139"/>
      <c r="AC714" s="139"/>
      <c r="AD714" s="139"/>
      <c r="AE714" s="139"/>
      <c r="AF714" s="139"/>
      <c r="AG714" s="139"/>
      <c r="AH714" s="139"/>
      <c r="AI714" s="139"/>
    </row>
    <row r="715">
      <c r="A715" s="139"/>
      <c r="B715" s="139"/>
      <c r="C715" s="139"/>
      <c r="D715" s="139"/>
      <c r="E715" s="139"/>
      <c r="F715" s="139"/>
      <c r="G715" s="139"/>
      <c r="H715" s="139"/>
      <c r="I715" s="139"/>
      <c r="J715" s="139"/>
      <c r="K715" s="140"/>
      <c r="L715" s="140"/>
      <c r="M715" s="140"/>
      <c r="N715" s="140"/>
      <c r="O715" s="140"/>
      <c r="P715" s="139"/>
      <c r="Q715" s="139"/>
      <c r="R715" s="139"/>
      <c r="S715" s="139"/>
      <c r="T715" s="139"/>
      <c r="U715" s="139"/>
      <c r="V715" s="139"/>
      <c r="W715" s="139"/>
      <c r="X715" s="139"/>
      <c r="Y715" s="139"/>
      <c r="Z715" s="139"/>
      <c r="AA715" s="139"/>
      <c r="AB715" s="139"/>
      <c r="AC715" s="139"/>
      <c r="AD715" s="139"/>
      <c r="AE715" s="139"/>
      <c r="AF715" s="139"/>
      <c r="AG715" s="139"/>
      <c r="AH715" s="139"/>
      <c r="AI715" s="139"/>
    </row>
    <row r="716">
      <c r="A716" s="139"/>
      <c r="B716" s="139"/>
      <c r="C716" s="139"/>
      <c r="D716" s="139"/>
      <c r="E716" s="139"/>
      <c r="F716" s="139"/>
      <c r="G716" s="139"/>
      <c r="H716" s="139"/>
      <c r="I716" s="139"/>
      <c r="J716" s="139"/>
      <c r="K716" s="140"/>
      <c r="L716" s="140"/>
      <c r="M716" s="140"/>
      <c r="N716" s="140"/>
      <c r="O716" s="140"/>
      <c r="P716" s="139"/>
      <c r="Q716" s="139"/>
      <c r="R716" s="139"/>
      <c r="S716" s="139"/>
      <c r="T716" s="139"/>
      <c r="U716" s="139"/>
      <c r="V716" s="139"/>
      <c r="W716" s="139"/>
      <c r="X716" s="139"/>
      <c r="Y716" s="139"/>
      <c r="Z716" s="139"/>
      <c r="AA716" s="139"/>
      <c r="AB716" s="139"/>
      <c r="AC716" s="139"/>
      <c r="AD716" s="139"/>
      <c r="AE716" s="139"/>
      <c r="AF716" s="139"/>
      <c r="AG716" s="139"/>
      <c r="AH716" s="139"/>
      <c r="AI716" s="139"/>
    </row>
    <row r="717">
      <c r="A717" s="139"/>
      <c r="B717" s="139"/>
      <c r="C717" s="139"/>
      <c r="D717" s="139"/>
      <c r="E717" s="139"/>
      <c r="F717" s="139"/>
      <c r="G717" s="139"/>
      <c r="H717" s="139"/>
      <c r="I717" s="139"/>
      <c r="J717" s="139"/>
      <c r="K717" s="140"/>
      <c r="L717" s="140"/>
      <c r="M717" s="140"/>
      <c r="N717" s="140"/>
      <c r="O717" s="140"/>
      <c r="P717" s="139"/>
      <c r="Q717" s="139"/>
      <c r="R717" s="139"/>
      <c r="S717" s="139"/>
      <c r="T717" s="139"/>
      <c r="U717" s="139"/>
      <c r="V717" s="139"/>
      <c r="W717" s="139"/>
      <c r="X717" s="139"/>
      <c r="Y717" s="139"/>
      <c r="Z717" s="139"/>
      <c r="AA717" s="139"/>
      <c r="AB717" s="139"/>
      <c r="AC717" s="139"/>
      <c r="AD717" s="139"/>
      <c r="AE717" s="139"/>
      <c r="AF717" s="139"/>
      <c r="AG717" s="139"/>
      <c r="AH717" s="139"/>
      <c r="AI717" s="139"/>
    </row>
    <row r="718">
      <c r="A718" s="139"/>
      <c r="B718" s="139"/>
      <c r="C718" s="139"/>
      <c r="D718" s="139"/>
      <c r="E718" s="139"/>
      <c r="F718" s="139"/>
      <c r="G718" s="139"/>
      <c r="H718" s="139"/>
      <c r="I718" s="139"/>
      <c r="J718" s="139"/>
      <c r="K718" s="140"/>
      <c r="L718" s="140"/>
      <c r="M718" s="140"/>
      <c r="N718" s="140"/>
      <c r="O718" s="140"/>
      <c r="P718" s="139"/>
      <c r="Q718" s="139"/>
      <c r="R718" s="139"/>
      <c r="S718" s="139"/>
      <c r="T718" s="139"/>
      <c r="U718" s="139"/>
      <c r="V718" s="139"/>
      <c r="W718" s="139"/>
      <c r="X718" s="139"/>
      <c r="Y718" s="139"/>
      <c r="Z718" s="139"/>
      <c r="AA718" s="139"/>
      <c r="AB718" s="139"/>
      <c r="AC718" s="139"/>
      <c r="AD718" s="139"/>
      <c r="AE718" s="139"/>
      <c r="AF718" s="139"/>
      <c r="AG718" s="139"/>
      <c r="AH718" s="139"/>
      <c r="AI718" s="139"/>
    </row>
    <row r="719">
      <c r="A719" s="139"/>
      <c r="B719" s="139"/>
      <c r="C719" s="139"/>
      <c r="D719" s="139"/>
      <c r="E719" s="139"/>
      <c r="F719" s="139"/>
      <c r="G719" s="139"/>
      <c r="H719" s="139"/>
      <c r="I719" s="139"/>
      <c r="J719" s="139"/>
      <c r="K719" s="140"/>
      <c r="L719" s="140"/>
      <c r="M719" s="140"/>
      <c r="N719" s="140"/>
      <c r="O719" s="140"/>
      <c r="P719" s="139"/>
      <c r="Q719" s="139"/>
      <c r="R719" s="139"/>
      <c r="S719" s="139"/>
      <c r="T719" s="139"/>
      <c r="U719" s="139"/>
      <c r="V719" s="139"/>
      <c r="W719" s="139"/>
      <c r="X719" s="139"/>
      <c r="Y719" s="139"/>
      <c r="Z719" s="139"/>
      <c r="AA719" s="139"/>
      <c r="AB719" s="139"/>
      <c r="AC719" s="139"/>
      <c r="AD719" s="139"/>
      <c r="AE719" s="139"/>
      <c r="AF719" s="139"/>
      <c r="AG719" s="139"/>
      <c r="AH719" s="139"/>
      <c r="AI719" s="139"/>
    </row>
    <row r="720">
      <c r="A720" s="139"/>
      <c r="B720" s="139"/>
      <c r="C720" s="139"/>
      <c r="D720" s="139"/>
      <c r="E720" s="139"/>
      <c r="F720" s="139"/>
      <c r="G720" s="139"/>
      <c r="H720" s="139"/>
      <c r="I720" s="139"/>
      <c r="J720" s="139"/>
      <c r="K720" s="140"/>
      <c r="L720" s="140"/>
      <c r="M720" s="140"/>
      <c r="N720" s="140"/>
      <c r="O720" s="140"/>
      <c r="P720" s="139"/>
      <c r="Q720" s="139"/>
      <c r="R720" s="139"/>
      <c r="S720" s="139"/>
      <c r="T720" s="139"/>
      <c r="U720" s="139"/>
      <c r="V720" s="139"/>
      <c r="W720" s="139"/>
      <c r="X720" s="139"/>
      <c r="Y720" s="139"/>
      <c r="Z720" s="139"/>
      <c r="AA720" s="139"/>
      <c r="AB720" s="139"/>
      <c r="AC720" s="139"/>
      <c r="AD720" s="139"/>
      <c r="AE720" s="139"/>
      <c r="AF720" s="139"/>
      <c r="AG720" s="139"/>
      <c r="AH720" s="139"/>
      <c r="AI720" s="139"/>
    </row>
    <row r="721">
      <c r="A721" s="139"/>
      <c r="B721" s="139"/>
      <c r="C721" s="139"/>
      <c r="D721" s="139"/>
      <c r="E721" s="139"/>
      <c r="F721" s="139"/>
      <c r="G721" s="139"/>
      <c r="H721" s="139"/>
      <c r="I721" s="139"/>
      <c r="J721" s="139"/>
      <c r="K721" s="140"/>
      <c r="L721" s="140"/>
      <c r="M721" s="140"/>
      <c r="N721" s="140"/>
      <c r="O721" s="140"/>
      <c r="P721" s="139"/>
      <c r="Q721" s="139"/>
      <c r="R721" s="139"/>
      <c r="S721" s="139"/>
      <c r="T721" s="139"/>
      <c r="U721" s="139"/>
      <c r="V721" s="139"/>
      <c r="W721" s="139"/>
      <c r="X721" s="139"/>
      <c r="Y721" s="139"/>
      <c r="Z721" s="139"/>
      <c r="AA721" s="139"/>
      <c r="AB721" s="139"/>
      <c r="AC721" s="139"/>
      <c r="AD721" s="139"/>
      <c r="AE721" s="139"/>
      <c r="AF721" s="139"/>
      <c r="AG721" s="139"/>
      <c r="AH721" s="139"/>
      <c r="AI721" s="139"/>
    </row>
    <row r="722">
      <c r="A722" s="139"/>
      <c r="B722" s="139"/>
      <c r="C722" s="139"/>
      <c r="D722" s="139"/>
      <c r="E722" s="139"/>
      <c r="F722" s="139"/>
      <c r="G722" s="139"/>
      <c r="H722" s="139"/>
      <c r="I722" s="139"/>
      <c r="J722" s="139"/>
      <c r="K722" s="140"/>
      <c r="L722" s="140"/>
      <c r="M722" s="140"/>
      <c r="N722" s="140"/>
      <c r="O722" s="140"/>
      <c r="P722" s="139"/>
      <c r="Q722" s="139"/>
      <c r="R722" s="139"/>
      <c r="S722" s="139"/>
      <c r="T722" s="139"/>
      <c r="U722" s="139"/>
      <c r="V722" s="139"/>
      <c r="W722" s="139"/>
      <c r="X722" s="139"/>
      <c r="Y722" s="139"/>
      <c r="Z722" s="139"/>
      <c r="AA722" s="139"/>
      <c r="AB722" s="139"/>
      <c r="AC722" s="139"/>
      <c r="AD722" s="139"/>
      <c r="AE722" s="139"/>
      <c r="AF722" s="139"/>
      <c r="AG722" s="139"/>
      <c r="AH722" s="139"/>
      <c r="AI722" s="139"/>
    </row>
    <row r="723">
      <c r="A723" s="139"/>
      <c r="B723" s="139"/>
      <c r="C723" s="139"/>
      <c r="D723" s="139"/>
      <c r="E723" s="139"/>
      <c r="F723" s="139"/>
      <c r="G723" s="139"/>
      <c r="H723" s="139"/>
      <c r="I723" s="139"/>
      <c r="J723" s="139"/>
      <c r="K723" s="140"/>
      <c r="L723" s="140"/>
      <c r="M723" s="140"/>
      <c r="N723" s="140"/>
      <c r="O723" s="140"/>
      <c r="P723" s="139"/>
      <c r="Q723" s="139"/>
      <c r="R723" s="139"/>
      <c r="S723" s="139"/>
      <c r="T723" s="139"/>
      <c r="U723" s="139"/>
      <c r="V723" s="139"/>
      <c r="W723" s="139"/>
      <c r="X723" s="139"/>
      <c r="Y723" s="139"/>
      <c r="Z723" s="139"/>
      <c r="AA723" s="139"/>
      <c r="AB723" s="139"/>
      <c r="AC723" s="139"/>
      <c r="AD723" s="139"/>
      <c r="AE723" s="139"/>
      <c r="AF723" s="139"/>
      <c r="AG723" s="139"/>
      <c r="AH723" s="139"/>
      <c r="AI723" s="139"/>
    </row>
    <row r="724">
      <c r="A724" s="139"/>
      <c r="B724" s="139"/>
      <c r="C724" s="139"/>
      <c r="D724" s="139"/>
      <c r="E724" s="139"/>
      <c r="F724" s="139"/>
      <c r="G724" s="139"/>
      <c r="H724" s="139"/>
      <c r="I724" s="139"/>
      <c r="J724" s="139"/>
      <c r="K724" s="140"/>
      <c r="L724" s="140"/>
      <c r="M724" s="140"/>
      <c r="N724" s="140"/>
      <c r="O724" s="140"/>
      <c r="P724" s="139"/>
      <c r="Q724" s="139"/>
      <c r="R724" s="139"/>
      <c r="S724" s="139"/>
      <c r="T724" s="139"/>
      <c r="U724" s="139"/>
      <c r="V724" s="139"/>
      <c r="W724" s="139"/>
      <c r="X724" s="139"/>
      <c r="Y724" s="139"/>
      <c r="Z724" s="139"/>
      <c r="AA724" s="139"/>
      <c r="AB724" s="139"/>
      <c r="AC724" s="139"/>
      <c r="AD724" s="139"/>
      <c r="AE724" s="139"/>
      <c r="AF724" s="139"/>
      <c r="AG724" s="139"/>
      <c r="AH724" s="139"/>
      <c r="AI724" s="139"/>
    </row>
    <row r="725">
      <c r="A725" s="139"/>
      <c r="B725" s="139"/>
      <c r="C725" s="139"/>
      <c r="D725" s="139"/>
      <c r="E725" s="139"/>
      <c r="F725" s="139"/>
      <c r="G725" s="139"/>
      <c r="H725" s="139"/>
      <c r="I725" s="139"/>
      <c r="J725" s="139"/>
      <c r="K725" s="140"/>
      <c r="L725" s="140"/>
      <c r="M725" s="140"/>
      <c r="N725" s="140"/>
      <c r="O725" s="140"/>
      <c r="P725" s="139"/>
      <c r="Q725" s="139"/>
      <c r="R725" s="139"/>
      <c r="S725" s="139"/>
      <c r="T725" s="139"/>
      <c r="U725" s="139"/>
      <c r="V725" s="139"/>
      <c r="W725" s="139"/>
      <c r="X725" s="139"/>
      <c r="Y725" s="139"/>
      <c r="Z725" s="139"/>
      <c r="AA725" s="139"/>
      <c r="AB725" s="139"/>
      <c r="AC725" s="139"/>
      <c r="AD725" s="139"/>
      <c r="AE725" s="139"/>
      <c r="AF725" s="139"/>
      <c r="AG725" s="139"/>
      <c r="AH725" s="139"/>
      <c r="AI725" s="139"/>
    </row>
    <row r="726">
      <c r="A726" s="139"/>
      <c r="B726" s="139"/>
      <c r="C726" s="139"/>
      <c r="D726" s="139"/>
      <c r="E726" s="139"/>
      <c r="F726" s="139"/>
      <c r="G726" s="139"/>
      <c r="H726" s="139"/>
      <c r="I726" s="139"/>
      <c r="J726" s="139"/>
      <c r="K726" s="140"/>
      <c r="L726" s="140"/>
      <c r="M726" s="140"/>
      <c r="N726" s="140"/>
      <c r="O726" s="140"/>
      <c r="P726" s="139"/>
      <c r="Q726" s="139"/>
      <c r="R726" s="139"/>
      <c r="S726" s="139"/>
      <c r="T726" s="139"/>
      <c r="U726" s="139"/>
      <c r="V726" s="139"/>
      <c r="W726" s="139"/>
      <c r="X726" s="139"/>
      <c r="Y726" s="139"/>
      <c r="Z726" s="139"/>
      <c r="AA726" s="139"/>
      <c r="AB726" s="139"/>
      <c r="AC726" s="139"/>
      <c r="AD726" s="139"/>
      <c r="AE726" s="139"/>
      <c r="AF726" s="139"/>
      <c r="AG726" s="139"/>
      <c r="AH726" s="139"/>
      <c r="AI726" s="139"/>
    </row>
    <row r="727">
      <c r="A727" s="139"/>
      <c r="B727" s="139"/>
      <c r="C727" s="139"/>
      <c r="D727" s="139"/>
      <c r="E727" s="139"/>
      <c r="F727" s="139"/>
      <c r="G727" s="139"/>
      <c r="H727" s="139"/>
      <c r="I727" s="139"/>
      <c r="J727" s="139"/>
      <c r="K727" s="140"/>
      <c r="L727" s="140"/>
      <c r="M727" s="140"/>
      <c r="N727" s="140"/>
      <c r="O727" s="140"/>
      <c r="P727" s="139"/>
      <c r="Q727" s="139"/>
      <c r="R727" s="139"/>
      <c r="S727" s="139"/>
      <c r="T727" s="139"/>
      <c r="U727" s="139"/>
      <c r="V727" s="139"/>
      <c r="W727" s="139"/>
      <c r="X727" s="139"/>
      <c r="Y727" s="139"/>
      <c r="Z727" s="139"/>
      <c r="AA727" s="139"/>
      <c r="AB727" s="139"/>
      <c r="AC727" s="139"/>
      <c r="AD727" s="139"/>
      <c r="AE727" s="139"/>
      <c r="AF727" s="139"/>
      <c r="AG727" s="139"/>
      <c r="AH727" s="139"/>
      <c r="AI727" s="139"/>
    </row>
    <row r="728">
      <c r="A728" s="139"/>
      <c r="B728" s="139"/>
      <c r="C728" s="139"/>
      <c r="D728" s="139"/>
      <c r="E728" s="139"/>
      <c r="F728" s="139"/>
      <c r="G728" s="139"/>
      <c r="H728" s="139"/>
      <c r="I728" s="139"/>
      <c r="J728" s="139"/>
      <c r="K728" s="140"/>
      <c r="L728" s="140"/>
      <c r="M728" s="140"/>
      <c r="N728" s="140"/>
      <c r="O728" s="140"/>
      <c r="P728" s="139"/>
      <c r="Q728" s="139"/>
      <c r="R728" s="139"/>
      <c r="S728" s="139"/>
      <c r="T728" s="139"/>
      <c r="U728" s="139"/>
      <c r="V728" s="139"/>
      <c r="W728" s="139"/>
      <c r="X728" s="139"/>
      <c r="Y728" s="139"/>
      <c r="Z728" s="139"/>
      <c r="AA728" s="139"/>
      <c r="AB728" s="139"/>
      <c r="AC728" s="139"/>
      <c r="AD728" s="139"/>
      <c r="AE728" s="139"/>
      <c r="AF728" s="139"/>
      <c r="AG728" s="139"/>
      <c r="AH728" s="139"/>
      <c r="AI728" s="139"/>
    </row>
    <row r="729">
      <c r="A729" s="139"/>
      <c r="B729" s="139"/>
      <c r="C729" s="139"/>
      <c r="D729" s="139"/>
      <c r="E729" s="139"/>
      <c r="F729" s="139"/>
      <c r="G729" s="139"/>
      <c r="H729" s="139"/>
      <c r="I729" s="139"/>
      <c r="J729" s="139"/>
      <c r="K729" s="140"/>
      <c r="L729" s="140"/>
      <c r="M729" s="140"/>
      <c r="N729" s="140"/>
      <c r="O729" s="140"/>
      <c r="P729" s="139"/>
      <c r="Q729" s="139"/>
      <c r="R729" s="139"/>
      <c r="S729" s="139"/>
      <c r="T729" s="139"/>
      <c r="U729" s="139"/>
      <c r="V729" s="139"/>
      <c r="W729" s="139"/>
      <c r="X729" s="139"/>
      <c r="Y729" s="139"/>
      <c r="Z729" s="139"/>
      <c r="AA729" s="139"/>
      <c r="AB729" s="139"/>
      <c r="AC729" s="139"/>
      <c r="AD729" s="139"/>
      <c r="AE729" s="139"/>
      <c r="AF729" s="139"/>
      <c r="AG729" s="139"/>
      <c r="AH729" s="139"/>
      <c r="AI729" s="139"/>
    </row>
    <row r="730">
      <c r="A730" s="139"/>
      <c r="B730" s="139"/>
      <c r="C730" s="139"/>
      <c r="D730" s="139"/>
      <c r="E730" s="139"/>
      <c r="F730" s="139"/>
      <c r="G730" s="139"/>
      <c r="H730" s="139"/>
      <c r="I730" s="139"/>
      <c r="J730" s="139"/>
      <c r="K730" s="140"/>
      <c r="L730" s="140"/>
      <c r="M730" s="140"/>
      <c r="N730" s="140"/>
      <c r="O730" s="140"/>
      <c r="P730" s="139"/>
      <c r="Q730" s="139"/>
      <c r="R730" s="139"/>
      <c r="S730" s="139"/>
      <c r="T730" s="139"/>
      <c r="U730" s="139"/>
      <c r="V730" s="139"/>
      <c r="W730" s="139"/>
      <c r="X730" s="139"/>
      <c r="Y730" s="139"/>
      <c r="Z730" s="139"/>
      <c r="AA730" s="139"/>
      <c r="AB730" s="139"/>
      <c r="AC730" s="139"/>
      <c r="AD730" s="139"/>
      <c r="AE730" s="139"/>
      <c r="AF730" s="139"/>
      <c r="AG730" s="139"/>
      <c r="AH730" s="139"/>
      <c r="AI730" s="139"/>
    </row>
    <row r="731">
      <c r="A731" s="139"/>
      <c r="B731" s="139"/>
      <c r="C731" s="139"/>
      <c r="D731" s="139"/>
      <c r="E731" s="139"/>
      <c r="F731" s="139"/>
      <c r="G731" s="139"/>
      <c r="H731" s="139"/>
      <c r="I731" s="139"/>
      <c r="J731" s="139"/>
      <c r="K731" s="140"/>
      <c r="L731" s="140"/>
      <c r="M731" s="140"/>
      <c r="N731" s="140"/>
      <c r="O731" s="140"/>
      <c r="P731" s="139"/>
      <c r="Q731" s="139"/>
      <c r="R731" s="139"/>
      <c r="S731" s="139"/>
      <c r="T731" s="139"/>
      <c r="U731" s="139"/>
      <c r="V731" s="139"/>
      <c r="W731" s="139"/>
      <c r="X731" s="139"/>
      <c r="Y731" s="139"/>
      <c r="Z731" s="139"/>
      <c r="AA731" s="139"/>
      <c r="AB731" s="139"/>
      <c r="AC731" s="139"/>
      <c r="AD731" s="139"/>
      <c r="AE731" s="139"/>
      <c r="AF731" s="139"/>
      <c r="AG731" s="139"/>
      <c r="AH731" s="139"/>
      <c r="AI731" s="139"/>
    </row>
    <row r="732">
      <c r="A732" s="139"/>
      <c r="B732" s="139"/>
      <c r="C732" s="139"/>
      <c r="D732" s="139"/>
      <c r="E732" s="139"/>
      <c r="F732" s="139"/>
      <c r="G732" s="139"/>
      <c r="H732" s="139"/>
      <c r="I732" s="139"/>
      <c r="J732" s="139"/>
      <c r="K732" s="140"/>
      <c r="L732" s="140"/>
      <c r="M732" s="140"/>
      <c r="N732" s="140"/>
      <c r="O732" s="140"/>
      <c r="P732" s="139"/>
      <c r="Q732" s="139"/>
      <c r="R732" s="139"/>
      <c r="S732" s="139"/>
      <c r="T732" s="139"/>
      <c r="U732" s="139"/>
      <c r="V732" s="139"/>
      <c r="W732" s="139"/>
      <c r="X732" s="139"/>
      <c r="Y732" s="139"/>
      <c r="Z732" s="139"/>
      <c r="AA732" s="139"/>
      <c r="AB732" s="139"/>
      <c r="AC732" s="139"/>
      <c r="AD732" s="139"/>
      <c r="AE732" s="139"/>
      <c r="AF732" s="139"/>
      <c r="AG732" s="139"/>
      <c r="AH732" s="139"/>
      <c r="AI732" s="139"/>
    </row>
    <row r="733">
      <c r="A733" s="139"/>
      <c r="B733" s="139"/>
      <c r="C733" s="139"/>
      <c r="D733" s="139"/>
      <c r="E733" s="139"/>
      <c r="F733" s="139"/>
      <c r="G733" s="139"/>
      <c r="H733" s="139"/>
      <c r="I733" s="139"/>
      <c r="J733" s="139"/>
      <c r="K733" s="140"/>
      <c r="L733" s="140"/>
      <c r="M733" s="140"/>
      <c r="N733" s="140"/>
      <c r="O733" s="140"/>
      <c r="P733" s="139"/>
      <c r="Q733" s="139"/>
      <c r="R733" s="139"/>
      <c r="S733" s="139"/>
      <c r="T733" s="139"/>
      <c r="U733" s="139"/>
      <c r="V733" s="139"/>
      <c r="W733" s="139"/>
      <c r="X733" s="139"/>
      <c r="Y733" s="139"/>
      <c r="Z733" s="139"/>
      <c r="AA733" s="139"/>
      <c r="AB733" s="139"/>
      <c r="AC733" s="139"/>
      <c r="AD733" s="139"/>
      <c r="AE733" s="139"/>
      <c r="AF733" s="139"/>
      <c r="AG733" s="139"/>
      <c r="AH733" s="139"/>
      <c r="AI733" s="139"/>
    </row>
    <row r="734">
      <c r="A734" s="139"/>
      <c r="B734" s="139"/>
      <c r="C734" s="139"/>
      <c r="D734" s="139"/>
      <c r="E734" s="139"/>
      <c r="F734" s="139"/>
      <c r="G734" s="139"/>
      <c r="H734" s="139"/>
      <c r="I734" s="139"/>
      <c r="J734" s="139"/>
      <c r="K734" s="140"/>
      <c r="L734" s="140"/>
      <c r="M734" s="140"/>
      <c r="N734" s="140"/>
      <c r="O734" s="140"/>
      <c r="P734" s="139"/>
      <c r="Q734" s="139"/>
      <c r="R734" s="139"/>
      <c r="S734" s="139"/>
      <c r="T734" s="139"/>
      <c r="U734" s="139"/>
      <c r="V734" s="139"/>
      <c r="W734" s="139"/>
      <c r="X734" s="139"/>
      <c r="Y734" s="139"/>
      <c r="Z734" s="139"/>
      <c r="AA734" s="139"/>
      <c r="AB734" s="139"/>
      <c r="AC734" s="139"/>
      <c r="AD734" s="139"/>
      <c r="AE734" s="139"/>
      <c r="AF734" s="139"/>
      <c r="AG734" s="139"/>
      <c r="AH734" s="139"/>
      <c r="AI734" s="139"/>
    </row>
    <row r="735">
      <c r="A735" s="139"/>
      <c r="B735" s="139"/>
      <c r="C735" s="139"/>
      <c r="D735" s="139"/>
      <c r="E735" s="139"/>
      <c r="F735" s="139"/>
      <c r="G735" s="139"/>
      <c r="H735" s="139"/>
      <c r="I735" s="139"/>
      <c r="J735" s="139"/>
      <c r="K735" s="140"/>
      <c r="L735" s="140"/>
      <c r="M735" s="140"/>
      <c r="N735" s="140"/>
      <c r="O735" s="140"/>
      <c r="P735" s="139"/>
      <c r="Q735" s="139"/>
      <c r="R735" s="139"/>
      <c r="S735" s="139"/>
      <c r="T735" s="139"/>
      <c r="U735" s="139"/>
      <c r="V735" s="139"/>
      <c r="W735" s="139"/>
      <c r="X735" s="139"/>
      <c r="Y735" s="139"/>
      <c r="Z735" s="139"/>
      <c r="AA735" s="139"/>
      <c r="AB735" s="139"/>
      <c r="AC735" s="139"/>
      <c r="AD735" s="139"/>
      <c r="AE735" s="139"/>
      <c r="AF735" s="139"/>
      <c r="AG735" s="139"/>
      <c r="AH735" s="139"/>
      <c r="AI735" s="139"/>
    </row>
    <row r="736">
      <c r="A736" s="139"/>
      <c r="B736" s="139"/>
      <c r="C736" s="139"/>
      <c r="D736" s="139"/>
      <c r="E736" s="139"/>
      <c r="F736" s="139"/>
      <c r="G736" s="139"/>
      <c r="H736" s="139"/>
      <c r="I736" s="139"/>
      <c r="J736" s="139"/>
      <c r="K736" s="140"/>
      <c r="L736" s="140"/>
      <c r="M736" s="140"/>
      <c r="N736" s="140"/>
      <c r="O736" s="140"/>
      <c r="P736" s="139"/>
      <c r="Q736" s="139"/>
      <c r="R736" s="139"/>
      <c r="S736" s="139"/>
      <c r="T736" s="139"/>
      <c r="U736" s="139"/>
      <c r="V736" s="139"/>
      <c r="W736" s="139"/>
      <c r="X736" s="139"/>
      <c r="Y736" s="139"/>
      <c r="Z736" s="139"/>
      <c r="AA736" s="139"/>
      <c r="AB736" s="139"/>
      <c r="AC736" s="139"/>
      <c r="AD736" s="139"/>
      <c r="AE736" s="139"/>
      <c r="AF736" s="139"/>
      <c r="AG736" s="139"/>
      <c r="AH736" s="139"/>
      <c r="AI736" s="139"/>
    </row>
    <row r="737">
      <c r="A737" s="139"/>
      <c r="B737" s="139"/>
      <c r="C737" s="139"/>
      <c r="D737" s="139"/>
      <c r="E737" s="139"/>
      <c r="F737" s="139"/>
      <c r="G737" s="139"/>
      <c r="H737" s="139"/>
      <c r="I737" s="139"/>
      <c r="J737" s="139"/>
      <c r="K737" s="140"/>
      <c r="L737" s="140"/>
      <c r="M737" s="140"/>
      <c r="N737" s="140"/>
      <c r="O737" s="140"/>
      <c r="P737" s="139"/>
      <c r="Q737" s="139"/>
      <c r="R737" s="139"/>
      <c r="S737" s="139"/>
      <c r="T737" s="139"/>
      <c r="U737" s="139"/>
      <c r="V737" s="139"/>
      <c r="W737" s="139"/>
      <c r="X737" s="139"/>
      <c r="Y737" s="139"/>
      <c r="Z737" s="139"/>
      <c r="AA737" s="139"/>
      <c r="AB737" s="139"/>
      <c r="AC737" s="139"/>
      <c r="AD737" s="139"/>
      <c r="AE737" s="139"/>
      <c r="AF737" s="139"/>
      <c r="AG737" s="139"/>
      <c r="AH737" s="139"/>
      <c r="AI737" s="139"/>
    </row>
    <row r="738">
      <c r="A738" s="139"/>
      <c r="B738" s="139"/>
      <c r="C738" s="139"/>
      <c r="D738" s="139"/>
      <c r="E738" s="139"/>
      <c r="F738" s="139"/>
      <c r="G738" s="139"/>
      <c r="H738" s="139"/>
      <c r="I738" s="139"/>
      <c r="J738" s="139"/>
      <c r="K738" s="140"/>
      <c r="L738" s="140"/>
      <c r="M738" s="140"/>
      <c r="N738" s="140"/>
      <c r="O738" s="140"/>
      <c r="P738" s="139"/>
      <c r="Q738" s="139"/>
      <c r="R738" s="139"/>
      <c r="S738" s="139"/>
      <c r="T738" s="139"/>
      <c r="U738" s="139"/>
      <c r="V738" s="139"/>
      <c r="W738" s="139"/>
      <c r="X738" s="139"/>
      <c r="Y738" s="139"/>
      <c r="Z738" s="139"/>
      <c r="AA738" s="139"/>
      <c r="AB738" s="139"/>
      <c r="AC738" s="139"/>
      <c r="AD738" s="139"/>
      <c r="AE738" s="139"/>
      <c r="AF738" s="139"/>
      <c r="AG738" s="139"/>
      <c r="AH738" s="139"/>
      <c r="AI738" s="139"/>
    </row>
    <row r="739">
      <c r="A739" s="139"/>
      <c r="B739" s="139"/>
      <c r="C739" s="139"/>
      <c r="D739" s="139"/>
      <c r="E739" s="139"/>
      <c r="F739" s="139"/>
      <c r="G739" s="139"/>
      <c r="H739" s="139"/>
      <c r="I739" s="139"/>
      <c r="J739" s="139"/>
      <c r="K739" s="140"/>
      <c r="L739" s="140"/>
      <c r="M739" s="140"/>
      <c r="N739" s="140"/>
      <c r="O739" s="140"/>
      <c r="P739" s="139"/>
      <c r="Q739" s="139"/>
      <c r="R739" s="139"/>
      <c r="S739" s="139"/>
      <c r="T739" s="139"/>
      <c r="U739" s="139"/>
      <c r="V739" s="139"/>
      <c r="W739" s="139"/>
      <c r="X739" s="139"/>
      <c r="Y739" s="139"/>
      <c r="Z739" s="139"/>
      <c r="AA739" s="139"/>
      <c r="AB739" s="139"/>
      <c r="AC739" s="139"/>
      <c r="AD739" s="139"/>
      <c r="AE739" s="139"/>
      <c r="AF739" s="139"/>
      <c r="AG739" s="139"/>
      <c r="AH739" s="139"/>
      <c r="AI739" s="139"/>
    </row>
    <row r="740">
      <c r="A740" s="139"/>
      <c r="B740" s="139"/>
      <c r="C740" s="139"/>
      <c r="D740" s="139"/>
      <c r="E740" s="139"/>
      <c r="F740" s="139"/>
      <c r="G740" s="139"/>
      <c r="H740" s="139"/>
      <c r="I740" s="139"/>
      <c r="J740" s="139"/>
      <c r="K740" s="140"/>
      <c r="L740" s="140"/>
      <c r="M740" s="140"/>
      <c r="N740" s="140"/>
      <c r="O740" s="140"/>
      <c r="P740" s="139"/>
      <c r="Q740" s="139"/>
      <c r="R740" s="139"/>
      <c r="S740" s="139"/>
      <c r="T740" s="139"/>
      <c r="U740" s="139"/>
      <c r="V740" s="139"/>
      <c r="W740" s="139"/>
      <c r="X740" s="139"/>
      <c r="Y740" s="139"/>
      <c r="Z740" s="139"/>
      <c r="AA740" s="139"/>
      <c r="AB740" s="139"/>
      <c r="AC740" s="139"/>
      <c r="AD740" s="139"/>
      <c r="AE740" s="139"/>
      <c r="AF740" s="139"/>
      <c r="AG740" s="139"/>
      <c r="AH740" s="139"/>
      <c r="AI740" s="139"/>
    </row>
    <row r="741">
      <c r="A741" s="139"/>
      <c r="B741" s="139"/>
      <c r="C741" s="139"/>
      <c r="D741" s="139"/>
      <c r="E741" s="139"/>
      <c r="F741" s="139"/>
      <c r="G741" s="139"/>
      <c r="H741" s="139"/>
      <c r="I741" s="139"/>
      <c r="J741" s="139"/>
      <c r="K741" s="140"/>
      <c r="L741" s="140"/>
      <c r="M741" s="140"/>
      <c r="N741" s="140"/>
      <c r="O741" s="140"/>
      <c r="P741" s="139"/>
      <c r="Q741" s="139"/>
      <c r="R741" s="139"/>
      <c r="S741" s="139"/>
      <c r="T741" s="139"/>
      <c r="U741" s="139"/>
      <c r="V741" s="139"/>
      <c r="W741" s="139"/>
      <c r="X741" s="139"/>
      <c r="Y741" s="139"/>
      <c r="Z741" s="139"/>
      <c r="AA741" s="139"/>
      <c r="AB741" s="139"/>
      <c r="AC741" s="139"/>
      <c r="AD741" s="139"/>
      <c r="AE741" s="139"/>
      <c r="AF741" s="139"/>
      <c r="AG741" s="139"/>
      <c r="AH741" s="139"/>
      <c r="AI741" s="139"/>
    </row>
    <row r="742">
      <c r="A742" s="139"/>
      <c r="B742" s="139"/>
      <c r="C742" s="139"/>
      <c r="D742" s="139"/>
      <c r="E742" s="139"/>
      <c r="F742" s="139"/>
      <c r="G742" s="139"/>
      <c r="H742" s="139"/>
      <c r="I742" s="139"/>
      <c r="J742" s="139"/>
      <c r="K742" s="140"/>
      <c r="L742" s="140"/>
      <c r="M742" s="140"/>
      <c r="N742" s="140"/>
      <c r="O742" s="140"/>
      <c r="P742" s="139"/>
      <c r="Q742" s="139"/>
      <c r="R742" s="139"/>
      <c r="S742" s="139"/>
      <c r="T742" s="139"/>
      <c r="U742" s="139"/>
      <c r="V742" s="139"/>
      <c r="W742" s="139"/>
      <c r="X742" s="139"/>
      <c r="Y742" s="139"/>
      <c r="Z742" s="139"/>
      <c r="AA742" s="139"/>
      <c r="AB742" s="139"/>
      <c r="AC742" s="139"/>
      <c r="AD742" s="139"/>
      <c r="AE742" s="139"/>
      <c r="AF742" s="139"/>
      <c r="AG742" s="139"/>
      <c r="AH742" s="139"/>
      <c r="AI742" s="139"/>
    </row>
    <row r="743">
      <c r="A743" s="139"/>
      <c r="B743" s="139"/>
      <c r="C743" s="139"/>
      <c r="D743" s="139"/>
      <c r="E743" s="139"/>
      <c r="F743" s="139"/>
      <c r="G743" s="139"/>
      <c r="H743" s="139"/>
      <c r="I743" s="139"/>
      <c r="J743" s="139"/>
      <c r="K743" s="140"/>
      <c r="L743" s="140"/>
      <c r="M743" s="140"/>
      <c r="N743" s="140"/>
      <c r="O743" s="140"/>
      <c r="P743" s="139"/>
      <c r="Q743" s="139"/>
      <c r="R743" s="139"/>
      <c r="S743" s="139"/>
      <c r="T743" s="139"/>
      <c r="U743" s="139"/>
      <c r="V743" s="139"/>
      <c r="W743" s="139"/>
      <c r="X743" s="139"/>
      <c r="Y743" s="139"/>
      <c r="Z743" s="139"/>
      <c r="AA743" s="139"/>
      <c r="AB743" s="139"/>
      <c r="AC743" s="139"/>
      <c r="AD743" s="139"/>
      <c r="AE743" s="139"/>
      <c r="AF743" s="139"/>
      <c r="AG743" s="139"/>
      <c r="AH743" s="139"/>
      <c r="AI743" s="139"/>
    </row>
    <row r="744">
      <c r="A744" s="139"/>
      <c r="B744" s="139"/>
      <c r="C744" s="139"/>
      <c r="D744" s="139"/>
      <c r="E744" s="139"/>
      <c r="F744" s="139"/>
      <c r="G744" s="139"/>
      <c r="H744" s="139"/>
      <c r="I744" s="139"/>
      <c r="J744" s="139"/>
      <c r="K744" s="140"/>
      <c r="L744" s="140"/>
      <c r="M744" s="140"/>
      <c r="N744" s="140"/>
      <c r="O744" s="140"/>
      <c r="P744" s="139"/>
      <c r="Q744" s="139"/>
      <c r="R744" s="139"/>
      <c r="S744" s="139"/>
      <c r="T744" s="139"/>
      <c r="U744" s="139"/>
      <c r="V744" s="139"/>
      <c r="W744" s="139"/>
      <c r="X744" s="139"/>
      <c r="Y744" s="139"/>
      <c r="Z744" s="139"/>
      <c r="AA744" s="139"/>
      <c r="AB744" s="139"/>
      <c r="AC744" s="139"/>
      <c r="AD744" s="139"/>
      <c r="AE744" s="139"/>
      <c r="AF744" s="139"/>
      <c r="AG744" s="139"/>
      <c r="AH744" s="139"/>
      <c r="AI744" s="139"/>
    </row>
    <row r="745">
      <c r="A745" s="139"/>
      <c r="B745" s="139"/>
      <c r="C745" s="139"/>
      <c r="D745" s="139"/>
      <c r="E745" s="139"/>
      <c r="F745" s="139"/>
      <c r="G745" s="139"/>
      <c r="H745" s="139"/>
      <c r="I745" s="139"/>
      <c r="J745" s="139"/>
      <c r="K745" s="140"/>
      <c r="L745" s="140"/>
      <c r="M745" s="140"/>
      <c r="N745" s="140"/>
      <c r="O745" s="140"/>
      <c r="P745" s="139"/>
      <c r="Q745" s="139"/>
      <c r="R745" s="139"/>
      <c r="S745" s="139"/>
      <c r="T745" s="139"/>
      <c r="U745" s="139"/>
      <c r="V745" s="139"/>
      <c r="W745" s="139"/>
      <c r="X745" s="139"/>
      <c r="Y745" s="139"/>
      <c r="Z745" s="139"/>
      <c r="AA745" s="139"/>
      <c r="AB745" s="139"/>
      <c r="AC745" s="139"/>
      <c r="AD745" s="139"/>
      <c r="AE745" s="139"/>
      <c r="AF745" s="139"/>
      <c r="AG745" s="139"/>
      <c r="AH745" s="139"/>
      <c r="AI745" s="139"/>
    </row>
    <row r="746">
      <c r="A746" s="139"/>
      <c r="B746" s="139"/>
      <c r="C746" s="139"/>
      <c r="D746" s="139"/>
      <c r="E746" s="139"/>
      <c r="F746" s="139"/>
      <c r="G746" s="139"/>
      <c r="H746" s="139"/>
      <c r="I746" s="139"/>
      <c r="J746" s="139"/>
      <c r="K746" s="140"/>
      <c r="L746" s="140"/>
      <c r="M746" s="140"/>
      <c r="N746" s="140"/>
      <c r="O746" s="140"/>
      <c r="P746" s="139"/>
      <c r="Q746" s="139"/>
      <c r="R746" s="139"/>
      <c r="S746" s="139"/>
      <c r="T746" s="139"/>
      <c r="U746" s="139"/>
      <c r="V746" s="139"/>
      <c r="W746" s="139"/>
      <c r="X746" s="139"/>
      <c r="Y746" s="139"/>
      <c r="Z746" s="139"/>
      <c r="AA746" s="139"/>
      <c r="AB746" s="139"/>
      <c r="AC746" s="139"/>
      <c r="AD746" s="139"/>
      <c r="AE746" s="139"/>
      <c r="AF746" s="139"/>
      <c r="AG746" s="139"/>
      <c r="AH746" s="139"/>
      <c r="AI746" s="139"/>
    </row>
    <row r="747">
      <c r="A747" s="139"/>
      <c r="B747" s="139"/>
      <c r="C747" s="139"/>
      <c r="D747" s="139"/>
      <c r="E747" s="139"/>
      <c r="F747" s="139"/>
      <c r="G747" s="139"/>
      <c r="H747" s="139"/>
      <c r="I747" s="139"/>
      <c r="J747" s="139"/>
      <c r="K747" s="140"/>
      <c r="L747" s="140"/>
      <c r="M747" s="140"/>
      <c r="N747" s="140"/>
      <c r="O747" s="140"/>
      <c r="P747" s="139"/>
      <c r="Q747" s="139"/>
      <c r="R747" s="139"/>
      <c r="S747" s="139"/>
      <c r="T747" s="139"/>
      <c r="U747" s="139"/>
      <c r="V747" s="139"/>
      <c r="W747" s="139"/>
      <c r="X747" s="139"/>
      <c r="Y747" s="139"/>
      <c r="Z747" s="139"/>
      <c r="AA747" s="139"/>
      <c r="AB747" s="139"/>
      <c r="AC747" s="139"/>
      <c r="AD747" s="139"/>
      <c r="AE747" s="139"/>
      <c r="AF747" s="139"/>
      <c r="AG747" s="139"/>
      <c r="AH747" s="139"/>
      <c r="AI747" s="139"/>
    </row>
    <row r="748">
      <c r="A748" s="139"/>
      <c r="B748" s="139"/>
      <c r="C748" s="139"/>
      <c r="D748" s="139"/>
      <c r="E748" s="139"/>
      <c r="F748" s="139"/>
      <c r="G748" s="139"/>
      <c r="H748" s="139"/>
      <c r="I748" s="139"/>
      <c r="J748" s="139"/>
      <c r="K748" s="140"/>
      <c r="L748" s="140"/>
      <c r="M748" s="140"/>
      <c r="N748" s="140"/>
      <c r="O748" s="140"/>
      <c r="P748" s="139"/>
      <c r="Q748" s="139"/>
      <c r="R748" s="139"/>
      <c r="S748" s="139"/>
      <c r="T748" s="139"/>
      <c r="U748" s="139"/>
      <c r="V748" s="139"/>
      <c r="W748" s="139"/>
      <c r="X748" s="139"/>
      <c r="Y748" s="139"/>
      <c r="Z748" s="139"/>
      <c r="AA748" s="139"/>
      <c r="AB748" s="139"/>
      <c r="AC748" s="139"/>
      <c r="AD748" s="139"/>
      <c r="AE748" s="139"/>
      <c r="AF748" s="139"/>
      <c r="AG748" s="139"/>
      <c r="AH748" s="139"/>
      <c r="AI748" s="139"/>
    </row>
    <row r="749">
      <c r="A749" s="139"/>
      <c r="B749" s="139"/>
      <c r="C749" s="139"/>
      <c r="D749" s="139"/>
      <c r="E749" s="139"/>
      <c r="F749" s="139"/>
      <c r="G749" s="139"/>
      <c r="H749" s="139"/>
      <c r="I749" s="139"/>
      <c r="J749" s="139"/>
      <c r="K749" s="140"/>
      <c r="L749" s="140"/>
      <c r="M749" s="140"/>
      <c r="N749" s="140"/>
      <c r="O749" s="140"/>
      <c r="P749" s="139"/>
      <c r="Q749" s="139"/>
      <c r="R749" s="139"/>
      <c r="S749" s="139"/>
      <c r="T749" s="139"/>
      <c r="U749" s="139"/>
      <c r="V749" s="139"/>
      <c r="W749" s="139"/>
      <c r="X749" s="139"/>
      <c r="Y749" s="139"/>
      <c r="Z749" s="139"/>
      <c r="AA749" s="139"/>
      <c r="AB749" s="139"/>
      <c r="AC749" s="139"/>
      <c r="AD749" s="139"/>
      <c r="AE749" s="139"/>
      <c r="AF749" s="139"/>
      <c r="AG749" s="139"/>
      <c r="AH749" s="139"/>
      <c r="AI749" s="139"/>
    </row>
    <row r="750">
      <c r="A750" s="139"/>
      <c r="B750" s="139"/>
      <c r="C750" s="139"/>
      <c r="D750" s="139"/>
      <c r="E750" s="139"/>
      <c r="F750" s="139"/>
      <c r="G750" s="139"/>
      <c r="H750" s="139"/>
      <c r="I750" s="139"/>
      <c r="J750" s="139"/>
      <c r="K750" s="140"/>
      <c r="L750" s="140"/>
      <c r="M750" s="140"/>
      <c r="N750" s="140"/>
      <c r="O750" s="140"/>
      <c r="P750" s="139"/>
      <c r="Q750" s="139"/>
      <c r="R750" s="139"/>
      <c r="S750" s="139"/>
      <c r="T750" s="139"/>
      <c r="U750" s="139"/>
      <c r="V750" s="139"/>
      <c r="W750" s="139"/>
      <c r="X750" s="139"/>
      <c r="Y750" s="139"/>
      <c r="Z750" s="139"/>
      <c r="AA750" s="139"/>
      <c r="AB750" s="139"/>
      <c r="AC750" s="139"/>
      <c r="AD750" s="139"/>
      <c r="AE750" s="139"/>
      <c r="AF750" s="139"/>
      <c r="AG750" s="139"/>
      <c r="AH750" s="139"/>
      <c r="AI750" s="139"/>
    </row>
    <row r="751">
      <c r="A751" s="139"/>
      <c r="B751" s="139"/>
      <c r="C751" s="139"/>
      <c r="D751" s="139"/>
      <c r="E751" s="139"/>
      <c r="F751" s="139"/>
      <c r="G751" s="139"/>
      <c r="H751" s="139"/>
      <c r="I751" s="139"/>
      <c r="J751" s="139"/>
      <c r="K751" s="140"/>
      <c r="L751" s="140"/>
      <c r="M751" s="140"/>
      <c r="N751" s="140"/>
      <c r="O751" s="140"/>
      <c r="P751" s="139"/>
      <c r="Q751" s="139"/>
      <c r="R751" s="139"/>
      <c r="S751" s="139"/>
      <c r="T751" s="139"/>
      <c r="U751" s="139"/>
      <c r="V751" s="139"/>
      <c r="W751" s="139"/>
      <c r="X751" s="139"/>
      <c r="Y751" s="139"/>
      <c r="Z751" s="139"/>
      <c r="AA751" s="139"/>
      <c r="AB751" s="139"/>
      <c r="AC751" s="139"/>
      <c r="AD751" s="139"/>
      <c r="AE751" s="139"/>
      <c r="AF751" s="139"/>
      <c r="AG751" s="139"/>
      <c r="AH751" s="139"/>
      <c r="AI751" s="139"/>
    </row>
    <row r="752">
      <c r="A752" s="139"/>
      <c r="B752" s="139"/>
      <c r="C752" s="139"/>
      <c r="D752" s="139"/>
      <c r="E752" s="139"/>
      <c r="F752" s="139"/>
      <c r="G752" s="139"/>
      <c r="H752" s="139"/>
      <c r="I752" s="139"/>
      <c r="J752" s="139"/>
      <c r="K752" s="140"/>
      <c r="L752" s="140"/>
      <c r="M752" s="140"/>
      <c r="N752" s="140"/>
      <c r="O752" s="140"/>
      <c r="P752" s="139"/>
      <c r="Q752" s="139"/>
      <c r="R752" s="139"/>
      <c r="S752" s="139"/>
      <c r="T752" s="139"/>
      <c r="U752" s="139"/>
      <c r="V752" s="139"/>
      <c r="W752" s="139"/>
      <c r="X752" s="139"/>
      <c r="Y752" s="139"/>
      <c r="Z752" s="139"/>
      <c r="AA752" s="139"/>
      <c r="AB752" s="139"/>
      <c r="AC752" s="139"/>
      <c r="AD752" s="139"/>
      <c r="AE752" s="139"/>
      <c r="AF752" s="139"/>
      <c r="AG752" s="139"/>
      <c r="AH752" s="139"/>
      <c r="AI752" s="139"/>
    </row>
    <row r="753">
      <c r="A753" s="139"/>
      <c r="B753" s="139"/>
      <c r="C753" s="139"/>
      <c r="D753" s="139"/>
      <c r="E753" s="139"/>
      <c r="F753" s="139"/>
      <c r="G753" s="139"/>
      <c r="H753" s="139"/>
      <c r="I753" s="139"/>
      <c r="J753" s="139"/>
      <c r="K753" s="140"/>
      <c r="L753" s="140"/>
      <c r="M753" s="140"/>
      <c r="N753" s="140"/>
      <c r="O753" s="140"/>
      <c r="P753" s="139"/>
      <c r="Q753" s="139"/>
      <c r="R753" s="139"/>
      <c r="S753" s="139"/>
      <c r="T753" s="139"/>
      <c r="U753" s="139"/>
      <c r="V753" s="139"/>
      <c r="W753" s="139"/>
      <c r="X753" s="139"/>
      <c r="Y753" s="139"/>
      <c r="Z753" s="139"/>
      <c r="AA753" s="139"/>
      <c r="AB753" s="139"/>
      <c r="AC753" s="139"/>
      <c r="AD753" s="139"/>
      <c r="AE753" s="139"/>
      <c r="AF753" s="139"/>
      <c r="AG753" s="139"/>
      <c r="AH753" s="139"/>
      <c r="AI753" s="139"/>
    </row>
    <row r="754">
      <c r="A754" s="139"/>
      <c r="B754" s="139"/>
      <c r="C754" s="139"/>
      <c r="D754" s="139"/>
      <c r="E754" s="139"/>
      <c r="F754" s="139"/>
      <c r="G754" s="139"/>
      <c r="H754" s="139"/>
      <c r="I754" s="139"/>
      <c r="J754" s="139"/>
      <c r="K754" s="140"/>
      <c r="L754" s="140"/>
      <c r="M754" s="140"/>
      <c r="N754" s="140"/>
      <c r="O754" s="140"/>
      <c r="P754" s="139"/>
      <c r="Q754" s="139"/>
      <c r="R754" s="139"/>
      <c r="S754" s="139"/>
      <c r="T754" s="139"/>
      <c r="U754" s="139"/>
      <c r="V754" s="139"/>
      <c r="W754" s="139"/>
      <c r="X754" s="139"/>
      <c r="Y754" s="139"/>
      <c r="Z754" s="139"/>
      <c r="AA754" s="139"/>
      <c r="AB754" s="139"/>
      <c r="AC754" s="139"/>
      <c r="AD754" s="139"/>
      <c r="AE754" s="139"/>
      <c r="AF754" s="139"/>
      <c r="AG754" s="139"/>
      <c r="AH754" s="139"/>
      <c r="AI754" s="139"/>
    </row>
    <row r="755">
      <c r="A755" s="139"/>
      <c r="B755" s="139"/>
      <c r="C755" s="139"/>
      <c r="D755" s="139"/>
      <c r="E755" s="139"/>
      <c r="F755" s="139"/>
      <c r="G755" s="139"/>
      <c r="H755" s="139"/>
      <c r="I755" s="139"/>
      <c r="J755" s="139"/>
      <c r="K755" s="140"/>
      <c r="L755" s="140"/>
      <c r="M755" s="140"/>
      <c r="N755" s="140"/>
      <c r="O755" s="140"/>
      <c r="P755" s="139"/>
      <c r="Q755" s="139"/>
      <c r="R755" s="139"/>
      <c r="S755" s="139"/>
      <c r="T755" s="139"/>
      <c r="U755" s="139"/>
      <c r="V755" s="139"/>
      <c r="W755" s="139"/>
      <c r="X755" s="139"/>
      <c r="Y755" s="139"/>
      <c r="Z755" s="139"/>
      <c r="AA755" s="139"/>
      <c r="AB755" s="139"/>
      <c r="AC755" s="139"/>
      <c r="AD755" s="139"/>
      <c r="AE755" s="139"/>
      <c r="AF755" s="139"/>
      <c r="AG755" s="139"/>
      <c r="AH755" s="139"/>
      <c r="AI755" s="139"/>
    </row>
    <row r="756">
      <c r="A756" s="139"/>
      <c r="B756" s="139"/>
      <c r="C756" s="139"/>
      <c r="D756" s="139"/>
      <c r="E756" s="139"/>
      <c r="F756" s="139"/>
      <c r="G756" s="139"/>
      <c r="H756" s="139"/>
      <c r="I756" s="139"/>
      <c r="J756" s="139"/>
      <c r="K756" s="140"/>
      <c r="L756" s="140"/>
      <c r="M756" s="140"/>
      <c r="N756" s="140"/>
      <c r="O756" s="140"/>
      <c r="P756" s="139"/>
      <c r="Q756" s="139"/>
      <c r="R756" s="139"/>
      <c r="S756" s="139"/>
      <c r="T756" s="139"/>
      <c r="U756" s="139"/>
      <c r="V756" s="139"/>
      <c r="W756" s="139"/>
      <c r="X756" s="139"/>
      <c r="Y756" s="139"/>
      <c r="Z756" s="139"/>
      <c r="AA756" s="139"/>
      <c r="AB756" s="139"/>
      <c r="AC756" s="139"/>
      <c r="AD756" s="139"/>
      <c r="AE756" s="139"/>
      <c r="AF756" s="139"/>
      <c r="AG756" s="139"/>
      <c r="AH756" s="139"/>
      <c r="AI756" s="139"/>
    </row>
    <row r="757">
      <c r="A757" s="139"/>
      <c r="B757" s="139"/>
      <c r="C757" s="139"/>
      <c r="D757" s="139"/>
      <c r="E757" s="139"/>
      <c r="F757" s="139"/>
      <c r="G757" s="139"/>
      <c r="H757" s="139"/>
      <c r="I757" s="139"/>
      <c r="J757" s="139"/>
      <c r="K757" s="140"/>
      <c r="L757" s="140"/>
      <c r="M757" s="140"/>
      <c r="N757" s="140"/>
      <c r="O757" s="140"/>
      <c r="P757" s="139"/>
      <c r="Q757" s="139"/>
      <c r="R757" s="139"/>
      <c r="S757" s="139"/>
      <c r="T757" s="139"/>
      <c r="U757" s="139"/>
      <c r="V757" s="139"/>
      <c r="W757" s="139"/>
      <c r="X757" s="139"/>
      <c r="Y757" s="139"/>
      <c r="Z757" s="139"/>
      <c r="AA757" s="139"/>
      <c r="AB757" s="139"/>
      <c r="AC757" s="139"/>
      <c r="AD757" s="139"/>
      <c r="AE757" s="139"/>
      <c r="AF757" s="139"/>
      <c r="AG757" s="139"/>
      <c r="AH757" s="139"/>
      <c r="AI757" s="139"/>
    </row>
    <row r="758">
      <c r="A758" s="139"/>
      <c r="B758" s="139"/>
      <c r="C758" s="139"/>
      <c r="D758" s="139"/>
      <c r="E758" s="139"/>
      <c r="F758" s="139"/>
      <c r="G758" s="139"/>
      <c r="H758" s="139"/>
      <c r="I758" s="139"/>
      <c r="J758" s="139"/>
      <c r="K758" s="140"/>
      <c r="L758" s="140"/>
      <c r="M758" s="140"/>
      <c r="N758" s="140"/>
      <c r="O758" s="140"/>
      <c r="P758" s="139"/>
      <c r="Q758" s="139"/>
      <c r="R758" s="139"/>
      <c r="S758" s="139"/>
      <c r="T758" s="139"/>
      <c r="U758" s="139"/>
      <c r="V758" s="139"/>
      <c r="W758" s="139"/>
      <c r="X758" s="139"/>
      <c r="Y758" s="139"/>
      <c r="Z758" s="139"/>
      <c r="AA758" s="139"/>
      <c r="AB758" s="139"/>
      <c r="AC758" s="139"/>
      <c r="AD758" s="139"/>
      <c r="AE758" s="139"/>
      <c r="AF758" s="139"/>
      <c r="AG758" s="139"/>
      <c r="AH758" s="139"/>
      <c r="AI758" s="139"/>
    </row>
    <row r="759">
      <c r="A759" s="139"/>
      <c r="B759" s="139"/>
      <c r="C759" s="139"/>
      <c r="D759" s="139"/>
      <c r="E759" s="139"/>
      <c r="F759" s="139"/>
      <c r="G759" s="139"/>
      <c r="H759" s="139"/>
      <c r="I759" s="139"/>
      <c r="J759" s="139"/>
      <c r="K759" s="140"/>
      <c r="L759" s="140"/>
      <c r="M759" s="140"/>
      <c r="N759" s="140"/>
      <c r="O759" s="140"/>
      <c r="P759" s="139"/>
      <c r="Q759" s="139"/>
      <c r="R759" s="139"/>
      <c r="S759" s="139"/>
      <c r="T759" s="139"/>
      <c r="U759" s="139"/>
      <c r="V759" s="139"/>
      <c r="W759" s="139"/>
      <c r="X759" s="139"/>
      <c r="Y759" s="139"/>
      <c r="Z759" s="139"/>
      <c r="AA759" s="139"/>
      <c r="AB759" s="139"/>
      <c r="AC759" s="139"/>
      <c r="AD759" s="139"/>
      <c r="AE759" s="139"/>
      <c r="AF759" s="139"/>
      <c r="AG759" s="139"/>
      <c r="AH759" s="139"/>
      <c r="AI759" s="139"/>
    </row>
    <row r="760">
      <c r="A760" s="139"/>
      <c r="B760" s="139"/>
      <c r="C760" s="139"/>
      <c r="D760" s="139"/>
      <c r="E760" s="139"/>
      <c r="F760" s="139"/>
      <c r="G760" s="139"/>
      <c r="H760" s="139"/>
      <c r="I760" s="139"/>
      <c r="J760" s="139"/>
      <c r="K760" s="140"/>
      <c r="L760" s="140"/>
      <c r="M760" s="140"/>
      <c r="N760" s="140"/>
      <c r="O760" s="140"/>
      <c r="P760" s="139"/>
      <c r="Q760" s="139"/>
      <c r="R760" s="139"/>
      <c r="S760" s="139"/>
      <c r="T760" s="139"/>
      <c r="U760" s="139"/>
      <c r="V760" s="139"/>
      <c r="W760" s="139"/>
      <c r="X760" s="139"/>
      <c r="Y760" s="139"/>
      <c r="Z760" s="139"/>
      <c r="AA760" s="139"/>
      <c r="AB760" s="139"/>
      <c r="AC760" s="139"/>
      <c r="AD760" s="139"/>
      <c r="AE760" s="139"/>
      <c r="AF760" s="139"/>
      <c r="AG760" s="139"/>
      <c r="AH760" s="139"/>
      <c r="AI760" s="139"/>
    </row>
    <row r="761">
      <c r="A761" s="139"/>
      <c r="B761" s="139"/>
      <c r="C761" s="139"/>
      <c r="D761" s="139"/>
      <c r="E761" s="139"/>
      <c r="F761" s="139"/>
      <c r="G761" s="139"/>
      <c r="H761" s="139"/>
      <c r="I761" s="139"/>
      <c r="J761" s="139"/>
      <c r="K761" s="140"/>
      <c r="L761" s="140"/>
      <c r="M761" s="140"/>
      <c r="N761" s="140"/>
      <c r="O761" s="140"/>
      <c r="P761" s="139"/>
      <c r="Q761" s="139"/>
      <c r="R761" s="139"/>
      <c r="S761" s="139"/>
      <c r="T761" s="139"/>
      <c r="U761" s="139"/>
      <c r="V761" s="139"/>
      <c r="W761" s="139"/>
      <c r="X761" s="139"/>
      <c r="Y761" s="139"/>
      <c r="Z761" s="139"/>
      <c r="AA761" s="139"/>
      <c r="AB761" s="139"/>
      <c r="AC761" s="139"/>
      <c r="AD761" s="139"/>
      <c r="AE761" s="139"/>
      <c r="AF761" s="139"/>
      <c r="AG761" s="139"/>
      <c r="AH761" s="139"/>
      <c r="AI761" s="139"/>
    </row>
    <row r="762">
      <c r="A762" s="139"/>
      <c r="B762" s="139"/>
      <c r="C762" s="139"/>
      <c r="D762" s="139"/>
      <c r="E762" s="139"/>
      <c r="F762" s="139"/>
      <c r="G762" s="139"/>
      <c r="H762" s="139"/>
      <c r="I762" s="139"/>
      <c r="J762" s="139"/>
      <c r="K762" s="140"/>
      <c r="L762" s="140"/>
      <c r="M762" s="140"/>
      <c r="N762" s="140"/>
      <c r="O762" s="140"/>
      <c r="P762" s="139"/>
      <c r="Q762" s="139"/>
      <c r="R762" s="139"/>
      <c r="S762" s="139"/>
      <c r="T762" s="139"/>
      <c r="U762" s="139"/>
      <c r="V762" s="139"/>
      <c r="W762" s="139"/>
      <c r="X762" s="139"/>
      <c r="Y762" s="139"/>
      <c r="Z762" s="139"/>
      <c r="AA762" s="139"/>
      <c r="AB762" s="139"/>
      <c r="AC762" s="139"/>
      <c r="AD762" s="139"/>
      <c r="AE762" s="139"/>
      <c r="AF762" s="139"/>
      <c r="AG762" s="139"/>
      <c r="AH762" s="139"/>
      <c r="AI762" s="139"/>
    </row>
    <row r="763">
      <c r="A763" s="139"/>
      <c r="B763" s="139"/>
      <c r="C763" s="139"/>
      <c r="D763" s="139"/>
      <c r="E763" s="139"/>
      <c r="F763" s="139"/>
      <c r="G763" s="139"/>
      <c r="H763" s="139"/>
      <c r="I763" s="139"/>
      <c r="J763" s="139"/>
      <c r="K763" s="140"/>
      <c r="L763" s="140"/>
      <c r="M763" s="140"/>
      <c r="N763" s="140"/>
      <c r="O763" s="140"/>
      <c r="P763" s="139"/>
      <c r="Q763" s="139"/>
      <c r="R763" s="139"/>
      <c r="S763" s="139"/>
      <c r="T763" s="139"/>
      <c r="U763" s="139"/>
      <c r="V763" s="139"/>
      <c r="W763" s="139"/>
      <c r="X763" s="139"/>
      <c r="Y763" s="139"/>
      <c r="Z763" s="139"/>
      <c r="AA763" s="139"/>
      <c r="AB763" s="139"/>
      <c r="AC763" s="139"/>
      <c r="AD763" s="139"/>
      <c r="AE763" s="139"/>
      <c r="AF763" s="139"/>
      <c r="AG763" s="139"/>
      <c r="AH763" s="139"/>
      <c r="AI763" s="139"/>
    </row>
    <row r="764">
      <c r="A764" s="139"/>
      <c r="B764" s="139"/>
      <c r="C764" s="139"/>
      <c r="D764" s="139"/>
      <c r="E764" s="139"/>
      <c r="F764" s="139"/>
      <c r="G764" s="139"/>
      <c r="H764" s="139"/>
      <c r="I764" s="139"/>
      <c r="J764" s="139"/>
      <c r="K764" s="140"/>
      <c r="L764" s="140"/>
      <c r="M764" s="140"/>
      <c r="N764" s="140"/>
      <c r="O764" s="140"/>
      <c r="P764" s="139"/>
      <c r="Q764" s="139"/>
      <c r="R764" s="139"/>
      <c r="S764" s="139"/>
      <c r="T764" s="139"/>
      <c r="U764" s="139"/>
      <c r="V764" s="139"/>
      <c r="W764" s="139"/>
      <c r="X764" s="139"/>
      <c r="Y764" s="139"/>
      <c r="Z764" s="139"/>
      <c r="AA764" s="139"/>
      <c r="AB764" s="139"/>
      <c r="AC764" s="139"/>
      <c r="AD764" s="139"/>
      <c r="AE764" s="139"/>
      <c r="AF764" s="139"/>
      <c r="AG764" s="139"/>
      <c r="AH764" s="139"/>
      <c r="AI764" s="139"/>
    </row>
    <row r="765">
      <c r="A765" s="139"/>
      <c r="B765" s="139"/>
      <c r="C765" s="139"/>
      <c r="D765" s="139"/>
      <c r="E765" s="139"/>
      <c r="F765" s="139"/>
      <c r="G765" s="139"/>
      <c r="H765" s="139"/>
      <c r="I765" s="139"/>
      <c r="J765" s="139"/>
      <c r="K765" s="140"/>
      <c r="L765" s="140"/>
      <c r="M765" s="140"/>
      <c r="N765" s="140"/>
      <c r="O765" s="140"/>
      <c r="P765" s="139"/>
      <c r="Q765" s="139"/>
      <c r="R765" s="139"/>
      <c r="S765" s="139"/>
      <c r="T765" s="139"/>
      <c r="U765" s="139"/>
      <c r="V765" s="139"/>
      <c r="W765" s="139"/>
      <c r="X765" s="139"/>
      <c r="Y765" s="139"/>
      <c r="Z765" s="139"/>
      <c r="AA765" s="139"/>
      <c r="AB765" s="139"/>
      <c r="AC765" s="139"/>
      <c r="AD765" s="139"/>
      <c r="AE765" s="139"/>
      <c r="AF765" s="139"/>
      <c r="AG765" s="139"/>
      <c r="AH765" s="139"/>
      <c r="AI765" s="139"/>
    </row>
    <row r="766">
      <c r="A766" s="139"/>
      <c r="B766" s="139"/>
      <c r="C766" s="139"/>
      <c r="D766" s="139"/>
      <c r="E766" s="139"/>
      <c r="F766" s="139"/>
      <c r="G766" s="139"/>
      <c r="H766" s="139"/>
      <c r="I766" s="139"/>
      <c r="J766" s="139"/>
      <c r="K766" s="140"/>
      <c r="L766" s="140"/>
      <c r="M766" s="140"/>
      <c r="N766" s="140"/>
      <c r="O766" s="140"/>
      <c r="P766" s="139"/>
      <c r="Q766" s="139"/>
      <c r="R766" s="139"/>
      <c r="S766" s="139"/>
      <c r="T766" s="139"/>
      <c r="U766" s="139"/>
      <c r="V766" s="139"/>
      <c r="W766" s="139"/>
      <c r="X766" s="139"/>
      <c r="Y766" s="139"/>
      <c r="Z766" s="139"/>
      <c r="AA766" s="139"/>
      <c r="AB766" s="139"/>
      <c r="AC766" s="139"/>
      <c r="AD766" s="139"/>
      <c r="AE766" s="139"/>
      <c r="AF766" s="139"/>
      <c r="AG766" s="139"/>
      <c r="AH766" s="139"/>
      <c r="AI766" s="139"/>
    </row>
    <row r="767">
      <c r="A767" s="139"/>
      <c r="B767" s="139"/>
      <c r="C767" s="139"/>
      <c r="D767" s="139"/>
      <c r="E767" s="139"/>
      <c r="F767" s="139"/>
      <c r="G767" s="139"/>
      <c r="H767" s="139"/>
      <c r="I767" s="139"/>
      <c r="J767" s="139"/>
      <c r="K767" s="140"/>
      <c r="L767" s="140"/>
      <c r="M767" s="140"/>
      <c r="N767" s="140"/>
      <c r="O767" s="140"/>
      <c r="P767" s="139"/>
      <c r="Q767" s="139"/>
      <c r="R767" s="139"/>
      <c r="S767" s="139"/>
      <c r="T767" s="139"/>
      <c r="U767" s="139"/>
      <c r="V767" s="139"/>
      <c r="W767" s="139"/>
      <c r="X767" s="139"/>
      <c r="Y767" s="139"/>
      <c r="Z767" s="139"/>
      <c r="AA767" s="139"/>
      <c r="AB767" s="139"/>
      <c r="AC767" s="139"/>
      <c r="AD767" s="139"/>
      <c r="AE767" s="139"/>
      <c r="AF767" s="139"/>
      <c r="AG767" s="139"/>
      <c r="AH767" s="139"/>
      <c r="AI767" s="139"/>
    </row>
    <row r="768">
      <c r="A768" s="139"/>
      <c r="B768" s="139"/>
      <c r="C768" s="139"/>
      <c r="D768" s="139"/>
      <c r="E768" s="139"/>
      <c r="F768" s="139"/>
      <c r="G768" s="139"/>
      <c r="H768" s="139"/>
      <c r="I768" s="139"/>
      <c r="J768" s="139"/>
      <c r="K768" s="140"/>
      <c r="L768" s="140"/>
      <c r="M768" s="140"/>
      <c r="N768" s="140"/>
      <c r="O768" s="140"/>
      <c r="P768" s="139"/>
      <c r="Q768" s="139"/>
      <c r="R768" s="139"/>
      <c r="S768" s="139"/>
      <c r="T768" s="139"/>
      <c r="U768" s="139"/>
      <c r="V768" s="139"/>
      <c r="W768" s="139"/>
      <c r="X768" s="139"/>
      <c r="Y768" s="139"/>
      <c r="Z768" s="139"/>
      <c r="AA768" s="139"/>
      <c r="AB768" s="139"/>
      <c r="AC768" s="139"/>
      <c r="AD768" s="139"/>
      <c r="AE768" s="139"/>
      <c r="AF768" s="139"/>
      <c r="AG768" s="139"/>
      <c r="AH768" s="139"/>
      <c r="AI768" s="139"/>
    </row>
    <row r="769">
      <c r="A769" s="139"/>
      <c r="B769" s="139"/>
      <c r="C769" s="139"/>
      <c r="D769" s="139"/>
      <c r="E769" s="139"/>
      <c r="F769" s="139"/>
      <c r="G769" s="139"/>
      <c r="H769" s="139"/>
      <c r="I769" s="139"/>
      <c r="J769" s="139"/>
      <c r="K769" s="140"/>
      <c r="L769" s="140"/>
      <c r="M769" s="140"/>
      <c r="N769" s="140"/>
      <c r="O769" s="140"/>
      <c r="P769" s="139"/>
      <c r="Q769" s="139"/>
      <c r="R769" s="139"/>
      <c r="S769" s="139"/>
      <c r="T769" s="139"/>
      <c r="U769" s="139"/>
      <c r="V769" s="139"/>
      <c r="W769" s="139"/>
      <c r="X769" s="139"/>
      <c r="Y769" s="139"/>
      <c r="Z769" s="139"/>
      <c r="AA769" s="139"/>
      <c r="AB769" s="139"/>
      <c r="AC769" s="139"/>
      <c r="AD769" s="139"/>
      <c r="AE769" s="139"/>
      <c r="AF769" s="139"/>
      <c r="AG769" s="139"/>
      <c r="AH769" s="139"/>
      <c r="AI769" s="139"/>
    </row>
    <row r="770">
      <c r="A770" s="139"/>
      <c r="B770" s="139"/>
      <c r="C770" s="139"/>
      <c r="D770" s="139"/>
      <c r="E770" s="139"/>
      <c r="F770" s="139"/>
      <c r="G770" s="139"/>
      <c r="H770" s="139"/>
      <c r="I770" s="139"/>
      <c r="J770" s="139"/>
      <c r="K770" s="140"/>
      <c r="L770" s="140"/>
      <c r="M770" s="140"/>
      <c r="N770" s="140"/>
      <c r="O770" s="140"/>
      <c r="P770" s="139"/>
      <c r="Q770" s="139"/>
      <c r="R770" s="139"/>
      <c r="S770" s="139"/>
      <c r="T770" s="139"/>
      <c r="U770" s="139"/>
      <c r="V770" s="139"/>
      <c r="W770" s="139"/>
      <c r="X770" s="139"/>
      <c r="Y770" s="139"/>
      <c r="Z770" s="139"/>
      <c r="AA770" s="139"/>
      <c r="AB770" s="139"/>
      <c r="AC770" s="139"/>
      <c r="AD770" s="139"/>
      <c r="AE770" s="139"/>
      <c r="AF770" s="139"/>
      <c r="AG770" s="139"/>
      <c r="AH770" s="139"/>
      <c r="AI770" s="139"/>
    </row>
    <row r="771">
      <c r="A771" s="139"/>
      <c r="B771" s="139"/>
      <c r="C771" s="139"/>
      <c r="D771" s="139"/>
      <c r="E771" s="139"/>
      <c r="F771" s="139"/>
      <c r="G771" s="139"/>
      <c r="H771" s="139"/>
      <c r="I771" s="139"/>
      <c r="J771" s="139"/>
      <c r="K771" s="140"/>
      <c r="L771" s="140"/>
      <c r="M771" s="140"/>
      <c r="N771" s="140"/>
      <c r="O771" s="140"/>
      <c r="P771" s="139"/>
      <c r="Q771" s="139"/>
      <c r="R771" s="139"/>
      <c r="S771" s="139"/>
      <c r="T771" s="139"/>
      <c r="U771" s="139"/>
      <c r="V771" s="139"/>
      <c r="W771" s="139"/>
      <c r="X771" s="139"/>
      <c r="Y771" s="139"/>
      <c r="Z771" s="139"/>
      <c r="AA771" s="139"/>
      <c r="AB771" s="139"/>
      <c r="AC771" s="139"/>
      <c r="AD771" s="139"/>
      <c r="AE771" s="139"/>
      <c r="AF771" s="139"/>
      <c r="AG771" s="139"/>
      <c r="AH771" s="139"/>
      <c r="AI771" s="139"/>
    </row>
    <row r="772">
      <c r="A772" s="139"/>
      <c r="B772" s="139"/>
      <c r="C772" s="139"/>
      <c r="D772" s="139"/>
      <c r="E772" s="139"/>
      <c r="F772" s="139"/>
      <c r="G772" s="139"/>
      <c r="H772" s="139"/>
      <c r="I772" s="139"/>
      <c r="J772" s="139"/>
      <c r="K772" s="140"/>
      <c r="L772" s="140"/>
      <c r="M772" s="140"/>
      <c r="N772" s="140"/>
      <c r="O772" s="140"/>
      <c r="P772" s="139"/>
      <c r="Q772" s="139"/>
      <c r="R772" s="139"/>
      <c r="S772" s="139"/>
      <c r="T772" s="139"/>
      <c r="U772" s="139"/>
      <c r="V772" s="139"/>
      <c r="W772" s="139"/>
      <c r="X772" s="139"/>
      <c r="Y772" s="139"/>
      <c r="Z772" s="139"/>
      <c r="AA772" s="139"/>
      <c r="AB772" s="139"/>
      <c r="AC772" s="139"/>
      <c r="AD772" s="139"/>
      <c r="AE772" s="139"/>
      <c r="AF772" s="139"/>
      <c r="AG772" s="139"/>
      <c r="AH772" s="139"/>
      <c r="AI772" s="139"/>
    </row>
    <row r="773">
      <c r="A773" s="139"/>
      <c r="B773" s="139"/>
      <c r="C773" s="139"/>
      <c r="D773" s="139"/>
      <c r="E773" s="139"/>
      <c r="F773" s="139"/>
      <c r="G773" s="139"/>
      <c r="H773" s="139"/>
      <c r="I773" s="139"/>
      <c r="J773" s="139"/>
      <c r="K773" s="140"/>
      <c r="L773" s="140"/>
      <c r="M773" s="140"/>
      <c r="N773" s="140"/>
      <c r="O773" s="140"/>
      <c r="P773" s="139"/>
      <c r="Q773" s="139"/>
      <c r="R773" s="139"/>
      <c r="S773" s="139"/>
      <c r="T773" s="139"/>
      <c r="U773" s="139"/>
      <c r="V773" s="139"/>
      <c r="W773" s="139"/>
      <c r="X773" s="139"/>
      <c r="Y773" s="139"/>
      <c r="Z773" s="139"/>
      <c r="AA773" s="139"/>
      <c r="AB773" s="139"/>
      <c r="AC773" s="139"/>
      <c r="AD773" s="139"/>
      <c r="AE773" s="139"/>
      <c r="AF773" s="139"/>
      <c r="AG773" s="139"/>
      <c r="AH773" s="139"/>
      <c r="AI773" s="139"/>
    </row>
    <row r="774">
      <c r="A774" s="139"/>
      <c r="B774" s="139"/>
      <c r="C774" s="139"/>
      <c r="D774" s="139"/>
      <c r="E774" s="139"/>
      <c r="F774" s="139"/>
      <c r="G774" s="139"/>
      <c r="H774" s="139"/>
      <c r="I774" s="139"/>
      <c r="J774" s="139"/>
      <c r="K774" s="140"/>
      <c r="L774" s="140"/>
      <c r="M774" s="140"/>
      <c r="N774" s="140"/>
      <c r="O774" s="140"/>
      <c r="P774" s="139"/>
      <c r="Q774" s="139"/>
      <c r="R774" s="139"/>
      <c r="S774" s="139"/>
      <c r="T774" s="139"/>
      <c r="U774" s="139"/>
      <c r="V774" s="139"/>
      <c r="W774" s="139"/>
      <c r="X774" s="139"/>
      <c r="Y774" s="139"/>
      <c r="Z774" s="139"/>
      <c r="AA774" s="139"/>
      <c r="AB774" s="139"/>
      <c r="AC774" s="139"/>
      <c r="AD774" s="139"/>
      <c r="AE774" s="139"/>
      <c r="AF774" s="139"/>
      <c r="AG774" s="139"/>
      <c r="AH774" s="139"/>
      <c r="AI774" s="139"/>
    </row>
    <row r="775">
      <c r="A775" s="139"/>
      <c r="B775" s="139"/>
      <c r="C775" s="139"/>
      <c r="D775" s="139"/>
      <c r="E775" s="139"/>
      <c r="F775" s="139"/>
      <c r="G775" s="139"/>
      <c r="H775" s="139"/>
      <c r="I775" s="139"/>
      <c r="J775" s="139"/>
      <c r="K775" s="140"/>
      <c r="L775" s="140"/>
      <c r="M775" s="140"/>
      <c r="N775" s="140"/>
      <c r="O775" s="140"/>
      <c r="P775" s="139"/>
      <c r="Q775" s="139"/>
      <c r="R775" s="139"/>
      <c r="S775" s="139"/>
      <c r="T775" s="139"/>
      <c r="U775" s="139"/>
      <c r="V775" s="139"/>
      <c r="W775" s="139"/>
      <c r="X775" s="139"/>
      <c r="Y775" s="139"/>
      <c r="Z775" s="139"/>
      <c r="AA775" s="139"/>
      <c r="AB775" s="139"/>
      <c r="AC775" s="139"/>
      <c r="AD775" s="139"/>
      <c r="AE775" s="139"/>
      <c r="AF775" s="139"/>
      <c r="AG775" s="139"/>
      <c r="AH775" s="139"/>
      <c r="AI775" s="139"/>
    </row>
    <row r="776">
      <c r="A776" s="139"/>
      <c r="B776" s="139"/>
      <c r="C776" s="139"/>
      <c r="D776" s="139"/>
      <c r="E776" s="139"/>
      <c r="F776" s="139"/>
      <c r="G776" s="139"/>
      <c r="H776" s="139"/>
      <c r="I776" s="139"/>
      <c r="J776" s="139"/>
      <c r="K776" s="140"/>
      <c r="L776" s="140"/>
      <c r="M776" s="140"/>
      <c r="N776" s="140"/>
      <c r="O776" s="140"/>
      <c r="P776" s="139"/>
      <c r="Q776" s="139"/>
      <c r="R776" s="139"/>
      <c r="S776" s="139"/>
      <c r="T776" s="139"/>
      <c r="U776" s="139"/>
      <c r="V776" s="139"/>
      <c r="W776" s="139"/>
      <c r="X776" s="139"/>
      <c r="Y776" s="139"/>
      <c r="Z776" s="139"/>
      <c r="AA776" s="139"/>
      <c r="AB776" s="139"/>
      <c r="AC776" s="139"/>
      <c r="AD776" s="139"/>
      <c r="AE776" s="139"/>
      <c r="AF776" s="139"/>
      <c r="AG776" s="139"/>
      <c r="AH776" s="139"/>
      <c r="AI776" s="139"/>
    </row>
    <row r="777">
      <c r="A777" s="139"/>
      <c r="B777" s="139"/>
      <c r="C777" s="139"/>
      <c r="D777" s="139"/>
      <c r="E777" s="139"/>
      <c r="F777" s="139"/>
      <c r="G777" s="139"/>
      <c r="H777" s="139"/>
      <c r="I777" s="139"/>
      <c r="J777" s="139"/>
      <c r="K777" s="140"/>
      <c r="L777" s="140"/>
      <c r="M777" s="140"/>
      <c r="N777" s="140"/>
      <c r="O777" s="140"/>
      <c r="P777" s="139"/>
      <c r="Q777" s="139"/>
      <c r="R777" s="139"/>
      <c r="S777" s="139"/>
      <c r="T777" s="139"/>
      <c r="U777" s="139"/>
      <c r="V777" s="139"/>
      <c r="W777" s="139"/>
      <c r="X777" s="139"/>
      <c r="Y777" s="139"/>
      <c r="Z777" s="139"/>
      <c r="AA777" s="139"/>
      <c r="AB777" s="139"/>
      <c r="AC777" s="139"/>
      <c r="AD777" s="139"/>
      <c r="AE777" s="139"/>
      <c r="AF777" s="139"/>
      <c r="AG777" s="139"/>
      <c r="AH777" s="139"/>
      <c r="AI777" s="139"/>
    </row>
    <row r="778">
      <c r="A778" s="139"/>
      <c r="B778" s="139"/>
      <c r="C778" s="139"/>
      <c r="D778" s="139"/>
      <c r="E778" s="139"/>
      <c r="F778" s="139"/>
      <c r="G778" s="139"/>
      <c r="H778" s="139"/>
      <c r="I778" s="139"/>
      <c r="J778" s="139"/>
      <c r="K778" s="140"/>
      <c r="L778" s="140"/>
      <c r="M778" s="140"/>
      <c r="N778" s="140"/>
      <c r="O778" s="140"/>
      <c r="P778" s="139"/>
      <c r="Q778" s="139"/>
      <c r="R778" s="139"/>
      <c r="S778" s="139"/>
      <c r="T778" s="139"/>
      <c r="U778" s="139"/>
      <c r="V778" s="139"/>
      <c r="W778" s="139"/>
      <c r="X778" s="139"/>
      <c r="Y778" s="139"/>
      <c r="Z778" s="139"/>
      <c r="AA778" s="139"/>
      <c r="AB778" s="139"/>
      <c r="AC778" s="139"/>
      <c r="AD778" s="139"/>
      <c r="AE778" s="139"/>
      <c r="AF778" s="139"/>
      <c r="AG778" s="139"/>
      <c r="AH778" s="139"/>
      <c r="AI778" s="139"/>
    </row>
    <row r="779">
      <c r="A779" s="139"/>
      <c r="B779" s="139"/>
      <c r="C779" s="139"/>
      <c r="D779" s="139"/>
      <c r="E779" s="139"/>
      <c r="F779" s="139"/>
      <c r="G779" s="139"/>
      <c r="H779" s="139"/>
      <c r="I779" s="139"/>
      <c r="J779" s="139"/>
      <c r="K779" s="140"/>
      <c r="L779" s="140"/>
      <c r="M779" s="140"/>
      <c r="N779" s="140"/>
      <c r="O779" s="140"/>
      <c r="P779" s="139"/>
      <c r="Q779" s="139"/>
      <c r="R779" s="139"/>
      <c r="S779" s="139"/>
      <c r="T779" s="139"/>
      <c r="U779" s="139"/>
      <c r="V779" s="139"/>
      <c r="W779" s="139"/>
      <c r="X779" s="139"/>
      <c r="Y779" s="139"/>
      <c r="Z779" s="139"/>
      <c r="AA779" s="139"/>
      <c r="AB779" s="139"/>
      <c r="AC779" s="139"/>
      <c r="AD779" s="139"/>
      <c r="AE779" s="139"/>
      <c r="AF779" s="139"/>
      <c r="AG779" s="139"/>
      <c r="AH779" s="139"/>
      <c r="AI779" s="139"/>
    </row>
    <row r="780">
      <c r="A780" s="139"/>
      <c r="B780" s="139"/>
      <c r="C780" s="139"/>
      <c r="D780" s="139"/>
      <c r="E780" s="139"/>
      <c r="F780" s="139"/>
      <c r="G780" s="139"/>
      <c r="H780" s="139"/>
      <c r="I780" s="139"/>
      <c r="J780" s="139"/>
      <c r="K780" s="140"/>
      <c r="L780" s="140"/>
      <c r="M780" s="140"/>
      <c r="N780" s="140"/>
      <c r="O780" s="140"/>
      <c r="P780" s="139"/>
      <c r="Q780" s="139"/>
      <c r="R780" s="139"/>
      <c r="S780" s="139"/>
      <c r="T780" s="139"/>
      <c r="U780" s="139"/>
      <c r="V780" s="139"/>
      <c r="W780" s="139"/>
      <c r="X780" s="139"/>
      <c r="Y780" s="139"/>
      <c r="Z780" s="139"/>
      <c r="AA780" s="139"/>
      <c r="AB780" s="139"/>
      <c r="AC780" s="139"/>
      <c r="AD780" s="139"/>
      <c r="AE780" s="139"/>
      <c r="AF780" s="139"/>
      <c r="AG780" s="139"/>
      <c r="AH780" s="139"/>
      <c r="AI780" s="139"/>
    </row>
    <row r="781">
      <c r="A781" s="139"/>
      <c r="B781" s="139"/>
      <c r="C781" s="139"/>
      <c r="D781" s="139"/>
      <c r="E781" s="139"/>
      <c r="F781" s="139"/>
      <c r="G781" s="139"/>
      <c r="H781" s="139"/>
      <c r="I781" s="139"/>
      <c r="J781" s="139"/>
      <c r="K781" s="140"/>
      <c r="L781" s="140"/>
      <c r="M781" s="140"/>
      <c r="N781" s="140"/>
      <c r="O781" s="140"/>
      <c r="P781" s="139"/>
      <c r="Q781" s="139"/>
      <c r="R781" s="139"/>
      <c r="S781" s="139"/>
      <c r="T781" s="139"/>
      <c r="U781" s="139"/>
      <c r="V781" s="139"/>
      <c r="W781" s="139"/>
      <c r="X781" s="139"/>
      <c r="Y781" s="139"/>
      <c r="Z781" s="139"/>
      <c r="AA781" s="139"/>
      <c r="AB781" s="139"/>
      <c r="AC781" s="139"/>
      <c r="AD781" s="139"/>
      <c r="AE781" s="139"/>
      <c r="AF781" s="139"/>
      <c r="AG781" s="139"/>
      <c r="AH781" s="139"/>
      <c r="AI781" s="139"/>
    </row>
    <row r="782">
      <c r="A782" s="139"/>
      <c r="B782" s="139"/>
      <c r="C782" s="139"/>
      <c r="D782" s="139"/>
      <c r="E782" s="139"/>
      <c r="F782" s="139"/>
      <c r="G782" s="139"/>
      <c r="H782" s="139"/>
      <c r="I782" s="139"/>
      <c r="J782" s="139"/>
      <c r="K782" s="140"/>
      <c r="L782" s="140"/>
      <c r="M782" s="140"/>
      <c r="N782" s="140"/>
      <c r="O782" s="140"/>
      <c r="P782" s="139"/>
      <c r="Q782" s="139"/>
      <c r="R782" s="139"/>
      <c r="S782" s="139"/>
      <c r="T782" s="139"/>
      <c r="U782" s="139"/>
      <c r="V782" s="139"/>
      <c r="W782" s="139"/>
      <c r="X782" s="139"/>
      <c r="Y782" s="139"/>
      <c r="Z782" s="139"/>
      <c r="AA782" s="139"/>
      <c r="AB782" s="139"/>
      <c r="AC782" s="139"/>
      <c r="AD782" s="139"/>
      <c r="AE782" s="139"/>
      <c r="AF782" s="139"/>
      <c r="AG782" s="139"/>
      <c r="AH782" s="139"/>
      <c r="AI782" s="139"/>
    </row>
    <row r="783">
      <c r="A783" s="139"/>
      <c r="B783" s="139"/>
      <c r="C783" s="139"/>
      <c r="D783" s="139"/>
      <c r="E783" s="139"/>
      <c r="F783" s="139"/>
      <c r="G783" s="139"/>
      <c r="H783" s="139"/>
      <c r="I783" s="139"/>
      <c r="J783" s="139"/>
      <c r="K783" s="140"/>
      <c r="L783" s="140"/>
      <c r="M783" s="140"/>
      <c r="N783" s="140"/>
      <c r="O783" s="140"/>
      <c r="P783" s="139"/>
      <c r="Q783" s="139"/>
      <c r="R783" s="139"/>
      <c r="S783" s="139"/>
      <c r="T783" s="139"/>
      <c r="U783" s="139"/>
      <c r="V783" s="139"/>
      <c r="W783" s="139"/>
      <c r="X783" s="139"/>
      <c r="Y783" s="139"/>
      <c r="Z783" s="139"/>
      <c r="AA783" s="139"/>
      <c r="AB783" s="139"/>
      <c r="AC783" s="139"/>
      <c r="AD783" s="139"/>
      <c r="AE783" s="139"/>
      <c r="AF783" s="139"/>
      <c r="AG783" s="139"/>
      <c r="AH783" s="139"/>
      <c r="AI783" s="139"/>
    </row>
    <row r="784">
      <c r="A784" s="139"/>
      <c r="B784" s="139"/>
      <c r="C784" s="139"/>
      <c r="D784" s="139"/>
      <c r="E784" s="139"/>
      <c r="F784" s="139"/>
      <c r="G784" s="139"/>
      <c r="H784" s="139"/>
      <c r="I784" s="139"/>
      <c r="J784" s="139"/>
      <c r="K784" s="140"/>
      <c r="L784" s="140"/>
      <c r="M784" s="140"/>
      <c r="N784" s="140"/>
      <c r="O784" s="140"/>
      <c r="P784" s="139"/>
      <c r="Q784" s="139"/>
      <c r="R784" s="139"/>
      <c r="S784" s="139"/>
      <c r="T784" s="139"/>
      <c r="U784" s="139"/>
      <c r="V784" s="139"/>
      <c r="W784" s="139"/>
      <c r="X784" s="139"/>
      <c r="Y784" s="139"/>
      <c r="Z784" s="139"/>
      <c r="AA784" s="139"/>
      <c r="AB784" s="139"/>
      <c r="AC784" s="139"/>
      <c r="AD784" s="139"/>
      <c r="AE784" s="139"/>
      <c r="AF784" s="139"/>
      <c r="AG784" s="139"/>
      <c r="AH784" s="139"/>
      <c r="AI784" s="139"/>
    </row>
    <row r="785">
      <c r="A785" s="139"/>
      <c r="B785" s="139"/>
      <c r="C785" s="139"/>
      <c r="D785" s="139"/>
      <c r="E785" s="139"/>
      <c r="F785" s="139"/>
      <c r="G785" s="139"/>
      <c r="H785" s="139"/>
      <c r="I785" s="139"/>
      <c r="J785" s="139"/>
      <c r="K785" s="140"/>
      <c r="L785" s="140"/>
      <c r="M785" s="140"/>
      <c r="N785" s="140"/>
      <c r="O785" s="140"/>
      <c r="P785" s="139"/>
      <c r="Q785" s="139"/>
      <c r="R785" s="139"/>
      <c r="S785" s="139"/>
      <c r="T785" s="139"/>
      <c r="U785" s="139"/>
      <c r="V785" s="139"/>
      <c r="W785" s="139"/>
      <c r="X785" s="139"/>
      <c r="Y785" s="139"/>
      <c r="Z785" s="139"/>
      <c r="AA785" s="139"/>
      <c r="AB785" s="139"/>
      <c r="AC785" s="139"/>
      <c r="AD785" s="139"/>
      <c r="AE785" s="139"/>
      <c r="AF785" s="139"/>
      <c r="AG785" s="139"/>
      <c r="AH785" s="139"/>
      <c r="AI785" s="139"/>
    </row>
    <row r="786">
      <c r="A786" s="139"/>
      <c r="B786" s="139"/>
      <c r="C786" s="139"/>
      <c r="D786" s="139"/>
      <c r="E786" s="139"/>
      <c r="F786" s="139"/>
      <c r="G786" s="139"/>
      <c r="H786" s="139"/>
      <c r="I786" s="139"/>
      <c r="J786" s="139"/>
      <c r="K786" s="140"/>
      <c r="L786" s="140"/>
      <c r="M786" s="140"/>
      <c r="N786" s="140"/>
      <c r="O786" s="140"/>
      <c r="P786" s="139"/>
      <c r="Q786" s="139"/>
      <c r="R786" s="139"/>
      <c r="S786" s="139"/>
      <c r="T786" s="139"/>
      <c r="U786" s="139"/>
      <c r="V786" s="139"/>
      <c r="W786" s="139"/>
      <c r="X786" s="139"/>
      <c r="Y786" s="139"/>
      <c r="Z786" s="139"/>
      <c r="AA786" s="139"/>
      <c r="AB786" s="139"/>
      <c r="AC786" s="139"/>
      <c r="AD786" s="139"/>
      <c r="AE786" s="139"/>
      <c r="AF786" s="139"/>
      <c r="AG786" s="139"/>
      <c r="AH786" s="139"/>
      <c r="AI786" s="139"/>
    </row>
    <row r="787">
      <c r="A787" s="139"/>
      <c r="B787" s="139"/>
      <c r="C787" s="139"/>
      <c r="D787" s="139"/>
      <c r="E787" s="139"/>
      <c r="F787" s="139"/>
      <c r="G787" s="139"/>
      <c r="H787" s="139"/>
      <c r="I787" s="139"/>
      <c r="J787" s="139"/>
      <c r="K787" s="140"/>
      <c r="L787" s="140"/>
      <c r="M787" s="140"/>
      <c r="N787" s="140"/>
      <c r="O787" s="140"/>
      <c r="P787" s="139"/>
      <c r="Q787" s="139"/>
      <c r="R787" s="139"/>
      <c r="S787" s="139"/>
      <c r="T787" s="139"/>
      <c r="U787" s="139"/>
      <c r="V787" s="139"/>
      <c r="W787" s="139"/>
      <c r="X787" s="139"/>
      <c r="Y787" s="139"/>
      <c r="Z787" s="139"/>
      <c r="AA787" s="139"/>
      <c r="AB787" s="139"/>
      <c r="AC787" s="139"/>
      <c r="AD787" s="139"/>
      <c r="AE787" s="139"/>
      <c r="AF787" s="139"/>
      <c r="AG787" s="139"/>
      <c r="AH787" s="139"/>
      <c r="AI787" s="139"/>
    </row>
    <row r="788">
      <c r="A788" s="139"/>
      <c r="B788" s="139"/>
      <c r="C788" s="139"/>
      <c r="D788" s="139"/>
      <c r="E788" s="139"/>
      <c r="F788" s="139"/>
      <c r="G788" s="139"/>
      <c r="H788" s="139"/>
      <c r="I788" s="139"/>
      <c r="J788" s="139"/>
      <c r="K788" s="140"/>
      <c r="L788" s="140"/>
      <c r="M788" s="140"/>
      <c r="N788" s="140"/>
      <c r="O788" s="140"/>
      <c r="P788" s="139"/>
      <c r="Q788" s="139"/>
      <c r="R788" s="139"/>
      <c r="S788" s="139"/>
      <c r="T788" s="139"/>
      <c r="U788" s="139"/>
      <c r="V788" s="139"/>
      <c r="W788" s="139"/>
      <c r="X788" s="139"/>
      <c r="Y788" s="139"/>
      <c r="Z788" s="139"/>
      <c r="AA788" s="139"/>
      <c r="AB788" s="139"/>
      <c r="AC788" s="139"/>
      <c r="AD788" s="139"/>
      <c r="AE788" s="139"/>
      <c r="AF788" s="139"/>
      <c r="AG788" s="139"/>
      <c r="AH788" s="139"/>
      <c r="AI788" s="139"/>
    </row>
    <row r="789">
      <c r="A789" s="139"/>
      <c r="B789" s="139"/>
      <c r="C789" s="139"/>
      <c r="D789" s="139"/>
      <c r="E789" s="139"/>
      <c r="F789" s="139"/>
      <c r="G789" s="139"/>
      <c r="H789" s="139"/>
      <c r="I789" s="139"/>
      <c r="J789" s="139"/>
      <c r="K789" s="140"/>
      <c r="L789" s="140"/>
      <c r="M789" s="140"/>
      <c r="N789" s="140"/>
      <c r="O789" s="140"/>
      <c r="P789" s="139"/>
      <c r="Q789" s="139"/>
      <c r="R789" s="139"/>
      <c r="S789" s="139"/>
      <c r="T789" s="139"/>
      <c r="U789" s="139"/>
      <c r="V789" s="139"/>
      <c r="W789" s="139"/>
      <c r="X789" s="139"/>
      <c r="Y789" s="139"/>
      <c r="Z789" s="139"/>
      <c r="AA789" s="139"/>
      <c r="AB789" s="139"/>
      <c r="AC789" s="139"/>
      <c r="AD789" s="139"/>
      <c r="AE789" s="139"/>
      <c r="AF789" s="139"/>
      <c r="AG789" s="139"/>
      <c r="AH789" s="139"/>
      <c r="AI789" s="139"/>
    </row>
    <row r="790">
      <c r="A790" s="139"/>
      <c r="B790" s="139"/>
      <c r="C790" s="139"/>
      <c r="D790" s="139"/>
      <c r="E790" s="139"/>
      <c r="F790" s="139"/>
      <c r="G790" s="139"/>
      <c r="H790" s="139"/>
      <c r="I790" s="139"/>
      <c r="J790" s="139"/>
      <c r="K790" s="140"/>
      <c r="L790" s="140"/>
      <c r="M790" s="140"/>
      <c r="N790" s="140"/>
      <c r="O790" s="140"/>
      <c r="P790" s="139"/>
      <c r="Q790" s="139"/>
      <c r="R790" s="139"/>
      <c r="S790" s="139"/>
      <c r="T790" s="139"/>
      <c r="U790" s="139"/>
      <c r="V790" s="139"/>
      <c r="W790" s="139"/>
      <c r="X790" s="139"/>
      <c r="Y790" s="139"/>
      <c r="Z790" s="139"/>
      <c r="AA790" s="139"/>
      <c r="AB790" s="139"/>
      <c r="AC790" s="139"/>
      <c r="AD790" s="139"/>
      <c r="AE790" s="139"/>
      <c r="AF790" s="139"/>
      <c r="AG790" s="139"/>
      <c r="AH790" s="139"/>
      <c r="AI790" s="139"/>
    </row>
    <row r="791">
      <c r="A791" s="139"/>
      <c r="B791" s="139"/>
      <c r="C791" s="139"/>
      <c r="D791" s="139"/>
      <c r="E791" s="139"/>
      <c r="F791" s="139"/>
      <c r="G791" s="139"/>
      <c r="H791" s="139"/>
      <c r="I791" s="139"/>
      <c r="J791" s="139"/>
      <c r="K791" s="140"/>
      <c r="L791" s="140"/>
      <c r="M791" s="140"/>
      <c r="N791" s="140"/>
      <c r="O791" s="140"/>
      <c r="P791" s="139"/>
      <c r="Q791" s="139"/>
      <c r="R791" s="139"/>
      <c r="S791" s="139"/>
      <c r="T791" s="139"/>
      <c r="U791" s="139"/>
      <c r="V791" s="139"/>
      <c r="W791" s="139"/>
      <c r="X791" s="139"/>
      <c r="Y791" s="139"/>
      <c r="Z791" s="139"/>
      <c r="AA791" s="139"/>
      <c r="AB791" s="139"/>
      <c r="AC791" s="139"/>
      <c r="AD791" s="139"/>
      <c r="AE791" s="139"/>
      <c r="AF791" s="139"/>
      <c r="AG791" s="139"/>
      <c r="AH791" s="139"/>
      <c r="AI791" s="139"/>
    </row>
    <row r="792">
      <c r="A792" s="139"/>
      <c r="B792" s="139"/>
      <c r="C792" s="139"/>
      <c r="D792" s="139"/>
      <c r="E792" s="139"/>
      <c r="F792" s="139"/>
      <c r="G792" s="139"/>
      <c r="H792" s="139"/>
      <c r="I792" s="139"/>
      <c r="J792" s="139"/>
      <c r="K792" s="140"/>
      <c r="L792" s="140"/>
      <c r="M792" s="140"/>
      <c r="N792" s="140"/>
      <c r="O792" s="140"/>
      <c r="P792" s="139"/>
      <c r="Q792" s="139"/>
      <c r="R792" s="139"/>
      <c r="S792" s="139"/>
      <c r="T792" s="139"/>
      <c r="U792" s="139"/>
      <c r="V792" s="139"/>
      <c r="W792" s="139"/>
      <c r="X792" s="139"/>
      <c r="Y792" s="139"/>
      <c r="Z792" s="139"/>
      <c r="AA792" s="139"/>
      <c r="AB792" s="139"/>
      <c r="AC792" s="139"/>
      <c r="AD792" s="139"/>
      <c r="AE792" s="139"/>
      <c r="AF792" s="139"/>
      <c r="AG792" s="139"/>
      <c r="AH792" s="139"/>
      <c r="AI792" s="139"/>
    </row>
    <row r="793">
      <c r="A793" s="139"/>
      <c r="B793" s="139"/>
      <c r="C793" s="139"/>
      <c r="D793" s="139"/>
      <c r="E793" s="139"/>
      <c r="F793" s="139"/>
      <c r="G793" s="139"/>
      <c r="H793" s="139"/>
      <c r="I793" s="139"/>
      <c r="J793" s="139"/>
      <c r="K793" s="140"/>
      <c r="L793" s="140"/>
      <c r="M793" s="140"/>
      <c r="N793" s="140"/>
      <c r="O793" s="140"/>
      <c r="P793" s="139"/>
      <c r="Q793" s="139"/>
      <c r="R793" s="139"/>
      <c r="S793" s="139"/>
      <c r="T793" s="139"/>
      <c r="U793" s="139"/>
      <c r="V793" s="139"/>
      <c r="W793" s="139"/>
      <c r="X793" s="139"/>
      <c r="Y793" s="139"/>
      <c r="Z793" s="139"/>
      <c r="AA793" s="139"/>
      <c r="AB793" s="139"/>
      <c r="AC793" s="139"/>
      <c r="AD793" s="139"/>
      <c r="AE793" s="139"/>
      <c r="AF793" s="139"/>
      <c r="AG793" s="139"/>
      <c r="AH793" s="139"/>
      <c r="AI793" s="139"/>
    </row>
    <row r="794">
      <c r="A794" s="139"/>
      <c r="B794" s="139"/>
      <c r="C794" s="139"/>
      <c r="D794" s="139"/>
      <c r="E794" s="139"/>
      <c r="F794" s="139"/>
      <c r="G794" s="139"/>
      <c r="H794" s="139"/>
      <c r="I794" s="139"/>
      <c r="J794" s="139"/>
      <c r="K794" s="140"/>
      <c r="L794" s="140"/>
      <c r="M794" s="140"/>
      <c r="N794" s="140"/>
      <c r="O794" s="140"/>
      <c r="P794" s="139"/>
      <c r="Q794" s="139"/>
      <c r="R794" s="139"/>
      <c r="S794" s="139"/>
      <c r="T794" s="139"/>
      <c r="U794" s="139"/>
      <c r="V794" s="139"/>
      <c r="W794" s="139"/>
      <c r="X794" s="139"/>
      <c r="Y794" s="139"/>
      <c r="Z794" s="139"/>
      <c r="AA794" s="139"/>
      <c r="AB794" s="139"/>
      <c r="AC794" s="139"/>
      <c r="AD794" s="139"/>
      <c r="AE794" s="139"/>
      <c r="AF794" s="139"/>
      <c r="AG794" s="139"/>
      <c r="AH794" s="139"/>
      <c r="AI794" s="139"/>
    </row>
    <row r="795">
      <c r="A795" s="139"/>
      <c r="B795" s="139"/>
      <c r="C795" s="139"/>
      <c r="D795" s="139"/>
      <c r="E795" s="139"/>
      <c r="F795" s="139"/>
      <c r="G795" s="139"/>
      <c r="H795" s="139"/>
      <c r="I795" s="139"/>
      <c r="J795" s="139"/>
      <c r="K795" s="140"/>
      <c r="L795" s="140"/>
      <c r="M795" s="140"/>
      <c r="N795" s="140"/>
      <c r="O795" s="140"/>
      <c r="P795" s="139"/>
      <c r="Q795" s="139"/>
      <c r="R795" s="139"/>
      <c r="S795" s="139"/>
      <c r="T795" s="139"/>
      <c r="U795" s="139"/>
      <c r="V795" s="139"/>
      <c r="W795" s="139"/>
      <c r="X795" s="139"/>
      <c r="Y795" s="139"/>
      <c r="Z795" s="139"/>
      <c r="AA795" s="139"/>
      <c r="AB795" s="139"/>
      <c r="AC795" s="139"/>
      <c r="AD795" s="139"/>
      <c r="AE795" s="139"/>
      <c r="AF795" s="139"/>
      <c r="AG795" s="139"/>
      <c r="AH795" s="139"/>
      <c r="AI795" s="139"/>
    </row>
    <row r="796">
      <c r="A796" s="139"/>
      <c r="B796" s="139"/>
      <c r="C796" s="139"/>
      <c r="D796" s="139"/>
      <c r="E796" s="139"/>
      <c r="F796" s="139"/>
      <c r="G796" s="139"/>
      <c r="H796" s="139"/>
      <c r="I796" s="139"/>
      <c r="J796" s="139"/>
      <c r="K796" s="140"/>
      <c r="L796" s="140"/>
      <c r="M796" s="140"/>
      <c r="N796" s="140"/>
      <c r="O796" s="140"/>
      <c r="P796" s="139"/>
      <c r="Q796" s="139"/>
      <c r="R796" s="139"/>
      <c r="S796" s="139"/>
      <c r="T796" s="139"/>
      <c r="U796" s="139"/>
      <c r="V796" s="139"/>
      <c r="W796" s="139"/>
      <c r="X796" s="139"/>
      <c r="Y796" s="139"/>
      <c r="Z796" s="139"/>
      <c r="AA796" s="139"/>
      <c r="AB796" s="139"/>
      <c r="AC796" s="139"/>
      <c r="AD796" s="139"/>
      <c r="AE796" s="139"/>
      <c r="AF796" s="139"/>
      <c r="AG796" s="139"/>
      <c r="AH796" s="139"/>
      <c r="AI796" s="139"/>
    </row>
    <row r="797">
      <c r="A797" s="139"/>
      <c r="B797" s="139"/>
      <c r="C797" s="139"/>
      <c r="D797" s="139"/>
      <c r="E797" s="139"/>
      <c r="F797" s="139"/>
      <c r="G797" s="139"/>
      <c r="H797" s="139"/>
      <c r="I797" s="139"/>
      <c r="J797" s="139"/>
      <c r="K797" s="140"/>
      <c r="L797" s="140"/>
      <c r="M797" s="140"/>
      <c r="N797" s="140"/>
      <c r="O797" s="140"/>
      <c r="P797" s="139"/>
      <c r="Q797" s="139"/>
      <c r="R797" s="139"/>
      <c r="S797" s="139"/>
      <c r="T797" s="139"/>
      <c r="U797" s="139"/>
      <c r="V797" s="139"/>
      <c r="W797" s="139"/>
      <c r="X797" s="139"/>
      <c r="Y797" s="139"/>
      <c r="Z797" s="139"/>
      <c r="AA797" s="139"/>
      <c r="AB797" s="139"/>
      <c r="AC797" s="139"/>
      <c r="AD797" s="139"/>
      <c r="AE797" s="139"/>
      <c r="AF797" s="139"/>
      <c r="AG797" s="139"/>
      <c r="AH797" s="139"/>
      <c r="AI797" s="139"/>
    </row>
    <row r="798">
      <c r="A798" s="139"/>
      <c r="B798" s="139"/>
      <c r="C798" s="139"/>
      <c r="D798" s="139"/>
      <c r="E798" s="139"/>
      <c r="F798" s="139"/>
      <c r="G798" s="139"/>
      <c r="H798" s="139"/>
      <c r="I798" s="139"/>
      <c r="J798" s="139"/>
      <c r="K798" s="140"/>
      <c r="L798" s="140"/>
      <c r="M798" s="140"/>
      <c r="N798" s="140"/>
      <c r="O798" s="140"/>
      <c r="P798" s="139"/>
      <c r="Q798" s="139"/>
      <c r="R798" s="139"/>
      <c r="S798" s="139"/>
      <c r="T798" s="139"/>
      <c r="U798" s="139"/>
      <c r="V798" s="139"/>
      <c r="W798" s="139"/>
      <c r="X798" s="139"/>
      <c r="Y798" s="139"/>
      <c r="Z798" s="139"/>
      <c r="AA798" s="139"/>
      <c r="AB798" s="139"/>
      <c r="AC798" s="139"/>
      <c r="AD798" s="139"/>
      <c r="AE798" s="139"/>
      <c r="AF798" s="139"/>
      <c r="AG798" s="139"/>
      <c r="AH798" s="139"/>
      <c r="AI798" s="139"/>
    </row>
    <row r="799">
      <c r="A799" s="139"/>
      <c r="B799" s="139"/>
      <c r="C799" s="139"/>
      <c r="D799" s="139"/>
      <c r="E799" s="139"/>
      <c r="F799" s="139"/>
      <c r="G799" s="139"/>
      <c r="H799" s="139"/>
      <c r="I799" s="139"/>
      <c r="J799" s="139"/>
      <c r="K799" s="140"/>
      <c r="L799" s="140"/>
      <c r="M799" s="140"/>
      <c r="N799" s="140"/>
      <c r="O799" s="140"/>
      <c r="P799" s="139"/>
      <c r="Q799" s="139"/>
      <c r="R799" s="139"/>
      <c r="S799" s="139"/>
      <c r="T799" s="139"/>
      <c r="U799" s="139"/>
      <c r="V799" s="139"/>
      <c r="W799" s="139"/>
      <c r="X799" s="139"/>
      <c r="Y799" s="139"/>
      <c r="Z799" s="139"/>
      <c r="AA799" s="139"/>
      <c r="AB799" s="139"/>
      <c r="AC799" s="139"/>
      <c r="AD799" s="139"/>
      <c r="AE799" s="139"/>
      <c r="AF799" s="139"/>
      <c r="AG799" s="139"/>
      <c r="AH799" s="139"/>
      <c r="AI799" s="139"/>
    </row>
    <row r="800">
      <c r="A800" s="139"/>
      <c r="B800" s="139"/>
      <c r="C800" s="139"/>
      <c r="D800" s="139"/>
      <c r="E800" s="139"/>
      <c r="F800" s="139"/>
      <c r="G800" s="139"/>
      <c r="H800" s="139"/>
      <c r="I800" s="139"/>
      <c r="J800" s="139"/>
      <c r="K800" s="140"/>
      <c r="L800" s="140"/>
      <c r="M800" s="140"/>
      <c r="N800" s="140"/>
      <c r="O800" s="140"/>
      <c r="P800" s="139"/>
      <c r="Q800" s="139"/>
      <c r="R800" s="139"/>
      <c r="S800" s="139"/>
      <c r="T800" s="139"/>
      <c r="U800" s="139"/>
      <c r="V800" s="139"/>
      <c r="W800" s="139"/>
      <c r="X800" s="139"/>
      <c r="Y800" s="139"/>
      <c r="Z800" s="139"/>
      <c r="AA800" s="139"/>
      <c r="AB800" s="139"/>
      <c r="AC800" s="139"/>
      <c r="AD800" s="139"/>
      <c r="AE800" s="139"/>
      <c r="AF800" s="139"/>
      <c r="AG800" s="139"/>
      <c r="AH800" s="139"/>
      <c r="AI800" s="139"/>
    </row>
    <row r="801">
      <c r="A801" s="139"/>
      <c r="B801" s="139"/>
      <c r="C801" s="139"/>
      <c r="D801" s="139"/>
      <c r="E801" s="139"/>
      <c r="F801" s="139"/>
      <c r="G801" s="139"/>
      <c r="H801" s="139"/>
      <c r="I801" s="139"/>
      <c r="J801" s="139"/>
      <c r="K801" s="140"/>
      <c r="L801" s="140"/>
      <c r="M801" s="140"/>
      <c r="N801" s="140"/>
      <c r="O801" s="140"/>
      <c r="P801" s="139"/>
      <c r="Q801" s="139"/>
      <c r="R801" s="139"/>
      <c r="S801" s="139"/>
      <c r="T801" s="139"/>
      <c r="U801" s="139"/>
      <c r="V801" s="139"/>
      <c r="W801" s="139"/>
      <c r="X801" s="139"/>
      <c r="Y801" s="139"/>
      <c r="Z801" s="139"/>
      <c r="AA801" s="139"/>
      <c r="AB801" s="139"/>
      <c r="AC801" s="139"/>
      <c r="AD801" s="139"/>
      <c r="AE801" s="139"/>
      <c r="AF801" s="139"/>
      <c r="AG801" s="139"/>
      <c r="AH801" s="139"/>
      <c r="AI801" s="139"/>
    </row>
    <row r="802">
      <c r="A802" s="139"/>
      <c r="B802" s="139"/>
      <c r="C802" s="139"/>
      <c r="D802" s="139"/>
      <c r="E802" s="139"/>
      <c r="F802" s="139"/>
      <c r="G802" s="139"/>
      <c r="H802" s="139"/>
      <c r="I802" s="139"/>
      <c r="J802" s="139"/>
      <c r="K802" s="140"/>
      <c r="L802" s="140"/>
      <c r="M802" s="140"/>
      <c r="N802" s="140"/>
      <c r="O802" s="140"/>
      <c r="P802" s="139"/>
      <c r="Q802" s="139"/>
      <c r="R802" s="139"/>
      <c r="S802" s="139"/>
      <c r="T802" s="139"/>
      <c r="U802" s="139"/>
      <c r="V802" s="139"/>
      <c r="W802" s="139"/>
      <c r="X802" s="139"/>
      <c r="Y802" s="139"/>
      <c r="Z802" s="139"/>
      <c r="AA802" s="139"/>
      <c r="AB802" s="139"/>
      <c r="AC802" s="139"/>
      <c r="AD802" s="139"/>
      <c r="AE802" s="139"/>
      <c r="AF802" s="139"/>
      <c r="AG802" s="139"/>
      <c r="AH802" s="139"/>
      <c r="AI802" s="139"/>
    </row>
    <row r="803">
      <c r="A803" s="139"/>
      <c r="B803" s="139"/>
      <c r="C803" s="139"/>
      <c r="D803" s="139"/>
      <c r="E803" s="139"/>
      <c r="F803" s="139"/>
      <c r="G803" s="139"/>
      <c r="H803" s="139"/>
      <c r="I803" s="139"/>
      <c r="J803" s="139"/>
      <c r="K803" s="140"/>
      <c r="L803" s="140"/>
      <c r="M803" s="140"/>
      <c r="N803" s="140"/>
      <c r="O803" s="140"/>
      <c r="P803" s="139"/>
      <c r="Q803" s="139"/>
      <c r="R803" s="139"/>
      <c r="S803" s="139"/>
      <c r="T803" s="139"/>
      <c r="U803" s="139"/>
      <c r="V803" s="139"/>
      <c r="W803" s="139"/>
      <c r="X803" s="139"/>
      <c r="Y803" s="139"/>
      <c r="Z803" s="139"/>
      <c r="AA803" s="139"/>
      <c r="AB803" s="139"/>
      <c r="AC803" s="139"/>
      <c r="AD803" s="139"/>
      <c r="AE803" s="139"/>
      <c r="AF803" s="139"/>
      <c r="AG803" s="139"/>
      <c r="AH803" s="139"/>
      <c r="AI803" s="139"/>
    </row>
    <row r="804">
      <c r="A804" s="139"/>
      <c r="B804" s="139"/>
      <c r="C804" s="139"/>
      <c r="D804" s="139"/>
      <c r="E804" s="139"/>
      <c r="F804" s="139"/>
      <c r="G804" s="139"/>
      <c r="H804" s="139"/>
      <c r="I804" s="139"/>
      <c r="J804" s="139"/>
      <c r="K804" s="140"/>
      <c r="L804" s="140"/>
      <c r="M804" s="140"/>
      <c r="N804" s="140"/>
      <c r="O804" s="140"/>
      <c r="P804" s="139"/>
      <c r="Q804" s="139"/>
      <c r="R804" s="139"/>
      <c r="S804" s="139"/>
      <c r="T804" s="139"/>
      <c r="U804" s="139"/>
      <c r="V804" s="139"/>
      <c r="W804" s="139"/>
      <c r="X804" s="139"/>
      <c r="Y804" s="139"/>
      <c r="Z804" s="139"/>
      <c r="AA804" s="139"/>
      <c r="AB804" s="139"/>
      <c r="AC804" s="139"/>
      <c r="AD804" s="139"/>
      <c r="AE804" s="139"/>
      <c r="AF804" s="139"/>
      <c r="AG804" s="139"/>
      <c r="AH804" s="139"/>
      <c r="AI804" s="139"/>
    </row>
    <row r="805">
      <c r="A805" s="139"/>
      <c r="B805" s="139"/>
      <c r="C805" s="139"/>
      <c r="D805" s="139"/>
      <c r="E805" s="139"/>
      <c r="F805" s="139"/>
      <c r="G805" s="139"/>
      <c r="H805" s="139"/>
      <c r="I805" s="139"/>
      <c r="J805" s="139"/>
      <c r="K805" s="140"/>
      <c r="L805" s="140"/>
      <c r="M805" s="140"/>
      <c r="N805" s="140"/>
      <c r="O805" s="140"/>
      <c r="P805" s="139"/>
      <c r="Q805" s="139"/>
      <c r="R805" s="139"/>
      <c r="S805" s="139"/>
      <c r="T805" s="139"/>
      <c r="U805" s="139"/>
      <c r="V805" s="139"/>
      <c r="W805" s="139"/>
      <c r="X805" s="139"/>
      <c r="Y805" s="139"/>
      <c r="Z805" s="139"/>
      <c r="AA805" s="139"/>
      <c r="AB805" s="139"/>
      <c r="AC805" s="139"/>
      <c r="AD805" s="139"/>
      <c r="AE805" s="139"/>
      <c r="AF805" s="139"/>
      <c r="AG805" s="139"/>
      <c r="AH805" s="139"/>
      <c r="AI805" s="139"/>
    </row>
    <row r="806">
      <c r="A806" s="139"/>
      <c r="B806" s="139"/>
      <c r="C806" s="139"/>
      <c r="D806" s="139"/>
      <c r="E806" s="139"/>
      <c r="F806" s="139"/>
      <c r="G806" s="139"/>
      <c r="H806" s="139"/>
      <c r="I806" s="139"/>
      <c r="J806" s="139"/>
      <c r="K806" s="140"/>
      <c r="L806" s="140"/>
      <c r="M806" s="140"/>
      <c r="N806" s="140"/>
      <c r="O806" s="140"/>
      <c r="P806" s="139"/>
      <c r="Q806" s="139"/>
      <c r="R806" s="139"/>
      <c r="S806" s="139"/>
      <c r="T806" s="139"/>
      <c r="U806" s="139"/>
      <c r="V806" s="139"/>
      <c r="W806" s="139"/>
      <c r="X806" s="139"/>
      <c r="Y806" s="139"/>
      <c r="Z806" s="139"/>
      <c r="AA806" s="139"/>
      <c r="AB806" s="139"/>
      <c r="AC806" s="139"/>
      <c r="AD806" s="139"/>
      <c r="AE806" s="139"/>
      <c r="AF806" s="139"/>
      <c r="AG806" s="139"/>
      <c r="AH806" s="139"/>
      <c r="AI806" s="139"/>
    </row>
    <row r="807">
      <c r="A807" s="139"/>
      <c r="B807" s="139"/>
      <c r="C807" s="139"/>
      <c r="D807" s="139"/>
      <c r="E807" s="139"/>
      <c r="F807" s="139"/>
      <c r="G807" s="139"/>
      <c r="H807" s="139"/>
      <c r="I807" s="139"/>
      <c r="J807" s="139"/>
      <c r="K807" s="140"/>
      <c r="L807" s="140"/>
      <c r="M807" s="140"/>
      <c r="N807" s="140"/>
      <c r="O807" s="140"/>
      <c r="P807" s="139"/>
      <c r="Q807" s="139"/>
      <c r="R807" s="139"/>
      <c r="S807" s="139"/>
      <c r="T807" s="139"/>
      <c r="U807" s="139"/>
      <c r="V807" s="139"/>
      <c r="W807" s="139"/>
      <c r="X807" s="139"/>
      <c r="Y807" s="139"/>
      <c r="Z807" s="139"/>
      <c r="AA807" s="139"/>
      <c r="AB807" s="139"/>
      <c r="AC807" s="139"/>
      <c r="AD807" s="139"/>
      <c r="AE807" s="139"/>
      <c r="AF807" s="139"/>
      <c r="AG807" s="139"/>
      <c r="AH807" s="139"/>
      <c r="AI807" s="139"/>
    </row>
    <row r="808">
      <c r="A808" s="139"/>
      <c r="B808" s="139"/>
      <c r="C808" s="139"/>
      <c r="D808" s="139"/>
      <c r="E808" s="139"/>
      <c r="F808" s="139"/>
      <c r="G808" s="139"/>
      <c r="H808" s="139"/>
      <c r="I808" s="139"/>
      <c r="J808" s="139"/>
      <c r="K808" s="140"/>
      <c r="L808" s="140"/>
      <c r="M808" s="140"/>
      <c r="N808" s="140"/>
      <c r="O808" s="140"/>
      <c r="P808" s="139"/>
      <c r="Q808" s="139"/>
      <c r="R808" s="139"/>
      <c r="S808" s="139"/>
      <c r="T808" s="139"/>
      <c r="U808" s="139"/>
      <c r="V808" s="139"/>
      <c r="W808" s="139"/>
      <c r="X808" s="139"/>
      <c r="Y808" s="139"/>
      <c r="Z808" s="139"/>
      <c r="AA808" s="139"/>
      <c r="AB808" s="139"/>
      <c r="AC808" s="139"/>
      <c r="AD808" s="139"/>
      <c r="AE808" s="139"/>
      <c r="AF808" s="139"/>
      <c r="AG808" s="139"/>
      <c r="AH808" s="139"/>
      <c r="AI808" s="139"/>
    </row>
    <row r="809">
      <c r="A809" s="139"/>
      <c r="B809" s="139"/>
      <c r="C809" s="139"/>
      <c r="D809" s="139"/>
      <c r="E809" s="139"/>
      <c r="F809" s="139"/>
      <c r="G809" s="139"/>
      <c r="H809" s="139"/>
      <c r="I809" s="139"/>
      <c r="J809" s="139"/>
      <c r="K809" s="140"/>
      <c r="L809" s="140"/>
      <c r="M809" s="140"/>
      <c r="N809" s="140"/>
      <c r="O809" s="140"/>
      <c r="P809" s="139"/>
      <c r="Q809" s="139"/>
      <c r="R809" s="139"/>
      <c r="S809" s="139"/>
      <c r="T809" s="139"/>
      <c r="U809" s="139"/>
      <c r="V809" s="139"/>
      <c r="W809" s="139"/>
      <c r="X809" s="139"/>
      <c r="Y809" s="139"/>
      <c r="Z809" s="139"/>
      <c r="AA809" s="139"/>
      <c r="AB809" s="139"/>
      <c r="AC809" s="139"/>
      <c r="AD809" s="139"/>
      <c r="AE809" s="139"/>
      <c r="AF809" s="139"/>
      <c r="AG809" s="139"/>
      <c r="AH809" s="139"/>
      <c r="AI809" s="139"/>
    </row>
    <row r="810">
      <c r="A810" s="139"/>
      <c r="B810" s="139"/>
      <c r="C810" s="139"/>
      <c r="D810" s="139"/>
      <c r="E810" s="139"/>
      <c r="F810" s="139"/>
      <c r="G810" s="139"/>
      <c r="H810" s="139"/>
      <c r="I810" s="139"/>
      <c r="J810" s="139"/>
      <c r="K810" s="140"/>
      <c r="L810" s="140"/>
      <c r="M810" s="140"/>
      <c r="N810" s="140"/>
      <c r="O810" s="140"/>
      <c r="P810" s="139"/>
      <c r="Q810" s="139"/>
      <c r="R810" s="139"/>
      <c r="S810" s="139"/>
      <c r="T810" s="139"/>
      <c r="U810" s="139"/>
      <c r="V810" s="139"/>
      <c r="W810" s="139"/>
      <c r="X810" s="139"/>
      <c r="Y810" s="139"/>
      <c r="Z810" s="139"/>
      <c r="AA810" s="139"/>
      <c r="AB810" s="139"/>
      <c r="AC810" s="139"/>
      <c r="AD810" s="139"/>
      <c r="AE810" s="139"/>
      <c r="AF810" s="139"/>
      <c r="AG810" s="139"/>
      <c r="AH810" s="139"/>
      <c r="AI810" s="139"/>
    </row>
    <row r="811">
      <c r="A811" s="139"/>
      <c r="B811" s="139"/>
      <c r="C811" s="139"/>
      <c r="D811" s="139"/>
      <c r="E811" s="139"/>
      <c r="F811" s="139"/>
      <c r="G811" s="139"/>
      <c r="H811" s="139"/>
      <c r="I811" s="139"/>
      <c r="J811" s="139"/>
      <c r="K811" s="140"/>
      <c r="L811" s="140"/>
      <c r="M811" s="140"/>
      <c r="N811" s="140"/>
      <c r="O811" s="140"/>
      <c r="P811" s="139"/>
      <c r="Q811" s="139"/>
      <c r="R811" s="139"/>
      <c r="S811" s="139"/>
      <c r="T811" s="139"/>
      <c r="U811" s="139"/>
      <c r="V811" s="139"/>
      <c r="W811" s="139"/>
      <c r="X811" s="139"/>
      <c r="Y811" s="139"/>
      <c r="Z811" s="139"/>
      <c r="AA811" s="139"/>
      <c r="AB811" s="139"/>
      <c r="AC811" s="139"/>
      <c r="AD811" s="139"/>
      <c r="AE811" s="139"/>
      <c r="AF811" s="139"/>
      <c r="AG811" s="139"/>
      <c r="AH811" s="139"/>
      <c r="AI811" s="139"/>
    </row>
    <row r="812">
      <c r="A812" s="139"/>
      <c r="B812" s="139"/>
      <c r="C812" s="139"/>
      <c r="D812" s="139"/>
      <c r="E812" s="139"/>
      <c r="F812" s="139"/>
      <c r="G812" s="139"/>
      <c r="H812" s="139"/>
      <c r="I812" s="139"/>
      <c r="J812" s="139"/>
      <c r="K812" s="140"/>
      <c r="L812" s="140"/>
      <c r="M812" s="140"/>
      <c r="N812" s="140"/>
      <c r="O812" s="140"/>
      <c r="P812" s="139"/>
      <c r="Q812" s="139"/>
      <c r="R812" s="139"/>
      <c r="S812" s="139"/>
      <c r="T812" s="139"/>
      <c r="U812" s="139"/>
      <c r="V812" s="139"/>
      <c r="W812" s="139"/>
      <c r="X812" s="139"/>
      <c r="Y812" s="139"/>
      <c r="Z812" s="139"/>
      <c r="AA812" s="139"/>
      <c r="AB812" s="139"/>
      <c r="AC812" s="139"/>
      <c r="AD812" s="139"/>
      <c r="AE812" s="139"/>
      <c r="AF812" s="139"/>
      <c r="AG812" s="139"/>
      <c r="AH812" s="139"/>
      <c r="AI812" s="139"/>
    </row>
    <row r="813">
      <c r="A813" s="139"/>
      <c r="B813" s="139"/>
      <c r="C813" s="139"/>
      <c r="D813" s="139"/>
      <c r="E813" s="139"/>
      <c r="F813" s="139"/>
      <c r="G813" s="139"/>
      <c r="H813" s="139"/>
      <c r="I813" s="139"/>
      <c r="J813" s="139"/>
      <c r="K813" s="140"/>
      <c r="L813" s="140"/>
      <c r="M813" s="140"/>
      <c r="N813" s="140"/>
      <c r="O813" s="140"/>
      <c r="P813" s="139"/>
      <c r="Q813" s="139"/>
      <c r="R813" s="139"/>
      <c r="S813" s="139"/>
      <c r="T813" s="139"/>
      <c r="U813" s="139"/>
      <c r="V813" s="139"/>
      <c r="W813" s="139"/>
      <c r="X813" s="139"/>
      <c r="Y813" s="139"/>
      <c r="Z813" s="139"/>
      <c r="AA813" s="139"/>
      <c r="AB813" s="139"/>
      <c r="AC813" s="139"/>
      <c r="AD813" s="139"/>
      <c r="AE813" s="139"/>
      <c r="AF813" s="139"/>
      <c r="AG813" s="139"/>
      <c r="AH813" s="139"/>
      <c r="AI813" s="139"/>
    </row>
    <row r="814">
      <c r="A814" s="139"/>
      <c r="B814" s="139"/>
      <c r="C814" s="139"/>
      <c r="D814" s="139"/>
      <c r="E814" s="139"/>
      <c r="F814" s="139"/>
      <c r="G814" s="139"/>
      <c r="H814" s="139"/>
      <c r="I814" s="139"/>
      <c r="J814" s="139"/>
      <c r="K814" s="140"/>
      <c r="L814" s="140"/>
      <c r="M814" s="140"/>
      <c r="N814" s="140"/>
      <c r="O814" s="140"/>
      <c r="P814" s="139"/>
      <c r="Q814" s="139"/>
      <c r="R814" s="139"/>
      <c r="S814" s="139"/>
      <c r="T814" s="139"/>
      <c r="U814" s="139"/>
      <c r="V814" s="139"/>
      <c r="W814" s="139"/>
      <c r="X814" s="139"/>
      <c r="Y814" s="139"/>
      <c r="Z814" s="139"/>
      <c r="AA814" s="139"/>
      <c r="AB814" s="139"/>
      <c r="AC814" s="139"/>
      <c r="AD814" s="139"/>
      <c r="AE814" s="139"/>
      <c r="AF814" s="139"/>
      <c r="AG814" s="139"/>
      <c r="AH814" s="139"/>
      <c r="AI814" s="139"/>
    </row>
    <row r="815">
      <c r="A815" s="139"/>
      <c r="B815" s="139"/>
      <c r="C815" s="139"/>
      <c r="D815" s="139"/>
      <c r="E815" s="139"/>
      <c r="F815" s="139"/>
      <c r="G815" s="139"/>
      <c r="H815" s="139"/>
      <c r="I815" s="139"/>
      <c r="J815" s="139"/>
      <c r="K815" s="140"/>
      <c r="L815" s="140"/>
      <c r="M815" s="140"/>
      <c r="N815" s="140"/>
      <c r="O815" s="140"/>
      <c r="P815" s="139"/>
      <c r="Q815" s="139"/>
      <c r="R815" s="139"/>
      <c r="S815" s="139"/>
      <c r="T815" s="139"/>
      <c r="U815" s="139"/>
      <c r="V815" s="139"/>
      <c r="W815" s="139"/>
      <c r="X815" s="139"/>
      <c r="Y815" s="139"/>
      <c r="Z815" s="139"/>
      <c r="AA815" s="139"/>
      <c r="AB815" s="139"/>
      <c r="AC815" s="139"/>
      <c r="AD815" s="139"/>
      <c r="AE815" s="139"/>
      <c r="AF815" s="139"/>
      <c r="AG815" s="139"/>
      <c r="AH815" s="139"/>
      <c r="AI815" s="139"/>
    </row>
    <row r="816">
      <c r="A816" s="139"/>
      <c r="B816" s="139"/>
      <c r="C816" s="139"/>
      <c r="D816" s="139"/>
      <c r="E816" s="139"/>
      <c r="F816" s="139"/>
      <c r="G816" s="139"/>
      <c r="H816" s="139"/>
      <c r="I816" s="139"/>
      <c r="J816" s="139"/>
      <c r="K816" s="140"/>
      <c r="L816" s="140"/>
      <c r="M816" s="140"/>
      <c r="N816" s="140"/>
      <c r="O816" s="140"/>
      <c r="P816" s="139"/>
      <c r="Q816" s="139"/>
      <c r="R816" s="139"/>
      <c r="S816" s="139"/>
      <c r="T816" s="139"/>
      <c r="U816" s="139"/>
      <c r="V816" s="139"/>
      <c r="W816" s="139"/>
      <c r="X816" s="139"/>
      <c r="Y816" s="139"/>
      <c r="Z816" s="139"/>
      <c r="AA816" s="139"/>
      <c r="AB816" s="139"/>
      <c r="AC816" s="139"/>
      <c r="AD816" s="139"/>
      <c r="AE816" s="139"/>
      <c r="AF816" s="139"/>
      <c r="AG816" s="139"/>
      <c r="AH816" s="139"/>
      <c r="AI816" s="139"/>
    </row>
    <row r="817">
      <c r="A817" s="139"/>
      <c r="B817" s="139"/>
      <c r="C817" s="139"/>
      <c r="D817" s="139"/>
      <c r="E817" s="139"/>
      <c r="F817" s="139"/>
      <c r="G817" s="139"/>
      <c r="H817" s="139"/>
      <c r="I817" s="139"/>
      <c r="J817" s="139"/>
      <c r="K817" s="140"/>
      <c r="L817" s="140"/>
      <c r="M817" s="140"/>
      <c r="N817" s="140"/>
      <c r="O817" s="140"/>
      <c r="P817" s="139"/>
      <c r="Q817" s="139"/>
      <c r="R817" s="139"/>
      <c r="S817" s="139"/>
      <c r="T817" s="139"/>
      <c r="U817" s="139"/>
      <c r="V817" s="139"/>
      <c r="W817" s="139"/>
      <c r="X817" s="139"/>
      <c r="Y817" s="139"/>
      <c r="Z817" s="139"/>
      <c r="AA817" s="139"/>
      <c r="AB817" s="139"/>
      <c r="AC817" s="139"/>
      <c r="AD817" s="139"/>
      <c r="AE817" s="139"/>
      <c r="AF817" s="139"/>
      <c r="AG817" s="139"/>
      <c r="AH817" s="139"/>
      <c r="AI817" s="139"/>
    </row>
    <row r="818">
      <c r="A818" s="139"/>
      <c r="B818" s="139"/>
      <c r="C818" s="139"/>
      <c r="D818" s="139"/>
      <c r="E818" s="139"/>
      <c r="F818" s="139"/>
      <c r="G818" s="139"/>
      <c r="H818" s="139"/>
      <c r="I818" s="139"/>
      <c r="J818" s="139"/>
      <c r="K818" s="140"/>
      <c r="L818" s="140"/>
      <c r="M818" s="140"/>
      <c r="N818" s="140"/>
      <c r="O818" s="140"/>
      <c r="P818" s="139"/>
      <c r="Q818" s="139"/>
      <c r="R818" s="139"/>
      <c r="S818" s="139"/>
      <c r="T818" s="139"/>
      <c r="U818" s="139"/>
      <c r="V818" s="139"/>
      <c r="W818" s="139"/>
      <c r="X818" s="139"/>
      <c r="Y818" s="139"/>
      <c r="Z818" s="139"/>
      <c r="AA818" s="139"/>
      <c r="AB818" s="139"/>
      <c r="AC818" s="139"/>
      <c r="AD818" s="139"/>
      <c r="AE818" s="139"/>
      <c r="AF818" s="139"/>
      <c r="AG818" s="139"/>
      <c r="AH818" s="139"/>
      <c r="AI818" s="139"/>
    </row>
    <row r="819">
      <c r="A819" s="139"/>
      <c r="B819" s="139"/>
      <c r="C819" s="139"/>
      <c r="D819" s="139"/>
      <c r="E819" s="139"/>
      <c r="F819" s="139"/>
      <c r="G819" s="139"/>
      <c r="H819" s="139"/>
      <c r="I819" s="139"/>
      <c r="J819" s="139"/>
      <c r="K819" s="140"/>
      <c r="L819" s="140"/>
      <c r="M819" s="140"/>
      <c r="N819" s="140"/>
      <c r="O819" s="140"/>
      <c r="P819" s="139"/>
      <c r="Q819" s="139"/>
      <c r="R819" s="139"/>
      <c r="S819" s="139"/>
      <c r="T819" s="139"/>
      <c r="U819" s="139"/>
      <c r="V819" s="139"/>
      <c r="W819" s="139"/>
      <c r="X819" s="139"/>
      <c r="Y819" s="139"/>
      <c r="Z819" s="139"/>
      <c r="AA819" s="139"/>
      <c r="AB819" s="139"/>
      <c r="AC819" s="139"/>
      <c r="AD819" s="139"/>
      <c r="AE819" s="139"/>
      <c r="AF819" s="139"/>
      <c r="AG819" s="139"/>
      <c r="AH819" s="139"/>
      <c r="AI819" s="139"/>
    </row>
    <row r="820">
      <c r="A820" s="139"/>
      <c r="B820" s="139"/>
      <c r="C820" s="139"/>
      <c r="D820" s="139"/>
      <c r="E820" s="139"/>
      <c r="F820" s="139"/>
      <c r="G820" s="139"/>
      <c r="H820" s="139"/>
      <c r="I820" s="139"/>
      <c r="J820" s="139"/>
      <c r="K820" s="140"/>
      <c r="L820" s="140"/>
      <c r="M820" s="140"/>
      <c r="N820" s="140"/>
      <c r="O820" s="140"/>
      <c r="P820" s="139"/>
      <c r="Q820" s="139"/>
      <c r="R820" s="139"/>
      <c r="S820" s="139"/>
      <c r="T820" s="139"/>
      <c r="U820" s="139"/>
      <c r="V820" s="139"/>
      <c r="W820" s="139"/>
      <c r="X820" s="139"/>
      <c r="Y820" s="139"/>
      <c r="Z820" s="139"/>
      <c r="AA820" s="139"/>
      <c r="AB820" s="139"/>
      <c r="AC820" s="139"/>
      <c r="AD820" s="139"/>
      <c r="AE820" s="139"/>
      <c r="AF820" s="139"/>
      <c r="AG820" s="139"/>
      <c r="AH820" s="139"/>
      <c r="AI820" s="139"/>
    </row>
    <row r="821">
      <c r="A821" s="139"/>
      <c r="B821" s="139"/>
      <c r="C821" s="139"/>
      <c r="D821" s="139"/>
      <c r="E821" s="139"/>
      <c r="F821" s="139"/>
      <c r="G821" s="139"/>
      <c r="H821" s="139"/>
      <c r="I821" s="139"/>
      <c r="J821" s="139"/>
      <c r="K821" s="140"/>
      <c r="L821" s="140"/>
      <c r="M821" s="140"/>
      <c r="N821" s="140"/>
      <c r="O821" s="140"/>
      <c r="P821" s="139"/>
      <c r="Q821" s="139"/>
      <c r="R821" s="139"/>
      <c r="S821" s="139"/>
      <c r="T821" s="139"/>
      <c r="U821" s="139"/>
      <c r="V821" s="139"/>
      <c r="W821" s="139"/>
      <c r="X821" s="139"/>
      <c r="Y821" s="139"/>
      <c r="Z821" s="139"/>
      <c r="AA821" s="139"/>
      <c r="AB821" s="139"/>
      <c r="AC821" s="139"/>
      <c r="AD821" s="139"/>
      <c r="AE821" s="139"/>
      <c r="AF821" s="139"/>
      <c r="AG821" s="139"/>
      <c r="AH821" s="139"/>
      <c r="AI821" s="139"/>
    </row>
    <row r="822">
      <c r="A822" s="139"/>
      <c r="B822" s="139"/>
      <c r="C822" s="139"/>
      <c r="D822" s="139"/>
      <c r="E822" s="139"/>
      <c r="F822" s="139"/>
      <c r="G822" s="139"/>
      <c r="H822" s="139"/>
      <c r="I822" s="139"/>
      <c r="J822" s="139"/>
      <c r="K822" s="140"/>
      <c r="L822" s="140"/>
      <c r="M822" s="140"/>
      <c r="N822" s="140"/>
      <c r="O822" s="140"/>
      <c r="P822" s="139"/>
      <c r="Q822" s="139"/>
      <c r="R822" s="139"/>
      <c r="S822" s="139"/>
      <c r="T822" s="139"/>
      <c r="U822" s="139"/>
      <c r="V822" s="139"/>
      <c r="W822" s="139"/>
      <c r="X822" s="139"/>
      <c r="Y822" s="139"/>
      <c r="Z822" s="139"/>
      <c r="AA822" s="139"/>
      <c r="AB822" s="139"/>
      <c r="AC822" s="139"/>
      <c r="AD822" s="139"/>
      <c r="AE822" s="139"/>
      <c r="AF822" s="139"/>
      <c r="AG822" s="139"/>
      <c r="AH822" s="139"/>
      <c r="AI822" s="139"/>
    </row>
    <row r="823">
      <c r="A823" s="139"/>
      <c r="B823" s="139"/>
      <c r="C823" s="139"/>
      <c r="D823" s="139"/>
      <c r="E823" s="139"/>
      <c r="F823" s="139"/>
      <c r="G823" s="139"/>
      <c r="H823" s="139"/>
      <c r="I823" s="139"/>
      <c r="J823" s="139"/>
      <c r="K823" s="140"/>
      <c r="L823" s="140"/>
      <c r="M823" s="140"/>
      <c r="N823" s="140"/>
      <c r="O823" s="140"/>
      <c r="P823" s="139"/>
      <c r="Q823" s="139"/>
      <c r="R823" s="139"/>
      <c r="S823" s="139"/>
      <c r="T823" s="139"/>
      <c r="U823" s="139"/>
      <c r="V823" s="139"/>
      <c r="W823" s="139"/>
      <c r="X823" s="139"/>
      <c r="Y823" s="139"/>
      <c r="Z823" s="139"/>
      <c r="AA823" s="139"/>
      <c r="AB823" s="139"/>
      <c r="AC823" s="139"/>
      <c r="AD823" s="139"/>
      <c r="AE823" s="139"/>
      <c r="AF823" s="139"/>
      <c r="AG823" s="139"/>
      <c r="AH823" s="139"/>
      <c r="AI823" s="139"/>
    </row>
    <row r="824">
      <c r="A824" s="139"/>
      <c r="B824" s="139"/>
      <c r="C824" s="139"/>
      <c r="D824" s="139"/>
      <c r="E824" s="139"/>
      <c r="F824" s="139"/>
      <c r="G824" s="139"/>
      <c r="H824" s="139"/>
      <c r="I824" s="139"/>
      <c r="J824" s="139"/>
      <c r="K824" s="140"/>
      <c r="L824" s="140"/>
      <c r="M824" s="140"/>
      <c r="N824" s="140"/>
      <c r="O824" s="140"/>
      <c r="P824" s="139"/>
      <c r="Q824" s="139"/>
      <c r="R824" s="139"/>
      <c r="S824" s="139"/>
      <c r="T824" s="139"/>
      <c r="U824" s="139"/>
      <c r="V824" s="139"/>
      <c r="W824" s="139"/>
      <c r="X824" s="139"/>
      <c r="Y824" s="139"/>
      <c r="Z824" s="139"/>
      <c r="AA824" s="139"/>
      <c r="AB824" s="139"/>
      <c r="AC824" s="139"/>
      <c r="AD824" s="139"/>
      <c r="AE824" s="139"/>
      <c r="AF824" s="139"/>
      <c r="AG824" s="139"/>
      <c r="AH824" s="139"/>
      <c r="AI824" s="139"/>
    </row>
    <row r="825">
      <c r="A825" s="139"/>
      <c r="B825" s="139"/>
      <c r="C825" s="139"/>
      <c r="D825" s="139"/>
      <c r="E825" s="139"/>
      <c r="F825" s="139"/>
      <c r="G825" s="139"/>
      <c r="H825" s="139"/>
      <c r="I825" s="139"/>
      <c r="J825" s="139"/>
      <c r="K825" s="140"/>
      <c r="L825" s="140"/>
      <c r="M825" s="140"/>
      <c r="N825" s="140"/>
      <c r="O825" s="140"/>
      <c r="P825" s="139"/>
      <c r="Q825" s="139"/>
      <c r="R825" s="139"/>
      <c r="S825" s="139"/>
      <c r="T825" s="139"/>
      <c r="U825" s="139"/>
      <c r="V825" s="139"/>
      <c r="W825" s="139"/>
      <c r="X825" s="139"/>
      <c r="Y825" s="139"/>
      <c r="Z825" s="139"/>
      <c r="AA825" s="139"/>
      <c r="AB825" s="139"/>
      <c r="AC825" s="139"/>
      <c r="AD825" s="139"/>
      <c r="AE825" s="139"/>
      <c r="AF825" s="139"/>
      <c r="AG825" s="139"/>
      <c r="AH825" s="139"/>
      <c r="AI825" s="139"/>
    </row>
    <row r="826">
      <c r="A826" s="139"/>
      <c r="B826" s="139"/>
      <c r="C826" s="139"/>
      <c r="D826" s="139"/>
      <c r="E826" s="139"/>
      <c r="F826" s="139"/>
      <c r="G826" s="139"/>
      <c r="H826" s="139"/>
      <c r="I826" s="139"/>
      <c r="J826" s="139"/>
      <c r="K826" s="140"/>
      <c r="L826" s="140"/>
      <c r="M826" s="140"/>
      <c r="N826" s="140"/>
      <c r="O826" s="140"/>
      <c r="P826" s="139"/>
      <c r="Q826" s="139"/>
      <c r="R826" s="139"/>
      <c r="S826" s="139"/>
      <c r="T826" s="139"/>
      <c r="U826" s="139"/>
      <c r="V826" s="139"/>
      <c r="W826" s="139"/>
      <c r="X826" s="139"/>
      <c r="Y826" s="139"/>
      <c r="Z826" s="139"/>
      <c r="AA826" s="139"/>
      <c r="AB826" s="139"/>
      <c r="AC826" s="139"/>
      <c r="AD826" s="139"/>
      <c r="AE826" s="139"/>
      <c r="AF826" s="139"/>
      <c r="AG826" s="139"/>
      <c r="AH826" s="139"/>
      <c r="AI826" s="139"/>
    </row>
    <row r="827">
      <c r="A827" s="139"/>
      <c r="B827" s="139"/>
      <c r="C827" s="139"/>
      <c r="D827" s="139"/>
      <c r="E827" s="139"/>
      <c r="F827" s="139"/>
      <c r="G827" s="139"/>
      <c r="H827" s="139"/>
      <c r="I827" s="139"/>
      <c r="J827" s="139"/>
      <c r="K827" s="140"/>
      <c r="L827" s="140"/>
      <c r="M827" s="140"/>
      <c r="N827" s="140"/>
      <c r="O827" s="140"/>
      <c r="P827" s="139"/>
      <c r="Q827" s="139"/>
      <c r="R827" s="139"/>
      <c r="S827" s="139"/>
      <c r="T827" s="139"/>
      <c r="U827" s="139"/>
      <c r="V827" s="139"/>
      <c r="W827" s="139"/>
      <c r="X827" s="139"/>
      <c r="Y827" s="139"/>
      <c r="Z827" s="139"/>
      <c r="AA827" s="139"/>
      <c r="AB827" s="139"/>
      <c r="AC827" s="139"/>
      <c r="AD827" s="139"/>
      <c r="AE827" s="139"/>
      <c r="AF827" s="139"/>
      <c r="AG827" s="139"/>
      <c r="AH827" s="139"/>
      <c r="AI827" s="139"/>
    </row>
    <row r="828">
      <c r="A828" s="139"/>
      <c r="B828" s="139"/>
      <c r="C828" s="139"/>
      <c r="D828" s="139"/>
      <c r="E828" s="139"/>
      <c r="F828" s="139"/>
      <c r="G828" s="139"/>
      <c r="H828" s="139"/>
      <c r="I828" s="139"/>
      <c r="J828" s="139"/>
      <c r="K828" s="140"/>
      <c r="L828" s="140"/>
      <c r="M828" s="140"/>
      <c r="N828" s="140"/>
      <c r="O828" s="140"/>
      <c r="P828" s="139"/>
      <c r="Q828" s="139"/>
      <c r="R828" s="139"/>
      <c r="S828" s="139"/>
      <c r="T828" s="139"/>
      <c r="U828" s="139"/>
      <c r="V828" s="139"/>
      <c r="W828" s="139"/>
      <c r="X828" s="139"/>
      <c r="Y828" s="139"/>
      <c r="Z828" s="139"/>
      <c r="AA828" s="139"/>
      <c r="AB828" s="139"/>
      <c r="AC828" s="139"/>
      <c r="AD828" s="139"/>
      <c r="AE828" s="139"/>
      <c r="AF828" s="139"/>
      <c r="AG828" s="139"/>
      <c r="AH828" s="139"/>
      <c r="AI828" s="139"/>
    </row>
    <row r="829">
      <c r="A829" s="139"/>
      <c r="B829" s="139"/>
      <c r="C829" s="139"/>
      <c r="D829" s="139"/>
      <c r="E829" s="139"/>
      <c r="F829" s="139"/>
      <c r="G829" s="139"/>
      <c r="H829" s="139"/>
      <c r="I829" s="139"/>
      <c r="J829" s="139"/>
      <c r="K829" s="140"/>
      <c r="L829" s="140"/>
      <c r="M829" s="140"/>
      <c r="N829" s="140"/>
      <c r="O829" s="140"/>
      <c r="P829" s="139"/>
      <c r="Q829" s="139"/>
      <c r="R829" s="139"/>
      <c r="S829" s="139"/>
      <c r="T829" s="139"/>
      <c r="U829" s="139"/>
      <c r="V829" s="139"/>
      <c r="W829" s="139"/>
      <c r="X829" s="139"/>
      <c r="Y829" s="139"/>
      <c r="Z829" s="139"/>
      <c r="AA829" s="139"/>
      <c r="AB829" s="139"/>
      <c r="AC829" s="139"/>
      <c r="AD829" s="139"/>
      <c r="AE829" s="139"/>
      <c r="AF829" s="139"/>
      <c r="AG829" s="139"/>
      <c r="AH829" s="139"/>
      <c r="AI829" s="139"/>
    </row>
    <row r="830">
      <c r="A830" s="139"/>
      <c r="B830" s="139"/>
      <c r="C830" s="139"/>
      <c r="D830" s="139"/>
      <c r="E830" s="139"/>
      <c r="F830" s="139"/>
      <c r="G830" s="139"/>
      <c r="H830" s="139"/>
      <c r="I830" s="139"/>
      <c r="J830" s="139"/>
      <c r="K830" s="140"/>
      <c r="L830" s="140"/>
      <c r="M830" s="140"/>
      <c r="N830" s="140"/>
      <c r="O830" s="140"/>
      <c r="P830" s="139"/>
      <c r="Q830" s="139"/>
      <c r="R830" s="139"/>
      <c r="S830" s="139"/>
      <c r="T830" s="139"/>
      <c r="U830" s="139"/>
      <c r="V830" s="139"/>
      <c r="W830" s="139"/>
      <c r="X830" s="139"/>
      <c r="Y830" s="139"/>
      <c r="Z830" s="139"/>
      <c r="AA830" s="139"/>
      <c r="AB830" s="139"/>
      <c r="AC830" s="139"/>
      <c r="AD830" s="139"/>
      <c r="AE830" s="139"/>
      <c r="AF830" s="139"/>
      <c r="AG830" s="139"/>
      <c r="AH830" s="139"/>
      <c r="AI830" s="139"/>
    </row>
    <row r="831">
      <c r="A831" s="139"/>
      <c r="B831" s="139"/>
      <c r="C831" s="139"/>
      <c r="D831" s="139"/>
      <c r="E831" s="139"/>
      <c r="F831" s="139"/>
      <c r="G831" s="139"/>
      <c r="H831" s="139"/>
      <c r="I831" s="139"/>
      <c r="J831" s="139"/>
      <c r="K831" s="140"/>
      <c r="L831" s="140"/>
      <c r="M831" s="140"/>
      <c r="N831" s="140"/>
      <c r="O831" s="140"/>
      <c r="P831" s="139"/>
      <c r="Q831" s="139"/>
      <c r="R831" s="139"/>
      <c r="S831" s="139"/>
      <c r="T831" s="139"/>
      <c r="U831" s="139"/>
      <c r="V831" s="139"/>
      <c r="W831" s="139"/>
      <c r="X831" s="139"/>
      <c r="Y831" s="139"/>
      <c r="Z831" s="139"/>
      <c r="AA831" s="139"/>
      <c r="AB831" s="139"/>
      <c r="AC831" s="139"/>
      <c r="AD831" s="139"/>
      <c r="AE831" s="139"/>
      <c r="AF831" s="139"/>
      <c r="AG831" s="139"/>
      <c r="AH831" s="139"/>
      <c r="AI831" s="139"/>
    </row>
    <row r="832">
      <c r="A832" s="139"/>
      <c r="B832" s="139"/>
      <c r="C832" s="139"/>
      <c r="D832" s="139"/>
      <c r="E832" s="139"/>
      <c r="F832" s="139"/>
      <c r="G832" s="139"/>
      <c r="H832" s="139"/>
      <c r="I832" s="139"/>
      <c r="J832" s="139"/>
      <c r="K832" s="140"/>
      <c r="L832" s="140"/>
      <c r="M832" s="140"/>
      <c r="N832" s="140"/>
      <c r="O832" s="140"/>
      <c r="P832" s="139"/>
      <c r="Q832" s="139"/>
      <c r="R832" s="139"/>
      <c r="S832" s="139"/>
      <c r="T832" s="139"/>
      <c r="U832" s="139"/>
      <c r="V832" s="139"/>
      <c r="W832" s="139"/>
      <c r="X832" s="139"/>
      <c r="Y832" s="139"/>
      <c r="Z832" s="139"/>
      <c r="AA832" s="139"/>
      <c r="AB832" s="139"/>
      <c r="AC832" s="139"/>
      <c r="AD832" s="139"/>
      <c r="AE832" s="139"/>
      <c r="AF832" s="139"/>
      <c r="AG832" s="139"/>
      <c r="AH832" s="139"/>
      <c r="AI832" s="139"/>
    </row>
    <row r="833">
      <c r="A833" s="139"/>
      <c r="B833" s="139"/>
      <c r="C833" s="139"/>
      <c r="D833" s="139"/>
      <c r="E833" s="139"/>
      <c r="F833" s="139"/>
      <c r="G833" s="139"/>
      <c r="H833" s="139"/>
      <c r="I833" s="139"/>
      <c r="J833" s="139"/>
      <c r="K833" s="140"/>
      <c r="L833" s="140"/>
      <c r="M833" s="140"/>
      <c r="N833" s="140"/>
      <c r="O833" s="140"/>
      <c r="P833" s="139"/>
      <c r="Q833" s="139"/>
      <c r="R833" s="139"/>
      <c r="S833" s="139"/>
      <c r="T833" s="139"/>
      <c r="U833" s="139"/>
      <c r="V833" s="139"/>
      <c r="W833" s="139"/>
      <c r="X833" s="139"/>
      <c r="Y833" s="139"/>
      <c r="Z833" s="139"/>
      <c r="AA833" s="139"/>
      <c r="AB833" s="139"/>
      <c r="AC833" s="139"/>
      <c r="AD833" s="139"/>
      <c r="AE833" s="139"/>
      <c r="AF833" s="139"/>
      <c r="AG833" s="139"/>
      <c r="AH833" s="139"/>
      <c r="AI833" s="139"/>
    </row>
    <row r="834">
      <c r="A834" s="139"/>
      <c r="B834" s="139"/>
      <c r="C834" s="139"/>
      <c r="D834" s="139"/>
      <c r="E834" s="139"/>
      <c r="F834" s="139"/>
      <c r="G834" s="139"/>
      <c r="H834" s="139"/>
      <c r="I834" s="139"/>
      <c r="J834" s="139"/>
      <c r="K834" s="140"/>
      <c r="L834" s="140"/>
      <c r="M834" s="140"/>
      <c r="N834" s="140"/>
      <c r="O834" s="140"/>
      <c r="P834" s="139"/>
      <c r="Q834" s="139"/>
      <c r="R834" s="139"/>
      <c r="S834" s="139"/>
      <c r="T834" s="139"/>
      <c r="U834" s="139"/>
      <c r="V834" s="139"/>
      <c r="W834" s="139"/>
      <c r="X834" s="139"/>
      <c r="Y834" s="139"/>
      <c r="Z834" s="139"/>
      <c r="AA834" s="139"/>
      <c r="AB834" s="139"/>
      <c r="AC834" s="139"/>
      <c r="AD834" s="139"/>
      <c r="AE834" s="139"/>
      <c r="AF834" s="139"/>
      <c r="AG834" s="139"/>
      <c r="AH834" s="139"/>
      <c r="AI834" s="139"/>
    </row>
    <row r="835">
      <c r="A835" s="139"/>
      <c r="B835" s="139"/>
      <c r="C835" s="139"/>
      <c r="D835" s="139"/>
      <c r="E835" s="139"/>
      <c r="F835" s="139"/>
      <c r="G835" s="139"/>
      <c r="H835" s="139"/>
      <c r="I835" s="139"/>
      <c r="J835" s="139"/>
      <c r="K835" s="140"/>
      <c r="L835" s="140"/>
      <c r="M835" s="140"/>
      <c r="N835" s="140"/>
      <c r="O835" s="140"/>
      <c r="P835" s="139"/>
      <c r="Q835" s="139"/>
      <c r="R835" s="139"/>
      <c r="S835" s="139"/>
      <c r="T835" s="139"/>
      <c r="U835" s="139"/>
      <c r="V835" s="139"/>
      <c r="W835" s="139"/>
      <c r="X835" s="139"/>
      <c r="Y835" s="139"/>
      <c r="Z835" s="139"/>
      <c r="AA835" s="139"/>
      <c r="AB835" s="139"/>
      <c r="AC835" s="139"/>
      <c r="AD835" s="139"/>
      <c r="AE835" s="139"/>
      <c r="AF835" s="139"/>
      <c r="AG835" s="139"/>
      <c r="AH835" s="139"/>
      <c r="AI835" s="139"/>
    </row>
    <row r="836">
      <c r="A836" s="139"/>
      <c r="B836" s="139"/>
      <c r="C836" s="139"/>
      <c r="D836" s="139"/>
      <c r="E836" s="139"/>
      <c r="F836" s="139"/>
      <c r="G836" s="139"/>
      <c r="H836" s="139"/>
      <c r="I836" s="139"/>
      <c r="J836" s="139"/>
      <c r="K836" s="140"/>
      <c r="L836" s="140"/>
      <c r="M836" s="140"/>
      <c r="N836" s="140"/>
      <c r="O836" s="140"/>
      <c r="P836" s="139"/>
      <c r="Q836" s="139"/>
      <c r="R836" s="139"/>
      <c r="S836" s="139"/>
      <c r="T836" s="139"/>
      <c r="U836" s="139"/>
      <c r="V836" s="139"/>
      <c r="W836" s="139"/>
      <c r="X836" s="139"/>
      <c r="Y836" s="139"/>
      <c r="Z836" s="139"/>
      <c r="AA836" s="139"/>
      <c r="AB836" s="139"/>
      <c r="AC836" s="139"/>
      <c r="AD836" s="139"/>
      <c r="AE836" s="139"/>
      <c r="AF836" s="139"/>
      <c r="AG836" s="139"/>
      <c r="AH836" s="139"/>
      <c r="AI836" s="139"/>
    </row>
    <row r="837">
      <c r="A837" s="139"/>
      <c r="B837" s="139"/>
      <c r="C837" s="139"/>
      <c r="D837" s="139"/>
      <c r="E837" s="139"/>
      <c r="F837" s="139"/>
      <c r="G837" s="139"/>
      <c r="H837" s="139"/>
      <c r="I837" s="139"/>
      <c r="J837" s="139"/>
      <c r="K837" s="140"/>
      <c r="L837" s="140"/>
      <c r="M837" s="140"/>
      <c r="N837" s="140"/>
      <c r="O837" s="140"/>
      <c r="P837" s="139"/>
      <c r="Q837" s="139"/>
      <c r="R837" s="139"/>
      <c r="S837" s="139"/>
      <c r="T837" s="139"/>
      <c r="U837" s="139"/>
      <c r="V837" s="139"/>
      <c r="W837" s="139"/>
      <c r="X837" s="139"/>
      <c r="Y837" s="139"/>
      <c r="Z837" s="139"/>
      <c r="AA837" s="139"/>
      <c r="AB837" s="139"/>
      <c r="AC837" s="139"/>
      <c r="AD837" s="139"/>
      <c r="AE837" s="139"/>
      <c r="AF837" s="139"/>
      <c r="AG837" s="139"/>
      <c r="AH837" s="139"/>
      <c r="AI837" s="139"/>
    </row>
    <row r="838">
      <c r="A838" s="139"/>
      <c r="B838" s="139"/>
      <c r="C838" s="139"/>
      <c r="D838" s="139"/>
      <c r="E838" s="139"/>
      <c r="F838" s="139"/>
      <c r="G838" s="139"/>
      <c r="H838" s="139"/>
      <c r="I838" s="139"/>
      <c r="J838" s="139"/>
      <c r="K838" s="140"/>
      <c r="L838" s="140"/>
      <c r="M838" s="140"/>
      <c r="N838" s="140"/>
      <c r="O838" s="140"/>
      <c r="P838" s="139"/>
      <c r="Q838" s="139"/>
      <c r="R838" s="139"/>
      <c r="S838" s="139"/>
      <c r="T838" s="139"/>
      <c r="U838" s="139"/>
      <c r="V838" s="139"/>
      <c r="W838" s="139"/>
      <c r="X838" s="139"/>
      <c r="Y838" s="139"/>
      <c r="Z838" s="139"/>
      <c r="AA838" s="139"/>
      <c r="AB838" s="139"/>
      <c r="AC838" s="139"/>
      <c r="AD838" s="139"/>
      <c r="AE838" s="139"/>
      <c r="AF838" s="139"/>
      <c r="AG838" s="139"/>
      <c r="AH838" s="139"/>
      <c r="AI838" s="139"/>
    </row>
    <row r="839">
      <c r="A839" s="139"/>
      <c r="B839" s="139"/>
      <c r="C839" s="139"/>
      <c r="D839" s="139"/>
      <c r="E839" s="139"/>
      <c r="F839" s="139"/>
      <c r="G839" s="139"/>
      <c r="H839" s="139"/>
      <c r="I839" s="139"/>
      <c r="J839" s="139"/>
      <c r="K839" s="140"/>
      <c r="L839" s="140"/>
      <c r="M839" s="140"/>
      <c r="N839" s="140"/>
      <c r="O839" s="140"/>
      <c r="P839" s="139"/>
      <c r="Q839" s="139"/>
      <c r="R839" s="139"/>
      <c r="S839" s="139"/>
      <c r="T839" s="139"/>
      <c r="U839" s="139"/>
      <c r="V839" s="139"/>
      <c r="W839" s="139"/>
      <c r="X839" s="139"/>
      <c r="Y839" s="139"/>
      <c r="Z839" s="139"/>
      <c r="AA839" s="139"/>
      <c r="AB839" s="139"/>
      <c r="AC839" s="139"/>
      <c r="AD839" s="139"/>
      <c r="AE839" s="139"/>
      <c r="AF839" s="139"/>
      <c r="AG839" s="139"/>
      <c r="AH839" s="139"/>
      <c r="AI839" s="139"/>
    </row>
    <row r="840">
      <c r="A840" s="139"/>
      <c r="B840" s="139"/>
      <c r="C840" s="139"/>
      <c r="D840" s="139"/>
      <c r="E840" s="139"/>
      <c r="F840" s="139"/>
      <c r="G840" s="139"/>
      <c r="H840" s="139"/>
      <c r="I840" s="139"/>
      <c r="J840" s="139"/>
      <c r="K840" s="140"/>
      <c r="L840" s="140"/>
      <c r="M840" s="140"/>
      <c r="N840" s="140"/>
      <c r="O840" s="140"/>
      <c r="P840" s="139"/>
      <c r="Q840" s="139"/>
      <c r="R840" s="139"/>
      <c r="S840" s="139"/>
      <c r="T840" s="139"/>
      <c r="U840" s="139"/>
      <c r="V840" s="139"/>
      <c r="W840" s="139"/>
      <c r="X840" s="139"/>
      <c r="Y840" s="139"/>
      <c r="Z840" s="139"/>
      <c r="AA840" s="139"/>
      <c r="AB840" s="139"/>
      <c r="AC840" s="139"/>
      <c r="AD840" s="139"/>
      <c r="AE840" s="139"/>
      <c r="AF840" s="139"/>
      <c r="AG840" s="139"/>
      <c r="AH840" s="139"/>
      <c r="AI840" s="139"/>
    </row>
    <row r="841">
      <c r="A841" s="139"/>
      <c r="B841" s="139"/>
      <c r="C841" s="139"/>
      <c r="D841" s="139"/>
      <c r="E841" s="139"/>
      <c r="F841" s="139"/>
      <c r="G841" s="139"/>
      <c r="H841" s="139"/>
      <c r="I841" s="139"/>
      <c r="J841" s="139"/>
      <c r="K841" s="140"/>
      <c r="L841" s="140"/>
      <c r="M841" s="140"/>
      <c r="N841" s="140"/>
      <c r="O841" s="140"/>
      <c r="P841" s="139"/>
      <c r="Q841" s="139"/>
      <c r="R841" s="139"/>
      <c r="S841" s="139"/>
      <c r="T841" s="139"/>
      <c r="U841" s="139"/>
      <c r="V841" s="139"/>
      <c r="W841" s="139"/>
      <c r="X841" s="139"/>
      <c r="Y841" s="139"/>
      <c r="Z841" s="139"/>
      <c r="AA841" s="139"/>
      <c r="AB841" s="139"/>
      <c r="AC841" s="139"/>
      <c r="AD841" s="139"/>
      <c r="AE841" s="139"/>
      <c r="AF841" s="139"/>
      <c r="AG841" s="139"/>
      <c r="AH841" s="139"/>
      <c r="AI841" s="139"/>
    </row>
    <row r="842">
      <c r="A842" s="139"/>
      <c r="B842" s="139"/>
      <c r="C842" s="139"/>
      <c r="D842" s="139"/>
      <c r="E842" s="139"/>
      <c r="F842" s="139"/>
      <c r="G842" s="139"/>
      <c r="H842" s="139"/>
      <c r="I842" s="139"/>
      <c r="J842" s="139"/>
      <c r="K842" s="140"/>
      <c r="L842" s="140"/>
      <c r="M842" s="140"/>
      <c r="N842" s="140"/>
      <c r="O842" s="140"/>
      <c r="P842" s="139"/>
      <c r="Q842" s="139"/>
      <c r="R842" s="139"/>
      <c r="S842" s="139"/>
      <c r="T842" s="139"/>
      <c r="U842" s="139"/>
      <c r="V842" s="139"/>
      <c r="W842" s="139"/>
      <c r="X842" s="139"/>
      <c r="Y842" s="139"/>
      <c r="Z842" s="139"/>
      <c r="AA842" s="139"/>
      <c r="AB842" s="139"/>
      <c r="AC842" s="139"/>
      <c r="AD842" s="139"/>
      <c r="AE842" s="139"/>
      <c r="AF842" s="139"/>
      <c r="AG842" s="139"/>
      <c r="AH842" s="139"/>
      <c r="AI842" s="139"/>
    </row>
    <row r="843">
      <c r="A843" s="139"/>
      <c r="B843" s="139"/>
      <c r="C843" s="139"/>
      <c r="D843" s="139"/>
      <c r="E843" s="139"/>
      <c r="F843" s="139"/>
      <c r="G843" s="139"/>
      <c r="H843" s="139"/>
      <c r="I843" s="139"/>
      <c r="J843" s="139"/>
      <c r="K843" s="140"/>
      <c r="L843" s="140"/>
      <c r="M843" s="140"/>
      <c r="N843" s="140"/>
      <c r="O843" s="140"/>
      <c r="P843" s="139"/>
      <c r="Q843" s="139"/>
      <c r="R843" s="139"/>
      <c r="S843" s="139"/>
      <c r="T843" s="139"/>
      <c r="U843" s="139"/>
      <c r="V843" s="139"/>
      <c r="W843" s="139"/>
      <c r="X843" s="139"/>
      <c r="Y843" s="139"/>
      <c r="Z843" s="139"/>
      <c r="AA843" s="139"/>
      <c r="AB843" s="139"/>
      <c r="AC843" s="139"/>
      <c r="AD843" s="139"/>
      <c r="AE843" s="139"/>
      <c r="AF843" s="139"/>
      <c r="AG843" s="139"/>
      <c r="AH843" s="139"/>
      <c r="AI843" s="139"/>
    </row>
    <row r="844">
      <c r="A844" s="139"/>
      <c r="B844" s="139"/>
      <c r="C844" s="139"/>
      <c r="D844" s="139"/>
      <c r="E844" s="139"/>
      <c r="F844" s="139"/>
      <c r="G844" s="139"/>
      <c r="H844" s="139"/>
      <c r="I844" s="139"/>
      <c r="J844" s="139"/>
      <c r="K844" s="140"/>
      <c r="L844" s="140"/>
      <c r="M844" s="140"/>
      <c r="N844" s="140"/>
      <c r="O844" s="140"/>
      <c r="P844" s="139"/>
      <c r="Q844" s="139"/>
      <c r="R844" s="139"/>
      <c r="S844" s="139"/>
      <c r="T844" s="139"/>
      <c r="U844" s="139"/>
      <c r="V844" s="139"/>
      <c r="W844" s="139"/>
      <c r="X844" s="139"/>
      <c r="Y844" s="139"/>
      <c r="Z844" s="139"/>
      <c r="AA844" s="139"/>
      <c r="AB844" s="139"/>
      <c r="AC844" s="139"/>
      <c r="AD844" s="139"/>
      <c r="AE844" s="139"/>
      <c r="AF844" s="139"/>
      <c r="AG844" s="139"/>
      <c r="AH844" s="139"/>
      <c r="AI844" s="139"/>
    </row>
    <row r="845">
      <c r="A845" s="139"/>
      <c r="B845" s="139"/>
      <c r="C845" s="139"/>
      <c r="D845" s="139"/>
      <c r="E845" s="139"/>
      <c r="F845" s="139"/>
      <c r="G845" s="139"/>
      <c r="H845" s="139"/>
      <c r="I845" s="139"/>
      <c r="J845" s="139"/>
      <c r="K845" s="140"/>
      <c r="L845" s="140"/>
      <c r="M845" s="140"/>
      <c r="N845" s="140"/>
      <c r="O845" s="140"/>
      <c r="P845" s="139"/>
      <c r="Q845" s="139"/>
      <c r="R845" s="139"/>
      <c r="S845" s="139"/>
      <c r="T845" s="139"/>
      <c r="U845" s="139"/>
      <c r="V845" s="139"/>
      <c r="W845" s="139"/>
      <c r="X845" s="139"/>
      <c r="Y845" s="139"/>
      <c r="Z845" s="139"/>
      <c r="AA845" s="139"/>
      <c r="AB845" s="139"/>
      <c r="AC845" s="139"/>
      <c r="AD845" s="139"/>
      <c r="AE845" s="139"/>
      <c r="AF845" s="139"/>
      <c r="AG845" s="139"/>
      <c r="AH845" s="139"/>
      <c r="AI845" s="139"/>
    </row>
    <row r="846">
      <c r="A846" s="139"/>
      <c r="B846" s="139"/>
      <c r="C846" s="139"/>
      <c r="D846" s="139"/>
      <c r="E846" s="139"/>
      <c r="F846" s="139"/>
      <c r="G846" s="139"/>
      <c r="H846" s="139"/>
      <c r="I846" s="139"/>
      <c r="J846" s="139"/>
      <c r="K846" s="140"/>
      <c r="L846" s="140"/>
      <c r="M846" s="140"/>
      <c r="N846" s="140"/>
      <c r="O846" s="140"/>
      <c r="P846" s="139"/>
      <c r="Q846" s="139"/>
      <c r="R846" s="139"/>
      <c r="S846" s="139"/>
      <c r="T846" s="139"/>
      <c r="U846" s="139"/>
      <c r="V846" s="139"/>
      <c r="W846" s="139"/>
      <c r="X846" s="139"/>
      <c r="Y846" s="139"/>
      <c r="Z846" s="139"/>
      <c r="AA846" s="139"/>
      <c r="AB846" s="139"/>
      <c r="AC846" s="139"/>
      <c r="AD846" s="139"/>
      <c r="AE846" s="139"/>
      <c r="AF846" s="139"/>
      <c r="AG846" s="139"/>
      <c r="AH846" s="139"/>
      <c r="AI846" s="139"/>
    </row>
    <row r="847">
      <c r="A847" s="139"/>
      <c r="B847" s="139"/>
      <c r="C847" s="139"/>
      <c r="D847" s="139"/>
      <c r="E847" s="139"/>
      <c r="F847" s="139"/>
      <c r="G847" s="139"/>
      <c r="H847" s="139"/>
      <c r="I847" s="139"/>
      <c r="J847" s="139"/>
      <c r="K847" s="140"/>
      <c r="L847" s="140"/>
      <c r="M847" s="140"/>
      <c r="N847" s="140"/>
      <c r="O847" s="140"/>
      <c r="P847" s="139"/>
      <c r="Q847" s="139"/>
      <c r="R847" s="139"/>
      <c r="S847" s="139"/>
      <c r="T847" s="139"/>
      <c r="U847" s="139"/>
      <c r="V847" s="139"/>
      <c r="W847" s="139"/>
      <c r="X847" s="139"/>
      <c r="Y847" s="139"/>
      <c r="Z847" s="139"/>
      <c r="AA847" s="139"/>
      <c r="AB847" s="139"/>
      <c r="AC847" s="139"/>
      <c r="AD847" s="139"/>
      <c r="AE847" s="139"/>
      <c r="AF847" s="139"/>
      <c r="AG847" s="139"/>
      <c r="AH847" s="139"/>
      <c r="AI847" s="139"/>
    </row>
    <row r="848">
      <c r="A848" s="139"/>
      <c r="B848" s="139"/>
      <c r="C848" s="139"/>
      <c r="D848" s="139"/>
      <c r="E848" s="139"/>
      <c r="F848" s="139"/>
      <c r="G848" s="139"/>
      <c r="H848" s="139"/>
      <c r="I848" s="139"/>
      <c r="J848" s="139"/>
      <c r="K848" s="140"/>
      <c r="L848" s="140"/>
      <c r="M848" s="140"/>
      <c r="N848" s="140"/>
      <c r="O848" s="140"/>
      <c r="P848" s="139"/>
      <c r="Q848" s="139"/>
      <c r="R848" s="139"/>
      <c r="S848" s="139"/>
      <c r="T848" s="139"/>
      <c r="U848" s="139"/>
      <c r="V848" s="139"/>
      <c r="W848" s="139"/>
      <c r="X848" s="139"/>
      <c r="Y848" s="139"/>
      <c r="Z848" s="139"/>
      <c r="AA848" s="139"/>
      <c r="AB848" s="139"/>
      <c r="AC848" s="139"/>
      <c r="AD848" s="139"/>
      <c r="AE848" s="139"/>
      <c r="AF848" s="139"/>
      <c r="AG848" s="139"/>
      <c r="AH848" s="139"/>
      <c r="AI848" s="139"/>
    </row>
    <row r="849">
      <c r="A849" s="139"/>
      <c r="B849" s="139"/>
      <c r="C849" s="139"/>
      <c r="D849" s="139"/>
      <c r="E849" s="139"/>
      <c r="F849" s="139"/>
      <c r="G849" s="139"/>
      <c r="H849" s="139"/>
      <c r="I849" s="139"/>
      <c r="J849" s="139"/>
      <c r="K849" s="140"/>
      <c r="L849" s="140"/>
      <c r="M849" s="140"/>
      <c r="N849" s="140"/>
      <c r="O849" s="140"/>
      <c r="P849" s="139"/>
      <c r="Q849" s="139"/>
      <c r="R849" s="139"/>
      <c r="S849" s="139"/>
      <c r="T849" s="139"/>
      <c r="U849" s="139"/>
      <c r="V849" s="139"/>
      <c r="W849" s="139"/>
      <c r="X849" s="139"/>
      <c r="Y849" s="139"/>
      <c r="Z849" s="139"/>
      <c r="AA849" s="139"/>
      <c r="AB849" s="139"/>
      <c r="AC849" s="139"/>
      <c r="AD849" s="139"/>
      <c r="AE849" s="139"/>
      <c r="AF849" s="139"/>
      <c r="AG849" s="139"/>
      <c r="AH849" s="139"/>
      <c r="AI849" s="139"/>
    </row>
    <row r="850">
      <c r="A850" s="139"/>
      <c r="B850" s="139"/>
      <c r="C850" s="139"/>
      <c r="D850" s="139"/>
      <c r="E850" s="139"/>
      <c r="F850" s="139"/>
      <c r="G850" s="139"/>
      <c r="H850" s="139"/>
      <c r="I850" s="139"/>
      <c r="J850" s="139"/>
      <c r="K850" s="140"/>
      <c r="L850" s="140"/>
      <c r="M850" s="140"/>
      <c r="N850" s="140"/>
      <c r="O850" s="140"/>
      <c r="P850" s="139"/>
      <c r="Q850" s="139"/>
      <c r="R850" s="139"/>
      <c r="S850" s="139"/>
      <c r="T850" s="139"/>
      <c r="U850" s="139"/>
      <c r="V850" s="139"/>
      <c r="W850" s="139"/>
      <c r="X850" s="139"/>
      <c r="Y850" s="139"/>
      <c r="Z850" s="139"/>
      <c r="AA850" s="139"/>
      <c r="AB850" s="139"/>
      <c r="AC850" s="139"/>
      <c r="AD850" s="139"/>
      <c r="AE850" s="139"/>
      <c r="AF850" s="139"/>
      <c r="AG850" s="139"/>
      <c r="AH850" s="139"/>
      <c r="AI850" s="139"/>
    </row>
    <row r="851">
      <c r="A851" s="139"/>
      <c r="B851" s="139"/>
      <c r="C851" s="139"/>
      <c r="D851" s="139"/>
      <c r="E851" s="139"/>
      <c r="F851" s="139"/>
      <c r="G851" s="139"/>
      <c r="H851" s="139"/>
      <c r="I851" s="139"/>
      <c r="J851" s="139"/>
      <c r="K851" s="140"/>
      <c r="L851" s="140"/>
      <c r="M851" s="140"/>
      <c r="N851" s="140"/>
      <c r="O851" s="140"/>
      <c r="P851" s="139"/>
      <c r="Q851" s="139"/>
      <c r="R851" s="139"/>
      <c r="S851" s="139"/>
      <c r="T851" s="139"/>
      <c r="U851" s="139"/>
      <c r="V851" s="139"/>
      <c r="W851" s="139"/>
      <c r="X851" s="139"/>
      <c r="Y851" s="139"/>
      <c r="Z851" s="139"/>
      <c r="AA851" s="139"/>
      <c r="AB851" s="139"/>
      <c r="AC851" s="139"/>
      <c r="AD851" s="139"/>
      <c r="AE851" s="139"/>
      <c r="AF851" s="139"/>
      <c r="AG851" s="139"/>
      <c r="AH851" s="139"/>
      <c r="AI851" s="139"/>
    </row>
    <row r="852">
      <c r="A852" s="139"/>
      <c r="B852" s="139"/>
      <c r="C852" s="139"/>
      <c r="D852" s="139"/>
      <c r="E852" s="139"/>
      <c r="F852" s="139"/>
      <c r="G852" s="139"/>
      <c r="H852" s="139"/>
      <c r="I852" s="139"/>
      <c r="J852" s="139"/>
      <c r="K852" s="140"/>
      <c r="L852" s="140"/>
      <c r="M852" s="140"/>
      <c r="N852" s="140"/>
      <c r="O852" s="140"/>
      <c r="P852" s="139"/>
      <c r="Q852" s="139"/>
      <c r="R852" s="139"/>
      <c r="S852" s="139"/>
      <c r="T852" s="139"/>
      <c r="U852" s="139"/>
      <c r="V852" s="139"/>
      <c r="W852" s="139"/>
      <c r="X852" s="139"/>
      <c r="Y852" s="139"/>
      <c r="Z852" s="139"/>
      <c r="AA852" s="139"/>
      <c r="AB852" s="139"/>
      <c r="AC852" s="139"/>
      <c r="AD852" s="139"/>
      <c r="AE852" s="139"/>
      <c r="AF852" s="139"/>
      <c r="AG852" s="139"/>
      <c r="AH852" s="139"/>
      <c r="AI852" s="139"/>
    </row>
    <row r="853">
      <c r="A853" s="139"/>
      <c r="B853" s="139"/>
      <c r="C853" s="139"/>
      <c r="D853" s="139"/>
      <c r="E853" s="139"/>
      <c r="F853" s="139"/>
      <c r="G853" s="139"/>
      <c r="H853" s="139"/>
      <c r="I853" s="139"/>
      <c r="J853" s="139"/>
      <c r="K853" s="140"/>
      <c r="L853" s="140"/>
      <c r="M853" s="140"/>
      <c r="N853" s="140"/>
      <c r="O853" s="140"/>
      <c r="P853" s="139"/>
      <c r="Q853" s="139"/>
      <c r="R853" s="139"/>
      <c r="S853" s="139"/>
      <c r="T853" s="139"/>
      <c r="U853" s="139"/>
      <c r="V853" s="139"/>
      <c r="W853" s="139"/>
      <c r="X853" s="139"/>
      <c r="Y853" s="139"/>
      <c r="Z853" s="139"/>
      <c r="AA853" s="139"/>
      <c r="AB853" s="139"/>
      <c r="AC853" s="139"/>
      <c r="AD853" s="139"/>
      <c r="AE853" s="139"/>
      <c r="AF853" s="139"/>
      <c r="AG853" s="139"/>
      <c r="AH853" s="139"/>
      <c r="AI853" s="139"/>
    </row>
    <row r="854">
      <c r="A854" s="139"/>
      <c r="B854" s="139"/>
      <c r="C854" s="139"/>
      <c r="D854" s="139"/>
      <c r="E854" s="139"/>
      <c r="F854" s="139"/>
      <c r="G854" s="139"/>
      <c r="H854" s="139"/>
      <c r="I854" s="139"/>
      <c r="J854" s="139"/>
      <c r="K854" s="140"/>
      <c r="L854" s="140"/>
      <c r="M854" s="140"/>
      <c r="N854" s="140"/>
      <c r="O854" s="140"/>
      <c r="P854" s="139"/>
      <c r="Q854" s="139"/>
      <c r="R854" s="139"/>
      <c r="S854" s="139"/>
      <c r="T854" s="139"/>
      <c r="U854" s="139"/>
      <c r="V854" s="139"/>
      <c r="W854" s="139"/>
      <c r="X854" s="139"/>
      <c r="Y854" s="139"/>
      <c r="Z854" s="139"/>
      <c r="AA854" s="139"/>
      <c r="AB854" s="139"/>
      <c r="AC854" s="139"/>
      <c r="AD854" s="139"/>
      <c r="AE854" s="139"/>
      <c r="AF854" s="139"/>
      <c r="AG854" s="139"/>
      <c r="AH854" s="139"/>
      <c r="AI854" s="139"/>
    </row>
    <row r="855">
      <c r="A855" s="139"/>
      <c r="B855" s="139"/>
      <c r="C855" s="139"/>
      <c r="D855" s="139"/>
      <c r="E855" s="139"/>
      <c r="F855" s="139"/>
      <c r="G855" s="139"/>
      <c r="H855" s="139"/>
      <c r="I855" s="139"/>
      <c r="J855" s="139"/>
      <c r="K855" s="140"/>
      <c r="L855" s="140"/>
      <c r="M855" s="140"/>
      <c r="N855" s="140"/>
      <c r="O855" s="140"/>
      <c r="P855" s="139"/>
      <c r="Q855" s="139"/>
      <c r="R855" s="139"/>
      <c r="S855" s="139"/>
      <c r="T855" s="139"/>
      <c r="U855" s="139"/>
      <c r="V855" s="139"/>
      <c r="W855" s="139"/>
      <c r="X855" s="139"/>
      <c r="Y855" s="139"/>
      <c r="Z855" s="139"/>
      <c r="AA855" s="139"/>
      <c r="AB855" s="139"/>
      <c r="AC855" s="139"/>
      <c r="AD855" s="139"/>
      <c r="AE855" s="139"/>
      <c r="AF855" s="139"/>
      <c r="AG855" s="139"/>
      <c r="AH855" s="139"/>
      <c r="AI855" s="139"/>
    </row>
    <row r="856">
      <c r="A856" s="139"/>
      <c r="B856" s="139"/>
      <c r="C856" s="139"/>
      <c r="D856" s="139"/>
      <c r="E856" s="139"/>
      <c r="F856" s="139"/>
      <c r="G856" s="139"/>
      <c r="H856" s="139"/>
      <c r="I856" s="139"/>
      <c r="J856" s="139"/>
      <c r="K856" s="140"/>
      <c r="L856" s="140"/>
      <c r="M856" s="140"/>
      <c r="N856" s="140"/>
      <c r="O856" s="140"/>
      <c r="P856" s="139"/>
      <c r="Q856" s="139"/>
      <c r="R856" s="139"/>
      <c r="S856" s="139"/>
      <c r="T856" s="139"/>
      <c r="U856" s="139"/>
      <c r="V856" s="139"/>
      <c r="W856" s="139"/>
      <c r="X856" s="139"/>
      <c r="Y856" s="139"/>
      <c r="Z856" s="139"/>
      <c r="AA856" s="139"/>
      <c r="AB856" s="139"/>
      <c r="AC856" s="139"/>
      <c r="AD856" s="139"/>
      <c r="AE856" s="139"/>
      <c r="AF856" s="139"/>
      <c r="AG856" s="139"/>
      <c r="AH856" s="139"/>
      <c r="AI856" s="139"/>
    </row>
    <row r="857">
      <c r="A857" s="139"/>
      <c r="B857" s="139"/>
      <c r="C857" s="139"/>
      <c r="D857" s="139"/>
      <c r="E857" s="139"/>
      <c r="F857" s="139"/>
      <c r="G857" s="139"/>
      <c r="H857" s="139"/>
      <c r="I857" s="139"/>
      <c r="J857" s="139"/>
      <c r="K857" s="140"/>
      <c r="L857" s="140"/>
      <c r="M857" s="140"/>
      <c r="N857" s="140"/>
      <c r="O857" s="140"/>
      <c r="P857" s="139"/>
      <c r="Q857" s="139"/>
      <c r="R857" s="139"/>
      <c r="S857" s="139"/>
      <c r="T857" s="139"/>
      <c r="U857" s="139"/>
      <c r="V857" s="139"/>
      <c r="W857" s="139"/>
      <c r="X857" s="139"/>
      <c r="Y857" s="139"/>
      <c r="Z857" s="139"/>
      <c r="AA857" s="139"/>
      <c r="AB857" s="139"/>
      <c r="AC857" s="139"/>
      <c r="AD857" s="139"/>
      <c r="AE857" s="139"/>
      <c r="AF857" s="139"/>
      <c r="AG857" s="139"/>
      <c r="AH857" s="139"/>
      <c r="AI857" s="139"/>
    </row>
    <row r="858">
      <c r="A858" s="139"/>
      <c r="B858" s="139"/>
      <c r="C858" s="139"/>
      <c r="D858" s="139"/>
      <c r="E858" s="139"/>
      <c r="F858" s="139"/>
      <c r="G858" s="139"/>
      <c r="H858" s="139"/>
      <c r="I858" s="139"/>
      <c r="J858" s="139"/>
      <c r="K858" s="140"/>
      <c r="L858" s="140"/>
      <c r="M858" s="140"/>
      <c r="N858" s="140"/>
      <c r="O858" s="140"/>
      <c r="P858" s="139"/>
      <c r="Q858" s="139"/>
      <c r="R858" s="139"/>
      <c r="S858" s="139"/>
      <c r="T858" s="139"/>
      <c r="U858" s="139"/>
      <c r="V858" s="139"/>
      <c r="W858" s="139"/>
      <c r="X858" s="139"/>
      <c r="Y858" s="139"/>
      <c r="Z858" s="139"/>
      <c r="AA858" s="139"/>
      <c r="AB858" s="139"/>
      <c r="AC858" s="139"/>
      <c r="AD858" s="139"/>
      <c r="AE858" s="139"/>
      <c r="AF858" s="139"/>
      <c r="AG858" s="139"/>
      <c r="AH858" s="139"/>
      <c r="AI858" s="139"/>
    </row>
    <row r="859">
      <c r="A859" s="139"/>
      <c r="B859" s="139"/>
      <c r="C859" s="139"/>
      <c r="D859" s="139"/>
      <c r="E859" s="139"/>
      <c r="F859" s="139"/>
      <c r="G859" s="139"/>
      <c r="H859" s="139"/>
      <c r="I859" s="139"/>
      <c r="J859" s="139"/>
      <c r="K859" s="140"/>
      <c r="L859" s="140"/>
      <c r="M859" s="140"/>
      <c r="N859" s="140"/>
      <c r="O859" s="140"/>
      <c r="P859" s="139"/>
      <c r="Q859" s="139"/>
      <c r="R859" s="139"/>
      <c r="S859" s="139"/>
      <c r="T859" s="139"/>
      <c r="U859" s="139"/>
      <c r="V859" s="139"/>
      <c r="W859" s="139"/>
      <c r="X859" s="139"/>
      <c r="Y859" s="139"/>
      <c r="Z859" s="139"/>
      <c r="AA859" s="139"/>
      <c r="AB859" s="139"/>
      <c r="AC859" s="139"/>
      <c r="AD859" s="139"/>
      <c r="AE859" s="139"/>
      <c r="AF859" s="139"/>
      <c r="AG859" s="139"/>
      <c r="AH859" s="139"/>
      <c r="AI859" s="139"/>
    </row>
    <row r="860">
      <c r="A860" s="139"/>
      <c r="B860" s="139"/>
      <c r="C860" s="139"/>
      <c r="D860" s="139"/>
      <c r="E860" s="139"/>
      <c r="F860" s="139"/>
      <c r="G860" s="139"/>
      <c r="H860" s="139"/>
      <c r="I860" s="139"/>
      <c r="J860" s="139"/>
      <c r="K860" s="140"/>
      <c r="L860" s="140"/>
      <c r="M860" s="140"/>
      <c r="N860" s="140"/>
      <c r="O860" s="140"/>
      <c r="P860" s="139"/>
      <c r="Q860" s="139"/>
      <c r="R860" s="139"/>
      <c r="S860" s="139"/>
      <c r="T860" s="139"/>
      <c r="U860" s="139"/>
      <c r="V860" s="139"/>
      <c r="W860" s="139"/>
      <c r="X860" s="139"/>
      <c r="Y860" s="139"/>
      <c r="Z860" s="139"/>
      <c r="AA860" s="139"/>
      <c r="AB860" s="139"/>
      <c r="AC860" s="139"/>
      <c r="AD860" s="139"/>
      <c r="AE860" s="139"/>
      <c r="AF860" s="139"/>
      <c r="AG860" s="139"/>
      <c r="AH860" s="139"/>
      <c r="AI860" s="139"/>
    </row>
    <row r="861">
      <c r="A861" s="139"/>
      <c r="B861" s="139"/>
      <c r="C861" s="139"/>
      <c r="D861" s="139"/>
      <c r="E861" s="139"/>
      <c r="F861" s="139"/>
      <c r="G861" s="139"/>
      <c r="H861" s="139"/>
      <c r="I861" s="139"/>
      <c r="J861" s="139"/>
      <c r="K861" s="140"/>
      <c r="L861" s="140"/>
      <c r="M861" s="140"/>
      <c r="N861" s="140"/>
      <c r="O861" s="140"/>
      <c r="P861" s="139"/>
      <c r="Q861" s="139"/>
      <c r="R861" s="139"/>
      <c r="S861" s="139"/>
      <c r="T861" s="139"/>
      <c r="U861" s="139"/>
      <c r="V861" s="139"/>
      <c r="W861" s="139"/>
      <c r="X861" s="139"/>
      <c r="Y861" s="139"/>
      <c r="Z861" s="139"/>
      <c r="AA861" s="139"/>
      <c r="AB861" s="139"/>
      <c r="AC861" s="139"/>
      <c r="AD861" s="139"/>
      <c r="AE861" s="139"/>
      <c r="AF861" s="139"/>
      <c r="AG861" s="139"/>
      <c r="AH861" s="139"/>
      <c r="AI861" s="139"/>
    </row>
    <row r="862">
      <c r="A862" s="139"/>
      <c r="B862" s="139"/>
      <c r="C862" s="139"/>
      <c r="D862" s="139"/>
      <c r="E862" s="139"/>
      <c r="F862" s="139"/>
      <c r="G862" s="139"/>
      <c r="H862" s="139"/>
      <c r="I862" s="139"/>
      <c r="J862" s="139"/>
      <c r="K862" s="140"/>
      <c r="L862" s="140"/>
      <c r="M862" s="140"/>
      <c r="N862" s="140"/>
      <c r="O862" s="140"/>
      <c r="P862" s="139"/>
      <c r="Q862" s="139"/>
      <c r="R862" s="139"/>
      <c r="S862" s="139"/>
      <c r="T862" s="139"/>
      <c r="U862" s="139"/>
      <c r="V862" s="139"/>
      <c r="W862" s="139"/>
      <c r="X862" s="139"/>
      <c r="Y862" s="139"/>
      <c r="Z862" s="139"/>
      <c r="AA862" s="139"/>
      <c r="AB862" s="139"/>
      <c r="AC862" s="139"/>
      <c r="AD862" s="139"/>
      <c r="AE862" s="139"/>
      <c r="AF862" s="139"/>
      <c r="AG862" s="139"/>
      <c r="AH862" s="139"/>
      <c r="AI862" s="139"/>
    </row>
    <row r="863">
      <c r="A863" s="139"/>
      <c r="B863" s="139"/>
      <c r="C863" s="139"/>
      <c r="D863" s="139"/>
      <c r="E863" s="139"/>
      <c r="F863" s="139"/>
      <c r="G863" s="139"/>
      <c r="H863" s="139"/>
      <c r="I863" s="139"/>
      <c r="J863" s="139"/>
      <c r="K863" s="140"/>
      <c r="L863" s="140"/>
      <c r="M863" s="140"/>
      <c r="N863" s="140"/>
      <c r="O863" s="140"/>
      <c r="P863" s="139"/>
      <c r="Q863" s="139"/>
      <c r="R863" s="139"/>
      <c r="S863" s="139"/>
      <c r="T863" s="139"/>
      <c r="U863" s="139"/>
      <c r="V863" s="139"/>
      <c r="W863" s="139"/>
      <c r="X863" s="139"/>
      <c r="Y863" s="139"/>
      <c r="Z863" s="139"/>
      <c r="AA863" s="139"/>
      <c r="AB863" s="139"/>
      <c r="AC863" s="139"/>
      <c r="AD863" s="139"/>
      <c r="AE863" s="139"/>
      <c r="AF863" s="139"/>
      <c r="AG863" s="139"/>
      <c r="AH863" s="139"/>
      <c r="AI863" s="139"/>
    </row>
    <row r="864">
      <c r="A864" s="139"/>
      <c r="B864" s="139"/>
      <c r="C864" s="139"/>
      <c r="D864" s="139"/>
      <c r="E864" s="139"/>
      <c r="F864" s="139"/>
      <c r="G864" s="139"/>
      <c r="H864" s="139"/>
      <c r="I864" s="139"/>
      <c r="J864" s="139"/>
      <c r="K864" s="140"/>
      <c r="L864" s="140"/>
      <c r="M864" s="140"/>
      <c r="N864" s="140"/>
      <c r="O864" s="140"/>
      <c r="P864" s="139"/>
      <c r="Q864" s="139"/>
      <c r="R864" s="139"/>
      <c r="S864" s="139"/>
      <c r="T864" s="139"/>
      <c r="U864" s="139"/>
      <c r="V864" s="139"/>
      <c r="W864" s="139"/>
      <c r="X864" s="139"/>
      <c r="Y864" s="139"/>
      <c r="Z864" s="139"/>
      <c r="AA864" s="139"/>
      <c r="AB864" s="139"/>
      <c r="AC864" s="139"/>
      <c r="AD864" s="139"/>
      <c r="AE864" s="139"/>
      <c r="AF864" s="139"/>
      <c r="AG864" s="139"/>
      <c r="AH864" s="139"/>
      <c r="AI864" s="139"/>
    </row>
    <row r="865">
      <c r="A865" s="139"/>
      <c r="B865" s="139"/>
      <c r="C865" s="139"/>
      <c r="D865" s="139"/>
      <c r="E865" s="139"/>
      <c r="F865" s="139"/>
      <c r="G865" s="139"/>
      <c r="H865" s="139"/>
      <c r="I865" s="139"/>
      <c r="J865" s="139"/>
      <c r="K865" s="140"/>
      <c r="L865" s="140"/>
      <c r="M865" s="140"/>
      <c r="N865" s="140"/>
      <c r="O865" s="140"/>
      <c r="P865" s="139"/>
      <c r="Q865" s="139"/>
      <c r="R865" s="139"/>
      <c r="S865" s="139"/>
      <c r="T865" s="139"/>
      <c r="U865" s="139"/>
      <c r="V865" s="139"/>
      <c r="W865" s="139"/>
      <c r="X865" s="139"/>
      <c r="Y865" s="139"/>
      <c r="Z865" s="139"/>
      <c r="AA865" s="139"/>
      <c r="AB865" s="139"/>
      <c r="AC865" s="139"/>
      <c r="AD865" s="139"/>
      <c r="AE865" s="139"/>
      <c r="AF865" s="139"/>
      <c r="AG865" s="139"/>
      <c r="AH865" s="139"/>
      <c r="AI865" s="139"/>
    </row>
    <row r="866">
      <c r="A866" s="139"/>
      <c r="B866" s="139"/>
      <c r="C866" s="139"/>
      <c r="D866" s="139"/>
      <c r="E866" s="139"/>
      <c r="F866" s="139"/>
      <c r="G866" s="139"/>
      <c r="H866" s="139"/>
      <c r="I866" s="139"/>
      <c r="J866" s="139"/>
      <c r="K866" s="140"/>
      <c r="L866" s="140"/>
      <c r="M866" s="140"/>
      <c r="N866" s="140"/>
      <c r="O866" s="140"/>
      <c r="P866" s="139"/>
      <c r="Q866" s="139"/>
      <c r="R866" s="139"/>
      <c r="S866" s="139"/>
      <c r="T866" s="139"/>
      <c r="U866" s="139"/>
      <c r="V866" s="139"/>
      <c r="W866" s="139"/>
      <c r="X866" s="139"/>
      <c r="Y866" s="139"/>
      <c r="Z866" s="139"/>
      <c r="AA866" s="139"/>
      <c r="AB866" s="139"/>
      <c r="AC866" s="139"/>
      <c r="AD866" s="139"/>
      <c r="AE866" s="139"/>
      <c r="AF866" s="139"/>
      <c r="AG866" s="139"/>
      <c r="AH866" s="139"/>
      <c r="AI866" s="139"/>
    </row>
    <row r="867">
      <c r="A867" s="139"/>
      <c r="B867" s="139"/>
      <c r="C867" s="139"/>
      <c r="D867" s="139"/>
      <c r="E867" s="139"/>
      <c r="F867" s="139"/>
      <c r="G867" s="139"/>
      <c r="H867" s="139"/>
      <c r="I867" s="139"/>
      <c r="J867" s="139"/>
      <c r="K867" s="140"/>
      <c r="L867" s="140"/>
      <c r="M867" s="140"/>
      <c r="N867" s="140"/>
      <c r="O867" s="140"/>
      <c r="P867" s="139"/>
      <c r="Q867" s="139"/>
      <c r="R867" s="139"/>
      <c r="S867" s="139"/>
      <c r="T867" s="139"/>
      <c r="U867" s="139"/>
      <c r="V867" s="139"/>
      <c r="W867" s="139"/>
      <c r="X867" s="139"/>
      <c r="Y867" s="139"/>
      <c r="Z867" s="139"/>
      <c r="AA867" s="139"/>
      <c r="AB867" s="139"/>
      <c r="AC867" s="139"/>
      <c r="AD867" s="139"/>
      <c r="AE867" s="139"/>
      <c r="AF867" s="139"/>
      <c r="AG867" s="139"/>
      <c r="AH867" s="139"/>
      <c r="AI867" s="139"/>
    </row>
    <row r="868">
      <c r="A868" s="139"/>
      <c r="B868" s="139"/>
      <c r="C868" s="139"/>
      <c r="D868" s="139"/>
      <c r="E868" s="139"/>
      <c r="F868" s="139"/>
      <c r="G868" s="139"/>
      <c r="H868" s="139"/>
      <c r="I868" s="139"/>
      <c r="J868" s="139"/>
      <c r="K868" s="140"/>
      <c r="L868" s="140"/>
      <c r="M868" s="140"/>
      <c r="N868" s="140"/>
      <c r="O868" s="140"/>
      <c r="P868" s="139"/>
      <c r="Q868" s="139"/>
      <c r="R868" s="139"/>
      <c r="S868" s="139"/>
      <c r="T868" s="139"/>
      <c r="U868" s="139"/>
      <c r="V868" s="139"/>
      <c r="W868" s="139"/>
      <c r="X868" s="139"/>
      <c r="Y868" s="139"/>
      <c r="Z868" s="139"/>
      <c r="AA868" s="139"/>
      <c r="AB868" s="139"/>
      <c r="AC868" s="139"/>
      <c r="AD868" s="139"/>
      <c r="AE868" s="139"/>
      <c r="AF868" s="139"/>
      <c r="AG868" s="139"/>
      <c r="AH868" s="139"/>
      <c r="AI868" s="139"/>
    </row>
    <row r="869">
      <c r="A869" s="139"/>
      <c r="B869" s="139"/>
      <c r="C869" s="139"/>
      <c r="D869" s="139"/>
      <c r="E869" s="139"/>
      <c r="F869" s="139"/>
      <c r="G869" s="139"/>
      <c r="H869" s="139"/>
      <c r="I869" s="139"/>
      <c r="J869" s="139"/>
      <c r="K869" s="140"/>
      <c r="L869" s="140"/>
      <c r="M869" s="140"/>
      <c r="N869" s="140"/>
      <c r="O869" s="140"/>
      <c r="P869" s="139"/>
      <c r="Q869" s="139"/>
      <c r="R869" s="139"/>
      <c r="S869" s="139"/>
      <c r="T869" s="139"/>
      <c r="U869" s="139"/>
      <c r="V869" s="139"/>
      <c r="W869" s="139"/>
      <c r="X869" s="139"/>
      <c r="Y869" s="139"/>
      <c r="Z869" s="139"/>
      <c r="AA869" s="139"/>
      <c r="AB869" s="139"/>
      <c r="AC869" s="139"/>
      <c r="AD869" s="139"/>
      <c r="AE869" s="139"/>
      <c r="AF869" s="139"/>
      <c r="AG869" s="139"/>
      <c r="AH869" s="139"/>
      <c r="AI869" s="139"/>
    </row>
    <row r="870">
      <c r="A870" s="139"/>
      <c r="B870" s="139"/>
      <c r="C870" s="139"/>
      <c r="D870" s="139"/>
      <c r="E870" s="139"/>
      <c r="F870" s="139"/>
      <c r="G870" s="139"/>
      <c r="H870" s="139"/>
      <c r="I870" s="139"/>
      <c r="J870" s="139"/>
      <c r="K870" s="140"/>
      <c r="L870" s="140"/>
      <c r="M870" s="140"/>
      <c r="N870" s="140"/>
      <c r="O870" s="140"/>
      <c r="P870" s="139"/>
      <c r="Q870" s="139"/>
      <c r="R870" s="139"/>
      <c r="S870" s="139"/>
      <c r="T870" s="139"/>
      <c r="U870" s="139"/>
      <c r="V870" s="139"/>
      <c r="W870" s="139"/>
      <c r="X870" s="139"/>
      <c r="Y870" s="139"/>
      <c r="Z870" s="139"/>
      <c r="AA870" s="139"/>
      <c r="AB870" s="139"/>
      <c r="AC870" s="139"/>
      <c r="AD870" s="139"/>
      <c r="AE870" s="139"/>
      <c r="AF870" s="139"/>
      <c r="AG870" s="139"/>
      <c r="AH870" s="139"/>
      <c r="AI870" s="139"/>
    </row>
    <row r="871">
      <c r="A871" s="139"/>
      <c r="B871" s="139"/>
      <c r="C871" s="139"/>
      <c r="D871" s="139"/>
      <c r="E871" s="139"/>
      <c r="F871" s="139"/>
      <c r="G871" s="139"/>
      <c r="H871" s="139"/>
      <c r="I871" s="139"/>
      <c r="J871" s="139"/>
      <c r="K871" s="140"/>
      <c r="L871" s="140"/>
      <c r="M871" s="140"/>
      <c r="N871" s="140"/>
      <c r="O871" s="140"/>
      <c r="P871" s="139"/>
      <c r="Q871" s="139"/>
      <c r="R871" s="139"/>
      <c r="S871" s="139"/>
      <c r="T871" s="139"/>
      <c r="U871" s="139"/>
      <c r="V871" s="139"/>
      <c r="W871" s="139"/>
      <c r="X871" s="139"/>
      <c r="Y871" s="139"/>
      <c r="Z871" s="139"/>
      <c r="AA871" s="139"/>
      <c r="AB871" s="139"/>
      <c r="AC871" s="139"/>
      <c r="AD871" s="139"/>
      <c r="AE871" s="139"/>
      <c r="AF871" s="139"/>
      <c r="AG871" s="139"/>
      <c r="AH871" s="139"/>
      <c r="AI871" s="139"/>
    </row>
    <row r="872">
      <c r="A872" s="139"/>
      <c r="B872" s="139"/>
      <c r="C872" s="139"/>
      <c r="D872" s="139"/>
      <c r="E872" s="139"/>
      <c r="F872" s="139"/>
      <c r="G872" s="139"/>
      <c r="H872" s="139"/>
      <c r="I872" s="139"/>
      <c r="J872" s="139"/>
      <c r="K872" s="140"/>
      <c r="L872" s="140"/>
      <c r="M872" s="140"/>
      <c r="N872" s="140"/>
      <c r="O872" s="140"/>
      <c r="P872" s="139"/>
      <c r="Q872" s="139"/>
      <c r="R872" s="139"/>
      <c r="S872" s="139"/>
      <c r="T872" s="139"/>
      <c r="U872" s="139"/>
      <c r="V872" s="139"/>
      <c r="W872" s="139"/>
      <c r="X872" s="139"/>
      <c r="Y872" s="139"/>
      <c r="Z872" s="139"/>
      <c r="AA872" s="139"/>
      <c r="AB872" s="139"/>
      <c r="AC872" s="139"/>
      <c r="AD872" s="139"/>
      <c r="AE872" s="139"/>
      <c r="AF872" s="139"/>
      <c r="AG872" s="139"/>
      <c r="AH872" s="139"/>
      <c r="AI872" s="139"/>
    </row>
    <row r="873">
      <c r="A873" s="139"/>
      <c r="B873" s="139"/>
      <c r="C873" s="139"/>
      <c r="D873" s="139"/>
      <c r="E873" s="139"/>
      <c r="F873" s="139"/>
      <c r="G873" s="139"/>
      <c r="H873" s="139"/>
      <c r="I873" s="139"/>
      <c r="J873" s="139"/>
      <c r="K873" s="140"/>
      <c r="L873" s="140"/>
      <c r="M873" s="140"/>
      <c r="N873" s="140"/>
      <c r="O873" s="140"/>
      <c r="P873" s="139"/>
      <c r="Q873" s="139"/>
      <c r="R873" s="139"/>
      <c r="S873" s="139"/>
      <c r="T873" s="139"/>
      <c r="U873" s="139"/>
      <c r="V873" s="139"/>
      <c r="W873" s="139"/>
      <c r="X873" s="139"/>
      <c r="Y873" s="139"/>
      <c r="Z873" s="139"/>
      <c r="AA873" s="139"/>
      <c r="AB873" s="139"/>
      <c r="AC873" s="139"/>
      <c r="AD873" s="139"/>
      <c r="AE873" s="139"/>
      <c r="AF873" s="139"/>
      <c r="AG873" s="139"/>
      <c r="AH873" s="139"/>
      <c r="AI873" s="139"/>
    </row>
    <row r="874">
      <c r="A874" s="139"/>
      <c r="B874" s="139"/>
      <c r="C874" s="139"/>
      <c r="D874" s="139"/>
      <c r="E874" s="139"/>
      <c r="F874" s="139"/>
      <c r="G874" s="139"/>
      <c r="H874" s="139"/>
      <c r="I874" s="139"/>
      <c r="J874" s="139"/>
      <c r="K874" s="140"/>
      <c r="L874" s="140"/>
      <c r="M874" s="140"/>
      <c r="N874" s="140"/>
      <c r="O874" s="140"/>
      <c r="P874" s="139"/>
      <c r="Q874" s="139"/>
      <c r="R874" s="139"/>
      <c r="S874" s="139"/>
      <c r="T874" s="139"/>
      <c r="U874" s="139"/>
      <c r="V874" s="139"/>
      <c r="W874" s="139"/>
      <c r="X874" s="139"/>
      <c r="Y874" s="139"/>
      <c r="Z874" s="139"/>
      <c r="AA874" s="139"/>
      <c r="AB874" s="139"/>
      <c r="AC874" s="139"/>
      <c r="AD874" s="139"/>
      <c r="AE874" s="139"/>
      <c r="AF874" s="139"/>
      <c r="AG874" s="139"/>
      <c r="AH874" s="139"/>
      <c r="AI874" s="139"/>
    </row>
    <row r="875">
      <c r="A875" s="139"/>
      <c r="B875" s="139"/>
      <c r="C875" s="139"/>
      <c r="D875" s="139"/>
      <c r="E875" s="139"/>
      <c r="F875" s="139"/>
      <c r="G875" s="139"/>
      <c r="H875" s="139"/>
      <c r="I875" s="139"/>
      <c r="J875" s="139"/>
      <c r="K875" s="140"/>
      <c r="L875" s="140"/>
      <c r="M875" s="140"/>
      <c r="N875" s="140"/>
      <c r="O875" s="140"/>
      <c r="P875" s="139"/>
      <c r="Q875" s="139"/>
      <c r="R875" s="139"/>
      <c r="S875" s="139"/>
      <c r="T875" s="139"/>
      <c r="U875" s="139"/>
      <c r="V875" s="139"/>
      <c r="W875" s="139"/>
      <c r="X875" s="139"/>
      <c r="Y875" s="139"/>
      <c r="Z875" s="139"/>
      <c r="AA875" s="139"/>
      <c r="AB875" s="139"/>
      <c r="AC875" s="139"/>
      <c r="AD875" s="139"/>
      <c r="AE875" s="139"/>
      <c r="AF875" s="139"/>
      <c r="AG875" s="139"/>
      <c r="AH875" s="139"/>
      <c r="AI875" s="139"/>
    </row>
    <row r="876">
      <c r="A876" s="139"/>
      <c r="B876" s="139"/>
      <c r="C876" s="139"/>
      <c r="D876" s="139"/>
      <c r="E876" s="139"/>
      <c r="F876" s="139"/>
      <c r="G876" s="139"/>
      <c r="H876" s="139"/>
      <c r="I876" s="139"/>
      <c r="J876" s="139"/>
      <c r="K876" s="140"/>
      <c r="L876" s="140"/>
      <c r="M876" s="140"/>
      <c r="N876" s="140"/>
      <c r="O876" s="140"/>
      <c r="P876" s="139"/>
      <c r="Q876" s="139"/>
      <c r="R876" s="139"/>
      <c r="S876" s="139"/>
      <c r="T876" s="139"/>
      <c r="U876" s="139"/>
      <c r="V876" s="139"/>
      <c r="W876" s="139"/>
      <c r="X876" s="139"/>
      <c r="Y876" s="139"/>
      <c r="Z876" s="139"/>
      <c r="AA876" s="139"/>
      <c r="AB876" s="139"/>
      <c r="AC876" s="139"/>
      <c r="AD876" s="139"/>
      <c r="AE876" s="139"/>
      <c r="AF876" s="139"/>
      <c r="AG876" s="139"/>
      <c r="AH876" s="139"/>
      <c r="AI876" s="139"/>
    </row>
    <row r="877">
      <c r="A877" s="139"/>
      <c r="B877" s="139"/>
      <c r="C877" s="139"/>
      <c r="D877" s="139"/>
      <c r="E877" s="139"/>
      <c r="F877" s="139"/>
      <c r="G877" s="139"/>
      <c r="H877" s="139"/>
      <c r="I877" s="139"/>
      <c r="J877" s="139"/>
      <c r="K877" s="140"/>
      <c r="L877" s="140"/>
      <c r="M877" s="140"/>
      <c r="N877" s="140"/>
      <c r="O877" s="140"/>
      <c r="P877" s="139"/>
      <c r="Q877" s="139"/>
      <c r="R877" s="139"/>
      <c r="S877" s="139"/>
      <c r="T877" s="139"/>
      <c r="U877" s="139"/>
      <c r="V877" s="139"/>
      <c r="W877" s="139"/>
      <c r="X877" s="139"/>
      <c r="Y877" s="139"/>
      <c r="Z877" s="139"/>
      <c r="AA877" s="139"/>
      <c r="AB877" s="139"/>
      <c r="AC877" s="139"/>
      <c r="AD877" s="139"/>
      <c r="AE877" s="139"/>
      <c r="AF877" s="139"/>
      <c r="AG877" s="139"/>
      <c r="AH877" s="139"/>
      <c r="AI877" s="139"/>
    </row>
    <row r="878">
      <c r="A878" s="139"/>
      <c r="B878" s="139"/>
      <c r="C878" s="139"/>
      <c r="D878" s="139"/>
      <c r="E878" s="139"/>
      <c r="F878" s="139"/>
      <c r="G878" s="139"/>
      <c r="H878" s="139"/>
      <c r="I878" s="139"/>
      <c r="J878" s="139"/>
      <c r="K878" s="140"/>
      <c r="L878" s="140"/>
      <c r="M878" s="140"/>
      <c r="N878" s="140"/>
      <c r="O878" s="140"/>
      <c r="P878" s="139"/>
      <c r="Q878" s="139"/>
      <c r="R878" s="139"/>
      <c r="S878" s="139"/>
      <c r="T878" s="139"/>
      <c r="U878" s="139"/>
      <c r="V878" s="139"/>
      <c r="W878" s="139"/>
      <c r="X878" s="139"/>
      <c r="Y878" s="139"/>
      <c r="Z878" s="139"/>
      <c r="AA878" s="139"/>
      <c r="AB878" s="139"/>
      <c r="AC878" s="139"/>
      <c r="AD878" s="139"/>
      <c r="AE878" s="139"/>
      <c r="AF878" s="139"/>
      <c r="AG878" s="139"/>
      <c r="AH878" s="139"/>
      <c r="AI878" s="139"/>
    </row>
    <row r="879">
      <c r="A879" s="139"/>
      <c r="B879" s="139"/>
      <c r="C879" s="139"/>
      <c r="D879" s="139"/>
      <c r="E879" s="139"/>
      <c r="F879" s="139"/>
      <c r="G879" s="139"/>
      <c r="H879" s="139"/>
      <c r="I879" s="139"/>
      <c r="J879" s="139"/>
      <c r="K879" s="140"/>
      <c r="L879" s="140"/>
      <c r="M879" s="140"/>
      <c r="N879" s="140"/>
      <c r="O879" s="140"/>
      <c r="P879" s="139"/>
      <c r="Q879" s="139"/>
      <c r="R879" s="139"/>
      <c r="S879" s="139"/>
      <c r="T879" s="139"/>
      <c r="U879" s="139"/>
      <c r="V879" s="139"/>
      <c r="W879" s="139"/>
      <c r="X879" s="139"/>
      <c r="Y879" s="139"/>
      <c r="Z879" s="139"/>
      <c r="AA879" s="139"/>
      <c r="AB879" s="139"/>
      <c r="AC879" s="139"/>
      <c r="AD879" s="139"/>
      <c r="AE879" s="139"/>
      <c r="AF879" s="139"/>
      <c r="AG879" s="139"/>
      <c r="AH879" s="139"/>
      <c r="AI879" s="139"/>
    </row>
    <row r="880">
      <c r="A880" s="139"/>
      <c r="B880" s="139"/>
      <c r="C880" s="139"/>
      <c r="D880" s="139"/>
      <c r="E880" s="139"/>
      <c r="F880" s="139"/>
      <c r="G880" s="139"/>
      <c r="H880" s="139"/>
      <c r="I880" s="139"/>
      <c r="J880" s="139"/>
      <c r="K880" s="140"/>
      <c r="L880" s="140"/>
      <c r="M880" s="140"/>
      <c r="N880" s="140"/>
      <c r="O880" s="140"/>
      <c r="P880" s="139"/>
      <c r="Q880" s="139"/>
      <c r="R880" s="139"/>
      <c r="S880" s="139"/>
      <c r="T880" s="139"/>
      <c r="U880" s="139"/>
      <c r="V880" s="139"/>
      <c r="W880" s="139"/>
      <c r="X880" s="139"/>
      <c r="Y880" s="139"/>
      <c r="Z880" s="139"/>
      <c r="AA880" s="139"/>
      <c r="AB880" s="139"/>
      <c r="AC880" s="139"/>
      <c r="AD880" s="139"/>
      <c r="AE880" s="139"/>
      <c r="AF880" s="139"/>
      <c r="AG880" s="139"/>
      <c r="AH880" s="139"/>
      <c r="AI880" s="139"/>
    </row>
    <row r="881">
      <c r="A881" s="139"/>
      <c r="B881" s="139"/>
      <c r="C881" s="139"/>
      <c r="D881" s="139"/>
      <c r="E881" s="139"/>
      <c r="F881" s="139"/>
      <c r="G881" s="139"/>
      <c r="H881" s="139"/>
      <c r="I881" s="139"/>
      <c r="J881" s="139"/>
      <c r="K881" s="140"/>
      <c r="L881" s="140"/>
      <c r="M881" s="140"/>
      <c r="N881" s="140"/>
      <c r="O881" s="140"/>
      <c r="P881" s="139"/>
      <c r="Q881" s="139"/>
      <c r="R881" s="139"/>
      <c r="S881" s="139"/>
      <c r="T881" s="139"/>
      <c r="U881" s="139"/>
      <c r="V881" s="139"/>
      <c r="W881" s="139"/>
      <c r="X881" s="139"/>
      <c r="Y881" s="139"/>
      <c r="Z881" s="139"/>
      <c r="AA881" s="139"/>
      <c r="AB881" s="139"/>
      <c r="AC881" s="139"/>
      <c r="AD881" s="139"/>
      <c r="AE881" s="139"/>
      <c r="AF881" s="139"/>
      <c r="AG881" s="139"/>
      <c r="AH881" s="139"/>
      <c r="AI881" s="139"/>
    </row>
    <row r="882">
      <c r="A882" s="139"/>
      <c r="B882" s="139"/>
      <c r="C882" s="139"/>
      <c r="D882" s="139"/>
      <c r="E882" s="139"/>
      <c r="F882" s="139"/>
      <c r="G882" s="139"/>
      <c r="H882" s="139"/>
      <c r="I882" s="139"/>
      <c r="J882" s="139"/>
      <c r="K882" s="140"/>
      <c r="L882" s="140"/>
      <c r="M882" s="140"/>
      <c r="N882" s="140"/>
      <c r="O882" s="140"/>
      <c r="P882" s="139"/>
      <c r="Q882" s="139"/>
      <c r="R882" s="139"/>
      <c r="S882" s="139"/>
      <c r="T882" s="139"/>
      <c r="U882" s="139"/>
      <c r="V882" s="139"/>
      <c r="W882" s="139"/>
      <c r="X882" s="139"/>
      <c r="Y882" s="139"/>
      <c r="Z882" s="139"/>
      <c r="AA882" s="139"/>
      <c r="AB882" s="139"/>
      <c r="AC882" s="139"/>
      <c r="AD882" s="139"/>
      <c r="AE882" s="139"/>
      <c r="AF882" s="139"/>
      <c r="AG882" s="139"/>
      <c r="AH882" s="139"/>
      <c r="AI882" s="139"/>
    </row>
    <row r="883">
      <c r="A883" s="139"/>
      <c r="B883" s="139"/>
      <c r="C883" s="139"/>
      <c r="D883" s="139"/>
      <c r="E883" s="139"/>
      <c r="F883" s="139"/>
      <c r="G883" s="139"/>
      <c r="H883" s="139"/>
      <c r="I883" s="139"/>
      <c r="J883" s="139"/>
      <c r="K883" s="140"/>
      <c r="L883" s="140"/>
      <c r="M883" s="140"/>
      <c r="N883" s="140"/>
      <c r="O883" s="140"/>
      <c r="P883" s="139"/>
      <c r="Q883" s="139"/>
      <c r="R883" s="139"/>
      <c r="S883" s="139"/>
      <c r="T883" s="139"/>
      <c r="U883" s="139"/>
      <c r="V883" s="139"/>
      <c r="W883" s="139"/>
      <c r="X883" s="139"/>
      <c r="Y883" s="139"/>
      <c r="Z883" s="139"/>
      <c r="AA883" s="139"/>
      <c r="AB883" s="139"/>
      <c r="AC883" s="139"/>
      <c r="AD883" s="139"/>
      <c r="AE883" s="139"/>
      <c r="AF883" s="139"/>
      <c r="AG883" s="139"/>
      <c r="AH883" s="139"/>
      <c r="AI883" s="139"/>
    </row>
    <row r="884">
      <c r="A884" s="139"/>
      <c r="B884" s="139"/>
      <c r="C884" s="139"/>
      <c r="D884" s="139"/>
      <c r="E884" s="139"/>
      <c r="F884" s="139"/>
      <c r="G884" s="139"/>
      <c r="H884" s="139"/>
      <c r="I884" s="139"/>
      <c r="J884" s="139"/>
      <c r="K884" s="140"/>
      <c r="L884" s="140"/>
      <c r="M884" s="140"/>
      <c r="N884" s="140"/>
      <c r="O884" s="140"/>
      <c r="P884" s="139"/>
      <c r="Q884" s="139"/>
      <c r="R884" s="139"/>
      <c r="S884" s="139"/>
      <c r="T884" s="139"/>
      <c r="U884" s="139"/>
      <c r="V884" s="139"/>
      <c r="W884" s="139"/>
      <c r="X884" s="139"/>
      <c r="Y884" s="139"/>
      <c r="Z884" s="139"/>
      <c r="AA884" s="139"/>
      <c r="AB884" s="139"/>
      <c r="AC884" s="139"/>
      <c r="AD884" s="139"/>
      <c r="AE884" s="139"/>
      <c r="AF884" s="139"/>
      <c r="AG884" s="139"/>
      <c r="AH884" s="139"/>
      <c r="AI884" s="139"/>
    </row>
    <row r="885">
      <c r="A885" s="139"/>
      <c r="B885" s="139"/>
      <c r="C885" s="139"/>
      <c r="D885" s="139"/>
      <c r="E885" s="139"/>
      <c r="F885" s="139"/>
      <c r="G885" s="139"/>
      <c r="H885" s="139"/>
      <c r="I885" s="139"/>
      <c r="J885" s="139"/>
      <c r="K885" s="140"/>
      <c r="L885" s="140"/>
      <c r="M885" s="140"/>
      <c r="N885" s="140"/>
      <c r="O885" s="140"/>
      <c r="P885" s="139"/>
      <c r="Q885" s="139"/>
      <c r="R885" s="139"/>
      <c r="S885" s="139"/>
      <c r="T885" s="139"/>
      <c r="U885" s="139"/>
      <c r="V885" s="139"/>
      <c r="W885" s="139"/>
      <c r="X885" s="139"/>
      <c r="Y885" s="139"/>
      <c r="Z885" s="139"/>
      <c r="AA885" s="139"/>
      <c r="AB885" s="139"/>
      <c r="AC885" s="139"/>
      <c r="AD885" s="139"/>
      <c r="AE885" s="139"/>
      <c r="AF885" s="139"/>
      <c r="AG885" s="139"/>
      <c r="AH885" s="139"/>
      <c r="AI885" s="139"/>
    </row>
    <row r="886">
      <c r="A886" s="139"/>
      <c r="B886" s="139"/>
      <c r="C886" s="139"/>
      <c r="D886" s="139"/>
      <c r="E886" s="139"/>
      <c r="F886" s="139"/>
      <c r="G886" s="139"/>
      <c r="H886" s="139"/>
      <c r="I886" s="139"/>
      <c r="J886" s="139"/>
      <c r="K886" s="140"/>
      <c r="L886" s="140"/>
      <c r="M886" s="140"/>
      <c r="N886" s="140"/>
      <c r="O886" s="140"/>
      <c r="P886" s="139"/>
      <c r="Q886" s="139"/>
      <c r="R886" s="139"/>
      <c r="S886" s="139"/>
      <c r="T886" s="139"/>
      <c r="U886" s="139"/>
      <c r="V886" s="139"/>
      <c r="W886" s="139"/>
      <c r="X886" s="139"/>
      <c r="Y886" s="139"/>
      <c r="Z886" s="139"/>
      <c r="AA886" s="139"/>
      <c r="AB886" s="139"/>
      <c r="AC886" s="139"/>
      <c r="AD886" s="139"/>
      <c r="AE886" s="139"/>
      <c r="AF886" s="139"/>
      <c r="AG886" s="139"/>
      <c r="AH886" s="139"/>
      <c r="AI886" s="139"/>
    </row>
    <row r="887">
      <c r="A887" s="139"/>
      <c r="B887" s="139"/>
      <c r="C887" s="139"/>
      <c r="D887" s="139"/>
      <c r="E887" s="139"/>
      <c r="F887" s="139"/>
      <c r="G887" s="139"/>
      <c r="H887" s="139"/>
      <c r="I887" s="139"/>
      <c r="J887" s="139"/>
      <c r="K887" s="140"/>
      <c r="L887" s="140"/>
      <c r="M887" s="140"/>
      <c r="N887" s="140"/>
      <c r="O887" s="140"/>
      <c r="P887" s="139"/>
      <c r="Q887" s="139"/>
      <c r="R887" s="139"/>
      <c r="S887" s="139"/>
      <c r="T887" s="139"/>
      <c r="U887" s="139"/>
      <c r="V887" s="139"/>
      <c r="W887" s="139"/>
      <c r="X887" s="139"/>
      <c r="Y887" s="139"/>
      <c r="Z887" s="139"/>
      <c r="AA887" s="139"/>
      <c r="AB887" s="139"/>
      <c r="AC887" s="139"/>
      <c r="AD887" s="139"/>
      <c r="AE887" s="139"/>
      <c r="AF887" s="139"/>
      <c r="AG887" s="139"/>
      <c r="AH887" s="139"/>
      <c r="AI887" s="139"/>
    </row>
    <row r="888">
      <c r="A888" s="139"/>
      <c r="B888" s="139"/>
      <c r="C888" s="139"/>
      <c r="D888" s="139"/>
      <c r="E888" s="139"/>
      <c r="F888" s="139"/>
      <c r="G888" s="139"/>
      <c r="H888" s="139"/>
      <c r="I888" s="139"/>
      <c r="J888" s="139"/>
      <c r="K888" s="140"/>
      <c r="L888" s="140"/>
      <c r="M888" s="140"/>
      <c r="N888" s="140"/>
      <c r="O888" s="140"/>
      <c r="P888" s="139"/>
      <c r="Q888" s="139"/>
      <c r="R888" s="139"/>
      <c r="S888" s="139"/>
      <c r="T888" s="139"/>
      <c r="U888" s="139"/>
      <c r="V888" s="139"/>
      <c r="W888" s="139"/>
      <c r="X888" s="139"/>
      <c r="Y888" s="139"/>
      <c r="Z888" s="139"/>
      <c r="AA888" s="139"/>
      <c r="AB888" s="139"/>
      <c r="AC888" s="139"/>
      <c r="AD888" s="139"/>
      <c r="AE888" s="139"/>
      <c r="AF888" s="139"/>
      <c r="AG888" s="139"/>
      <c r="AH888" s="139"/>
      <c r="AI888" s="139"/>
    </row>
    <row r="889">
      <c r="A889" s="139"/>
      <c r="B889" s="139"/>
      <c r="C889" s="139"/>
      <c r="D889" s="139"/>
      <c r="E889" s="139"/>
      <c r="F889" s="139"/>
      <c r="G889" s="139"/>
      <c r="H889" s="139"/>
      <c r="I889" s="139"/>
      <c r="J889" s="139"/>
      <c r="K889" s="140"/>
      <c r="L889" s="140"/>
      <c r="M889" s="140"/>
      <c r="N889" s="140"/>
      <c r="O889" s="140"/>
      <c r="P889" s="139"/>
      <c r="Q889" s="139"/>
      <c r="R889" s="139"/>
      <c r="S889" s="139"/>
      <c r="T889" s="139"/>
      <c r="U889" s="139"/>
      <c r="V889" s="139"/>
      <c r="W889" s="139"/>
      <c r="X889" s="139"/>
      <c r="Y889" s="139"/>
      <c r="Z889" s="139"/>
      <c r="AA889" s="139"/>
      <c r="AB889" s="139"/>
      <c r="AC889" s="139"/>
      <c r="AD889" s="139"/>
      <c r="AE889" s="139"/>
      <c r="AF889" s="139"/>
      <c r="AG889" s="139"/>
      <c r="AH889" s="139"/>
      <c r="AI889" s="139"/>
    </row>
    <row r="890">
      <c r="A890" s="139"/>
      <c r="B890" s="139"/>
      <c r="C890" s="139"/>
      <c r="D890" s="139"/>
      <c r="E890" s="139"/>
      <c r="F890" s="139"/>
      <c r="G890" s="139"/>
      <c r="H890" s="139"/>
      <c r="I890" s="139"/>
      <c r="J890" s="139"/>
      <c r="K890" s="140"/>
      <c r="L890" s="140"/>
      <c r="M890" s="140"/>
      <c r="N890" s="140"/>
      <c r="O890" s="140"/>
      <c r="P890" s="139"/>
      <c r="Q890" s="139"/>
      <c r="R890" s="139"/>
      <c r="S890" s="139"/>
      <c r="T890" s="139"/>
      <c r="U890" s="139"/>
      <c r="V890" s="139"/>
      <c r="W890" s="139"/>
      <c r="X890" s="139"/>
      <c r="Y890" s="139"/>
      <c r="Z890" s="139"/>
      <c r="AA890" s="139"/>
      <c r="AB890" s="139"/>
      <c r="AC890" s="139"/>
      <c r="AD890" s="139"/>
      <c r="AE890" s="139"/>
      <c r="AF890" s="139"/>
      <c r="AG890" s="139"/>
      <c r="AH890" s="139"/>
      <c r="AI890" s="139"/>
    </row>
    <row r="891">
      <c r="A891" s="139"/>
      <c r="B891" s="139"/>
      <c r="C891" s="139"/>
      <c r="D891" s="139"/>
      <c r="E891" s="139"/>
      <c r="F891" s="139"/>
      <c r="G891" s="139"/>
      <c r="H891" s="139"/>
      <c r="I891" s="139"/>
      <c r="J891" s="139"/>
      <c r="K891" s="140"/>
      <c r="L891" s="140"/>
      <c r="M891" s="140"/>
      <c r="N891" s="140"/>
      <c r="O891" s="140"/>
      <c r="P891" s="139"/>
      <c r="Q891" s="139"/>
      <c r="R891" s="139"/>
      <c r="S891" s="139"/>
      <c r="T891" s="139"/>
      <c r="U891" s="139"/>
      <c r="V891" s="139"/>
      <c r="W891" s="139"/>
      <c r="X891" s="139"/>
      <c r="Y891" s="139"/>
      <c r="Z891" s="139"/>
      <c r="AA891" s="139"/>
      <c r="AB891" s="139"/>
      <c r="AC891" s="139"/>
      <c r="AD891" s="139"/>
      <c r="AE891" s="139"/>
      <c r="AF891" s="139"/>
      <c r="AG891" s="139"/>
      <c r="AH891" s="139"/>
      <c r="AI891" s="139"/>
    </row>
    <row r="892">
      <c r="A892" s="139"/>
      <c r="B892" s="139"/>
      <c r="C892" s="139"/>
      <c r="D892" s="139"/>
      <c r="E892" s="139"/>
      <c r="F892" s="139"/>
      <c r="G892" s="139"/>
      <c r="H892" s="139"/>
      <c r="I892" s="139"/>
      <c r="J892" s="139"/>
      <c r="K892" s="140"/>
      <c r="L892" s="140"/>
      <c r="M892" s="140"/>
      <c r="N892" s="140"/>
      <c r="O892" s="140"/>
      <c r="P892" s="139"/>
      <c r="Q892" s="139"/>
      <c r="R892" s="139"/>
      <c r="S892" s="139"/>
      <c r="T892" s="139"/>
      <c r="U892" s="139"/>
      <c r="V892" s="139"/>
      <c r="W892" s="139"/>
      <c r="X892" s="139"/>
      <c r="Y892" s="139"/>
      <c r="Z892" s="139"/>
      <c r="AA892" s="139"/>
      <c r="AB892" s="139"/>
      <c r="AC892" s="139"/>
      <c r="AD892" s="139"/>
      <c r="AE892" s="139"/>
      <c r="AF892" s="139"/>
      <c r="AG892" s="139"/>
      <c r="AH892" s="139"/>
      <c r="AI892" s="139"/>
    </row>
    <row r="893">
      <c r="A893" s="139"/>
      <c r="B893" s="139"/>
      <c r="C893" s="139"/>
      <c r="D893" s="139"/>
      <c r="E893" s="139"/>
      <c r="F893" s="139"/>
      <c r="G893" s="139"/>
      <c r="H893" s="139"/>
      <c r="I893" s="139"/>
      <c r="J893" s="139"/>
      <c r="K893" s="140"/>
      <c r="L893" s="140"/>
      <c r="M893" s="140"/>
      <c r="N893" s="140"/>
      <c r="O893" s="140"/>
      <c r="P893" s="139"/>
      <c r="Q893" s="139"/>
      <c r="R893" s="139"/>
      <c r="S893" s="139"/>
      <c r="T893" s="139"/>
      <c r="U893" s="139"/>
      <c r="V893" s="139"/>
      <c r="W893" s="139"/>
      <c r="X893" s="139"/>
      <c r="Y893" s="139"/>
      <c r="Z893" s="139"/>
      <c r="AA893" s="139"/>
      <c r="AB893" s="139"/>
      <c r="AC893" s="139"/>
      <c r="AD893" s="139"/>
      <c r="AE893" s="139"/>
      <c r="AF893" s="139"/>
      <c r="AG893" s="139"/>
      <c r="AH893" s="139"/>
      <c r="AI893" s="139"/>
    </row>
    <row r="894">
      <c r="A894" s="139"/>
      <c r="B894" s="139"/>
      <c r="C894" s="139"/>
      <c r="D894" s="139"/>
      <c r="E894" s="139"/>
      <c r="F894" s="139"/>
      <c r="G894" s="139"/>
      <c r="H894" s="139"/>
      <c r="I894" s="139"/>
      <c r="J894" s="139"/>
      <c r="K894" s="140"/>
      <c r="L894" s="140"/>
      <c r="M894" s="140"/>
      <c r="N894" s="140"/>
      <c r="O894" s="140"/>
      <c r="P894" s="139"/>
      <c r="Q894" s="139"/>
      <c r="R894" s="139"/>
      <c r="S894" s="139"/>
      <c r="T894" s="139"/>
      <c r="U894" s="139"/>
      <c r="V894" s="139"/>
      <c r="W894" s="139"/>
      <c r="X894" s="139"/>
      <c r="Y894" s="139"/>
      <c r="Z894" s="139"/>
      <c r="AA894" s="139"/>
      <c r="AB894" s="139"/>
      <c r="AC894" s="139"/>
      <c r="AD894" s="139"/>
      <c r="AE894" s="139"/>
      <c r="AF894" s="139"/>
      <c r="AG894" s="139"/>
      <c r="AH894" s="139"/>
      <c r="AI894" s="139"/>
    </row>
    <row r="895">
      <c r="A895" s="139"/>
      <c r="B895" s="139"/>
      <c r="C895" s="139"/>
      <c r="D895" s="139"/>
      <c r="E895" s="139"/>
      <c r="F895" s="139"/>
      <c r="G895" s="139"/>
      <c r="H895" s="139"/>
      <c r="I895" s="139"/>
      <c r="J895" s="139"/>
      <c r="K895" s="140"/>
      <c r="L895" s="140"/>
      <c r="M895" s="140"/>
      <c r="N895" s="140"/>
      <c r="O895" s="140"/>
      <c r="P895" s="139"/>
      <c r="Q895" s="139"/>
      <c r="R895" s="139"/>
      <c r="S895" s="139"/>
      <c r="T895" s="139"/>
      <c r="U895" s="139"/>
      <c r="V895" s="139"/>
      <c r="W895" s="139"/>
      <c r="X895" s="139"/>
      <c r="Y895" s="139"/>
      <c r="Z895" s="139"/>
      <c r="AA895" s="139"/>
      <c r="AB895" s="139"/>
      <c r="AC895" s="139"/>
      <c r="AD895" s="139"/>
      <c r="AE895" s="139"/>
      <c r="AF895" s="139"/>
      <c r="AG895" s="139"/>
      <c r="AH895" s="139"/>
      <c r="AI895" s="139"/>
    </row>
    <row r="896">
      <c r="A896" s="139"/>
      <c r="B896" s="139"/>
      <c r="C896" s="139"/>
      <c r="D896" s="139"/>
      <c r="E896" s="139"/>
      <c r="F896" s="139"/>
      <c r="G896" s="139"/>
      <c r="H896" s="139"/>
      <c r="I896" s="139"/>
      <c r="J896" s="139"/>
      <c r="K896" s="140"/>
      <c r="L896" s="140"/>
      <c r="M896" s="140"/>
      <c r="N896" s="140"/>
      <c r="O896" s="140"/>
      <c r="P896" s="139"/>
      <c r="Q896" s="139"/>
      <c r="R896" s="139"/>
      <c r="S896" s="139"/>
      <c r="T896" s="139"/>
      <c r="U896" s="139"/>
      <c r="V896" s="139"/>
      <c r="W896" s="139"/>
      <c r="X896" s="139"/>
      <c r="Y896" s="139"/>
      <c r="Z896" s="139"/>
      <c r="AA896" s="139"/>
      <c r="AB896" s="139"/>
      <c r="AC896" s="139"/>
      <c r="AD896" s="139"/>
      <c r="AE896" s="139"/>
      <c r="AF896" s="139"/>
      <c r="AG896" s="139"/>
      <c r="AH896" s="139"/>
      <c r="AI896" s="139"/>
    </row>
    <row r="897">
      <c r="A897" s="139"/>
      <c r="B897" s="139"/>
      <c r="C897" s="139"/>
      <c r="D897" s="139"/>
      <c r="E897" s="139"/>
      <c r="F897" s="139"/>
      <c r="G897" s="139"/>
      <c r="H897" s="139"/>
      <c r="I897" s="139"/>
      <c r="J897" s="139"/>
      <c r="K897" s="140"/>
      <c r="L897" s="140"/>
      <c r="M897" s="140"/>
      <c r="N897" s="140"/>
      <c r="O897" s="140"/>
      <c r="P897" s="139"/>
      <c r="Q897" s="139"/>
      <c r="R897" s="139"/>
      <c r="S897" s="139"/>
      <c r="T897" s="139"/>
      <c r="U897" s="139"/>
      <c r="V897" s="139"/>
      <c r="W897" s="139"/>
      <c r="X897" s="139"/>
      <c r="Y897" s="139"/>
      <c r="Z897" s="139"/>
      <c r="AA897" s="139"/>
      <c r="AB897" s="139"/>
      <c r="AC897" s="139"/>
      <c r="AD897" s="139"/>
      <c r="AE897" s="139"/>
      <c r="AF897" s="139"/>
      <c r="AG897" s="139"/>
      <c r="AH897" s="139"/>
      <c r="AI897" s="139"/>
    </row>
    <row r="898">
      <c r="A898" s="139"/>
      <c r="B898" s="139"/>
      <c r="C898" s="139"/>
      <c r="D898" s="139"/>
      <c r="E898" s="139"/>
      <c r="F898" s="139"/>
      <c r="G898" s="139"/>
      <c r="H898" s="139"/>
      <c r="I898" s="139"/>
      <c r="J898" s="139"/>
      <c r="K898" s="140"/>
      <c r="L898" s="140"/>
      <c r="M898" s="140"/>
      <c r="N898" s="140"/>
      <c r="O898" s="140"/>
      <c r="P898" s="139"/>
      <c r="Q898" s="139"/>
      <c r="R898" s="139"/>
      <c r="S898" s="139"/>
      <c r="T898" s="139"/>
      <c r="U898" s="139"/>
      <c r="V898" s="139"/>
      <c r="W898" s="139"/>
      <c r="X898" s="139"/>
      <c r="Y898" s="139"/>
      <c r="Z898" s="139"/>
      <c r="AA898" s="139"/>
      <c r="AB898" s="139"/>
      <c r="AC898" s="139"/>
      <c r="AD898" s="139"/>
      <c r="AE898" s="139"/>
      <c r="AF898" s="139"/>
      <c r="AG898" s="139"/>
      <c r="AH898" s="139"/>
      <c r="AI898" s="139"/>
    </row>
    <row r="899">
      <c r="A899" s="139"/>
      <c r="B899" s="139"/>
      <c r="C899" s="139"/>
      <c r="D899" s="139"/>
      <c r="E899" s="139"/>
      <c r="F899" s="139"/>
      <c r="G899" s="139"/>
      <c r="H899" s="139"/>
      <c r="I899" s="139"/>
      <c r="J899" s="139"/>
      <c r="K899" s="140"/>
      <c r="L899" s="140"/>
      <c r="M899" s="140"/>
      <c r="N899" s="140"/>
      <c r="O899" s="140"/>
      <c r="P899" s="139"/>
      <c r="Q899" s="139"/>
      <c r="R899" s="139"/>
      <c r="S899" s="139"/>
      <c r="T899" s="139"/>
      <c r="U899" s="139"/>
      <c r="V899" s="139"/>
      <c r="W899" s="139"/>
      <c r="X899" s="139"/>
      <c r="Y899" s="139"/>
      <c r="Z899" s="139"/>
      <c r="AA899" s="139"/>
      <c r="AB899" s="139"/>
      <c r="AC899" s="139"/>
      <c r="AD899" s="139"/>
      <c r="AE899" s="139"/>
      <c r="AF899" s="139"/>
      <c r="AG899" s="139"/>
      <c r="AH899" s="139"/>
      <c r="AI899" s="139"/>
    </row>
    <row r="900">
      <c r="A900" s="139"/>
      <c r="B900" s="139"/>
      <c r="C900" s="139"/>
      <c r="D900" s="139"/>
      <c r="E900" s="139"/>
      <c r="F900" s="139"/>
      <c r="G900" s="139"/>
      <c r="H900" s="139"/>
      <c r="I900" s="139"/>
      <c r="J900" s="139"/>
      <c r="K900" s="140"/>
      <c r="L900" s="140"/>
      <c r="M900" s="140"/>
      <c r="N900" s="140"/>
      <c r="O900" s="140"/>
      <c r="P900" s="139"/>
      <c r="Q900" s="139"/>
      <c r="R900" s="139"/>
      <c r="S900" s="139"/>
      <c r="T900" s="139"/>
      <c r="U900" s="139"/>
      <c r="V900" s="139"/>
      <c r="W900" s="139"/>
      <c r="X900" s="139"/>
      <c r="Y900" s="139"/>
      <c r="Z900" s="139"/>
      <c r="AA900" s="139"/>
      <c r="AB900" s="139"/>
      <c r="AC900" s="139"/>
      <c r="AD900" s="139"/>
      <c r="AE900" s="139"/>
      <c r="AF900" s="139"/>
      <c r="AG900" s="139"/>
      <c r="AH900" s="139"/>
      <c r="AI900" s="139"/>
    </row>
    <row r="901">
      <c r="A901" s="139"/>
      <c r="B901" s="139"/>
      <c r="C901" s="139"/>
      <c r="D901" s="139"/>
      <c r="E901" s="139"/>
      <c r="F901" s="139"/>
      <c r="G901" s="139"/>
      <c r="H901" s="139"/>
      <c r="I901" s="139"/>
      <c r="J901" s="139"/>
      <c r="K901" s="140"/>
      <c r="L901" s="140"/>
      <c r="M901" s="140"/>
      <c r="N901" s="140"/>
      <c r="O901" s="140"/>
      <c r="P901" s="139"/>
      <c r="Q901" s="139"/>
      <c r="R901" s="139"/>
      <c r="S901" s="139"/>
      <c r="T901" s="139"/>
      <c r="U901" s="139"/>
      <c r="V901" s="139"/>
      <c r="W901" s="139"/>
      <c r="X901" s="139"/>
      <c r="Y901" s="139"/>
      <c r="Z901" s="139"/>
      <c r="AA901" s="139"/>
      <c r="AB901" s="139"/>
      <c r="AC901" s="139"/>
      <c r="AD901" s="139"/>
      <c r="AE901" s="139"/>
      <c r="AF901" s="139"/>
      <c r="AG901" s="139"/>
      <c r="AH901" s="139"/>
      <c r="AI901" s="139"/>
    </row>
    <row r="902">
      <c r="A902" s="139"/>
      <c r="B902" s="139"/>
      <c r="C902" s="139"/>
      <c r="D902" s="139"/>
      <c r="E902" s="139"/>
      <c r="F902" s="139"/>
      <c r="G902" s="139"/>
      <c r="H902" s="139"/>
      <c r="I902" s="139"/>
      <c r="J902" s="139"/>
      <c r="K902" s="140"/>
      <c r="L902" s="140"/>
      <c r="M902" s="140"/>
      <c r="N902" s="140"/>
      <c r="O902" s="140"/>
      <c r="P902" s="139"/>
      <c r="Q902" s="139"/>
      <c r="R902" s="139"/>
      <c r="S902" s="139"/>
      <c r="T902" s="139"/>
      <c r="U902" s="139"/>
      <c r="V902" s="139"/>
      <c r="W902" s="139"/>
      <c r="X902" s="139"/>
      <c r="Y902" s="139"/>
      <c r="Z902" s="139"/>
      <c r="AA902" s="139"/>
      <c r="AB902" s="139"/>
      <c r="AC902" s="139"/>
      <c r="AD902" s="139"/>
      <c r="AE902" s="139"/>
      <c r="AF902" s="139"/>
      <c r="AG902" s="139"/>
      <c r="AH902" s="139"/>
      <c r="AI902" s="139"/>
    </row>
    <row r="903">
      <c r="A903" s="139"/>
      <c r="B903" s="139"/>
      <c r="C903" s="139"/>
      <c r="D903" s="139"/>
      <c r="E903" s="139"/>
      <c r="F903" s="139"/>
      <c r="G903" s="139"/>
      <c r="H903" s="139"/>
      <c r="I903" s="139"/>
      <c r="J903" s="139"/>
      <c r="K903" s="140"/>
      <c r="L903" s="140"/>
      <c r="M903" s="140"/>
      <c r="N903" s="140"/>
      <c r="O903" s="140"/>
      <c r="P903" s="139"/>
      <c r="Q903" s="139"/>
      <c r="R903" s="139"/>
      <c r="S903" s="139"/>
      <c r="T903" s="139"/>
      <c r="U903" s="139"/>
      <c r="V903" s="139"/>
      <c r="W903" s="139"/>
      <c r="X903" s="139"/>
      <c r="Y903" s="139"/>
      <c r="Z903" s="139"/>
      <c r="AA903" s="139"/>
      <c r="AB903" s="139"/>
      <c r="AC903" s="139"/>
      <c r="AD903" s="139"/>
      <c r="AE903" s="139"/>
      <c r="AF903" s="139"/>
      <c r="AG903" s="139"/>
      <c r="AH903" s="139"/>
      <c r="AI903" s="139"/>
    </row>
    <row r="904">
      <c r="A904" s="139"/>
      <c r="B904" s="139"/>
      <c r="C904" s="139"/>
      <c r="D904" s="139"/>
      <c r="E904" s="139"/>
      <c r="F904" s="139"/>
      <c r="G904" s="139"/>
      <c r="H904" s="139"/>
      <c r="I904" s="139"/>
      <c r="J904" s="139"/>
      <c r="K904" s="140"/>
      <c r="L904" s="140"/>
      <c r="M904" s="140"/>
      <c r="N904" s="140"/>
      <c r="O904" s="140"/>
      <c r="P904" s="139"/>
      <c r="Q904" s="139"/>
      <c r="R904" s="139"/>
      <c r="S904" s="139"/>
      <c r="T904" s="139"/>
      <c r="U904" s="139"/>
      <c r="V904" s="139"/>
      <c r="W904" s="139"/>
      <c r="X904" s="139"/>
      <c r="Y904" s="139"/>
      <c r="Z904" s="139"/>
      <c r="AA904" s="139"/>
      <c r="AB904" s="139"/>
      <c r="AC904" s="139"/>
      <c r="AD904" s="139"/>
      <c r="AE904" s="139"/>
      <c r="AF904" s="139"/>
      <c r="AG904" s="139"/>
      <c r="AH904" s="139"/>
      <c r="AI904" s="139"/>
    </row>
    <row r="905">
      <c r="A905" s="139"/>
      <c r="B905" s="139"/>
      <c r="C905" s="139"/>
      <c r="D905" s="139"/>
      <c r="E905" s="139"/>
      <c r="F905" s="139"/>
      <c r="G905" s="139"/>
      <c r="H905" s="139"/>
      <c r="I905" s="139"/>
      <c r="J905" s="139"/>
      <c r="K905" s="140"/>
      <c r="L905" s="140"/>
      <c r="M905" s="140"/>
      <c r="N905" s="140"/>
      <c r="O905" s="140"/>
      <c r="P905" s="139"/>
      <c r="Q905" s="139"/>
      <c r="R905" s="139"/>
      <c r="S905" s="139"/>
      <c r="T905" s="139"/>
      <c r="U905" s="139"/>
      <c r="V905" s="139"/>
      <c r="W905" s="139"/>
      <c r="X905" s="139"/>
      <c r="Y905" s="139"/>
      <c r="Z905" s="139"/>
      <c r="AA905" s="139"/>
      <c r="AB905" s="139"/>
      <c r="AC905" s="139"/>
      <c r="AD905" s="139"/>
      <c r="AE905" s="139"/>
      <c r="AF905" s="139"/>
      <c r="AG905" s="139"/>
      <c r="AH905" s="139"/>
      <c r="AI905" s="139"/>
    </row>
    <row r="906">
      <c r="A906" s="139"/>
      <c r="B906" s="139"/>
      <c r="C906" s="139"/>
      <c r="D906" s="139"/>
      <c r="E906" s="139"/>
      <c r="F906" s="139"/>
      <c r="G906" s="139"/>
      <c r="H906" s="139"/>
      <c r="I906" s="139"/>
      <c r="J906" s="139"/>
      <c r="K906" s="140"/>
      <c r="L906" s="140"/>
      <c r="M906" s="140"/>
      <c r="N906" s="140"/>
      <c r="O906" s="140"/>
      <c r="P906" s="139"/>
      <c r="Q906" s="139"/>
      <c r="R906" s="139"/>
      <c r="S906" s="139"/>
      <c r="T906" s="139"/>
      <c r="U906" s="139"/>
      <c r="V906" s="139"/>
      <c r="W906" s="139"/>
      <c r="X906" s="139"/>
      <c r="Y906" s="139"/>
      <c r="Z906" s="139"/>
      <c r="AA906" s="139"/>
      <c r="AB906" s="139"/>
      <c r="AC906" s="139"/>
      <c r="AD906" s="139"/>
      <c r="AE906" s="139"/>
      <c r="AF906" s="139"/>
      <c r="AG906" s="139"/>
      <c r="AH906" s="139"/>
      <c r="AI906" s="139"/>
    </row>
    <row r="907">
      <c r="A907" s="139"/>
      <c r="B907" s="139"/>
      <c r="C907" s="139"/>
      <c r="D907" s="139"/>
      <c r="E907" s="139"/>
      <c r="F907" s="139"/>
      <c r="G907" s="139"/>
      <c r="H907" s="139"/>
      <c r="I907" s="139"/>
      <c r="J907" s="139"/>
      <c r="K907" s="140"/>
      <c r="L907" s="140"/>
      <c r="M907" s="140"/>
      <c r="N907" s="140"/>
      <c r="O907" s="140"/>
      <c r="P907" s="139"/>
      <c r="Q907" s="139"/>
      <c r="R907" s="139"/>
      <c r="S907" s="139"/>
      <c r="T907" s="139"/>
      <c r="U907" s="139"/>
      <c r="V907" s="139"/>
      <c r="W907" s="139"/>
      <c r="X907" s="139"/>
      <c r="Y907" s="139"/>
      <c r="Z907" s="139"/>
      <c r="AA907" s="139"/>
      <c r="AB907" s="139"/>
      <c r="AC907" s="139"/>
      <c r="AD907" s="139"/>
      <c r="AE907" s="139"/>
      <c r="AF907" s="139"/>
      <c r="AG907" s="139"/>
      <c r="AH907" s="139"/>
      <c r="AI907" s="139"/>
    </row>
    <row r="908">
      <c r="A908" s="139"/>
      <c r="B908" s="139"/>
      <c r="C908" s="139"/>
      <c r="D908" s="139"/>
      <c r="E908" s="139"/>
      <c r="F908" s="139"/>
      <c r="G908" s="139"/>
      <c r="H908" s="139"/>
      <c r="I908" s="139"/>
      <c r="J908" s="139"/>
      <c r="K908" s="140"/>
      <c r="L908" s="140"/>
      <c r="M908" s="140"/>
      <c r="N908" s="140"/>
      <c r="O908" s="140"/>
      <c r="P908" s="139"/>
      <c r="Q908" s="139"/>
      <c r="R908" s="139"/>
      <c r="S908" s="139"/>
      <c r="T908" s="139"/>
      <c r="U908" s="139"/>
      <c r="V908" s="139"/>
      <c r="W908" s="139"/>
      <c r="X908" s="139"/>
      <c r="Y908" s="139"/>
      <c r="Z908" s="139"/>
      <c r="AA908" s="139"/>
      <c r="AB908" s="139"/>
      <c r="AC908" s="139"/>
      <c r="AD908" s="139"/>
      <c r="AE908" s="139"/>
      <c r="AF908" s="139"/>
      <c r="AG908" s="139"/>
      <c r="AH908" s="139"/>
      <c r="AI908" s="139"/>
    </row>
    <row r="909">
      <c r="A909" s="139"/>
      <c r="B909" s="139"/>
      <c r="C909" s="139"/>
      <c r="D909" s="139"/>
      <c r="E909" s="139"/>
      <c r="F909" s="139"/>
      <c r="G909" s="139"/>
      <c r="H909" s="139"/>
      <c r="I909" s="139"/>
      <c r="J909" s="139"/>
      <c r="K909" s="140"/>
      <c r="L909" s="140"/>
      <c r="M909" s="140"/>
      <c r="N909" s="140"/>
      <c r="O909" s="140"/>
      <c r="P909" s="139"/>
      <c r="Q909" s="139"/>
      <c r="R909" s="139"/>
      <c r="S909" s="139"/>
      <c r="T909" s="139"/>
      <c r="U909" s="139"/>
      <c r="V909" s="139"/>
      <c r="W909" s="139"/>
      <c r="X909" s="139"/>
      <c r="Y909" s="139"/>
      <c r="Z909" s="139"/>
      <c r="AA909" s="139"/>
      <c r="AB909" s="139"/>
      <c r="AC909" s="139"/>
      <c r="AD909" s="139"/>
      <c r="AE909" s="139"/>
      <c r="AF909" s="139"/>
      <c r="AG909" s="139"/>
      <c r="AH909" s="139"/>
      <c r="AI909" s="139"/>
    </row>
    <row r="910">
      <c r="A910" s="139"/>
      <c r="B910" s="139"/>
      <c r="C910" s="139"/>
      <c r="D910" s="139"/>
      <c r="E910" s="139"/>
      <c r="F910" s="139"/>
      <c r="G910" s="139"/>
      <c r="H910" s="139"/>
      <c r="I910" s="139"/>
      <c r="J910" s="139"/>
      <c r="K910" s="140"/>
      <c r="L910" s="140"/>
      <c r="M910" s="140"/>
      <c r="N910" s="140"/>
      <c r="O910" s="140"/>
      <c r="P910" s="139"/>
      <c r="Q910" s="139"/>
      <c r="R910" s="139"/>
      <c r="S910" s="139"/>
      <c r="T910" s="139"/>
      <c r="U910" s="139"/>
      <c r="V910" s="139"/>
      <c r="W910" s="139"/>
      <c r="X910" s="139"/>
      <c r="Y910" s="139"/>
      <c r="Z910" s="139"/>
      <c r="AA910" s="139"/>
      <c r="AB910" s="139"/>
      <c r="AC910" s="139"/>
      <c r="AD910" s="139"/>
      <c r="AE910" s="139"/>
      <c r="AF910" s="139"/>
      <c r="AG910" s="139"/>
      <c r="AH910" s="139"/>
      <c r="AI910" s="139"/>
    </row>
    <row r="911">
      <c r="A911" s="139"/>
      <c r="B911" s="139"/>
      <c r="C911" s="139"/>
      <c r="D911" s="139"/>
      <c r="E911" s="139"/>
      <c r="F911" s="139"/>
      <c r="G911" s="139"/>
      <c r="H911" s="139"/>
      <c r="I911" s="139"/>
      <c r="J911" s="139"/>
      <c r="K911" s="140"/>
      <c r="L911" s="140"/>
      <c r="M911" s="140"/>
      <c r="N911" s="140"/>
      <c r="O911" s="140"/>
      <c r="P911" s="139"/>
      <c r="Q911" s="139"/>
      <c r="R911" s="139"/>
      <c r="S911" s="139"/>
      <c r="T911" s="139"/>
      <c r="U911" s="139"/>
      <c r="V911" s="139"/>
      <c r="W911" s="139"/>
      <c r="X911" s="139"/>
      <c r="Y911" s="139"/>
      <c r="Z911" s="139"/>
      <c r="AA911" s="139"/>
      <c r="AB911" s="139"/>
      <c r="AC911" s="139"/>
      <c r="AD911" s="139"/>
      <c r="AE911" s="139"/>
      <c r="AF911" s="139"/>
      <c r="AG911" s="139"/>
      <c r="AH911" s="139"/>
      <c r="AI911" s="139"/>
    </row>
    <row r="912">
      <c r="A912" s="139"/>
      <c r="B912" s="139"/>
      <c r="C912" s="139"/>
      <c r="D912" s="139"/>
      <c r="E912" s="139"/>
      <c r="F912" s="139"/>
      <c r="G912" s="139"/>
      <c r="H912" s="139"/>
      <c r="I912" s="139"/>
      <c r="J912" s="139"/>
      <c r="K912" s="140"/>
      <c r="L912" s="140"/>
      <c r="M912" s="140"/>
      <c r="N912" s="140"/>
      <c r="O912" s="140"/>
      <c r="P912" s="139"/>
      <c r="Q912" s="139"/>
      <c r="R912" s="139"/>
      <c r="S912" s="139"/>
      <c r="T912" s="139"/>
      <c r="U912" s="139"/>
      <c r="V912" s="139"/>
      <c r="W912" s="139"/>
      <c r="X912" s="139"/>
      <c r="Y912" s="139"/>
      <c r="Z912" s="139"/>
      <c r="AA912" s="139"/>
      <c r="AB912" s="139"/>
      <c r="AC912" s="139"/>
      <c r="AD912" s="139"/>
      <c r="AE912" s="139"/>
      <c r="AF912" s="139"/>
      <c r="AG912" s="139"/>
      <c r="AH912" s="139"/>
      <c r="AI912" s="139"/>
    </row>
    <row r="913">
      <c r="A913" s="139"/>
      <c r="B913" s="139"/>
      <c r="C913" s="139"/>
      <c r="D913" s="139"/>
      <c r="E913" s="139"/>
      <c r="F913" s="139"/>
      <c r="G913" s="139"/>
      <c r="H913" s="139"/>
      <c r="I913" s="139"/>
      <c r="J913" s="139"/>
      <c r="K913" s="140"/>
      <c r="L913" s="140"/>
      <c r="M913" s="140"/>
      <c r="N913" s="140"/>
      <c r="O913" s="140"/>
      <c r="P913" s="139"/>
      <c r="Q913" s="139"/>
      <c r="R913" s="139"/>
      <c r="S913" s="139"/>
      <c r="T913" s="139"/>
      <c r="U913" s="139"/>
      <c r="V913" s="139"/>
      <c r="W913" s="139"/>
      <c r="X913" s="139"/>
      <c r="Y913" s="139"/>
      <c r="Z913" s="139"/>
      <c r="AA913" s="139"/>
      <c r="AB913" s="139"/>
      <c r="AC913" s="139"/>
      <c r="AD913" s="139"/>
      <c r="AE913" s="139"/>
      <c r="AF913" s="139"/>
      <c r="AG913" s="139"/>
      <c r="AH913" s="139"/>
      <c r="AI913" s="139"/>
    </row>
    <row r="914">
      <c r="A914" s="139"/>
      <c r="B914" s="139"/>
      <c r="C914" s="139"/>
      <c r="D914" s="139"/>
      <c r="E914" s="139"/>
      <c r="F914" s="139"/>
      <c r="G914" s="139"/>
      <c r="H914" s="139"/>
      <c r="I914" s="139"/>
      <c r="J914" s="139"/>
      <c r="K914" s="140"/>
      <c r="L914" s="140"/>
      <c r="M914" s="140"/>
      <c r="N914" s="140"/>
      <c r="O914" s="140"/>
      <c r="P914" s="139"/>
      <c r="Q914" s="139"/>
      <c r="R914" s="139"/>
      <c r="S914" s="139"/>
      <c r="T914" s="139"/>
      <c r="U914" s="139"/>
      <c r="V914" s="139"/>
      <c r="W914" s="139"/>
      <c r="X914" s="139"/>
      <c r="Y914" s="139"/>
      <c r="Z914" s="139"/>
      <c r="AA914" s="139"/>
      <c r="AB914" s="139"/>
      <c r="AC914" s="139"/>
      <c r="AD914" s="139"/>
      <c r="AE914" s="139"/>
      <c r="AF914" s="139"/>
      <c r="AG914" s="139"/>
      <c r="AH914" s="139"/>
      <c r="AI914" s="139"/>
    </row>
    <row r="915">
      <c r="A915" s="139"/>
      <c r="B915" s="139"/>
      <c r="C915" s="139"/>
      <c r="D915" s="139"/>
      <c r="E915" s="139"/>
      <c r="F915" s="139"/>
      <c r="G915" s="139"/>
      <c r="H915" s="139"/>
      <c r="I915" s="139"/>
      <c r="J915" s="139"/>
      <c r="K915" s="140"/>
      <c r="L915" s="140"/>
      <c r="M915" s="140"/>
      <c r="N915" s="140"/>
      <c r="O915" s="140"/>
      <c r="P915" s="139"/>
      <c r="Q915" s="139"/>
      <c r="R915" s="139"/>
      <c r="S915" s="139"/>
      <c r="T915" s="139"/>
      <c r="U915" s="139"/>
      <c r="V915" s="139"/>
      <c r="W915" s="139"/>
      <c r="X915" s="139"/>
      <c r="Y915" s="139"/>
      <c r="Z915" s="139"/>
      <c r="AA915" s="139"/>
      <c r="AB915" s="139"/>
      <c r="AC915" s="139"/>
      <c r="AD915" s="139"/>
      <c r="AE915" s="139"/>
      <c r="AF915" s="139"/>
      <c r="AG915" s="139"/>
      <c r="AH915" s="139"/>
      <c r="AI915" s="139"/>
    </row>
    <row r="916">
      <c r="A916" s="139"/>
      <c r="B916" s="139"/>
      <c r="C916" s="139"/>
      <c r="D916" s="139"/>
      <c r="E916" s="139"/>
      <c r="F916" s="139"/>
      <c r="G916" s="139"/>
      <c r="H916" s="139"/>
      <c r="I916" s="139"/>
      <c r="J916" s="139"/>
      <c r="K916" s="140"/>
      <c r="L916" s="140"/>
      <c r="M916" s="140"/>
      <c r="N916" s="140"/>
      <c r="O916" s="140"/>
      <c r="P916" s="139"/>
      <c r="Q916" s="139"/>
      <c r="R916" s="139"/>
      <c r="S916" s="139"/>
      <c r="T916" s="139"/>
      <c r="U916" s="139"/>
      <c r="V916" s="139"/>
      <c r="W916" s="139"/>
      <c r="X916" s="139"/>
      <c r="Y916" s="139"/>
      <c r="Z916" s="139"/>
      <c r="AA916" s="139"/>
      <c r="AB916" s="139"/>
      <c r="AC916" s="139"/>
      <c r="AD916" s="139"/>
      <c r="AE916" s="139"/>
      <c r="AF916" s="139"/>
      <c r="AG916" s="139"/>
      <c r="AH916" s="139"/>
      <c r="AI916" s="139"/>
    </row>
    <row r="917">
      <c r="A917" s="139"/>
      <c r="B917" s="139"/>
      <c r="C917" s="139"/>
      <c r="D917" s="139"/>
      <c r="E917" s="139"/>
      <c r="F917" s="139"/>
      <c r="G917" s="139"/>
      <c r="H917" s="139"/>
      <c r="I917" s="139"/>
      <c r="J917" s="139"/>
      <c r="K917" s="140"/>
      <c r="L917" s="140"/>
      <c r="M917" s="140"/>
      <c r="N917" s="140"/>
      <c r="O917" s="140"/>
      <c r="P917" s="139"/>
      <c r="Q917" s="139"/>
      <c r="R917" s="139"/>
      <c r="S917" s="139"/>
      <c r="T917" s="139"/>
      <c r="U917" s="139"/>
      <c r="V917" s="139"/>
      <c r="W917" s="139"/>
      <c r="X917" s="139"/>
      <c r="Y917" s="139"/>
      <c r="Z917" s="139"/>
      <c r="AA917" s="139"/>
      <c r="AB917" s="139"/>
      <c r="AC917" s="139"/>
      <c r="AD917" s="139"/>
      <c r="AE917" s="139"/>
      <c r="AF917" s="139"/>
      <c r="AG917" s="139"/>
      <c r="AH917" s="139"/>
      <c r="AI917" s="139"/>
    </row>
    <row r="918">
      <c r="A918" s="139"/>
      <c r="B918" s="139"/>
      <c r="C918" s="139"/>
      <c r="D918" s="139"/>
      <c r="E918" s="139"/>
      <c r="F918" s="139"/>
      <c r="G918" s="139"/>
      <c r="H918" s="139"/>
      <c r="I918" s="139"/>
      <c r="J918" s="139"/>
      <c r="K918" s="140"/>
      <c r="L918" s="140"/>
      <c r="M918" s="140"/>
      <c r="N918" s="140"/>
      <c r="O918" s="140"/>
      <c r="P918" s="139"/>
      <c r="Q918" s="139"/>
      <c r="R918" s="139"/>
      <c r="S918" s="139"/>
      <c r="T918" s="139"/>
      <c r="U918" s="139"/>
      <c r="V918" s="139"/>
      <c r="W918" s="139"/>
      <c r="X918" s="139"/>
      <c r="Y918" s="139"/>
      <c r="Z918" s="139"/>
      <c r="AA918" s="139"/>
      <c r="AB918" s="139"/>
      <c r="AC918" s="139"/>
      <c r="AD918" s="139"/>
      <c r="AE918" s="139"/>
      <c r="AF918" s="139"/>
      <c r="AG918" s="139"/>
      <c r="AH918" s="139"/>
      <c r="AI918" s="139"/>
    </row>
    <row r="919">
      <c r="A919" s="139"/>
      <c r="B919" s="139"/>
      <c r="C919" s="139"/>
      <c r="D919" s="139"/>
      <c r="E919" s="139"/>
      <c r="F919" s="139"/>
      <c r="G919" s="139"/>
      <c r="H919" s="139"/>
      <c r="I919" s="139"/>
      <c r="J919" s="139"/>
      <c r="K919" s="140"/>
      <c r="L919" s="140"/>
      <c r="M919" s="140"/>
      <c r="N919" s="140"/>
      <c r="O919" s="140"/>
      <c r="P919" s="139"/>
      <c r="Q919" s="139"/>
      <c r="R919" s="139"/>
      <c r="S919" s="139"/>
      <c r="T919" s="139"/>
      <c r="U919" s="139"/>
      <c r="V919" s="139"/>
      <c r="W919" s="139"/>
      <c r="X919" s="139"/>
      <c r="Y919" s="139"/>
      <c r="Z919" s="139"/>
      <c r="AA919" s="139"/>
      <c r="AB919" s="139"/>
      <c r="AC919" s="139"/>
      <c r="AD919" s="139"/>
      <c r="AE919" s="139"/>
      <c r="AF919" s="139"/>
      <c r="AG919" s="139"/>
      <c r="AH919" s="139"/>
      <c r="AI919" s="139"/>
    </row>
    <row r="920">
      <c r="A920" s="139"/>
      <c r="B920" s="139"/>
      <c r="C920" s="139"/>
      <c r="D920" s="139"/>
      <c r="E920" s="139"/>
      <c r="F920" s="139"/>
      <c r="G920" s="139"/>
      <c r="H920" s="139"/>
      <c r="I920" s="139"/>
      <c r="J920" s="139"/>
      <c r="K920" s="140"/>
      <c r="L920" s="140"/>
      <c r="M920" s="140"/>
      <c r="N920" s="140"/>
      <c r="O920" s="140"/>
      <c r="P920" s="139"/>
      <c r="Q920" s="139"/>
      <c r="R920" s="139"/>
      <c r="S920" s="139"/>
      <c r="T920" s="139"/>
      <c r="U920" s="139"/>
      <c r="V920" s="139"/>
      <c r="W920" s="139"/>
      <c r="X920" s="139"/>
      <c r="Y920" s="139"/>
      <c r="Z920" s="139"/>
      <c r="AA920" s="139"/>
      <c r="AB920" s="139"/>
      <c r="AC920" s="139"/>
      <c r="AD920" s="139"/>
      <c r="AE920" s="139"/>
      <c r="AF920" s="139"/>
      <c r="AG920" s="139"/>
      <c r="AH920" s="139"/>
      <c r="AI920" s="139"/>
    </row>
    <row r="921">
      <c r="A921" s="139"/>
      <c r="B921" s="139"/>
      <c r="C921" s="139"/>
      <c r="D921" s="139"/>
      <c r="E921" s="139"/>
      <c r="F921" s="139"/>
      <c r="G921" s="139"/>
      <c r="H921" s="139"/>
      <c r="I921" s="139"/>
      <c r="J921" s="139"/>
      <c r="K921" s="140"/>
      <c r="L921" s="140"/>
      <c r="M921" s="140"/>
      <c r="N921" s="140"/>
      <c r="O921" s="140"/>
      <c r="P921" s="139"/>
      <c r="Q921" s="139"/>
      <c r="R921" s="139"/>
      <c r="S921" s="139"/>
      <c r="T921" s="139"/>
      <c r="U921" s="139"/>
      <c r="V921" s="139"/>
      <c r="W921" s="139"/>
      <c r="X921" s="139"/>
      <c r="Y921" s="139"/>
      <c r="Z921" s="139"/>
      <c r="AA921" s="139"/>
      <c r="AB921" s="139"/>
      <c r="AC921" s="139"/>
      <c r="AD921" s="139"/>
      <c r="AE921" s="139"/>
      <c r="AF921" s="139"/>
      <c r="AG921" s="139"/>
      <c r="AH921" s="139"/>
      <c r="AI921" s="139"/>
    </row>
    <row r="922">
      <c r="A922" s="139"/>
      <c r="B922" s="139"/>
      <c r="C922" s="139"/>
      <c r="D922" s="139"/>
      <c r="E922" s="139"/>
      <c r="F922" s="139"/>
      <c r="G922" s="139"/>
      <c r="H922" s="139"/>
      <c r="I922" s="139"/>
      <c r="J922" s="139"/>
      <c r="K922" s="140"/>
      <c r="L922" s="140"/>
      <c r="M922" s="140"/>
      <c r="N922" s="140"/>
      <c r="O922" s="140"/>
      <c r="P922" s="139"/>
      <c r="Q922" s="139"/>
      <c r="R922" s="139"/>
      <c r="S922" s="139"/>
      <c r="T922" s="139"/>
      <c r="U922" s="139"/>
      <c r="V922" s="139"/>
      <c r="W922" s="139"/>
      <c r="X922" s="139"/>
      <c r="Y922" s="139"/>
      <c r="Z922" s="139"/>
      <c r="AA922" s="139"/>
      <c r="AB922" s="139"/>
      <c r="AC922" s="139"/>
      <c r="AD922" s="139"/>
      <c r="AE922" s="139"/>
      <c r="AF922" s="139"/>
      <c r="AG922" s="139"/>
      <c r="AH922" s="139"/>
      <c r="AI922" s="139"/>
    </row>
    <row r="923">
      <c r="A923" s="139"/>
      <c r="B923" s="139"/>
      <c r="C923" s="139"/>
      <c r="D923" s="139"/>
      <c r="E923" s="139"/>
      <c r="F923" s="139"/>
      <c r="G923" s="139"/>
      <c r="H923" s="139"/>
      <c r="I923" s="139"/>
      <c r="J923" s="139"/>
      <c r="K923" s="140"/>
      <c r="L923" s="140"/>
      <c r="M923" s="140"/>
      <c r="N923" s="140"/>
      <c r="O923" s="140"/>
      <c r="P923" s="139"/>
      <c r="Q923" s="139"/>
      <c r="R923" s="139"/>
      <c r="S923" s="139"/>
      <c r="T923" s="139"/>
      <c r="U923" s="139"/>
      <c r="V923" s="139"/>
      <c r="W923" s="139"/>
      <c r="X923" s="139"/>
      <c r="Y923" s="139"/>
      <c r="Z923" s="139"/>
      <c r="AA923" s="139"/>
      <c r="AB923" s="139"/>
      <c r="AC923" s="139"/>
      <c r="AD923" s="139"/>
      <c r="AE923" s="139"/>
      <c r="AF923" s="139"/>
      <c r="AG923" s="139"/>
      <c r="AH923" s="139"/>
      <c r="AI923" s="139"/>
    </row>
    <row r="924">
      <c r="A924" s="139"/>
      <c r="B924" s="139"/>
      <c r="C924" s="139"/>
      <c r="D924" s="139"/>
      <c r="E924" s="139"/>
      <c r="F924" s="139"/>
      <c r="G924" s="139"/>
      <c r="H924" s="139"/>
      <c r="I924" s="139"/>
      <c r="J924" s="139"/>
      <c r="K924" s="140"/>
      <c r="L924" s="140"/>
      <c r="M924" s="140"/>
      <c r="N924" s="140"/>
      <c r="O924" s="140"/>
      <c r="P924" s="139"/>
      <c r="Q924" s="139"/>
      <c r="R924" s="139"/>
      <c r="S924" s="139"/>
      <c r="T924" s="139"/>
      <c r="U924" s="139"/>
      <c r="V924" s="139"/>
      <c r="W924" s="139"/>
      <c r="X924" s="139"/>
      <c r="Y924" s="139"/>
      <c r="Z924" s="139"/>
      <c r="AA924" s="139"/>
      <c r="AB924" s="139"/>
      <c r="AC924" s="139"/>
      <c r="AD924" s="139"/>
      <c r="AE924" s="139"/>
      <c r="AF924" s="139"/>
      <c r="AG924" s="139"/>
      <c r="AH924" s="139"/>
      <c r="AI924" s="139"/>
    </row>
    <row r="925">
      <c r="A925" s="139"/>
      <c r="B925" s="139"/>
      <c r="C925" s="139"/>
      <c r="D925" s="139"/>
      <c r="E925" s="139"/>
      <c r="F925" s="139"/>
      <c r="G925" s="139"/>
      <c r="H925" s="139"/>
      <c r="I925" s="139"/>
      <c r="J925" s="139"/>
      <c r="K925" s="140"/>
      <c r="L925" s="140"/>
      <c r="M925" s="140"/>
      <c r="N925" s="140"/>
      <c r="O925" s="140"/>
      <c r="P925" s="139"/>
      <c r="Q925" s="139"/>
      <c r="R925" s="139"/>
      <c r="S925" s="139"/>
      <c r="T925" s="139"/>
      <c r="U925" s="139"/>
      <c r="V925" s="139"/>
      <c r="W925" s="139"/>
      <c r="X925" s="139"/>
      <c r="Y925" s="139"/>
      <c r="Z925" s="139"/>
      <c r="AA925" s="139"/>
      <c r="AB925" s="139"/>
      <c r="AC925" s="139"/>
      <c r="AD925" s="139"/>
      <c r="AE925" s="139"/>
      <c r="AF925" s="139"/>
      <c r="AG925" s="139"/>
      <c r="AH925" s="139"/>
      <c r="AI925" s="139"/>
    </row>
    <row r="926">
      <c r="A926" s="139"/>
      <c r="B926" s="139"/>
      <c r="C926" s="139"/>
      <c r="D926" s="139"/>
      <c r="E926" s="139"/>
      <c r="F926" s="139"/>
      <c r="G926" s="139"/>
      <c r="H926" s="139"/>
      <c r="I926" s="139"/>
      <c r="J926" s="139"/>
      <c r="K926" s="140"/>
      <c r="L926" s="140"/>
      <c r="M926" s="140"/>
      <c r="N926" s="140"/>
      <c r="O926" s="140"/>
      <c r="P926" s="139"/>
      <c r="Q926" s="139"/>
      <c r="R926" s="139"/>
      <c r="S926" s="139"/>
      <c r="T926" s="139"/>
      <c r="U926" s="139"/>
      <c r="V926" s="139"/>
      <c r="W926" s="139"/>
      <c r="X926" s="139"/>
      <c r="Y926" s="139"/>
      <c r="Z926" s="139"/>
      <c r="AA926" s="139"/>
      <c r="AB926" s="139"/>
      <c r="AC926" s="139"/>
      <c r="AD926" s="139"/>
      <c r="AE926" s="139"/>
      <c r="AF926" s="139"/>
      <c r="AG926" s="139"/>
      <c r="AH926" s="139"/>
      <c r="AI926" s="139"/>
    </row>
    <row r="927">
      <c r="A927" s="139"/>
      <c r="B927" s="139"/>
      <c r="C927" s="139"/>
      <c r="D927" s="139"/>
      <c r="E927" s="139"/>
      <c r="F927" s="139"/>
      <c r="G927" s="139"/>
      <c r="H927" s="139"/>
      <c r="I927" s="139"/>
      <c r="J927" s="139"/>
      <c r="K927" s="140"/>
      <c r="L927" s="140"/>
      <c r="M927" s="140"/>
      <c r="N927" s="140"/>
      <c r="O927" s="140"/>
      <c r="P927" s="139"/>
      <c r="Q927" s="139"/>
      <c r="R927" s="139"/>
      <c r="S927" s="139"/>
      <c r="T927" s="139"/>
      <c r="U927" s="139"/>
      <c r="V927" s="139"/>
      <c r="W927" s="139"/>
      <c r="X927" s="139"/>
      <c r="Y927" s="139"/>
      <c r="Z927" s="139"/>
      <c r="AA927" s="139"/>
      <c r="AB927" s="139"/>
      <c r="AC927" s="139"/>
      <c r="AD927" s="139"/>
      <c r="AE927" s="139"/>
      <c r="AF927" s="139"/>
      <c r="AG927" s="139"/>
      <c r="AH927" s="139"/>
      <c r="AI927" s="139"/>
    </row>
    <row r="928">
      <c r="A928" s="139"/>
      <c r="B928" s="139"/>
      <c r="C928" s="139"/>
      <c r="D928" s="139"/>
      <c r="E928" s="139"/>
      <c r="F928" s="139"/>
      <c r="G928" s="139"/>
      <c r="H928" s="139"/>
      <c r="I928" s="139"/>
      <c r="J928" s="139"/>
      <c r="K928" s="140"/>
      <c r="L928" s="140"/>
      <c r="M928" s="140"/>
      <c r="N928" s="140"/>
      <c r="O928" s="140"/>
      <c r="P928" s="139"/>
      <c r="Q928" s="139"/>
      <c r="R928" s="139"/>
      <c r="S928" s="139"/>
      <c r="T928" s="139"/>
      <c r="U928" s="139"/>
      <c r="V928" s="139"/>
      <c r="W928" s="139"/>
      <c r="X928" s="139"/>
      <c r="Y928" s="139"/>
      <c r="Z928" s="139"/>
      <c r="AA928" s="139"/>
      <c r="AB928" s="139"/>
      <c r="AC928" s="139"/>
      <c r="AD928" s="139"/>
      <c r="AE928" s="139"/>
      <c r="AF928" s="139"/>
      <c r="AG928" s="139"/>
      <c r="AH928" s="139"/>
      <c r="AI928" s="139"/>
    </row>
    <row r="929">
      <c r="A929" s="139"/>
      <c r="B929" s="139"/>
      <c r="C929" s="139"/>
      <c r="D929" s="139"/>
      <c r="E929" s="139"/>
      <c r="F929" s="139"/>
      <c r="G929" s="139"/>
      <c r="H929" s="139"/>
      <c r="I929" s="139"/>
      <c r="J929" s="139"/>
      <c r="K929" s="140"/>
      <c r="L929" s="140"/>
      <c r="M929" s="140"/>
      <c r="N929" s="140"/>
      <c r="O929" s="140"/>
      <c r="P929" s="139"/>
      <c r="Q929" s="139"/>
      <c r="R929" s="139"/>
      <c r="S929" s="139"/>
      <c r="T929" s="139"/>
      <c r="U929" s="139"/>
      <c r="V929" s="139"/>
      <c r="W929" s="139"/>
      <c r="X929" s="139"/>
      <c r="Y929" s="139"/>
      <c r="Z929" s="139"/>
      <c r="AA929" s="139"/>
      <c r="AB929" s="139"/>
      <c r="AC929" s="139"/>
      <c r="AD929" s="139"/>
      <c r="AE929" s="139"/>
      <c r="AF929" s="139"/>
      <c r="AG929" s="139"/>
      <c r="AH929" s="139"/>
      <c r="AI929" s="139"/>
    </row>
    <row r="930">
      <c r="A930" s="139"/>
      <c r="B930" s="139"/>
      <c r="C930" s="139"/>
      <c r="D930" s="139"/>
      <c r="E930" s="139"/>
      <c r="F930" s="139"/>
      <c r="G930" s="139"/>
      <c r="H930" s="139"/>
      <c r="I930" s="139"/>
      <c r="J930" s="139"/>
      <c r="K930" s="140"/>
      <c r="L930" s="140"/>
      <c r="M930" s="140"/>
      <c r="N930" s="140"/>
      <c r="O930" s="140"/>
      <c r="P930" s="139"/>
      <c r="Q930" s="139"/>
      <c r="R930" s="139"/>
      <c r="S930" s="139"/>
      <c r="T930" s="139"/>
      <c r="U930" s="139"/>
      <c r="V930" s="139"/>
      <c r="W930" s="139"/>
      <c r="X930" s="139"/>
      <c r="Y930" s="139"/>
      <c r="Z930" s="139"/>
      <c r="AA930" s="139"/>
      <c r="AB930" s="139"/>
      <c r="AC930" s="139"/>
      <c r="AD930" s="139"/>
      <c r="AE930" s="139"/>
      <c r="AF930" s="139"/>
      <c r="AG930" s="139"/>
      <c r="AH930" s="139"/>
      <c r="AI930" s="139"/>
    </row>
    <row r="931">
      <c r="A931" s="139"/>
      <c r="B931" s="139"/>
      <c r="C931" s="139"/>
      <c r="D931" s="139"/>
      <c r="E931" s="139"/>
      <c r="F931" s="139"/>
      <c r="G931" s="139"/>
      <c r="H931" s="139"/>
      <c r="I931" s="139"/>
      <c r="J931" s="139"/>
      <c r="K931" s="140"/>
      <c r="L931" s="140"/>
      <c r="M931" s="140"/>
      <c r="N931" s="140"/>
      <c r="O931" s="140"/>
      <c r="P931" s="139"/>
      <c r="Q931" s="139"/>
      <c r="R931" s="139"/>
      <c r="S931" s="139"/>
      <c r="T931" s="139"/>
      <c r="U931" s="139"/>
      <c r="V931" s="139"/>
      <c r="W931" s="139"/>
      <c r="X931" s="139"/>
      <c r="Y931" s="139"/>
      <c r="Z931" s="139"/>
      <c r="AA931" s="139"/>
      <c r="AB931" s="139"/>
      <c r="AC931" s="139"/>
      <c r="AD931" s="139"/>
      <c r="AE931" s="139"/>
      <c r="AF931" s="139"/>
      <c r="AG931" s="139"/>
      <c r="AH931" s="139"/>
      <c r="AI931" s="139"/>
    </row>
    <row r="932">
      <c r="A932" s="139"/>
      <c r="B932" s="139"/>
      <c r="C932" s="139"/>
      <c r="D932" s="139"/>
      <c r="E932" s="139"/>
      <c r="F932" s="139"/>
      <c r="G932" s="139"/>
      <c r="H932" s="139"/>
      <c r="I932" s="139"/>
      <c r="J932" s="139"/>
      <c r="K932" s="140"/>
      <c r="L932" s="140"/>
      <c r="M932" s="140"/>
      <c r="N932" s="140"/>
      <c r="O932" s="140"/>
      <c r="P932" s="139"/>
      <c r="Q932" s="139"/>
      <c r="R932" s="139"/>
      <c r="S932" s="139"/>
      <c r="T932" s="139"/>
      <c r="U932" s="139"/>
      <c r="V932" s="139"/>
      <c r="W932" s="139"/>
      <c r="X932" s="139"/>
      <c r="Y932" s="139"/>
      <c r="Z932" s="139"/>
      <c r="AA932" s="139"/>
      <c r="AB932" s="139"/>
      <c r="AC932" s="139"/>
      <c r="AD932" s="139"/>
      <c r="AE932" s="139"/>
      <c r="AF932" s="139"/>
      <c r="AG932" s="139"/>
      <c r="AH932" s="139"/>
      <c r="AI932" s="139"/>
    </row>
    <row r="933">
      <c r="A933" s="139"/>
      <c r="B933" s="139"/>
      <c r="C933" s="139"/>
      <c r="D933" s="139"/>
      <c r="E933" s="139"/>
      <c r="F933" s="139"/>
      <c r="G933" s="139"/>
      <c r="H933" s="139"/>
      <c r="I933" s="139"/>
      <c r="J933" s="139"/>
      <c r="K933" s="140"/>
      <c r="L933" s="140"/>
      <c r="M933" s="140"/>
      <c r="N933" s="140"/>
      <c r="O933" s="140"/>
      <c r="P933" s="139"/>
      <c r="Q933" s="139"/>
      <c r="R933" s="139"/>
      <c r="S933" s="139"/>
      <c r="T933" s="139"/>
      <c r="U933" s="139"/>
      <c r="V933" s="139"/>
      <c r="W933" s="139"/>
      <c r="X933" s="139"/>
      <c r="Y933" s="139"/>
      <c r="Z933" s="139"/>
      <c r="AA933" s="139"/>
      <c r="AB933" s="139"/>
      <c r="AC933" s="139"/>
      <c r="AD933" s="139"/>
      <c r="AE933" s="139"/>
      <c r="AF933" s="139"/>
      <c r="AG933" s="139"/>
      <c r="AH933" s="139"/>
      <c r="AI933" s="139"/>
    </row>
    <row r="934">
      <c r="A934" s="139"/>
      <c r="B934" s="139"/>
      <c r="C934" s="139"/>
      <c r="D934" s="139"/>
      <c r="E934" s="139"/>
      <c r="F934" s="139"/>
      <c r="G934" s="139"/>
      <c r="H934" s="139"/>
      <c r="I934" s="139"/>
      <c r="J934" s="139"/>
      <c r="K934" s="140"/>
      <c r="L934" s="140"/>
      <c r="M934" s="140"/>
      <c r="N934" s="140"/>
      <c r="O934" s="140"/>
      <c r="P934" s="139"/>
      <c r="Q934" s="139"/>
      <c r="R934" s="139"/>
      <c r="S934" s="139"/>
      <c r="T934" s="139"/>
      <c r="U934" s="139"/>
      <c r="V934" s="139"/>
      <c r="W934" s="139"/>
      <c r="X934" s="139"/>
      <c r="Y934" s="139"/>
      <c r="Z934" s="139"/>
      <c r="AA934" s="139"/>
      <c r="AB934" s="139"/>
      <c r="AC934" s="139"/>
      <c r="AD934" s="139"/>
      <c r="AE934" s="139"/>
      <c r="AF934" s="139"/>
      <c r="AG934" s="139"/>
      <c r="AH934" s="139"/>
      <c r="AI934" s="139"/>
    </row>
    <row r="935">
      <c r="A935" s="139"/>
      <c r="B935" s="139"/>
      <c r="C935" s="139"/>
      <c r="D935" s="139"/>
      <c r="E935" s="139"/>
      <c r="F935" s="139"/>
      <c r="G935" s="139"/>
      <c r="H935" s="139"/>
      <c r="I935" s="139"/>
      <c r="J935" s="139"/>
      <c r="K935" s="140"/>
      <c r="L935" s="140"/>
      <c r="M935" s="140"/>
      <c r="N935" s="140"/>
      <c r="O935" s="140"/>
      <c r="P935" s="139"/>
      <c r="Q935" s="139"/>
      <c r="R935" s="139"/>
      <c r="S935" s="139"/>
      <c r="T935" s="139"/>
      <c r="U935" s="139"/>
      <c r="V935" s="139"/>
      <c r="W935" s="139"/>
      <c r="X935" s="139"/>
      <c r="Y935" s="139"/>
      <c r="Z935" s="139"/>
      <c r="AA935" s="139"/>
      <c r="AB935" s="139"/>
      <c r="AC935" s="139"/>
      <c r="AD935" s="139"/>
      <c r="AE935" s="139"/>
      <c r="AF935" s="139"/>
      <c r="AG935" s="139"/>
      <c r="AH935" s="139"/>
      <c r="AI935" s="139"/>
    </row>
    <row r="936">
      <c r="A936" s="139"/>
      <c r="B936" s="139"/>
      <c r="C936" s="139"/>
      <c r="D936" s="139"/>
      <c r="E936" s="139"/>
      <c r="F936" s="139"/>
      <c r="G936" s="139"/>
      <c r="H936" s="139"/>
      <c r="I936" s="139"/>
      <c r="J936" s="139"/>
      <c r="K936" s="140"/>
      <c r="L936" s="140"/>
      <c r="M936" s="140"/>
      <c r="N936" s="140"/>
      <c r="O936" s="140"/>
      <c r="P936" s="139"/>
      <c r="Q936" s="139"/>
      <c r="R936" s="139"/>
      <c r="S936" s="139"/>
      <c r="T936" s="139"/>
      <c r="U936" s="139"/>
      <c r="V936" s="139"/>
      <c r="W936" s="139"/>
      <c r="X936" s="139"/>
      <c r="Y936" s="139"/>
      <c r="Z936" s="139"/>
      <c r="AA936" s="139"/>
      <c r="AB936" s="139"/>
      <c r="AC936" s="139"/>
      <c r="AD936" s="139"/>
      <c r="AE936" s="139"/>
      <c r="AF936" s="139"/>
      <c r="AG936" s="139"/>
      <c r="AH936" s="139"/>
      <c r="AI936" s="139"/>
    </row>
    <row r="937">
      <c r="A937" s="139"/>
      <c r="B937" s="139"/>
      <c r="C937" s="139"/>
      <c r="D937" s="139"/>
      <c r="E937" s="139"/>
      <c r="F937" s="139"/>
      <c r="G937" s="139"/>
      <c r="H937" s="139"/>
      <c r="I937" s="139"/>
      <c r="J937" s="139"/>
      <c r="K937" s="140"/>
      <c r="L937" s="140"/>
      <c r="M937" s="140"/>
      <c r="N937" s="140"/>
      <c r="O937" s="140"/>
      <c r="P937" s="139"/>
      <c r="Q937" s="139"/>
      <c r="R937" s="139"/>
      <c r="S937" s="139"/>
      <c r="T937" s="139"/>
      <c r="U937" s="139"/>
      <c r="V937" s="139"/>
      <c r="W937" s="139"/>
      <c r="X937" s="139"/>
      <c r="Y937" s="139"/>
      <c r="Z937" s="139"/>
      <c r="AA937" s="139"/>
      <c r="AB937" s="139"/>
      <c r="AC937" s="139"/>
      <c r="AD937" s="139"/>
      <c r="AE937" s="139"/>
      <c r="AF937" s="139"/>
      <c r="AG937" s="139"/>
      <c r="AH937" s="139"/>
      <c r="AI937" s="139"/>
    </row>
    <row r="938">
      <c r="A938" s="139"/>
      <c r="B938" s="139"/>
      <c r="C938" s="139"/>
      <c r="D938" s="139"/>
      <c r="E938" s="139"/>
      <c r="F938" s="139"/>
      <c r="G938" s="139"/>
      <c r="H938" s="139"/>
      <c r="I938" s="139"/>
      <c r="J938" s="139"/>
      <c r="K938" s="140"/>
      <c r="L938" s="140"/>
      <c r="M938" s="140"/>
      <c r="N938" s="140"/>
      <c r="O938" s="140"/>
      <c r="P938" s="139"/>
      <c r="Q938" s="139"/>
      <c r="R938" s="139"/>
      <c r="S938" s="139"/>
      <c r="T938" s="139"/>
      <c r="U938" s="139"/>
      <c r="V938" s="139"/>
      <c r="W938" s="139"/>
      <c r="X938" s="139"/>
      <c r="Y938" s="139"/>
      <c r="Z938" s="139"/>
      <c r="AA938" s="139"/>
      <c r="AB938" s="139"/>
      <c r="AC938" s="139"/>
      <c r="AD938" s="139"/>
      <c r="AE938" s="139"/>
      <c r="AF938" s="139"/>
      <c r="AG938" s="139"/>
      <c r="AH938" s="139"/>
      <c r="AI938" s="139"/>
    </row>
    <row r="939">
      <c r="A939" s="139"/>
      <c r="B939" s="139"/>
      <c r="C939" s="139"/>
      <c r="D939" s="139"/>
      <c r="E939" s="139"/>
      <c r="F939" s="139"/>
      <c r="G939" s="139"/>
      <c r="H939" s="139"/>
      <c r="I939" s="139"/>
      <c r="J939" s="139"/>
      <c r="K939" s="140"/>
      <c r="L939" s="140"/>
      <c r="M939" s="140"/>
      <c r="N939" s="140"/>
      <c r="O939" s="140"/>
      <c r="P939" s="139"/>
      <c r="Q939" s="139"/>
      <c r="R939" s="139"/>
      <c r="S939" s="139"/>
      <c r="T939" s="139"/>
      <c r="U939" s="139"/>
      <c r="V939" s="139"/>
      <c r="W939" s="139"/>
      <c r="X939" s="139"/>
      <c r="Y939" s="139"/>
      <c r="Z939" s="139"/>
      <c r="AA939" s="139"/>
      <c r="AB939" s="139"/>
      <c r="AC939" s="139"/>
      <c r="AD939" s="139"/>
      <c r="AE939" s="139"/>
      <c r="AF939" s="139"/>
      <c r="AG939" s="139"/>
      <c r="AH939" s="139"/>
      <c r="AI939" s="139"/>
    </row>
    <row r="940">
      <c r="A940" s="139"/>
      <c r="B940" s="139"/>
      <c r="C940" s="139"/>
      <c r="D940" s="139"/>
      <c r="E940" s="139"/>
      <c r="F940" s="139"/>
      <c r="G940" s="139"/>
      <c r="H940" s="139"/>
      <c r="I940" s="139"/>
      <c r="J940" s="139"/>
      <c r="K940" s="140"/>
      <c r="L940" s="140"/>
      <c r="M940" s="140"/>
      <c r="N940" s="140"/>
      <c r="O940" s="140"/>
      <c r="P940" s="139"/>
      <c r="Q940" s="139"/>
      <c r="R940" s="139"/>
      <c r="S940" s="139"/>
      <c r="T940" s="139"/>
      <c r="U940" s="139"/>
      <c r="V940" s="139"/>
      <c r="W940" s="139"/>
      <c r="X940" s="139"/>
      <c r="Y940" s="139"/>
      <c r="Z940" s="139"/>
      <c r="AA940" s="139"/>
      <c r="AB940" s="139"/>
      <c r="AC940" s="139"/>
      <c r="AD940" s="139"/>
      <c r="AE940" s="139"/>
      <c r="AF940" s="139"/>
      <c r="AG940" s="139"/>
      <c r="AH940" s="139"/>
      <c r="AI940" s="139"/>
    </row>
    <row r="941">
      <c r="A941" s="139"/>
      <c r="B941" s="139"/>
      <c r="C941" s="139"/>
      <c r="D941" s="139"/>
      <c r="E941" s="139"/>
      <c r="F941" s="139"/>
      <c r="G941" s="139"/>
      <c r="H941" s="139"/>
      <c r="I941" s="139"/>
      <c r="J941" s="139"/>
      <c r="K941" s="140"/>
      <c r="L941" s="140"/>
      <c r="M941" s="140"/>
      <c r="N941" s="140"/>
      <c r="O941" s="140"/>
      <c r="P941" s="139"/>
      <c r="Q941" s="139"/>
      <c r="R941" s="139"/>
      <c r="S941" s="139"/>
      <c r="T941" s="139"/>
      <c r="U941" s="139"/>
      <c r="V941" s="139"/>
      <c r="W941" s="139"/>
      <c r="X941" s="139"/>
      <c r="Y941" s="139"/>
      <c r="Z941" s="139"/>
      <c r="AA941" s="139"/>
      <c r="AB941" s="139"/>
      <c r="AC941" s="139"/>
      <c r="AD941" s="139"/>
      <c r="AE941" s="139"/>
      <c r="AF941" s="139"/>
      <c r="AG941" s="139"/>
      <c r="AH941" s="139"/>
      <c r="AI941" s="139"/>
    </row>
    <row r="942">
      <c r="A942" s="139"/>
      <c r="B942" s="139"/>
      <c r="C942" s="139"/>
      <c r="D942" s="139"/>
      <c r="E942" s="139"/>
      <c r="F942" s="139"/>
      <c r="G942" s="139"/>
      <c r="H942" s="139"/>
      <c r="I942" s="139"/>
      <c r="J942" s="139"/>
      <c r="K942" s="140"/>
      <c r="L942" s="140"/>
      <c r="M942" s="140"/>
      <c r="N942" s="140"/>
      <c r="O942" s="140"/>
      <c r="P942" s="139"/>
      <c r="Q942" s="139"/>
      <c r="R942" s="139"/>
      <c r="S942" s="139"/>
      <c r="T942" s="139"/>
      <c r="U942" s="139"/>
      <c r="V942" s="139"/>
      <c r="W942" s="139"/>
      <c r="X942" s="139"/>
      <c r="Y942" s="139"/>
      <c r="Z942" s="139"/>
      <c r="AA942" s="139"/>
      <c r="AB942" s="139"/>
      <c r="AC942" s="139"/>
      <c r="AD942" s="139"/>
      <c r="AE942" s="139"/>
      <c r="AF942" s="139"/>
      <c r="AG942" s="139"/>
      <c r="AH942" s="139"/>
      <c r="AI942" s="139"/>
    </row>
    <row r="943">
      <c r="A943" s="139"/>
      <c r="B943" s="139"/>
      <c r="C943" s="139"/>
      <c r="D943" s="139"/>
      <c r="E943" s="139"/>
      <c r="F943" s="139"/>
      <c r="G943" s="139"/>
      <c r="H943" s="139"/>
      <c r="I943" s="139"/>
      <c r="J943" s="139"/>
      <c r="K943" s="140"/>
      <c r="L943" s="140"/>
      <c r="M943" s="140"/>
      <c r="N943" s="140"/>
      <c r="O943" s="140"/>
      <c r="P943" s="139"/>
      <c r="Q943" s="139"/>
      <c r="R943" s="139"/>
      <c r="S943" s="139"/>
      <c r="T943" s="139"/>
      <c r="U943" s="139"/>
      <c r="V943" s="139"/>
      <c r="W943" s="139"/>
      <c r="X943" s="139"/>
      <c r="Y943" s="139"/>
      <c r="Z943" s="139"/>
      <c r="AA943" s="139"/>
      <c r="AB943" s="139"/>
      <c r="AC943" s="139"/>
      <c r="AD943" s="139"/>
      <c r="AE943" s="139"/>
      <c r="AF943" s="139"/>
      <c r="AG943" s="139"/>
      <c r="AH943" s="139"/>
      <c r="AI943" s="139"/>
    </row>
    <row r="944">
      <c r="A944" s="139"/>
      <c r="B944" s="139"/>
      <c r="C944" s="139"/>
      <c r="D944" s="139"/>
      <c r="E944" s="139"/>
      <c r="F944" s="139"/>
      <c r="G944" s="139"/>
      <c r="H944" s="139"/>
      <c r="I944" s="139"/>
      <c r="J944" s="139"/>
      <c r="K944" s="140"/>
      <c r="L944" s="140"/>
      <c r="M944" s="140"/>
      <c r="N944" s="140"/>
      <c r="O944" s="140"/>
      <c r="P944" s="139"/>
      <c r="Q944" s="139"/>
      <c r="R944" s="139"/>
      <c r="S944" s="139"/>
      <c r="T944" s="139"/>
      <c r="U944" s="139"/>
      <c r="V944" s="139"/>
      <c r="W944" s="139"/>
      <c r="X944" s="139"/>
      <c r="Y944" s="139"/>
      <c r="Z944" s="139"/>
      <c r="AA944" s="139"/>
      <c r="AB944" s="139"/>
      <c r="AC944" s="139"/>
      <c r="AD944" s="139"/>
      <c r="AE944" s="139"/>
      <c r="AF944" s="139"/>
      <c r="AG944" s="139"/>
      <c r="AH944" s="139"/>
      <c r="AI944" s="139"/>
    </row>
    <row r="945">
      <c r="A945" s="139"/>
      <c r="B945" s="139"/>
      <c r="C945" s="139"/>
      <c r="D945" s="139"/>
      <c r="E945" s="139"/>
      <c r="F945" s="139"/>
      <c r="G945" s="139"/>
      <c r="H945" s="139"/>
      <c r="I945" s="139"/>
      <c r="J945" s="139"/>
      <c r="K945" s="140"/>
      <c r="L945" s="140"/>
      <c r="M945" s="140"/>
      <c r="N945" s="140"/>
      <c r="O945" s="140"/>
      <c r="P945" s="139"/>
      <c r="Q945" s="139"/>
      <c r="R945" s="139"/>
      <c r="S945" s="139"/>
      <c r="T945" s="139"/>
      <c r="U945" s="139"/>
      <c r="V945" s="139"/>
      <c r="W945" s="139"/>
      <c r="X945" s="139"/>
      <c r="Y945" s="139"/>
      <c r="Z945" s="139"/>
      <c r="AA945" s="139"/>
      <c r="AB945" s="139"/>
      <c r="AC945" s="139"/>
      <c r="AD945" s="139"/>
      <c r="AE945" s="139"/>
      <c r="AF945" s="139"/>
      <c r="AG945" s="139"/>
      <c r="AH945" s="139"/>
      <c r="AI945" s="139"/>
    </row>
    <row r="946">
      <c r="A946" s="139"/>
      <c r="B946" s="139"/>
      <c r="C946" s="139"/>
      <c r="D946" s="139"/>
      <c r="E946" s="139"/>
      <c r="F946" s="139"/>
      <c r="G946" s="139"/>
      <c r="H946" s="139"/>
      <c r="I946" s="139"/>
      <c r="J946" s="139"/>
      <c r="K946" s="140"/>
      <c r="L946" s="140"/>
      <c r="M946" s="140"/>
      <c r="N946" s="140"/>
      <c r="O946" s="140"/>
      <c r="P946" s="139"/>
      <c r="Q946" s="139"/>
      <c r="R946" s="139"/>
      <c r="S946" s="139"/>
      <c r="T946" s="139"/>
      <c r="U946" s="139"/>
      <c r="V946" s="139"/>
      <c r="W946" s="139"/>
      <c r="X946" s="139"/>
      <c r="Y946" s="139"/>
      <c r="Z946" s="139"/>
      <c r="AA946" s="139"/>
      <c r="AB946" s="139"/>
      <c r="AC946" s="139"/>
      <c r="AD946" s="139"/>
      <c r="AE946" s="139"/>
      <c r="AF946" s="139"/>
      <c r="AG946" s="139"/>
      <c r="AH946" s="139"/>
      <c r="AI946" s="139"/>
    </row>
    <row r="947">
      <c r="A947" s="139"/>
      <c r="B947" s="139"/>
      <c r="C947" s="139"/>
      <c r="D947" s="139"/>
      <c r="E947" s="139"/>
      <c r="F947" s="139"/>
      <c r="G947" s="139"/>
      <c r="H947" s="139"/>
      <c r="I947" s="139"/>
      <c r="J947" s="139"/>
      <c r="K947" s="140"/>
      <c r="L947" s="140"/>
      <c r="M947" s="140"/>
      <c r="N947" s="140"/>
      <c r="O947" s="140"/>
      <c r="P947" s="139"/>
      <c r="Q947" s="139"/>
      <c r="R947" s="139"/>
      <c r="S947" s="139"/>
      <c r="T947" s="139"/>
      <c r="U947" s="139"/>
      <c r="V947" s="139"/>
      <c r="W947" s="139"/>
      <c r="X947" s="139"/>
      <c r="Y947" s="139"/>
      <c r="Z947" s="139"/>
      <c r="AA947" s="139"/>
      <c r="AB947" s="139"/>
      <c r="AC947" s="139"/>
      <c r="AD947" s="139"/>
      <c r="AE947" s="139"/>
      <c r="AF947" s="139"/>
      <c r="AG947" s="139"/>
      <c r="AH947" s="139"/>
      <c r="AI947" s="139"/>
    </row>
    <row r="948">
      <c r="A948" s="139"/>
      <c r="B948" s="139"/>
      <c r="C948" s="139"/>
      <c r="D948" s="139"/>
      <c r="E948" s="139"/>
      <c r="F948" s="139"/>
      <c r="G948" s="139"/>
      <c r="H948" s="139"/>
      <c r="I948" s="139"/>
      <c r="J948" s="139"/>
      <c r="K948" s="140"/>
      <c r="L948" s="140"/>
      <c r="M948" s="140"/>
      <c r="N948" s="140"/>
      <c r="O948" s="140"/>
      <c r="P948" s="139"/>
      <c r="Q948" s="139"/>
      <c r="R948" s="139"/>
      <c r="S948" s="139"/>
      <c r="T948" s="139"/>
      <c r="U948" s="139"/>
      <c r="V948" s="139"/>
      <c r="W948" s="139"/>
      <c r="X948" s="139"/>
      <c r="Y948" s="139"/>
      <c r="Z948" s="139"/>
      <c r="AA948" s="139"/>
      <c r="AB948" s="139"/>
      <c r="AC948" s="139"/>
      <c r="AD948" s="139"/>
      <c r="AE948" s="139"/>
      <c r="AF948" s="139"/>
      <c r="AG948" s="139"/>
      <c r="AH948" s="139"/>
      <c r="AI948" s="139"/>
    </row>
    <row r="949">
      <c r="A949" s="139"/>
      <c r="B949" s="139"/>
      <c r="C949" s="139"/>
      <c r="D949" s="139"/>
      <c r="E949" s="139"/>
      <c r="F949" s="139"/>
      <c r="G949" s="139"/>
      <c r="H949" s="139"/>
      <c r="I949" s="139"/>
      <c r="J949" s="139"/>
      <c r="K949" s="140"/>
      <c r="L949" s="140"/>
      <c r="M949" s="140"/>
      <c r="N949" s="140"/>
      <c r="O949" s="140"/>
      <c r="P949" s="139"/>
      <c r="Q949" s="139"/>
      <c r="R949" s="139"/>
      <c r="S949" s="139"/>
      <c r="T949" s="139"/>
      <c r="U949" s="139"/>
      <c r="V949" s="139"/>
      <c r="W949" s="139"/>
      <c r="X949" s="139"/>
      <c r="Y949" s="139"/>
      <c r="Z949" s="139"/>
      <c r="AA949" s="139"/>
      <c r="AB949" s="139"/>
      <c r="AC949" s="139"/>
      <c r="AD949" s="139"/>
      <c r="AE949" s="139"/>
      <c r="AF949" s="139"/>
      <c r="AG949" s="139"/>
      <c r="AH949" s="139"/>
      <c r="AI949" s="139"/>
    </row>
    <row r="950">
      <c r="A950" s="139"/>
      <c r="B950" s="139"/>
      <c r="C950" s="139"/>
      <c r="D950" s="139"/>
      <c r="E950" s="139"/>
      <c r="F950" s="139"/>
      <c r="G950" s="139"/>
      <c r="H950" s="139"/>
      <c r="I950" s="139"/>
      <c r="J950" s="139"/>
      <c r="K950" s="140"/>
      <c r="L950" s="140"/>
      <c r="M950" s="140"/>
      <c r="N950" s="140"/>
      <c r="O950" s="140"/>
      <c r="P950" s="139"/>
      <c r="Q950" s="139"/>
      <c r="R950" s="139"/>
      <c r="S950" s="139"/>
      <c r="T950" s="139"/>
      <c r="U950" s="139"/>
      <c r="V950" s="139"/>
      <c r="W950" s="139"/>
      <c r="X950" s="139"/>
      <c r="Y950" s="139"/>
      <c r="Z950" s="139"/>
      <c r="AA950" s="139"/>
      <c r="AB950" s="139"/>
      <c r="AC950" s="139"/>
      <c r="AD950" s="139"/>
      <c r="AE950" s="139"/>
      <c r="AF950" s="139"/>
      <c r="AG950" s="139"/>
      <c r="AH950" s="139"/>
      <c r="AI950" s="139"/>
    </row>
    <row r="951">
      <c r="A951" s="139"/>
      <c r="B951" s="139"/>
      <c r="C951" s="139"/>
      <c r="D951" s="139"/>
      <c r="E951" s="139"/>
      <c r="F951" s="139"/>
      <c r="G951" s="139"/>
      <c r="H951" s="139"/>
      <c r="I951" s="139"/>
      <c r="J951" s="139"/>
      <c r="K951" s="140"/>
      <c r="L951" s="140"/>
      <c r="M951" s="140"/>
      <c r="N951" s="140"/>
      <c r="O951" s="140"/>
      <c r="P951" s="139"/>
      <c r="Q951" s="139"/>
      <c r="R951" s="139"/>
      <c r="S951" s="139"/>
      <c r="T951" s="139"/>
      <c r="U951" s="139"/>
      <c r="V951" s="139"/>
      <c r="W951" s="139"/>
      <c r="X951" s="139"/>
      <c r="Y951" s="139"/>
      <c r="Z951" s="139"/>
      <c r="AA951" s="139"/>
      <c r="AB951" s="139"/>
      <c r="AC951" s="139"/>
      <c r="AD951" s="139"/>
      <c r="AE951" s="139"/>
      <c r="AF951" s="139"/>
      <c r="AG951" s="139"/>
      <c r="AH951" s="139"/>
      <c r="AI951" s="139"/>
    </row>
    <row r="952">
      <c r="A952" s="139"/>
      <c r="B952" s="139"/>
      <c r="C952" s="139"/>
      <c r="D952" s="139"/>
      <c r="E952" s="139"/>
      <c r="F952" s="139"/>
      <c r="G952" s="139"/>
      <c r="H952" s="139"/>
      <c r="I952" s="139"/>
      <c r="J952" s="139"/>
      <c r="K952" s="140"/>
      <c r="L952" s="140"/>
      <c r="M952" s="140"/>
      <c r="N952" s="140"/>
      <c r="O952" s="140"/>
      <c r="P952" s="139"/>
      <c r="Q952" s="139"/>
      <c r="R952" s="139"/>
      <c r="S952" s="139"/>
      <c r="T952" s="139"/>
      <c r="U952" s="139"/>
      <c r="V952" s="139"/>
      <c r="W952" s="139"/>
      <c r="X952" s="139"/>
      <c r="Y952" s="139"/>
      <c r="Z952" s="139"/>
      <c r="AA952" s="139"/>
      <c r="AB952" s="139"/>
      <c r="AC952" s="139"/>
      <c r="AD952" s="139"/>
      <c r="AE952" s="139"/>
      <c r="AF952" s="139"/>
      <c r="AG952" s="139"/>
      <c r="AH952" s="139"/>
      <c r="AI952" s="139"/>
    </row>
    <row r="953">
      <c r="A953" s="139"/>
      <c r="B953" s="139"/>
      <c r="C953" s="139"/>
      <c r="D953" s="139"/>
      <c r="E953" s="139"/>
      <c r="F953" s="139"/>
      <c r="G953" s="139"/>
      <c r="H953" s="139"/>
      <c r="I953" s="139"/>
      <c r="J953" s="139"/>
      <c r="K953" s="140"/>
      <c r="L953" s="140"/>
      <c r="M953" s="140"/>
      <c r="N953" s="140"/>
      <c r="O953" s="140"/>
      <c r="P953" s="139"/>
      <c r="Q953" s="139"/>
      <c r="R953" s="139"/>
      <c r="S953" s="139"/>
      <c r="T953" s="139"/>
      <c r="U953" s="139"/>
      <c r="V953" s="139"/>
      <c r="W953" s="139"/>
      <c r="X953" s="139"/>
      <c r="Y953" s="139"/>
      <c r="Z953" s="139"/>
      <c r="AA953" s="139"/>
      <c r="AB953" s="139"/>
      <c r="AC953" s="139"/>
      <c r="AD953" s="139"/>
      <c r="AE953" s="139"/>
      <c r="AF953" s="139"/>
      <c r="AG953" s="139"/>
      <c r="AH953" s="139"/>
      <c r="AI953" s="139"/>
    </row>
    <row r="954">
      <c r="A954" s="139"/>
      <c r="B954" s="139"/>
      <c r="C954" s="139"/>
      <c r="D954" s="139"/>
      <c r="E954" s="139"/>
      <c r="F954" s="139"/>
      <c r="G954" s="139"/>
      <c r="H954" s="139"/>
      <c r="I954" s="139"/>
      <c r="J954" s="139"/>
      <c r="K954" s="140"/>
      <c r="L954" s="140"/>
      <c r="M954" s="140"/>
      <c r="N954" s="140"/>
      <c r="O954" s="140"/>
      <c r="P954" s="139"/>
      <c r="Q954" s="139"/>
      <c r="R954" s="139"/>
      <c r="S954" s="139"/>
      <c r="T954" s="139"/>
      <c r="U954" s="139"/>
      <c r="V954" s="139"/>
      <c r="W954" s="139"/>
      <c r="X954" s="139"/>
      <c r="Y954" s="139"/>
      <c r="Z954" s="139"/>
      <c r="AA954" s="139"/>
      <c r="AB954" s="139"/>
      <c r="AC954" s="139"/>
      <c r="AD954" s="139"/>
      <c r="AE954" s="139"/>
      <c r="AF954" s="139"/>
      <c r="AG954" s="139"/>
      <c r="AH954" s="139"/>
      <c r="AI954" s="139"/>
    </row>
    <row r="955">
      <c r="A955" s="139"/>
      <c r="B955" s="139"/>
      <c r="C955" s="139"/>
      <c r="D955" s="139"/>
      <c r="E955" s="139"/>
      <c r="F955" s="139"/>
      <c r="G955" s="139"/>
      <c r="H955" s="139"/>
      <c r="I955" s="139"/>
      <c r="J955" s="139"/>
      <c r="K955" s="140"/>
      <c r="L955" s="140"/>
      <c r="M955" s="140"/>
      <c r="N955" s="140"/>
      <c r="O955" s="140"/>
      <c r="P955" s="139"/>
      <c r="Q955" s="139"/>
      <c r="R955" s="139"/>
      <c r="S955" s="139"/>
      <c r="T955" s="139"/>
      <c r="U955" s="139"/>
      <c r="V955" s="139"/>
      <c r="W955" s="139"/>
      <c r="X955" s="139"/>
      <c r="Y955" s="139"/>
      <c r="Z955" s="139"/>
      <c r="AA955" s="139"/>
      <c r="AB955" s="139"/>
      <c r="AC955" s="139"/>
      <c r="AD955" s="139"/>
      <c r="AE955" s="139"/>
      <c r="AF955" s="139"/>
      <c r="AG955" s="139"/>
      <c r="AH955" s="139"/>
      <c r="AI955" s="139"/>
    </row>
    <row r="956">
      <c r="A956" s="139"/>
      <c r="B956" s="139"/>
      <c r="C956" s="139"/>
      <c r="D956" s="139"/>
      <c r="E956" s="139"/>
      <c r="F956" s="139"/>
      <c r="G956" s="139"/>
      <c r="H956" s="139"/>
      <c r="I956" s="139"/>
      <c r="J956" s="139"/>
      <c r="K956" s="140"/>
      <c r="L956" s="140"/>
      <c r="M956" s="140"/>
      <c r="N956" s="140"/>
      <c r="O956" s="140"/>
      <c r="P956" s="139"/>
      <c r="Q956" s="139"/>
      <c r="R956" s="139"/>
      <c r="S956" s="139"/>
      <c r="T956" s="139"/>
      <c r="U956" s="139"/>
      <c r="V956" s="139"/>
      <c r="W956" s="139"/>
      <c r="X956" s="139"/>
      <c r="Y956" s="139"/>
      <c r="Z956" s="139"/>
      <c r="AA956" s="139"/>
      <c r="AB956" s="139"/>
      <c r="AC956" s="139"/>
      <c r="AD956" s="139"/>
      <c r="AE956" s="139"/>
      <c r="AF956" s="139"/>
      <c r="AG956" s="139"/>
      <c r="AH956" s="139"/>
      <c r="AI956" s="139"/>
    </row>
    <row r="957">
      <c r="A957" s="139"/>
      <c r="B957" s="139"/>
      <c r="C957" s="139"/>
      <c r="D957" s="139"/>
      <c r="E957" s="139"/>
      <c r="F957" s="139"/>
      <c r="G957" s="139"/>
      <c r="H957" s="139"/>
      <c r="I957" s="139"/>
      <c r="J957" s="139"/>
      <c r="K957" s="140"/>
      <c r="L957" s="140"/>
      <c r="M957" s="140"/>
      <c r="N957" s="140"/>
      <c r="O957" s="140"/>
      <c r="P957" s="139"/>
      <c r="Q957" s="139"/>
      <c r="R957" s="139"/>
      <c r="S957" s="139"/>
      <c r="T957" s="139"/>
      <c r="U957" s="139"/>
      <c r="V957" s="139"/>
      <c r="W957" s="139"/>
      <c r="X957" s="139"/>
      <c r="Y957" s="139"/>
      <c r="Z957" s="139"/>
      <c r="AA957" s="139"/>
      <c r="AB957" s="139"/>
      <c r="AC957" s="139"/>
      <c r="AD957" s="139"/>
      <c r="AE957" s="139"/>
      <c r="AF957" s="139"/>
      <c r="AG957" s="139"/>
      <c r="AH957" s="139"/>
      <c r="AI957" s="139"/>
    </row>
    <row r="958">
      <c r="A958" s="139"/>
      <c r="B958" s="139"/>
      <c r="C958" s="139"/>
      <c r="D958" s="139"/>
      <c r="E958" s="139"/>
      <c r="F958" s="139"/>
      <c r="G958" s="139"/>
      <c r="H958" s="139"/>
      <c r="I958" s="139"/>
      <c r="J958" s="139"/>
      <c r="K958" s="140"/>
      <c r="L958" s="140"/>
      <c r="M958" s="140"/>
      <c r="N958" s="140"/>
      <c r="O958" s="140"/>
      <c r="P958" s="139"/>
      <c r="Q958" s="139"/>
      <c r="R958" s="139"/>
      <c r="S958" s="139"/>
      <c r="T958" s="139"/>
      <c r="U958" s="139"/>
      <c r="V958" s="139"/>
      <c r="W958" s="139"/>
      <c r="X958" s="139"/>
      <c r="Y958" s="139"/>
      <c r="Z958" s="139"/>
      <c r="AA958" s="139"/>
      <c r="AB958" s="139"/>
      <c r="AC958" s="139"/>
      <c r="AD958" s="139"/>
      <c r="AE958" s="139"/>
      <c r="AF958" s="139"/>
      <c r="AG958" s="139"/>
      <c r="AH958" s="139"/>
      <c r="AI958" s="139"/>
    </row>
    <row r="959">
      <c r="A959" s="139"/>
      <c r="B959" s="139"/>
      <c r="C959" s="139"/>
      <c r="D959" s="139"/>
      <c r="E959" s="139"/>
      <c r="F959" s="139"/>
      <c r="G959" s="139"/>
      <c r="H959" s="139"/>
      <c r="I959" s="139"/>
      <c r="J959" s="139"/>
      <c r="K959" s="140"/>
      <c r="L959" s="140"/>
      <c r="M959" s="140"/>
      <c r="N959" s="140"/>
      <c r="O959" s="140"/>
      <c r="P959" s="139"/>
      <c r="Q959" s="139"/>
      <c r="R959" s="139"/>
      <c r="S959" s="139"/>
      <c r="T959" s="139"/>
      <c r="U959" s="139"/>
      <c r="V959" s="139"/>
      <c r="W959" s="139"/>
      <c r="X959" s="139"/>
      <c r="Y959" s="139"/>
      <c r="Z959" s="139"/>
      <c r="AA959" s="139"/>
      <c r="AB959" s="139"/>
      <c r="AC959" s="139"/>
      <c r="AD959" s="139"/>
      <c r="AE959" s="139"/>
      <c r="AF959" s="139"/>
      <c r="AG959" s="139"/>
      <c r="AH959" s="139"/>
      <c r="AI959" s="139"/>
    </row>
    <row r="960">
      <c r="A960" s="139"/>
      <c r="B960" s="139"/>
      <c r="C960" s="139"/>
      <c r="D960" s="139"/>
      <c r="E960" s="139"/>
      <c r="F960" s="139"/>
      <c r="G960" s="139"/>
      <c r="H960" s="139"/>
      <c r="I960" s="139"/>
      <c r="J960" s="139"/>
      <c r="K960" s="140"/>
      <c r="L960" s="140"/>
      <c r="M960" s="140"/>
      <c r="N960" s="140"/>
      <c r="O960" s="140"/>
      <c r="P960" s="139"/>
      <c r="Q960" s="139"/>
      <c r="R960" s="139"/>
      <c r="S960" s="139"/>
      <c r="T960" s="139"/>
      <c r="U960" s="139"/>
      <c r="V960" s="139"/>
      <c r="W960" s="139"/>
      <c r="X960" s="139"/>
      <c r="Y960" s="139"/>
      <c r="Z960" s="139"/>
      <c r="AA960" s="139"/>
      <c r="AB960" s="139"/>
      <c r="AC960" s="139"/>
      <c r="AD960" s="139"/>
      <c r="AE960" s="139"/>
      <c r="AF960" s="139"/>
      <c r="AG960" s="139"/>
      <c r="AH960" s="139"/>
      <c r="AI960" s="139"/>
    </row>
    <row r="961">
      <c r="A961" s="139"/>
      <c r="B961" s="139"/>
      <c r="C961" s="139"/>
      <c r="D961" s="139"/>
      <c r="E961" s="139"/>
      <c r="F961" s="139"/>
      <c r="G961" s="139"/>
      <c r="H961" s="139"/>
      <c r="I961" s="139"/>
      <c r="J961" s="139"/>
      <c r="K961" s="140"/>
      <c r="L961" s="140"/>
      <c r="M961" s="140"/>
      <c r="N961" s="140"/>
      <c r="O961" s="140"/>
      <c r="P961" s="139"/>
      <c r="Q961" s="139"/>
      <c r="R961" s="139"/>
      <c r="S961" s="139"/>
      <c r="T961" s="139"/>
      <c r="U961" s="139"/>
      <c r="V961" s="139"/>
      <c r="W961" s="139"/>
      <c r="X961" s="139"/>
      <c r="Y961" s="139"/>
      <c r="Z961" s="139"/>
      <c r="AA961" s="139"/>
      <c r="AB961" s="139"/>
      <c r="AC961" s="139"/>
      <c r="AD961" s="139"/>
      <c r="AE961" s="139"/>
      <c r="AF961" s="139"/>
      <c r="AG961" s="139"/>
      <c r="AH961" s="139"/>
      <c r="AI961" s="139"/>
    </row>
    <row r="962">
      <c r="A962" s="139"/>
      <c r="B962" s="139"/>
      <c r="C962" s="139"/>
      <c r="D962" s="139"/>
      <c r="E962" s="139"/>
      <c r="F962" s="139"/>
      <c r="G962" s="139"/>
      <c r="H962" s="139"/>
      <c r="I962" s="139"/>
      <c r="J962" s="139"/>
      <c r="K962" s="140"/>
      <c r="L962" s="140"/>
      <c r="M962" s="140"/>
      <c r="N962" s="140"/>
      <c r="O962" s="140"/>
      <c r="P962" s="139"/>
      <c r="Q962" s="139"/>
      <c r="R962" s="139"/>
      <c r="S962" s="139"/>
      <c r="T962" s="139"/>
      <c r="U962" s="139"/>
      <c r="V962" s="139"/>
      <c r="W962" s="139"/>
      <c r="X962" s="139"/>
      <c r="Y962" s="139"/>
      <c r="Z962" s="139"/>
      <c r="AA962" s="139"/>
      <c r="AB962" s="139"/>
      <c r="AC962" s="139"/>
      <c r="AD962" s="139"/>
      <c r="AE962" s="139"/>
      <c r="AF962" s="139"/>
      <c r="AG962" s="139"/>
      <c r="AH962" s="139"/>
      <c r="AI962" s="139"/>
    </row>
    <row r="963">
      <c r="A963" s="139"/>
      <c r="B963" s="139"/>
      <c r="C963" s="139"/>
      <c r="D963" s="139"/>
      <c r="E963" s="139"/>
      <c r="F963" s="139"/>
      <c r="G963" s="139"/>
      <c r="H963" s="139"/>
      <c r="I963" s="139"/>
      <c r="J963" s="139"/>
      <c r="K963" s="140"/>
      <c r="L963" s="140"/>
      <c r="M963" s="140"/>
      <c r="N963" s="140"/>
      <c r="O963" s="140"/>
      <c r="P963" s="139"/>
      <c r="Q963" s="139"/>
      <c r="R963" s="139"/>
      <c r="S963" s="139"/>
      <c r="T963" s="139"/>
      <c r="U963" s="139"/>
      <c r="V963" s="139"/>
      <c r="W963" s="139"/>
      <c r="X963" s="139"/>
      <c r="Y963" s="139"/>
      <c r="Z963" s="139"/>
      <c r="AA963" s="139"/>
      <c r="AB963" s="139"/>
      <c r="AC963" s="139"/>
      <c r="AD963" s="139"/>
      <c r="AE963" s="139"/>
      <c r="AF963" s="139"/>
      <c r="AG963" s="139"/>
      <c r="AH963" s="139"/>
      <c r="AI963" s="139"/>
    </row>
    <row r="964">
      <c r="A964" s="139"/>
      <c r="B964" s="139"/>
      <c r="C964" s="139"/>
      <c r="D964" s="139"/>
      <c r="E964" s="139"/>
      <c r="F964" s="139"/>
      <c r="G964" s="139"/>
      <c r="H964" s="139"/>
      <c r="I964" s="139"/>
      <c r="J964" s="139"/>
      <c r="K964" s="140"/>
      <c r="L964" s="140"/>
      <c r="M964" s="140"/>
      <c r="N964" s="140"/>
      <c r="O964" s="140"/>
      <c r="P964" s="139"/>
      <c r="Q964" s="139"/>
      <c r="R964" s="139"/>
      <c r="S964" s="139"/>
      <c r="T964" s="139"/>
      <c r="U964" s="139"/>
      <c r="V964" s="139"/>
      <c r="W964" s="139"/>
      <c r="X964" s="139"/>
      <c r="Y964" s="139"/>
      <c r="Z964" s="139"/>
      <c r="AA964" s="139"/>
      <c r="AB964" s="139"/>
      <c r="AC964" s="139"/>
      <c r="AD964" s="139"/>
      <c r="AE964" s="139"/>
      <c r="AF964" s="139"/>
      <c r="AG964" s="139"/>
      <c r="AH964" s="139"/>
      <c r="AI964" s="139"/>
    </row>
    <row r="965">
      <c r="A965" s="139"/>
      <c r="B965" s="139"/>
      <c r="C965" s="139"/>
      <c r="D965" s="139"/>
      <c r="E965" s="139"/>
      <c r="F965" s="139"/>
      <c r="G965" s="139"/>
      <c r="H965" s="139"/>
      <c r="I965" s="139"/>
      <c r="J965" s="139"/>
      <c r="K965" s="140"/>
      <c r="L965" s="140"/>
      <c r="M965" s="140"/>
      <c r="N965" s="140"/>
      <c r="O965" s="140"/>
      <c r="P965" s="139"/>
      <c r="Q965" s="139"/>
      <c r="R965" s="139"/>
      <c r="S965" s="139"/>
      <c r="T965" s="139"/>
      <c r="U965" s="139"/>
      <c r="V965" s="139"/>
      <c r="W965" s="139"/>
      <c r="X965" s="139"/>
      <c r="Y965" s="139"/>
      <c r="Z965" s="139"/>
      <c r="AA965" s="139"/>
      <c r="AB965" s="139"/>
      <c r="AC965" s="139"/>
      <c r="AD965" s="139"/>
      <c r="AE965" s="139"/>
      <c r="AF965" s="139"/>
      <c r="AG965" s="139"/>
      <c r="AH965" s="139"/>
      <c r="AI965" s="139"/>
    </row>
    <row r="966">
      <c r="A966" s="139"/>
      <c r="B966" s="139"/>
      <c r="C966" s="139"/>
      <c r="D966" s="139"/>
      <c r="E966" s="139"/>
      <c r="F966" s="139"/>
      <c r="G966" s="139"/>
      <c r="H966" s="139"/>
      <c r="I966" s="139"/>
      <c r="J966" s="139"/>
      <c r="K966" s="140"/>
      <c r="L966" s="140"/>
      <c r="M966" s="140"/>
      <c r="N966" s="140"/>
      <c r="O966" s="140"/>
      <c r="P966" s="139"/>
      <c r="Q966" s="139"/>
      <c r="R966" s="139"/>
      <c r="S966" s="139"/>
      <c r="T966" s="139"/>
      <c r="U966" s="139"/>
      <c r="V966" s="139"/>
      <c r="W966" s="139"/>
      <c r="X966" s="139"/>
      <c r="Y966" s="139"/>
      <c r="Z966" s="139"/>
      <c r="AA966" s="139"/>
      <c r="AB966" s="139"/>
      <c r="AC966" s="139"/>
      <c r="AD966" s="139"/>
      <c r="AE966" s="139"/>
      <c r="AF966" s="139"/>
      <c r="AG966" s="139"/>
      <c r="AH966" s="139"/>
      <c r="AI966" s="139"/>
    </row>
    <row r="967">
      <c r="A967" s="139"/>
      <c r="B967" s="139"/>
      <c r="C967" s="139"/>
      <c r="D967" s="139"/>
      <c r="E967" s="139"/>
      <c r="F967" s="139"/>
      <c r="G967" s="139"/>
      <c r="H967" s="139"/>
      <c r="I967" s="139"/>
      <c r="J967" s="139"/>
      <c r="K967" s="140"/>
      <c r="L967" s="140"/>
      <c r="M967" s="140"/>
      <c r="N967" s="140"/>
      <c r="O967" s="140"/>
      <c r="P967" s="139"/>
      <c r="Q967" s="139"/>
      <c r="R967" s="139"/>
      <c r="S967" s="139"/>
      <c r="T967" s="139"/>
      <c r="U967" s="139"/>
      <c r="V967" s="139"/>
      <c r="W967" s="139"/>
      <c r="X967" s="139"/>
      <c r="Y967" s="139"/>
      <c r="Z967" s="139"/>
      <c r="AA967" s="139"/>
      <c r="AB967" s="139"/>
      <c r="AC967" s="139"/>
      <c r="AD967" s="139"/>
      <c r="AE967" s="139"/>
      <c r="AF967" s="139"/>
      <c r="AG967" s="139"/>
      <c r="AH967" s="139"/>
      <c r="AI967" s="139"/>
    </row>
    <row r="968">
      <c r="A968" s="139"/>
      <c r="B968" s="139"/>
      <c r="C968" s="139"/>
      <c r="D968" s="139"/>
      <c r="E968" s="139"/>
      <c r="F968" s="139"/>
      <c r="G968" s="139"/>
      <c r="H968" s="139"/>
      <c r="I968" s="139"/>
      <c r="J968" s="139"/>
      <c r="K968" s="140"/>
      <c r="L968" s="140"/>
      <c r="M968" s="140"/>
      <c r="N968" s="140"/>
      <c r="O968" s="140"/>
      <c r="P968" s="139"/>
      <c r="Q968" s="139"/>
      <c r="R968" s="139"/>
      <c r="S968" s="139"/>
      <c r="T968" s="139"/>
      <c r="U968" s="139"/>
      <c r="V968" s="139"/>
      <c r="W968" s="139"/>
      <c r="X968" s="139"/>
      <c r="Y968" s="139"/>
      <c r="Z968" s="139"/>
      <c r="AA968" s="139"/>
      <c r="AB968" s="139"/>
      <c r="AC968" s="139"/>
      <c r="AD968" s="139"/>
      <c r="AE968" s="139"/>
      <c r="AF968" s="139"/>
      <c r="AG968" s="139"/>
      <c r="AH968" s="139"/>
      <c r="AI968" s="139"/>
    </row>
    <row r="969">
      <c r="A969" s="139"/>
      <c r="B969" s="139"/>
      <c r="C969" s="139"/>
      <c r="D969" s="139"/>
      <c r="E969" s="139"/>
      <c r="F969" s="139"/>
      <c r="G969" s="139"/>
      <c r="H969" s="139"/>
      <c r="I969" s="139"/>
      <c r="J969" s="139"/>
      <c r="K969" s="140"/>
      <c r="L969" s="140"/>
      <c r="M969" s="140"/>
      <c r="N969" s="140"/>
      <c r="O969" s="140"/>
      <c r="P969" s="139"/>
      <c r="Q969" s="139"/>
      <c r="R969" s="139"/>
      <c r="S969" s="139"/>
      <c r="T969" s="139"/>
      <c r="U969" s="139"/>
      <c r="V969" s="139"/>
      <c r="W969" s="139"/>
      <c r="X969" s="139"/>
      <c r="Y969" s="139"/>
      <c r="Z969" s="139"/>
      <c r="AA969" s="139"/>
      <c r="AB969" s="139"/>
      <c r="AC969" s="139"/>
      <c r="AD969" s="139"/>
      <c r="AE969" s="139"/>
      <c r="AF969" s="139"/>
      <c r="AG969" s="139"/>
      <c r="AH969" s="139"/>
      <c r="AI969" s="139"/>
    </row>
    <row r="970">
      <c r="A970" s="139"/>
      <c r="B970" s="139"/>
      <c r="C970" s="139"/>
      <c r="D970" s="139"/>
      <c r="E970" s="139"/>
      <c r="F970" s="139"/>
      <c r="G970" s="139"/>
      <c r="H970" s="139"/>
      <c r="I970" s="139"/>
      <c r="J970" s="139"/>
      <c r="K970" s="140"/>
      <c r="L970" s="140"/>
      <c r="M970" s="140"/>
      <c r="N970" s="140"/>
      <c r="O970" s="140"/>
      <c r="P970" s="139"/>
      <c r="Q970" s="139"/>
      <c r="R970" s="139"/>
      <c r="S970" s="139"/>
      <c r="T970" s="139"/>
      <c r="U970" s="139"/>
      <c r="V970" s="139"/>
      <c r="W970" s="139"/>
      <c r="X970" s="139"/>
      <c r="Y970" s="139"/>
      <c r="Z970" s="139"/>
      <c r="AA970" s="139"/>
      <c r="AB970" s="139"/>
      <c r="AC970" s="139"/>
      <c r="AD970" s="139"/>
      <c r="AE970" s="139"/>
      <c r="AF970" s="139"/>
      <c r="AG970" s="139"/>
      <c r="AH970" s="139"/>
      <c r="AI970" s="139"/>
    </row>
    <row r="971">
      <c r="A971" s="139"/>
      <c r="B971" s="139"/>
      <c r="C971" s="139"/>
      <c r="D971" s="139"/>
      <c r="E971" s="139"/>
      <c r="F971" s="139"/>
      <c r="G971" s="139"/>
      <c r="H971" s="139"/>
      <c r="I971" s="139"/>
      <c r="J971" s="139"/>
      <c r="K971" s="140"/>
      <c r="L971" s="140"/>
      <c r="M971" s="140"/>
      <c r="N971" s="140"/>
      <c r="O971" s="140"/>
      <c r="P971" s="139"/>
      <c r="Q971" s="139"/>
      <c r="R971" s="139"/>
      <c r="S971" s="139"/>
      <c r="T971" s="139"/>
      <c r="U971" s="139"/>
      <c r="V971" s="139"/>
      <c r="W971" s="139"/>
      <c r="X971" s="139"/>
      <c r="Y971" s="139"/>
      <c r="Z971" s="139"/>
      <c r="AA971" s="139"/>
      <c r="AB971" s="139"/>
      <c r="AC971" s="139"/>
      <c r="AD971" s="139"/>
      <c r="AE971" s="139"/>
      <c r="AF971" s="139"/>
      <c r="AG971" s="139"/>
      <c r="AH971" s="139"/>
      <c r="AI971" s="139"/>
    </row>
    <row r="972">
      <c r="A972" s="139"/>
      <c r="B972" s="139"/>
      <c r="C972" s="139"/>
      <c r="D972" s="139"/>
      <c r="E972" s="139"/>
      <c r="F972" s="139"/>
      <c r="G972" s="139"/>
      <c r="H972" s="139"/>
      <c r="I972" s="139"/>
      <c r="J972" s="139"/>
      <c r="K972" s="140"/>
      <c r="L972" s="140"/>
      <c r="M972" s="140"/>
      <c r="N972" s="140"/>
      <c r="O972" s="140"/>
      <c r="P972" s="139"/>
      <c r="Q972" s="139"/>
      <c r="R972" s="139"/>
      <c r="S972" s="139"/>
      <c r="T972" s="139"/>
      <c r="U972" s="139"/>
      <c r="V972" s="139"/>
      <c r="W972" s="139"/>
      <c r="X972" s="139"/>
      <c r="Y972" s="139"/>
      <c r="Z972" s="139"/>
      <c r="AA972" s="139"/>
      <c r="AB972" s="139"/>
      <c r="AC972" s="139"/>
      <c r="AD972" s="139"/>
      <c r="AE972" s="139"/>
      <c r="AF972" s="139"/>
      <c r="AG972" s="139"/>
      <c r="AH972" s="139"/>
      <c r="AI972" s="139"/>
    </row>
    <row r="973">
      <c r="A973" s="139"/>
      <c r="B973" s="139"/>
      <c r="C973" s="139"/>
      <c r="D973" s="139"/>
      <c r="E973" s="139"/>
      <c r="F973" s="139"/>
      <c r="G973" s="139"/>
      <c r="H973" s="139"/>
      <c r="I973" s="139"/>
      <c r="J973" s="139"/>
      <c r="K973" s="140"/>
      <c r="L973" s="140"/>
      <c r="M973" s="140"/>
      <c r="N973" s="140"/>
      <c r="O973" s="140"/>
      <c r="P973" s="139"/>
      <c r="Q973" s="139"/>
      <c r="R973" s="139"/>
      <c r="S973" s="139"/>
      <c r="T973" s="139"/>
      <c r="U973" s="139"/>
      <c r="V973" s="139"/>
      <c r="W973" s="139"/>
      <c r="X973" s="139"/>
      <c r="Y973" s="139"/>
      <c r="Z973" s="139"/>
      <c r="AA973" s="139"/>
      <c r="AB973" s="139"/>
      <c r="AC973" s="139"/>
      <c r="AD973" s="139"/>
      <c r="AE973" s="139"/>
      <c r="AF973" s="139"/>
      <c r="AG973" s="139"/>
      <c r="AH973" s="139"/>
      <c r="AI973" s="139"/>
    </row>
    <row r="974">
      <c r="A974" s="139"/>
      <c r="B974" s="139"/>
      <c r="C974" s="139"/>
      <c r="D974" s="139"/>
      <c r="E974" s="139"/>
      <c r="F974" s="139"/>
      <c r="G974" s="139"/>
      <c r="H974" s="139"/>
      <c r="I974" s="139"/>
      <c r="J974" s="139"/>
      <c r="K974" s="140"/>
      <c r="L974" s="140"/>
      <c r="M974" s="140"/>
      <c r="N974" s="140"/>
      <c r="O974" s="140"/>
      <c r="P974" s="139"/>
      <c r="Q974" s="139"/>
      <c r="R974" s="139"/>
      <c r="S974" s="139"/>
      <c r="T974" s="139"/>
      <c r="U974" s="139"/>
      <c r="V974" s="139"/>
      <c r="W974" s="139"/>
      <c r="X974" s="139"/>
      <c r="Y974" s="139"/>
      <c r="Z974" s="139"/>
      <c r="AA974" s="139"/>
      <c r="AB974" s="139"/>
      <c r="AC974" s="139"/>
      <c r="AD974" s="139"/>
      <c r="AE974" s="139"/>
      <c r="AF974" s="139"/>
      <c r="AG974" s="139"/>
      <c r="AH974" s="139"/>
      <c r="AI974" s="139"/>
    </row>
    <row r="975">
      <c r="A975" s="139"/>
      <c r="B975" s="139"/>
      <c r="C975" s="139"/>
      <c r="D975" s="139"/>
      <c r="E975" s="139"/>
      <c r="F975" s="139"/>
      <c r="G975" s="139"/>
      <c r="H975" s="139"/>
      <c r="I975" s="139"/>
      <c r="J975" s="139"/>
      <c r="K975" s="140"/>
      <c r="L975" s="140"/>
      <c r="M975" s="140"/>
      <c r="N975" s="140"/>
      <c r="O975" s="140"/>
      <c r="P975" s="139"/>
      <c r="Q975" s="139"/>
      <c r="R975" s="139"/>
      <c r="S975" s="139"/>
      <c r="T975" s="139"/>
      <c r="U975" s="139"/>
      <c r="V975" s="139"/>
      <c r="W975" s="139"/>
      <c r="X975" s="139"/>
      <c r="Y975" s="139"/>
      <c r="Z975" s="139"/>
      <c r="AA975" s="139"/>
      <c r="AB975" s="139"/>
      <c r="AC975" s="139"/>
      <c r="AD975" s="139"/>
      <c r="AE975" s="139"/>
      <c r="AF975" s="139"/>
      <c r="AG975" s="139"/>
      <c r="AH975" s="139"/>
      <c r="AI975" s="139"/>
    </row>
    <row r="976">
      <c r="A976" s="139"/>
      <c r="B976" s="139"/>
      <c r="C976" s="139"/>
      <c r="D976" s="139"/>
      <c r="E976" s="139"/>
      <c r="F976" s="139"/>
      <c r="G976" s="139"/>
      <c r="H976" s="139"/>
      <c r="I976" s="139"/>
      <c r="J976" s="139"/>
      <c r="K976" s="140"/>
      <c r="L976" s="140"/>
      <c r="M976" s="140"/>
      <c r="N976" s="140"/>
      <c r="O976" s="140"/>
      <c r="P976" s="139"/>
      <c r="Q976" s="139"/>
      <c r="R976" s="139"/>
      <c r="S976" s="139"/>
      <c r="T976" s="139"/>
      <c r="U976" s="139"/>
      <c r="V976" s="139"/>
      <c r="W976" s="139"/>
      <c r="X976" s="139"/>
      <c r="Y976" s="139"/>
      <c r="Z976" s="139"/>
      <c r="AA976" s="139"/>
      <c r="AB976" s="139"/>
      <c r="AC976" s="139"/>
      <c r="AD976" s="139"/>
      <c r="AE976" s="139"/>
      <c r="AF976" s="139"/>
      <c r="AG976" s="139"/>
      <c r="AH976" s="139"/>
      <c r="AI976" s="139"/>
    </row>
    <row r="977">
      <c r="A977" s="139"/>
      <c r="B977" s="139"/>
      <c r="C977" s="139"/>
      <c r="D977" s="139"/>
      <c r="E977" s="139"/>
      <c r="F977" s="139"/>
      <c r="G977" s="139"/>
      <c r="H977" s="139"/>
      <c r="I977" s="139"/>
      <c r="J977" s="139"/>
      <c r="K977" s="140"/>
      <c r="L977" s="140"/>
      <c r="M977" s="140"/>
      <c r="N977" s="140"/>
      <c r="O977" s="140"/>
      <c r="P977" s="139"/>
      <c r="Q977" s="139"/>
      <c r="R977" s="139"/>
      <c r="S977" s="139"/>
      <c r="T977" s="139"/>
      <c r="U977" s="139"/>
      <c r="V977" s="139"/>
      <c r="W977" s="139"/>
      <c r="X977" s="139"/>
      <c r="Y977" s="139"/>
      <c r="Z977" s="139"/>
      <c r="AA977" s="139"/>
      <c r="AB977" s="139"/>
      <c r="AC977" s="139"/>
      <c r="AD977" s="139"/>
      <c r="AE977" s="139"/>
      <c r="AF977" s="139"/>
      <c r="AG977" s="139"/>
      <c r="AH977" s="139"/>
      <c r="AI977" s="139"/>
    </row>
    <row r="978">
      <c r="A978" s="139"/>
      <c r="B978" s="139"/>
      <c r="C978" s="139"/>
      <c r="D978" s="139"/>
      <c r="E978" s="139"/>
      <c r="F978" s="139"/>
      <c r="G978" s="139"/>
      <c r="H978" s="139"/>
      <c r="I978" s="139"/>
      <c r="J978" s="139"/>
      <c r="K978" s="140"/>
      <c r="L978" s="140"/>
      <c r="M978" s="140"/>
      <c r="N978" s="140"/>
      <c r="O978" s="140"/>
      <c r="P978" s="139"/>
      <c r="Q978" s="139"/>
      <c r="R978" s="139"/>
      <c r="S978" s="139"/>
      <c r="T978" s="139"/>
      <c r="U978" s="139"/>
      <c r="V978" s="139"/>
      <c r="W978" s="139"/>
      <c r="X978" s="139"/>
      <c r="Y978" s="139"/>
      <c r="Z978" s="139"/>
      <c r="AA978" s="139"/>
      <c r="AB978" s="139"/>
      <c r="AC978" s="139"/>
      <c r="AD978" s="139"/>
      <c r="AE978" s="139"/>
      <c r="AF978" s="139"/>
      <c r="AG978" s="139"/>
      <c r="AH978" s="139"/>
      <c r="AI978" s="139"/>
    </row>
    <row r="979">
      <c r="A979" s="139"/>
      <c r="B979" s="139"/>
      <c r="C979" s="139"/>
      <c r="D979" s="139"/>
      <c r="E979" s="139"/>
      <c r="F979" s="139"/>
      <c r="G979" s="139"/>
      <c r="H979" s="139"/>
      <c r="I979" s="139"/>
      <c r="J979" s="139"/>
      <c r="K979" s="140"/>
      <c r="L979" s="140"/>
      <c r="M979" s="140"/>
      <c r="N979" s="140"/>
      <c r="O979" s="140"/>
      <c r="P979" s="139"/>
      <c r="Q979" s="139"/>
      <c r="R979" s="139"/>
      <c r="S979" s="139"/>
      <c r="T979" s="139"/>
      <c r="U979" s="139"/>
      <c r="V979" s="139"/>
      <c r="W979" s="139"/>
      <c r="X979" s="139"/>
      <c r="Y979" s="139"/>
      <c r="Z979" s="139"/>
      <c r="AA979" s="139"/>
      <c r="AB979" s="139"/>
      <c r="AC979" s="139"/>
      <c r="AD979" s="139"/>
      <c r="AE979" s="139"/>
      <c r="AF979" s="139"/>
      <c r="AG979" s="139"/>
      <c r="AH979" s="139"/>
      <c r="AI979" s="139"/>
    </row>
    <row r="980">
      <c r="A980" s="139"/>
      <c r="B980" s="139"/>
      <c r="C980" s="139"/>
      <c r="D980" s="139"/>
      <c r="E980" s="139"/>
      <c r="F980" s="139"/>
      <c r="G980" s="139"/>
      <c r="H980" s="139"/>
      <c r="I980" s="139"/>
      <c r="J980" s="139"/>
      <c r="K980" s="140"/>
      <c r="L980" s="140"/>
      <c r="M980" s="140"/>
      <c r="N980" s="140"/>
      <c r="O980" s="140"/>
      <c r="P980" s="139"/>
      <c r="Q980" s="139"/>
      <c r="R980" s="139"/>
      <c r="S980" s="139"/>
      <c r="T980" s="139"/>
      <c r="U980" s="139"/>
      <c r="V980" s="139"/>
      <c r="W980" s="139"/>
      <c r="X980" s="139"/>
      <c r="Y980" s="139"/>
      <c r="Z980" s="139"/>
      <c r="AA980" s="139"/>
      <c r="AB980" s="139"/>
      <c r="AC980" s="139"/>
      <c r="AD980" s="139"/>
      <c r="AE980" s="139"/>
      <c r="AF980" s="139"/>
      <c r="AG980" s="139"/>
      <c r="AH980" s="139"/>
      <c r="AI980" s="139"/>
    </row>
    <row r="981">
      <c r="A981" s="139"/>
      <c r="B981" s="139"/>
      <c r="C981" s="139"/>
      <c r="D981" s="139"/>
      <c r="E981" s="139"/>
      <c r="F981" s="139"/>
      <c r="G981" s="139"/>
      <c r="H981" s="139"/>
      <c r="I981" s="139"/>
      <c r="J981" s="139"/>
      <c r="K981" s="140"/>
      <c r="L981" s="140"/>
      <c r="M981" s="140"/>
      <c r="N981" s="140"/>
      <c r="O981" s="140"/>
      <c r="P981" s="139"/>
      <c r="Q981" s="139"/>
      <c r="R981" s="139"/>
      <c r="S981" s="139"/>
      <c r="T981" s="139"/>
      <c r="U981" s="139"/>
      <c r="V981" s="139"/>
      <c r="W981" s="139"/>
      <c r="X981" s="139"/>
      <c r="Y981" s="139"/>
      <c r="Z981" s="139"/>
      <c r="AA981" s="139"/>
      <c r="AB981" s="139"/>
      <c r="AC981" s="139"/>
      <c r="AD981" s="139"/>
      <c r="AE981" s="139"/>
      <c r="AF981" s="139"/>
      <c r="AG981" s="139"/>
      <c r="AH981" s="139"/>
      <c r="AI981" s="139"/>
    </row>
    <row r="982">
      <c r="A982" s="139"/>
      <c r="B982" s="139"/>
      <c r="C982" s="139"/>
      <c r="D982" s="139"/>
      <c r="E982" s="139"/>
      <c r="F982" s="139"/>
      <c r="G982" s="139"/>
      <c r="H982" s="139"/>
      <c r="I982" s="139"/>
      <c r="J982" s="139"/>
      <c r="K982" s="140"/>
      <c r="L982" s="140"/>
      <c r="M982" s="140"/>
      <c r="N982" s="140"/>
      <c r="O982" s="140"/>
      <c r="P982" s="139"/>
      <c r="Q982" s="139"/>
      <c r="R982" s="139"/>
      <c r="S982" s="139"/>
      <c r="T982" s="139"/>
      <c r="U982" s="139"/>
      <c r="V982" s="139"/>
      <c r="W982" s="139"/>
      <c r="X982" s="139"/>
      <c r="Y982" s="139"/>
      <c r="Z982" s="139"/>
      <c r="AA982" s="139"/>
      <c r="AB982" s="139"/>
      <c r="AC982" s="139"/>
      <c r="AD982" s="139"/>
      <c r="AE982" s="139"/>
      <c r="AF982" s="139"/>
      <c r="AG982" s="139"/>
      <c r="AH982" s="139"/>
      <c r="AI982" s="139"/>
    </row>
    <row r="983">
      <c r="A983" s="139"/>
      <c r="B983" s="139"/>
      <c r="C983" s="139"/>
      <c r="D983" s="139"/>
      <c r="E983" s="139"/>
      <c r="F983" s="139"/>
      <c r="G983" s="139"/>
      <c r="H983" s="139"/>
      <c r="I983" s="139"/>
      <c r="J983" s="139"/>
      <c r="K983" s="140"/>
      <c r="L983" s="140"/>
      <c r="M983" s="140"/>
      <c r="N983" s="140"/>
      <c r="O983" s="140"/>
      <c r="P983" s="139"/>
      <c r="Q983" s="139"/>
      <c r="R983" s="139"/>
      <c r="S983" s="139"/>
      <c r="T983" s="139"/>
      <c r="U983" s="139"/>
      <c r="V983" s="139"/>
      <c r="W983" s="139"/>
      <c r="X983" s="139"/>
      <c r="Y983" s="139"/>
      <c r="Z983" s="139"/>
      <c r="AA983" s="139"/>
      <c r="AB983" s="139"/>
      <c r="AC983" s="139"/>
      <c r="AD983" s="139"/>
      <c r="AE983" s="139"/>
      <c r="AF983" s="139"/>
      <c r="AG983" s="139"/>
      <c r="AH983" s="139"/>
      <c r="AI983" s="139"/>
    </row>
    <row r="984">
      <c r="A984" s="139"/>
      <c r="B984" s="139"/>
      <c r="C984" s="139"/>
      <c r="D984" s="139"/>
      <c r="E984" s="139"/>
      <c r="F984" s="139"/>
      <c r="G984" s="139"/>
      <c r="H984" s="139"/>
      <c r="I984" s="139"/>
      <c r="J984" s="139"/>
      <c r="K984" s="140"/>
      <c r="L984" s="140"/>
      <c r="M984" s="140"/>
      <c r="N984" s="140"/>
      <c r="O984" s="140"/>
      <c r="P984" s="139"/>
      <c r="Q984" s="139"/>
      <c r="R984" s="139"/>
      <c r="S984" s="139"/>
      <c r="T984" s="139"/>
      <c r="U984" s="139"/>
      <c r="V984" s="139"/>
      <c r="W984" s="139"/>
      <c r="X984" s="139"/>
      <c r="Y984" s="139"/>
      <c r="Z984" s="139"/>
      <c r="AA984" s="139"/>
      <c r="AB984" s="139"/>
      <c r="AC984" s="139"/>
      <c r="AD984" s="139"/>
      <c r="AE984" s="139"/>
      <c r="AF984" s="139"/>
      <c r="AG984" s="139"/>
      <c r="AH984" s="139"/>
      <c r="AI984" s="139"/>
    </row>
    <row r="985">
      <c r="A985" s="139"/>
      <c r="B985" s="139"/>
      <c r="C985" s="139"/>
      <c r="D985" s="139"/>
      <c r="E985" s="139"/>
      <c r="F985" s="139"/>
      <c r="G985" s="139"/>
      <c r="H985" s="139"/>
      <c r="I985" s="139"/>
      <c r="J985" s="139"/>
      <c r="K985" s="140"/>
      <c r="L985" s="140"/>
      <c r="M985" s="140"/>
      <c r="N985" s="140"/>
      <c r="O985" s="140"/>
      <c r="P985" s="139"/>
      <c r="Q985" s="139"/>
      <c r="R985" s="139"/>
      <c r="S985" s="139"/>
      <c r="T985" s="139"/>
      <c r="U985" s="139"/>
      <c r="V985" s="139"/>
      <c r="W985" s="139"/>
      <c r="X985" s="139"/>
      <c r="Y985" s="139"/>
      <c r="Z985" s="139"/>
      <c r="AA985" s="139"/>
      <c r="AB985" s="139"/>
      <c r="AC985" s="139"/>
      <c r="AD985" s="139"/>
      <c r="AE985" s="139"/>
      <c r="AF985" s="139"/>
      <c r="AG985" s="139"/>
      <c r="AH985" s="139"/>
      <c r="AI985" s="139"/>
    </row>
    <row r="986">
      <c r="A986" s="139"/>
      <c r="B986" s="139"/>
      <c r="C986" s="139"/>
      <c r="D986" s="139"/>
      <c r="E986" s="139"/>
      <c r="F986" s="139"/>
      <c r="G986" s="139"/>
      <c r="H986" s="139"/>
      <c r="I986" s="139"/>
      <c r="J986" s="139"/>
      <c r="K986" s="140"/>
      <c r="L986" s="140"/>
      <c r="M986" s="140"/>
      <c r="N986" s="140"/>
      <c r="O986" s="140"/>
      <c r="P986" s="139"/>
      <c r="Q986" s="139"/>
      <c r="R986" s="139"/>
      <c r="S986" s="139"/>
      <c r="T986" s="139"/>
      <c r="U986" s="139"/>
      <c r="V986" s="139"/>
      <c r="W986" s="139"/>
      <c r="X986" s="139"/>
      <c r="Y986" s="139"/>
      <c r="Z986" s="139"/>
      <c r="AA986" s="139"/>
      <c r="AB986" s="139"/>
      <c r="AC986" s="139"/>
      <c r="AD986" s="139"/>
      <c r="AE986" s="139"/>
      <c r="AF986" s="139"/>
      <c r="AG986" s="139"/>
      <c r="AH986" s="139"/>
      <c r="AI986" s="139"/>
    </row>
    <row r="987">
      <c r="A987" s="139"/>
      <c r="B987" s="139"/>
      <c r="C987" s="139"/>
      <c r="D987" s="139"/>
      <c r="E987" s="139"/>
      <c r="F987" s="139"/>
      <c r="G987" s="139"/>
      <c r="H987" s="139"/>
      <c r="I987" s="139"/>
      <c r="J987" s="139"/>
      <c r="K987" s="140"/>
      <c r="L987" s="140"/>
      <c r="M987" s="140"/>
      <c r="N987" s="140"/>
      <c r="O987" s="140"/>
      <c r="P987" s="139"/>
      <c r="Q987" s="139"/>
      <c r="R987" s="139"/>
      <c r="S987" s="139"/>
      <c r="T987" s="139"/>
      <c r="U987" s="139"/>
      <c r="V987" s="139"/>
      <c r="W987" s="139"/>
      <c r="X987" s="139"/>
      <c r="Y987" s="139"/>
      <c r="Z987" s="139"/>
      <c r="AA987" s="139"/>
      <c r="AB987" s="139"/>
      <c r="AC987" s="139"/>
      <c r="AD987" s="139"/>
      <c r="AE987" s="139"/>
      <c r="AF987" s="139"/>
      <c r="AG987" s="139"/>
      <c r="AH987" s="139"/>
      <c r="AI987" s="139"/>
    </row>
    <row r="988">
      <c r="A988" s="139"/>
      <c r="B988" s="139"/>
      <c r="C988" s="139"/>
      <c r="D988" s="139"/>
      <c r="E988" s="139"/>
      <c r="F988" s="139"/>
      <c r="G988" s="139"/>
      <c r="H988" s="139"/>
      <c r="I988" s="139"/>
      <c r="J988" s="139"/>
      <c r="K988" s="140"/>
      <c r="L988" s="140"/>
      <c r="M988" s="140"/>
      <c r="N988" s="140"/>
      <c r="O988" s="140"/>
      <c r="P988" s="139"/>
      <c r="Q988" s="139"/>
      <c r="R988" s="139"/>
      <c r="S988" s="139"/>
      <c r="T988" s="139"/>
      <c r="U988" s="139"/>
      <c r="V988" s="139"/>
      <c r="W988" s="139"/>
      <c r="X988" s="139"/>
      <c r="Y988" s="139"/>
      <c r="Z988" s="139"/>
      <c r="AA988" s="139"/>
      <c r="AB988" s="139"/>
      <c r="AC988" s="139"/>
      <c r="AD988" s="139"/>
      <c r="AE988" s="139"/>
      <c r="AF988" s="139"/>
      <c r="AG988" s="139"/>
      <c r="AH988" s="139"/>
      <c r="AI988" s="139"/>
    </row>
    <row r="989">
      <c r="A989" s="139"/>
      <c r="B989" s="139"/>
      <c r="C989" s="139"/>
      <c r="D989" s="139"/>
      <c r="E989" s="139"/>
      <c r="F989" s="139"/>
      <c r="G989" s="139"/>
      <c r="H989" s="139"/>
      <c r="I989" s="139"/>
      <c r="J989" s="139"/>
      <c r="K989" s="140"/>
      <c r="L989" s="140"/>
      <c r="M989" s="140"/>
      <c r="N989" s="140"/>
      <c r="O989" s="140"/>
      <c r="P989" s="139"/>
      <c r="Q989" s="139"/>
      <c r="R989" s="139"/>
      <c r="S989" s="139"/>
      <c r="T989" s="139"/>
      <c r="U989" s="139"/>
      <c r="V989" s="139"/>
      <c r="W989" s="139"/>
      <c r="X989" s="139"/>
      <c r="Y989" s="139"/>
      <c r="Z989" s="139"/>
      <c r="AA989" s="139"/>
      <c r="AB989" s="139"/>
      <c r="AC989" s="139"/>
      <c r="AD989" s="139"/>
      <c r="AE989" s="139"/>
      <c r="AF989" s="139"/>
      <c r="AG989" s="139"/>
      <c r="AH989" s="139"/>
      <c r="AI989" s="139"/>
    </row>
    <row r="990">
      <c r="A990" s="139"/>
      <c r="B990" s="139"/>
      <c r="C990" s="139"/>
      <c r="D990" s="139"/>
      <c r="E990" s="139"/>
      <c r="F990" s="139"/>
      <c r="G990" s="139"/>
      <c r="H990" s="139"/>
      <c r="I990" s="139"/>
      <c r="J990" s="139"/>
      <c r="K990" s="140"/>
      <c r="L990" s="140"/>
      <c r="M990" s="140"/>
      <c r="N990" s="140"/>
      <c r="O990" s="140"/>
      <c r="P990" s="139"/>
      <c r="Q990" s="139"/>
      <c r="R990" s="139"/>
      <c r="S990" s="139"/>
      <c r="T990" s="139"/>
      <c r="U990" s="139"/>
      <c r="V990" s="139"/>
      <c r="W990" s="139"/>
      <c r="X990" s="139"/>
      <c r="Y990" s="139"/>
      <c r="Z990" s="139"/>
      <c r="AA990" s="139"/>
      <c r="AB990" s="139"/>
      <c r="AC990" s="139"/>
      <c r="AD990" s="139"/>
      <c r="AE990" s="139"/>
      <c r="AF990" s="139"/>
      <c r="AG990" s="139"/>
      <c r="AH990" s="139"/>
      <c r="AI990" s="139"/>
    </row>
    <row r="991">
      <c r="A991" s="139"/>
      <c r="B991" s="139"/>
      <c r="C991" s="139"/>
      <c r="D991" s="139"/>
      <c r="E991" s="139"/>
      <c r="F991" s="139"/>
      <c r="G991" s="139"/>
      <c r="H991" s="139"/>
      <c r="I991" s="139"/>
      <c r="J991" s="139"/>
      <c r="K991" s="140"/>
      <c r="L991" s="140"/>
      <c r="M991" s="140"/>
      <c r="N991" s="140"/>
      <c r="O991" s="140"/>
      <c r="P991" s="139"/>
      <c r="Q991" s="139"/>
      <c r="R991" s="139"/>
      <c r="S991" s="139"/>
      <c r="T991" s="139"/>
      <c r="U991" s="139"/>
      <c r="V991" s="139"/>
      <c r="W991" s="139"/>
      <c r="X991" s="139"/>
      <c r="Y991" s="139"/>
      <c r="Z991" s="139"/>
      <c r="AA991" s="139"/>
      <c r="AB991" s="139"/>
      <c r="AC991" s="139"/>
      <c r="AD991" s="139"/>
      <c r="AE991" s="139"/>
      <c r="AF991" s="139"/>
      <c r="AG991" s="139"/>
      <c r="AH991" s="139"/>
      <c r="AI991" s="139"/>
    </row>
    <row r="992">
      <c r="A992" s="139"/>
      <c r="B992" s="139"/>
      <c r="C992" s="139"/>
      <c r="D992" s="139"/>
      <c r="E992" s="139"/>
      <c r="F992" s="139"/>
      <c r="G992" s="139"/>
      <c r="H992" s="139"/>
      <c r="I992" s="139"/>
      <c r="J992" s="139"/>
      <c r="K992" s="140"/>
      <c r="L992" s="140"/>
      <c r="M992" s="140"/>
      <c r="N992" s="140"/>
      <c r="O992" s="140"/>
      <c r="P992" s="139"/>
      <c r="Q992" s="139"/>
      <c r="R992" s="139"/>
      <c r="S992" s="139"/>
      <c r="T992" s="139"/>
      <c r="U992" s="139"/>
      <c r="V992" s="139"/>
      <c r="W992" s="139"/>
      <c r="X992" s="139"/>
      <c r="Y992" s="139"/>
      <c r="Z992" s="139"/>
      <c r="AA992" s="139"/>
      <c r="AB992" s="139"/>
      <c r="AC992" s="139"/>
      <c r="AD992" s="139"/>
      <c r="AE992" s="139"/>
      <c r="AF992" s="139"/>
      <c r="AG992" s="139"/>
      <c r="AH992" s="139"/>
      <c r="AI992" s="139"/>
    </row>
    <row r="993">
      <c r="A993" s="139"/>
      <c r="B993" s="139"/>
      <c r="C993" s="139"/>
      <c r="D993" s="139"/>
      <c r="E993" s="139"/>
      <c r="F993" s="139"/>
      <c r="G993" s="139"/>
      <c r="H993" s="139"/>
      <c r="I993" s="139"/>
      <c r="J993" s="139"/>
      <c r="K993" s="140"/>
      <c r="L993" s="140"/>
      <c r="M993" s="140"/>
      <c r="N993" s="140"/>
      <c r="O993" s="140"/>
      <c r="P993" s="139"/>
      <c r="Q993" s="139"/>
      <c r="R993" s="139"/>
      <c r="S993" s="139"/>
      <c r="T993" s="139"/>
      <c r="U993" s="139"/>
      <c r="V993" s="139"/>
      <c r="W993" s="139"/>
      <c r="X993" s="139"/>
      <c r="Y993" s="139"/>
      <c r="Z993" s="139"/>
      <c r="AA993" s="139"/>
      <c r="AB993" s="139"/>
      <c r="AC993" s="139"/>
      <c r="AD993" s="139"/>
      <c r="AE993" s="139"/>
      <c r="AF993" s="139"/>
      <c r="AG993" s="139"/>
      <c r="AH993" s="139"/>
      <c r="AI993" s="139"/>
    </row>
    <row r="994">
      <c r="A994" s="139"/>
      <c r="B994" s="139"/>
      <c r="C994" s="139"/>
      <c r="D994" s="139"/>
      <c r="E994" s="139"/>
      <c r="F994" s="139"/>
      <c r="G994" s="139"/>
      <c r="H994" s="139"/>
      <c r="I994" s="139"/>
      <c r="J994" s="139"/>
      <c r="K994" s="140"/>
      <c r="L994" s="140"/>
      <c r="M994" s="140"/>
      <c r="N994" s="140"/>
      <c r="O994" s="140"/>
      <c r="P994" s="139"/>
      <c r="Q994" s="139"/>
      <c r="R994" s="139"/>
      <c r="S994" s="139"/>
      <c r="T994" s="139"/>
      <c r="U994" s="139"/>
      <c r="V994" s="139"/>
      <c r="W994" s="139"/>
      <c r="X994" s="139"/>
      <c r="Y994" s="139"/>
      <c r="Z994" s="139"/>
      <c r="AA994" s="139"/>
      <c r="AB994" s="139"/>
      <c r="AC994" s="139"/>
      <c r="AD994" s="139"/>
      <c r="AE994" s="139"/>
      <c r="AF994" s="139"/>
      <c r="AG994" s="139"/>
      <c r="AH994" s="139"/>
      <c r="AI994" s="139"/>
    </row>
    <row r="995">
      <c r="A995" s="139"/>
      <c r="B995" s="139"/>
      <c r="C995" s="139"/>
      <c r="D995" s="139"/>
      <c r="E995" s="139"/>
      <c r="F995" s="139"/>
      <c r="G995" s="139"/>
      <c r="H995" s="139"/>
      <c r="I995" s="139"/>
      <c r="J995" s="139"/>
      <c r="K995" s="140"/>
      <c r="L995" s="140"/>
      <c r="M995" s="140"/>
      <c r="N995" s="140"/>
      <c r="O995" s="140"/>
      <c r="P995" s="139"/>
      <c r="Q995" s="139"/>
      <c r="R995" s="139"/>
      <c r="S995" s="139"/>
      <c r="T995" s="139"/>
      <c r="U995" s="139"/>
      <c r="V995" s="139"/>
      <c r="W995" s="139"/>
      <c r="X995" s="139"/>
      <c r="Y995" s="139"/>
      <c r="Z995" s="139"/>
      <c r="AA995" s="139"/>
      <c r="AB995" s="139"/>
      <c r="AC995" s="139"/>
      <c r="AD995" s="139"/>
      <c r="AE995" s="139"/>
      <c r="AF995" s="139"/>
      <c r="AG995" s="139"/>
      <c r="AH995" s="139"/>
      <c r="AI995" s="139"/>
    </row>
    <row r="996">
      <c r="A996" s="139"/>
      <c r="B996" s="139"/>
      <c r="C996" s="139"/>
      <c r="D996" s="139"/>
      <c r="E996" s="139"/>
      <c r="F996" s="139"/>
      <c r="G996" s="139"/>
      <c r="H996" s="139"/>
      <c r="I996" s="139"/>
      <c r="J996" s="139"/>
      <c r="K996" s="140"/>
      <c r="L996" s="140"/>
      <c r="M996" s="140"/>
      <c r="N996" s="140"/>
      <c r="O996" s="140"/>
      <c r="P996" s="139"/>
      <c r="Q996" s="139"/>
      <c r="R996" s="139"/>
      <c r="S996" s="139"/>
      <c r="T996" s="139"/>
      <c r="U996" s="139"/>
      <c r="V996" s="139"/>
      <c r="W996" s="139"/>
      <c r="X996" s="139"/>
      <c r="Y996" s="139"/>
      <c r="Z996" s="139"/>
      <c r="AA996" s="139"/>
      <c r="AB996" s="139"/>
      <c r="AC996" s="139"/>
      <c r="AD996" s="139"/>
      <c r="AE996" s="139"/>
      <c r="AF996" s="139"/>
      <c r="AG996" s="139"/>
      <c r="AH996" s="139"/>
      <c r="AI996" s="139"/>
    </row>
    <row r="997">
      <c r="A997" s="139"/>
      <c r="B997" s="139"/>
      <c r="C997" s="139"/>
      <c r="D997" s="139"/>
      <c r="E997" s="139"/>
      <c r="F997" s="139"/>
      <c r="G997" s="139"/>
      <c r="H997" s="139"/>
      <c r="I997" s="139"/>
      <c r="J997" s="139"/>
      <c r="K997" s="140"/>
      <c r="L997" s="140"/>
      <c r="M997" s="140"/>
      <c r="N997" s="140"/>
      <c r="O997" s="140"/>
      <c r="P997" s="139"/>
      <c r="Q997" s="139"/>
      <c r="R997" s="139"/>
      <c r="S997" s="139"/>
      <c r="T997" s="139"/>
      <c r="U997" s="139"/>
      <c r="V997" s="139"/>
      <c r="W997" s="139"/>
      <c r="X997" s="139"/>
      <c r="Y997" s="139"/>
      <c r="Z997" s="139"/>
      <c r="AA997" s="139"/>
      <c r="AB997" s="139"/>
      <c r="AC997" s="139"/>
      <c r="AD997" s="139"/>
      <c r="AE997" s="139"/>
      <c r="AF997" s="139"/>
      <c r="AG997" s="139"/>
      <c r="AH997" s="139"/>
      <c r="AI997" s="139"/>
    </row>
    <row r="998">
      <c r="A998" s="139"/>
      <c r="B998" s="139"/>
      <c r="C998" s="139"/>
      <c r="D998" s="139"/>
      <c r="E998" s="139"/>
      <c r="F998" s="139"/>
      <c r="G998" s="139"/>
      <c r="H998" s="139"/>
      <c r="I998" s="139"/>
      <c r="J998" s="139"/>
      <c r="K998" s="140"/>
      <c r="L998" s="140"/>
      <c r="M998" s="140"/>
      <c r="N998" s="140"/>
      <c r="O998" s="140"/>
      <c r="P998" s="139"/>
      <c r="Q998" s="139"/>
      <c r="R998" s="139"/>
      <c r="S998" s="139"/>
      <c r="T998" s="139"/>
      <c r="U998" s="139"/>
      <c r="V998" s="139"/>
      <c r="W998" s="139"/>
      <c r="X998" s="139"/>
      <c r="Y998" s="139"/>
      <c r="Z998" s="139"/>
      <c r="AA998" s="139"/>
      <c r="AB998" s="139"/>
      <c r="AC998" s="139"/>
      <c r="AD998" s="139"/>
      <c r="AE998" s="139"/>
      <c r="AF998" s="139"/>
      <c r="AG998" s="139"/>
      <c r="AH998" s="139"/>
      <c r="AI998" s="139"/>
    </row>
    <row r="999">
      <c r="A999" s="139"/>
      <c r="B999" s="139"/>
      <c r="C999" s="139"/>
      <c r="D999" s="139"/>
      <c r="E999" s="139"/>
      <c r="F999" s="139"/>
      <c r="G999" s="139"/>
      <c r="H999" s="139"/>
      <c r="I999" s="139"/>
      <c r="J999" s="139"/>
      <c r="K999" s="140"/>
      <c r="L999" s="140"/>
      <c r="M999" s="140"/>
      <c r="N999" s="140"/>
      <c r="O999" s="140"/>
      <c r="P999" s="139"/>
      <c r="Q999" s="139"/>
      <c r="R999" s="139"/>
      <c r="S999" s="139"/>
      <c r="T999" s="139"/>
      <c r="U999" s="139"/>
      <c r="V999" s="139"/>
      <c r="W999" s="139"/>
      <c r="X999" s="139"/>
      <c r="Y999" s="139"/>
      <c r="Z999" s="139"/>
      <c r="AA999" s="139"/>
      <c r="AB999" s="139"/>
      <c r="AC999" s="139"/>
      <c r="AD999" s="139"/>
      <c r="AE999" s="139"/>
      <c r="AF999" s="139"/>
      <c r="AG999" s="139"/>
      <c r="AH999" s="139"/>
      <c r="AI999" s="139"/>
    </row>
    <row r="1000">
      <c r="A1000" s="139"/>
      <c r="B1000" s="139"/>
      <c r="C1000" s="139"/>
      <c r="D1000" s="139"/>
      <c r="E1000" s="139"/>
      <c r="F1000" s="139"/>
      <c r="G1000" s="139"/>
      <c r="H1000" s="139"/>
      <c r="I1000" s="139"/>
      <c r="J1000" s="139"/>
      <c r="K1000" s="140"/>
      <c r="L1000" s="140"/>
      <c r="M1000" s="140"/>
      <c r="N1000" s="140"/>
      <c r="O1000" s="140"/>
      <c r="P1000" s="139"/>
      <c r="Q1000" s="139"/>
      <c r="R1000" s="139"/>
      <c r="S1000" s="139"/>
      <c r="T1000" s="139"/>
      <c r="U1000" s="139"/>
      <c r="V1000" s="139"/>
      <c r="W1000" s="139"/>
      <c r="X1000" s="139"/>
      <c r="Y1000" s="139"/>
      <c r="Z1000" s="139"/>
      <c r="AA1000" s="139"/>
      <c r="AB1000" s="139"/>
      <c r="AC1000" s="139"/>
      <c r="AD1000" s="139"/>
      <c r="AE1000" s="139"/>
      <c r="AF1000" s="139"/>
      <c r="AG1000" s="139"/>
      <c r="AH1000" s="139"/>
      <c r="AI1000" s="139"/>
    </row>
  </sheetData>
  <mergeCells count="6">
    <mergeCell ref="N1:O1"/>
    <mergeCell ref="B6:O6"/>
    <mergeCell ref="B7:O7"/>
    <mergeCell ref="B8:O8"/>
    <mergeCell ref="B9:O9"/>
    <mergeCell ref="R13:R14"/>
  </mergeCells>
  <printOptions horizontalCentered="1"/>
  <pageMargins bottom="0.1968503937007874" footer="0.0" header="0.0" left="0.11811023622047245" right="0.11811023622047245" top="0.2755905511811024"/>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9.71"/>
    <col customWidth="1" min="2" max="8" width="24.57"/>
    <col customWidth="1" min="9" max="9" width="12.43"/>
    <col customWidth="1" min="10" max="10" width="19.0"/>
    <col customWidth="1" min="11" max="11" width="14.57"/>
    <col customWidth="1" min="12" max="12" width="11.0"/>
    <col customWidth="1" min="13" max="26" width="9.71"/>
  </cols>
  <sheetData>
    <row r="1" ht="18.0" customHeight="1">
      <c r="A1" s="2"/>
      <c r="B1" s="2" t="s">
        <v>0</v>
      </c>
      <c r="C1" s="141"/>
      <c r="D1" s="142"/>
      <c r="E1" s="142"/>
      <c r="F1" s="142"/>
      <c r="G1" s="142"/>
      <c r="H1" s="143"/>
      <c r="I1" s="2"/>
      <c r="J1" s="2"/>
      <c r="K1" s="2"/>
      <c r="L1" s="2"/>
      <c r="M1" s="2"/>
      <c r="N1" s="2"/>
      <c r="O1" s="2"/>
      <c r="P1" s="2"/>
      <c r="Q1" s="139"/>
      <c r="R1" s="139"/>
      <c r="S1" s="139"/>
      <c r="T1" s="139"/>
      <c r="U1" s="139"/>
      <c r="V1" s="139"/>
      <c r="W1" s="139"/>
      <c r="X1" s="139"/>
      <c r="Y1" s="139"/>
      <c r="Z1" s="139"/>
    </row>
    <row r="2" ht="18.0" customHeight="1">
      <c r="A2" s="2"/>
      <c r="B2" s="2" t="s">
        <v>1</v>
      </c>
      <c r="C2" s="141"/>
      <c r="D2" s="142"/>
      <c r="E2" s="142"/>
      <c r="F2" s="142"/>
      <c r="G2" s="142"/>
      <c r="H2" s="143"/>
      <c r="I2" s="2"/>
      <c r="J2" s="2"/>
      <c r="K2" s="2"/>
      <c r="L2" s="2"/>
      <c r="M2" s="2"/>
      <c r="N2" s="2"/>
      <c r="O2" s="2"/>
      <c r="P2" s="2"/>
      <c r="Q2" s="139"/>
      <c r="R2" s="139"/>
      <c r="S2" s="139"/>
      <c r="T2" s="139"/>
      <c r="U2" s="139"/>
      <c r="V2" s="139"/>
      <c r="W2" s="139"/>
      <c r="X2" s="139"/>
      <c r="Y2" s="139"/>
      <c r="Z2" s="139"/>
    </row>
    <row r="3" ht="18.0" customHeight="1">
      <c r="A3" s="2"/>
      <c r="B3" s="2" t="s">
        <v>77</v>
      </c>
      <c r="C3" s="141"/>
      <c r="D3" s="142"/>
      <c r="E3" s="142"/>
      <c r="F3" s="142"/>
      <c r="G3" s="143"/>
      <c r="H3" s="143"/>
      <c r="I3" s="2"/>
      <c r="J3" s="2"/>
      <c r="K3" s="2"/>
      <c r="L3" s="2"/>
      <c r="M3" s="2"/>
      <c r="N3" s="2"/>
      <c r="O3" s="2"/>
      <c r="P3" s="2"/>
      <c r="Q3" s="139"/>
      <c r="R3" s="139"/>
      <c r="S3" s="139"/>
      <c r="T3" s="139"/>
      <c r="U3" s="139"/>
      <c r="V3" s="139"/>
      <c r="W3" s="139"/>
      <c r="X3" s="139"/>
      <c r="Y3" s="139"/>
      <c r="Z3" s="139"/>
    </row>
    <row r="4" ht="15.75" customHeight="1">
      <c r="A4" s="2"/>
      <c r="B4" s="2"/>
      <c r="C4" s="141"/>
      <c r="D4" s="142"/>
      <c r="E4" s="142"/>
      <c r="F4" s="142"/>
      <c r="G4" s="144"/>
      <c r="H4" s="144"/>
      <c r="I4" s="2"/>
      <c r="J4" s="2"/>
      <c r="K4" s="2"/>
      <c r="L4" s="2"/>
      <c r="M4" s="2"/>
      <c r="N4" s="2"/>
      <c r="O4" s="2"/>
      <c r="P4" s="2"/>
      <c r="Q4" s="139"/>
      <c r="R4" s="139"/>
      <c r="S4" s="139"/>
      <c r="T4" s="139"/>
      <c r="U4" s="139"/>
      <c r="V4" s="139"/>
      <c r="W4" s="139"/>
      <c r="X4" s="139"/>
      <c r="Y4" s="139"/>
      <c r="Z4" s="139"/>
    </row>
    <row r="5" ht="15.75" customHeight="1">
      <c r="A5" s="2"/>
      <c r="B5" s="2"/>
      <c r="C5" s="141"/>
      <c r="D5" s="142"/>
      <c r="E5" s="142"/>
      <c r="F5" s="142"/>
      <c r="G5" s="143"/>
      <c r="H5" s="145"/>
      <c r="I5" s="2"/>
      <c r="J5" s="2"/>
      <c r="K5" s="2"/>
      <c r="L5" s="2"/>
      <c r="M5" s="2"/>
      <c r="N5" s="2"/>
      <c r="O5" s="2"/>
      <c r="P5" s="2"/>
      <c r="Q5" s="139"/>
      <c r="R5" s="139"/>
      <c r="S5" s="139"/>
      <c r="T5" s="139"/>
      <c r="U5" s="139"/>
      <c r="V5" s="139"/>
      <c r="W5" s="139"/>
      <c r="X5" s="139"/>
      <c r="Y5" s="139"/>
      <c r="Z5" s="139"/>
    </row>
    <row r="6" ht="15.0" customHeight="1">
      <c r="A6" s="2"/>
      <c r="B6" s="146" t="s">
        <v>3</v>
      </c>
      <c r="C6" s="11"/>
      <c r="D6" s="11"/>
      <c r="E6" s="11"/>
      <c r="F6" s="11"/>
      <c r="G6" s="11"/>
      <c r="H6" s="12"/>
      <c r="I6" s="2"/>
      <c r="J6" s="2"/>
      <c r="K6" s="2"/>
      <c r="L6" s="2"/>
      <c r="M6" s="2"/>
      <c r="N6" s="2"/>
      <c r="O6" s="2"/>
      <c r="P6" s="2"/>
      <c r="Q6" s="139"/>
      <c r="R6" s="139"/>
      <c r="S6" s="139"/>
      <c r="T6" s="139"/>
      <c r="U6" s="139"/>
      <c r="V6" s="139"/>
      <c r="W6" s="139"/>
      <c r="X6" s="139"/>
      <c r="Y6" s="139"/>
      <c r="Z6" s="139"/>
    </row>
    <row r="7" ht="15.0" customHeight="1">
      <c r="A7" s="2"/>
      <c r="B7" s="64" t="s">
        <v>78</v>
      </c>
      <c r="C7" s="11"/>
      <c r="D7" s="11"/>
      <c r="E7" s="11"/>
      <c r="F7" s="11"/>
      <c r="G7" s="11"/>
      <c r="H7" s="12"/>
      <c r="I7" s="2"/>
      <c r="J7" s="2"/>
      <c r="K7" s="2"/>
      <c r="L7" s="2"/>
      <c r="M7" s="2"/>
      <c r="N7" s="2"/>
      <c r="O7" s="2"/>
      <c r="P7" s="2"/>
      <c r="Q7" s="139"/>
      <c r="R7" s="139"/>
      <c r="S7" s="139"/>
      <c r="T7" s="139"/>
      <c r="U7" s="139"/>
      <c r="V7" s="139"/>
      <c r="W7" s="139"/>
      <c r="X7" s="139"/>
      <c r="Y7" s="139"/>
      <c r="Z7" s="139"/>
    </row>
    <row r="8" ht="15.0" customHeight="1">
      <c r="A8" s="2"/>
      <c r="B8" s="63" t="str">
        <f>[1]Status!A6</f>
        <v>#ERROR!</v>
      </c>
      <c r="C8" s="11"/>
      <c r="D8" s="11"/>
      <c r="E8" s="11"/>
      <c r="F8" s="11"/>
      <c r="G8" s="11"/>
      <c r="H8" s="12"/>
      <c r="I8" s="2"/>
      <c r="J8" s="2"/>
      <c r="K8" s="2"/>
      <c r="L8" s="2"/>
      <c r="M8" s="2"/>
      <c r="N8" s="2"/>
      <c r="O8" s="2"/>
      <c r="P8" s="2"/>
      <c r="Q8" s="139"/>
      <c r="R8" s="139"/>
      <c r="S8" s="139"/>
      <c r="T8" s="139"/>
      <c r="U8" s="139"/>
      <c r="V8" s="139"/>
      <c r="W8" s="139"/>
      <c r="X8" s="139"/>
      <c r="Y8" s="139"/>
      <c r="Z8" s="139"/>
    </row>
    <row r="9" ht="15.0" customHeight="1">
      <c r="A9" s="2"/>
      <c r="B9" s="16"/>
      <c r="C9" s="16"/>
      <c r="D9" s="16"/>
      <c r="E9" s="16"/>
      <c r="F9" s="16"/>
      <c r="G9" s="16"/>
      <c r="H9" s="16"/>
      <c r="I9" s="2"/>
      <c r="J9" s="2"/>
      <c r="K9" s="2"/>
      <c r="L9" s="2"/>
      <c r="M9" s="2"/>
      <c r="N9" s="2"/>
      <c r="O9" s="2"/>
      <c r="P9" s="2"/>
      <c r="Q9" s="139"/>
      <c r="R9" s="139"/>
      <c r="S9" s="139"/>
      <c r="T9" s="139"/>
      <c r="U9" s="139"/>
      <c r="V9" s="139"/>
      <c r="W9" s="139"/>
      <c r="X9" s="139"/>
      <c r="Y9" s="139"/>
      <c r="Z9" s="139"/>
    </row>
    <row r="10" ht="46.5" customHeight="1">
      <c r="A10" s="2"/>
      <c r="B10" s="147" t="s">
        <v>79</v>
      </c>
      <c r="C10" s="148" t="s">
        <v>80</v>
      </c>
      <c r="D10" s="148" t="s">
        <v>81</v>
      </c>
      <c r="E10" s="148" t="s">
        <v>82</v>
      </c>
      <c r="F10" s="148" t="s">
        <v>83</v>
      </c>
      <c r="G10" s="148" t="s">
        <v>84</v>
      </c>
      <c r="H10" s="149" t="s">
        <v>85</v>
      </c>
      <c r="I10" s="2"/>
      <c r="J10" s="88"/>
      <c r="K10" s="88"/>
      <c r="L10" s="88"/>
      <c r="M10" s="88"/>
      <c r="N10" s="88"/>
      <c r="O10" s="88"/>
      <c r="P10" s="88"/>
      <c r="Q10" s="150"/>
      <c r="R10" s="150"/>
      <c r="S10" s="139"/>
      <c r="T10" s="139"/>
      <c r="U10" s="139"/>
      <c r="V10" s="139"/>
      <c r="W10" s="139"/>
      <c r="X10" s="139"/>
      <c r="Y10" s="139"/>
      <c r="Z10" s="139"/>
    </row>
    <row r="11" ht="15.0" customHeight="1">
      <c r="A11" s="2"/>
      <c r="B11" s="151" t="s">
        <v>86</v>
      </c>
      <c r="C11" s="152">
        <f>YR2009_11!B9+YR2012_14!B9+YR2015_17!B9+YR2018_20!B9+YR2021_23!B9+'2024-26 Contributions'!C11</f>
        <v>218306.49</v>
      </c>
      <c r="D11" s="152">
        <f>YR2009_11!C9+YR2012_14!C9+YR2015_17!C9+YR2018_20!C9+YR2021_23!C9+'2024-26 Contributions'!D11</f>
        <v>218306.49</v>
      </c>
      <c r="E11" s="152">
        <f>YR2009_11!D9+YR2012_14!D9+YR2015_17!D9+YR2018_20!D9+YR2021_23!D9+'2024-26 Contributions'!E11</f>
        <v>0</v>
      </c>
      <c r="F11" s="152">
        <f>YR2009_11!E9+YR2012_14!E9+YR2015_17!E9+YR2018_20!E9+YR2021_23!E9+'2024-26 Contributions'!F11</f>
        <v>0</v>
      </c>
      <c r="G11" s="152">
        <f>YR2009_11!F9+YR2012_14!F9+YR2015_17!F9+YR2018_20!F9+YR2021_23!F9+'2024-26 Contributions'!G11</f>
        <v>0</v>
      </c>
      <c r="H11" s="153">
        <v>0.0</v>
      </c>
      <c r="I11" s="2"/>
      <c r="J11" s="2"/>
      <c r="K11" s="2"/>
      <c r="L11" s="2"/>
      <c r="M11" s="2"/>
      <c r="N11" s="2"/>
      <c r="O11" s="2"/>
      <c r="P11" s="2"/>
      <c r="Q11" s="139"/>
      <c r="R11" s="139"/>
      <c r="S11" s="139"/>
      <c r="T11" s="139"/>
      <c r="U11" s="139"/>
      <c r="V11" s="139"/>
      <c r="W11" s="139"/>
      <c r="X11" s="139"/>
      <c r="Y11" s="139"/>
      <c r="Z11" s="139"/>
    </row>
    <row r="12" ht="15.0" customHeight="1">
      <c r="A12" s="2"/>
      <c r="B12" s="154" t="s">
        <v>87</v>
      </c>
      <c r="C12" s="155">
        <f>YR1991_93!B8+YR1994_96!B8+YR1997_99!B8+YR2000_02!B8+YR2003_05!B8+YR2006_08!B9+YR2009_11!B10+YR2012_14!B10+YR2015_17!B10+YR2018_20!B10+YR2021_23!B10+'2024-26 Contributions'!C12</f>
        <v>117486861.6</v>
      </c>
      <c r="D12" s="155">
        <f>YR1991_93!C8+YR1994_96!C8+YR1997_99!C8+YR2000_02!C8+YR2003_05!C8+YR2006_08!C9+YR2009_11!C10+YR2012_14!C10+YR2015_17!C10+YR2018_20!C10+YR2021_23!C10+'2024-26 Contributions'!D12</f>
        <v>116861570.6</v>
      </c>
      <c r="E12" s="155">
        <f>YR1991_93!D8+YR1994_96!D8+YR1997_99!D8+YR2000_02!D8+YR2003_05!D8+YR2006_08!D9+YR2009_11!D10+YR2012_14!D10+YR2015_17!D10+YR2018_20!D10+YR2021_23!D10+'2024-26 Contributions'!E12</f>
        <v>2584559</v>
      </c>
      <c r="F12" s="155">
        <f>YR1991_93!E8+YR1994_96!E8+YR1997_99!E8+YR2000_02!E8+YR2003_05!E8+YR2006_08!E9+YR2009_11!E10+YR2012_14!E10+YR2015_17!E10+YR2018_20!E10+YR2021_23!E10+'2024-26 Contributions'!F12</f>
        <v>0</v>
      </c>
      <c r="G12" s="155">
        <f>YR1991_93!F8+YR1994_96!F8+YR1997_99!F8+YR2000_02!F8+YR2003_05!F8+YR2006_08!F9+YR2009_11!F10+YR2012_14!F10+YR2015_17!F10+YR2018_20!F10+YR2021_23!F10+'2024-26 Contributions'!G12</f>
        <v>-1959267.998</v>
      </c>
      <c r="H12" s="156" t="str">
        <f>[3]Summary!$D$100</f>
        <v>#ERROR!</v>
      </c>
      <c r="I12" s="2"/>
      <c r="J12" s="2"/>
      <c r="K12" s="2"/>
      <c r="L12" s="2"/>
      <c r="M12" s="2"/>
      <c r="N12" s="2"/>
      <c r="O12" s="2"/>
      <c r="P12" s="2"/>
      <c r="Q12" s="139"/>
      <c r="R12" s="139"/>
      <c r="S12" s="139"/>
      <c r="T12" s="139"/>
      <c r="U12" s="139"/>
      <c r="V12" s="139"/>
      <c r="W12" s="139"/>
      <c r="X12" s="139"/>
      <c r="Y12" s="139"/>
      <c r="Z12" s="139"/>
    </row>
    <row r="13" ht="15.0" customHeight="1">
      <c r="A13" s="2"/>
      <c r="B13" s="154" t="s">
        <v>88</v>
      </c>
      <c r="C13" s="155">
        <f>YR1991_93!B9+YR1994_96!B9+YR1997_99!B9+YR2000_02!B9+YR2003_05!B9+YR2006_08!B10+YR2009_11!B11+YR2012_14!B11+YR2015_17!B11+YR2018_20!B11+YR2021_23!B11+'2024-26 Contributions'!C13</f>
        <v>51737968.72</v>
      </c>
      <c r="D13" s="155">
        <f>YR1991_93!C9+YR1994_96!C9+YR1997_99!C9+YR2000_02!C9+YR2003_05!C9+YR2006_08!C10+YR2009_11!C11+YR2012_14!C11+YR2015_17!C11+YR2018_20!C11+YR2021_23!C11+'2024-26 Contributions'!D13</f>
        <v>48903637.19</v>
      </c>
      <c r="E13" s="155">
        <f>YR1991_93!D9+YR1994_96!D9+YR1997_99!D9+YR2000_02!D9+YR2003_05!D9+YR2006_08!D10+YR2009_11!D11+YR2012_14!D11+YR2015_17!D11+YR2018_20!D11+YR2021_23!D11+'2024-26 Contributions'!E13</f>
        <v>523623</v>
      </c>
      <c r="F13" s="155">
        <f>YR1991_93!E9+YR1994_96!E9+YR1997_99!E9+YR2000_02!E9+YR2003_05!E9+YR2006_08!E10+YR2009_11!E11+YR2012_14!E11+YR2015_17!E11+YR2018_20!E11+YR2021_23!E11+'2024-26 Contributions'!F13</f>
        <v>0</v>
      </c>
      <c r="G13" s="155">
        <f>YR1991_93!F9+YR1994_96!F9+YR1997_99!F9+YR2000_02!F9+YR2003_05!F9+YR2006_08!F10+YR2009_11!F11+YR2012_14!F11+YR2015_17!F11+YR2018_20!F11+YR2021_23!F11+'2024-26 Contributions'!G13</f>
        <v>2310708.53</v>
      </c>
      <c r="H13" s="156" t="str">
        <f>[3]Summary!$D$101</f>
        <v>#ERROR!</v>
      </c>
      <c r="I13" s="2"/>
      <c r="J13" s="2"/>
      <c r="K13" s="2"/>
      <c r="L13" s="2"/>
      <c r="M13" s="2"/>
      <c r="N13" s="2"/>
      <c r="O13" s="2"/>
      <c r="P13" s="2"/>
      <c r="Q13" s="139"/>
      <c r="R13" s="139"/>
      <c r="S13" s="139"/>
      <c r="T13" s="139"/>
      <c r="U13" s="139"/>
      <c r="V13" s="139"/>
      <c r="W13" s="139"/>
      <c r="X13" s="139"/>
      <c r="Y13" s="139"/>
      <c r="Z13" s="139"/>
    </row>
    <row r="14" ht="15.0" customHeight="1">
      <c r="A14" s="2"/>
      <c r="B14" s="157" t="s">
        <v>89</v>
      </c>
      <c r="C14" s="155">
        <f>YR1991_93!B10+YR1994_96!B10+YR1997_99!B10+YR2000_02!B10+YR2003_05!B10+YR2006_08!B11+YR2009_11!B12+YR2012_14!B12+YR2015_17!B12+YR2018_20!B12+YR2021_23!B12+'2024-26 Contributions'!C14</f>
        <v>2137413.995</v>
      </c>
      <c r="D14" s="155">
        <f>YR1991_93!C10+YR1994_96!C10+YR1997_99!C10+YR2000_02!C10+YR2003_05!C10+YR2006_08!C11+YR2009_11!C12+YR2012_14!C12+YR2015_17!C12+YR2018_20!C12+YR2021_23!C12+'2024-26 Contributions'!D14</f>
        <v>311682.67</v>
      </c>
      <c r="E14" s="155">
        <f>YR1991_93!D10+YR1994_96!D10+YR1997_99!D10+YR2000_02!D10+YR2003_05!D10+YR2006_08!D11+YR2009_11!D12+YR2012_14!D12+YR2015_17!D12+YR2018_20!D12+YR2021_23!D12+'2024-26 Contributions'!E14</f>
        <v>0</v>
      </c>
      <c r="F14" s="155">
        <f>YR1991_93!E10+YR1994_96!E10+YR1997_99!E10+YR2000_02!E10+YR2003_05!E10+YR2006_08!E11+YR2009_11!E12+YR2012_14!E12+YR2015_17!E12+YR2018_20!E12+YR2021_23!E12+'2024-26 Contributions'!F14</f>
        <v>0</v>
      </c>
      <c r="G14" s="155">
        <f>YR1991_93!F10+YR1994_96!F10+YR1997_99!F10+YR2000_02!F10+YR2003_05!F10+YR2006_08!F11+YR2009_11!F12+YR2012_14!F12+YR2015_17!F12+YR2018_20!F12+YR2021_23!F12+'2024-26 Contributions'!G14</f>
        <v>1825731.325</v>
      </c>
      <c r="H14" s="156">
        <v>0.0</v>
      </c>
      <c r="I14" s="2"/>
      <c r="J14" s="2"/>
      <c r="K14" s="2"/>
      <c r="L14" s="2"/>
      <c r="M14" s="2"/>
      <c r="N14" s="2"/>
      <c r="O14" s="2"/>
      <c r="P14" s="2"/>
      <c r="Q14" s="139"/>
      <c r="R14" s="139"/>
      <c r="S14" s="139"/>
      <c r="T14" s="139"/>
      <c r="U14" s="139"/>
      <c r="V14" s="139"/>
      <c r="W14" s="139"/>
      <c r="X14" s="139"/>
      <c r="Y14" s="139"/>
      <c r="Z14" s="139"/>
    </row>
    <row r="15" ht="15.0" customHeight="1">
      <c r="A15" s="2"/>
      <c r="B15" s="154" t="s">
        <v>90</v>
      </c>
      <c r="C15" s="155">
        <f>YR1991_93!B11+YR1994_96!B11+YR1997_99!B11+YR2000_02!B11+YR2003_05!B11+YR2006_08!B12+YR2009_11!B13+YR2012_14!B13+YR2015_17!B13+YR2018_20!B13+YR2021_23!B13+'2024-26 Contributions'!C15</f>
        <v>4338659.14</v>
      </c>
      <c r="D15" s="155">
        <f>YR1991_93!C11+YR1994_96!C11+YR1997_99!C11+YR2000_02!C11+YR2003_05!C11+YR2006_08!C12+YR2009_11!C13+YR2012_14!C13+YR2015_17!C13+YR2018_20!C13+YR2021_23!C13+'2024-26 Contributions'!D15</f>
        <v>1069991</v>
      </c>
      <c r="E15" s="155">
        <f>YR1991_93!D11+YR1994_96!D11+YR1997_99!D11+YR2000_02!D11+YR2003_05!D11+YR2006_08!D12+YR2009_11!D13+YR2012_14!D13+YR2015_17!D13+YR2018_20!D13+YR2021_23!D13+'2024-26 Contributions'!E15</f>
        <v>0</v>
      </c>
      <c r="F15" s="155">
        <f>YR1991_93!E11+YR1994_96!E11+YR1997_99!E11+YR2000_02!E11+YR2003_05!E11+YR2006_08!E12+YR2009_11!E13+YR2012_14!E13+YR2015_17!E13+YR2018_20!E13+YR2021_23!E13+'2024-26 Contributions'!F15</f>
        <v>0</v>
      </c>
      <c r="G15" s="155">
        <f>YR1991_93!F11+YR1994_96!F11+YR1997_99!F11+YR2000_02!F11+YR2003_05!F11+YR2006_08!F12+YR2009_11!F13+YR2012_14!F13+YR2015_17!F13+YR2018_20!F13+YR2021_23!F13+'2024-26 Contributions'!G15</f>
        <v>3268668.14</v>
      </c>
      <c r="H15" s="156">
        <v>0.0</v>
      </c>
      <c r="I15" s="2"/>
      <c r="J15" s="2"/>
      <c r="K15" s="2"/>
      <c r="L15" s="2"/>
      <c r="M15" s="2"/>
      <c r="N15" s="2"/>
      <c r="O15" s="2"/>
      <c r="P15" s="2"/>
      <c r="Q15" s="139"/>
      <c r="R15" s="139"/>
      <c r="S15" s="139"/>
      <c r="T15" s="139"/>
      <c r="U15" s="139"/>
      <c r="V15" s="139"/>
      <c r="W15" s="139"/>
      <c r="X15" s="139"/>
      <c r="Y15" s="139"/>
      <c r="Z15" s="139"/>
    </row>
    <row r="16" ht="15.0" customHeight="1">
      <c r="A16" s="2"/>
      <c r="B16" s="154" t="s">
        <v>91</v>
      </c>
      <c r="C16" s="155">
        <f>YR1991_93!B12+YR1994_96!B12+YR1997_99!B12+YR2000_02!B12+YR2003_05!B12+YR2006_08!B13+YR2009_11!B14+YR2012_14!B14+YR2015_17!B14+YR2018_20!B14+YR2021_23!B14+'2024-26 Contributions'!C16</f>
        <v>64038772.37</v>
      </c>
      <c r="D16" s="155">
        <f>YR1991_93!C12+YR1994_96!C12+YR1997_99!C12+YR2000_02!C12+YR2003_05!C12+YR2006_08!C13+YR2009_11!C14+YR2012_14!C14+YR2015_17!C14+YR2018_20!C14+YR2021_23!C14+'2024-26 Contributions'!D16</f>
        <v>61580941.7</v>
      </c>
      <c r="E16" s="155">
        <f>YR1991_93!D12+YR1994_96!D12+YR1997_99!D12+YR2000_02!D12+YR2003_05!D12+YR2006_08!D13+YR2009_11!D14+YR2012_14!D14+YR2015_17!D14+YR2018_20!D14+YR2021_23!D14+'2024-26 Contributions'!E16</f>
        <v>0</v>
      </c>
      <c r="F16" s="155">
        <f>YR1991_93!E12+YR1994_96!E12+YR1997_99!E12+YR2000_02!E12+YR2003_05!E12+YR2006_08!E13+YR2009_11!E14+YR2012_14!E14+YR2015_17!E14+YR2018_20!E14+YR2021_23!E14+'2024-26 Contributions'!F16</f>
        <v>0</v>
      </c>
      <c r="G16" s="155">
        <f>YR1991_93!F12+YR1994_96!F12+YR1997_99!F12+YR2000_02!F12+YR2003_05!F12+YR2006_08!F13+YR2009_11!F14+YR2012_14!F14+YR2015_17!F14+YR2018_20!F14+YR2021_23!F14+'2024-26 Contributions'!G16</f>
        <v>2457830.67</v>
      </c>
      <c r="H16" s="156" t="str">
        <f>[4]Summary!$D$102</f>
        <v>#ERROR!</v>
      </c>
      <c r="I16" s="2"/>
      <c r="J16" s="2"/>
      <c r="K16" s="2"/>
      <c r="L16" s="2"/>
      <c r="M16" s="2"/>
      <c r="N16" s="2"/>
      <c r="O16" s="2"/>
      <c r="P16" s="2"/>
      <c r="Q16" s="139"/>
      <c r="R16" s="139"/>
      <c r="S16" s="139"/>
      <c r="T16" s="139"/>
      <c r="U16" s="139"/>
      <c r="V16" s="139"/>
      <c r="W16" s="139"/>
      <c r="X16" s="139"/>
      <c r="Y16" s="139"/>
      <c r="Z16" s="139"/>
    </row>
    <row r="17" ht="15.0" customHeight="1">
      <c r="A17" s="2"/>
      <c r="B17" s="154" t="s">
        <v>92</v>
      </c>
      <c r="C17" s="155">
        <f>YR1991_93!B14+YR1994_96!B14+YR1997_99!B14+YR2000_02!B13+YR2003_05!B13+YR2006_08!B14+YR2009_11!B15+YR2012_14!B15+YR2015_17!B15+YR2018_20!B15+YR2021_23!B15+'2024-26 Contributions'!C17</f>
        <v>2593621.08</v>
      </c>
      <c r="D17" s="155">
        <f>YR1991_93!C14+YR1994_96!C14+YR1997_99!C14+YR2000_02!C13+YR2003_05!C13+YR2006_08!C14+YR2009_11!C15+YR2012_14!C15+YR2015_17!C15+YR2018_20!C15+YR2021_23!C15+'2024-26 Contributions'!D17</f>
        <v>2427391.08</v>
      </c>
      <c r="E17" s="155">
        <f>YR1991_93!D14+YR1994_96!D14+YR1997_99!D14+YR2000_02!D13+YR2003_05!D13+YR2006_08!D14+YR2009_11!D15+YR2012_14!D15+YR2015_17!D15+YR2018_20!D15+YR2021_23!D15+'2024-26 Contributions'!E17</f>
        <v>0</v>
      </c>
      <c r="F17" s="155">
        <f>YR1991_93!E14+YR1994_96!E14+YR1997_99!E14+YR2000_02!E13+YR2003_05!E13+YR2006_08!E14+YR2009_11!E15+YR2012_14!E15+YR2015_17!E15+YR2018_20!E15+YR2021_23!E15+'2024-26 Contributions'!F17</f>
        <v>0</v>
      </c>
      <c r="G17" s="155">
        <f>YR1991_93!F14+YR1994_96!F14+YR1997_99!F14+YR2000_02!F13+YR2003_05!F13+YR2006_08!F14+YR2009_11!F15+YR2012_14!F15+YR2015_17!F15+YR2018_20!F15+YR2021_23!F15+'2024-26 Contributions'!G17</f>
        <v>166230</v>
      </c>
      <c r="H17" s="156">
        <v>0.0</v>
      </c>
      <c r="I17" s="2"/>
      <c r="J17" s="158"/>
      <c r="K17" s="2"/>
      <c r="L17" s="2"/>
      <c r="M17" s="2"/>
      <c r="N17" s="2"/>
      <c r="O17" s="2"/>
      <c r="P17" s="2"/>
      <c r="Q17" s="139"/>
      <c r="R17" s="139"/>
      <c r="S17" s="139"/>
      <c r="T17" s="139"/>
      <c r="U17" s="139"/>
      <c r="V17" s="139"/>
      <c r="W17" s="139"/>
      <c r="X17" s="139"/>
      <c r="Y17" s="139"/>
      <c r="Z17" s="139"/>
    </row>
    <row r="18" ht="15.0" customHeight="1">
      <c r="A18" s="2"/>
      <c r="B18" s="154" t="s">
        <v>93</v>
      </c>
      <c r="C18" s="155">
        <f>YR1991_93!B15+YR1994_96!B15+YR1997_99!B15+YR2000_02!B14+YR2003_05!B14+YR2006_08!B15+YR2009_11!B16+YR2012_14!B16+YR2015_17!B16+YR2018_20!B16+YR2021_23!B16+'2024-26 Contributions'!C18</f>
        <v>184964833.7</v>
      </c>
      <c r="D18" s="155">
        <f>YR1991_93!C15+YR1994_96!C15+YR1997_99!C15+YR2000_02!C14+YR2003_05!C14+YR2006_08!C15+YR2009_11!C16+YR2012_14!C16+YR2015_17!C16+YR2018_20!C16+YR2021_23!C16+'2024-26 Contributions'!D18</f>
        <v>166260836.3</v>
      </c>
      <c r="E18" s="155">
        <f>YR1991_93!D15+YR1994_96!D15+YR1997_99!D15+YR2000_02!D14+YR2003_05!D14+YR2006_08!D15+YR2009_11!D16+YR2012_14!D16+YR2015_17!D16+YR2018_20!D16+YR2021_23!D16+'2024-26 Contributions'!E18</f>
        <v>10802182.1</v>
      </c>
      <c r="F18" s="155">
        <f>YR1991_93!E15+YR1994_96!E15+YR1997_99!E15+YR2000_02!E14+YR2003_05!E14+YR2006_08!E15+YR2009_11!E16+YR2012_14!E16+YR2015_17!E16+YR2018_20!E16+YR2021_23!E16+'2024-26 Contributions'!F18</f>
        <v>0</v>
      </c>
      <c r="G18" s="155">
        <f>YR1991_93!F15+YR1994_96!F15+YR1997_99!F15+YR2000_02!F14+YR2003_05!F14+YR2006_08!F15+YR2009_11!F16+YR2012_14!F16+YR2015_17!F16+YR2018_20!F16+YR2021_23!F16+'2024-26 Contributions'!G18</f>
        <v>7901815.35</v>
      </c>
      <c r="H18" s="156" t="str">
        <f>[3]Summary!$D$103</f>
        <v>#ERROR!</v>
      </c>
      <c r="I18" s="56"/>
      <c r="J18" s="158"/>
      <c r="K18" s="2"/>
      <c r="L18" s="2"/>
      <c r="M18" s="2"/>
      <c r="N18" s="2"/>
      <c r="O18" s="2"/>
      <c r="P18" s="2"/>
      <c r="Q18" s="139"/>
      <c r="R18" s="139"/>
      <c r="S18" s="139"/>
      <c r="T18" s="139"/>
      <c r="U18" s="139"/>
      <c r="V18" s="139"/>
      <c r="W18" s="139"/>
      <c r="X18" s="139"/>
      <c r="Y18" s="139"/>
      <c r="Z18" s="139"/>
    </row>
    <row r="19" ht="15.0" customHeight="1">
      <c r="A19" s="2"/>
      <c r="B19" s="154" t="s">
        <v>94</v>
      </c>
      <c r="C19" s="155">
        <f>YR2012_14!B17+YR2015_17!B17+YR2018_20!B17+YR2021_23!B17+'2024-26 Contributions'!C19</f>
        <v>2547512.94</v>
      </c>
      <c r="D19" s="155">
        <f>YR2012_14!C17+YR2015_17!C17+YR2018_20!C17+YR2021_23!C17+'2024-26 Contributions'!D19</f>
        <v>2277389.38</v>
      </c>
      <c r="E19" s="155">
        <f>YR2012_14!D17+YR2015_17!D17+YR2018_20!D17+YR2021_23!D17+'2024-26 Contributions'!E19</f>
        <v>0</v>
      </c>
      <c r="F19" s="155">
        <f>YR2012_14!E17+YR2015_17!E17+YR2018_20!E17+YR2021_23!E17+'2024-26 Contributions'!F19</f>
        <v>0</v>
      </c>
      <c r="G19" s="155">
        <f>YR2012_14!F17+YR2015_17!F17+YR2018_20!F17+YR2021_23!F17+'2024-26 Contributions'!G19</f>
        <v>270123.56</v>
      </c>
      <c r="H19" s="156" t="str">
        <f>[3]Summary!$D$104</f>
        <v>#ERROR!</v>
      </c>
      <c r="I19" s="2"/>
      <c r="J19" s="2"/>
      <c r="K19" s="2"/>
      <c r="L19" s="2"/>
      <c r="M19" s="2"/>
      <c r="N19" s="2"/>
      <c r="O19" s="2"/>
      <c r="P19" s="2"/>
      <c r="Q19" s="139"/>
      <c r="R19" s="139"/>
      <c r="S19" s="139"/>
      <c r="T19" s="139"/>
      <c r="U19" s="139"/>
      <c r="V19" s="139"/>
      <c r="W19" s="139"/>
      <c r="X19" s="139"/>
      <c r="Y19" s="139"/>
      <c r="Z19" s="139"/>
    </row>
    <row r="20" ht="15.0" customHeight="1">
      <c r="A20" s="2"/>
      <c r="B20" s="154" t="s">
        <v>95</v>
      </c>
      <c r="C20" s="155">
        <f>YR1991_93!B16+YR1994_96!B16+YR1997_99!B16+YR2006_08!B16+YR2009_11!B17+YR2012_14!B18+YR2015_17!B18+YR2018_20!B18+YR2021_23!B18+'2024-26 Contributions'!C20</f>
        <v>1790019.25</v>
      </c>
      <c r="D20" s="155">
        <f>YR1991_93!C16+YR1994_96!C16+YR1997_99!C16+YR2006_08!C16+YR2009_11!C17+YR2012_14!C18+YR2015_17!C18+YR2018_20!C18+YR2021_23!C18+'2024-26 Contributions'!D20</f>
        <v>1683157.27</v>
      </c>
      <c r="E20" s="155">
        <f>YR1991_93!D16+YR1994_96!D16+YR1997_99!D16+YR2006_08!D16+YR2009_11!D17+YR2012_14!D18+YR2015_17!D18+YR2018_20!D18+YR2021_23!D18+'2024-26 Contributions'!E20</f>
        <v>0</v>
      </c>
      <c r="F20" s="155">
        <f>YR1991_93!E16+YR1994_96!E16+YR1997_99!E16+YR2006_08!E16+YR2009_11!E17+YR2012_14!E18+YR2015_17!E18+YR2018_20!E18+YR2021_23!E18+'2024-26 Contributions'!F20</f>
        <v>0</v>
      </c>
      <c r="G20" s="155">
        <f>YR1991_93!F16+YR1994_96!F16+YR1997_99!F16+YR2006_08!F16+YR2009_11!F17+YR2012_14!F18+YR2015_17!F18+YR2018_20!F18+YR2021_23!F18+'2024-26 Contributions'!G20</f>
        <v>106861.98</v>
      </c>
      <c r="H20" s="156" t="str">
        <f>[3]Summary!$D$105</f>
        <v>#ERROR!</v>
      </c>
      <c r="I20" s="2"/>
      <c r="J20" s="2"/>
      <c r="K20" s="2"/>
      <c r="L20" s="2"/>
      <c r="M20" s="2"/>
      <c r="N20" s="2"/>
      <c r="O20" s="2"/>
      <c r="P20" s="2"/>
      <c r="Q20" s="139"/>
      <c r="R20" s="139"/>
      <c r="S20" s="139"/>
      <c r="T20" s="139"/>
      <c r="U20" s="139"/>
      <c r="V20" s="139"/>
      <c r="W20" s="139"/>
      <c r="X20" s="139"/>
      <c r="Y20" s="139"/>
      <c r="Z20" s="139"/>
    </row>
    <row r="21" ht="15.0" customHeight="1">
      <c r="A21" s="2"/>
      <c r="B21" s="154" t="s">
        <v>96</v>
      </c>
      <c r="C21" s="155">
        <f>YR1991_93!B17+YR1994_96!B17+YR1997_99!B17+YR2000_02!B15+YR2003_05!B15+YR2006_08!B17+YR2009_11!B18+YR2012_14!B19+YR2015_17!B19+YR2018_20!B19+YR2021_23!B19+'2024-26 Contributions'!C21</f>
        <v>18219049.2</v>
      </c>
      <c r="D21" s="155">
        <f>YR1991_93!C17+YR1994_96!C17+YR1997_99!C17+YR2000_02!C15+YR2003_05!C15+YR2006_08!C17+YR2009_11!C18+YR2012_14!C19+YR2015_17!C19+YR2018_20!C19+YR2021_23!C19+'2024-26 Contributions'!D21</f>
        <v>16932861.86</v>
      </c>
      <c r="E21" s="155">
        <f>YR1991_93!D17+YR1994_96!D17+YR1997_99!D17+YR2000_02!D15+YR2003_05!D15+YR2006_08!D17+YR2009_11!D18+YR2012_14!D19+YR2015_17!D19+YR2018_20!D19+YR2021_23!D19+'2024-26 Contributions'!E21</f>
        <v>276933</v>
      </c>
      <c r="F21" s="155">
        <f>YR1991_93!E17+YR1994_96!E17+YR1997_99!E17+YR2000_02!E15+YR2003_05!E15+YR2006_08!E17+YR2009_11!E18+YR2012_14!E19+YR2015_17!E19+YR2018_20!E19+YR2021_23!E19+'2024-26 Contributions'!F21</f>
        <v>0</v>
      </c>
      <c r="G21" s="155">
        <f>YR1991_93!F17+YR1994_96!F17+YR1997_99!F17+YR2000_02!F15+YR2003_05!F15+YR2006_08!F17+YR2009_11!F18+YR2012_14!F19+YR2015_17!F19+YR2018_20!F19+YR2021_23!F19+'2024-26 Contributions'!G21</f>
        <v>1009254.34</v>
      </c>
      <c r="H21" s="156" t="str">
        <f>[3]Summary!$D$106</f>
        <v>#ERROR!</v>
      </c>
      <c r="I21" s="2"/>
      <c r="J21" s="2"/>
      <c r="K21" s="2"/>
      <c r="L21" s="2"/>
      <c r="M21" s="2"/>
      <c r="N21" s="2"/>
      <c r="O21" s="2"/>
      <c r="P21" s="2"/>
      <c r="Q21" s="139"/>
      <c r="R21" s="139"/>
      <c r="S21" s="139"/>
      <c r="T21" s="139"/>
      <c r="U21" s="139"/>
      <c r="V21" s="139"/>
      <c r="W21" s="139"/>
      <c r="X21" s="139"/>
      <c r="Y21" s="139"/>
      <c r="Z21" s="139"/>
    </row>
    <row r="22" ht="15.0" customHeight="1">
      <c r="A22" s="2"/>
      <c r="B22" s="154" t="s">
        <v>97</v>
      </c>
      <c r="C22" s="155">
        <f>YR1991_93!B18+YR1994_96!B18+YR1997_99!B18+YR2000_02!B16+YR2003_05!B16+YR2006_08!B18+YR2009_11!B19+YR2012_14!B20+YR2015_17!B20+YR2018_20!B20+YR2021_23!B20+'2024-26 Contributions'!C22</f>
        <v>42590146.02</v>
      </c>
      <c r="D22" s="155">
        <f>YR1991_93!C18+YR1994_96!C18+YR1997_99!C18+YR2000_02!C16+YR2003_05!C16+YR2006_08!C18+YR2009_11!C19+YR2012_14!C20+YR2015_17!C20+YR2018_20!C20+YR2021_23!C20+'2024-26 Contributions'!D22</f>
        <v>40787570.72</v>
      </c>
      <c r="E22" s="155">
        <f>YR1991_93!D18+YR1994_96!D18+YR1997_99!D18+YR2000_02!D16+YR2003_05!D16+YR2006_08!D18+YR2009_11!D19+YR2012_14!D20+YR2015_17!D20+YR2018_20!D20+YR2021_23!D20+'2024-26 Contributions'!E22</f>
        <v>161053</v>
      </c>
      <c r="F22" s="155">
        <f>YR1991_93!E18+YR1994_96!E18+YR1997_99!E18+YR2000_02!E16+YR2003_05!E16+YR2006_08!E18+YR2009_11!E19+YR2012_14!E20+YR2015_17!E20+YR2018_20!E20+YR2021_23!E20+'2024-26 Contributions'!F22</f>
        <v>0</v>
      </c>
      <c r="G22" s="155">
        <f>YR1991_93!F18+YR1994_96!F18+YR1997_99!F18+YR2000_02!F16+YR2003_05!F16+YR2006_08!F18+YR2009_11!F19+YR2012_14!F20+YR2015_17!F20+YR2018_20!F20+YR2021_23!F20+'2024-26 Contributions'!G22</f>
        <v>1641522.3</v>
      </c>
      <c r="H22" s="156" t="str">
        <f>[3]Summary!$D$107</f>
        <v>#ERROR!</v>
      </c>
      <c r="I22" s="2"/>
      <c r="J22" s="2"/>
      <c r="K22" s="2"/>
      <c r="L22" s="2"/>
      <c r="M22" s="2"/>
      <c r="N22" s="2"/>
      <c r="O22" s="2"/>
      <c r="P22" s="2"/>
      <c r="Q22" s="139"/>
      <c r="R22" s="139"/>
      <c r="S22" s="139"/>
      <c r="T22" s="139"/>
      <c r="U22" s="139"/>
      <c r="V22" s="139"/>
      <c r="W22" s="139"/>
      <c r="X22" s="139"/>
      <c r="Y22" s="139"/>
      <c r="Z22" s="139"/>
    </row>
    <row r="23" ht="15.0" customHeight="1">
      <c r="A23" s="2"/>
      <c r="B23" s="154" t="s">
        <v>98</v>
      </c>
      <c r="C23" s="155">
        <f>YR1991_93!B19+YR1994_96!B19+YR1997_99!B19+YR2000_02!B17+YR2003_05!B17+YR2006_08!B19+YR2009_11!B20+YR2012_14!B21+YR2015_17!B21+YR2018_20!B21+YR2021_23!B21+'2024-26 Contributions'!C23</f>
        <v>1439613.46</v>
      </c>
      <c r="D23" s="155">
        <f>YR1991_93!C19+YR1994_96!C19+YR1997_99!C19+YR2000_02!C17+YR2003_05!C17+YR2006_08!C19+YR2009_11!C20+YR2012_14!C21+YR2015_17!C21+YR2018_20!C21+YR2021_23!C21+'2024-26 Contributions'!D23</f>
        <v>1309003.54</v>
      </c>
      <c r="E23" s="155">
        <f>YR1991_93!D19+YR1994_96!D19+YR1997_99!D19+YR2000_02!D17+YR2003_05!D17+YR2006_08!D19+YR2009_11!D20+YR2012_14!D21+YR2015_17!D21+YR2018_20!D21+YR2021_23!D21+'2024-26 Contributions'!E23</f>
        <v>0</v>
      </c>
      <c r="F23" s="155">
        <f>YR1991_93!E19+YR1994_96!E19+YR1997_99!E19+YR2000_02!E17+YR2003_05!E17+YR2006_08!E19+YR2009_11!E20+YR2012_14!E21+YR2015_17!E21+YR2018_20!E21+YR2021_23!E21+'2024-26 Contributions'!F23</f>
        <v>0</v>
      </c>
      <c r="G23" s="155">
        <f>YR1991_93!F19+YR1994_96!F19+YR1997_99!F19+YR2000_02!F17+YR2003_05!F17+YR2006_08!F19+YR2009_11!F20+YR2012_14!F21+YR2015_17!F21+YR2018_20!F21+YR2021_23!F21+'2024-26 Contributions'!G23</f>
        <v>130609.92</v>
      </c>
      <c r="H23" s="156" t="str">
        <f>[4]Summary!$D$108</f>
        <v>#ERROR!</v>
      </c>
      <c r="I23" s="2"/>
      <c r="J23" s="2"/>
      <c r="K23" s="2"/>
      <c r="L23" s="2"/>
      <c r="M23" s="2"/>
      <c r="N23" s="2"/>
      <c r="O23" s="2"/>
      <c r="P23" s="2"/>
      <c r="Q23" s="139"/>
      <c r="R23" s="139"/>
      <c r="S23" s="139"/>
      <c r="T23" s="139"/>
      <c r="U23" s="139"/>
      <c r="V23" s="139"/>
      <c r="W23" s="139"/>
      <c r="X23" s="139"/>
      <c r="Y23" s="139"/>
      <c r="Z23" s="139"/>
    </row>
    <row r="24" ht="15.0" customHeight="1">
      <c r="A24" s="2"/>
      <c r="B24" s="154" t="s">
        <v>99</v>
      </c>
      <c r="C24" s="155">
        <f>YR1991_93!B20+YR1994_96!B20+YR1997_99!B20+YR2000_02!B18+YR2003_05!B18+YR2006_08!B20+YR2009_11!B21+YR2012_14!B22+YR2015_17!B22+YR2018_20!B22+YR2021_23!B22+'2024-26 Contributions'!C24</f>
        <v>33146393.1</v>
      </c>
      <c r="D24" s="155">
        <f>YR1991_93!C20+YR1994_96!C20+YR1997_99!C20+YR2000_02!C18+YR2003_05!C18+YR2006_08!C20+YR2009_11!C21+YR2012_14!C22+YR2015_17!C22+YR2018_20!C22+YR2021_23!C22+'2024-26 Contributions'!D24</f>
        <v>31586268.65</v>
      </c>
      <c r="E24" s="155">
        <f>YR1991_93!D20+YR1994_96!D20+YR1997_99!D20+YR2000_02!D18+YR2003_05!D18+YR2006_08!D20+YR2009_11!D21+YR2012_14!D22+YR2015_17!D22+YR2018_20!D22+YR2021_23!D22+'2024-26 Contributions'!E24</f>
        <v>322303</v>
      </c>
      <c r="F24" s="155">
        <f>YR1991_93!E20+YR1994_96!E20+YR1997_99!E20+YR2000_02!E18+YR2003_05!E18+YR2006_08!E20+YR2009_11!E21+YR2012_14!E22+YR2015_17!E22+YR2018_20!E22+YR2021_23!E22+'2024-26 Contributions'!F24</f>
        <v>0</v>
      </c>
      <c r="G24" s="155">
        <f>YR1991_93!F20+YR1994_96!F20+YR1997_99!F20+YR2000_02!F18+YR2003_05!F18+YR2006_08!F20+YR2009_11!F21+YR2012_14!F22+YR2015_17!F22+YR2018_20!F22+YR2021_23!F22+'2024-26 Contributions'!G24</f>
        <v>1237821.45</v>
      </c>
      <c r="H24" s="156" t="str">
        <f>[3]Summary!$D$109</f>
        <v>#ERROR!</v>
      </c>
      <c r="I24" s="66"/>
      <c r="J24" s="2"/>
      <c r="K24" s="2"/>
      <c r="L24" s="2"/>
      <c r="M24" s="2"/>
      <c r="N24" s="2"/>
      <c r="O24" s="2"/>
      <c r="P24" s="2"/>
      <c r="Q24" s="139"/>
      <c r="R24" s="139"/>
      <c r="S24" s="139"/>
      <c r="T24" s="139"/>
      <c r="U24" s="139"/>
      <c r="V24" s="139"/>
      <c r="W24" s="139"/>
      <c r="X24" s="139"/>
      <c r="Y24" s="139"/>
      <c r="Z24" s="139"/>
    </row>
    <row r="25" ht="15.0" customHeight="1">
      <c r="A25" s="2"/>
      <c r="B25" s="154" t="s">
        <v>100</v>
      </c>
      <c r="C25" s="155">
        <f>YR1991_93!B21+YR1994_96!B21+YR1997_99!B21+YR2000_02!B19+YR2003_05!B19+YR2006_08!B21+YR2009_11!B22+YR2012_14!B23+YR2015_17!B23+YR2018_20!B23+YR2021_23!B23+'2024-26 Contributions'!C25</f>
        <v>364381575.5</v>
      </c>
      <c r="D25" s="155">
        <f>YR1991_93!C21+YR1994_96!C21+YR1997_99!C21+YR2000_02!C19+YR2003_05!C19+YR2006_08!C21+YR2009_11!C22+YR2012_14!C23+YR2015_17!C23+YR2018_20!C23+YR2021_23!C23+'2024-26 Contributions'!D25</f>
        <v>334891652.5</v>
      </c>
      <c r="E25" s="155">
        <f>YR1991_93!D21+YR1994_96!D21+YR1997_99!D21+YR2000_02!D19+YR2003_05!D19+YR2006_08!D21+YR2009_11!D22+YR2012_14!D23+YR2015_17!D23+YR2018_20!D23+YR2021_23!D23+'2024-26 Contributions'!E25</f>
        <v>16672393.04</v>
      </c>
      <c r="F25" s="155">
        <f>YR1991_93!E21+YR1994_96!E21+YR1997_99!E21+YR2000_02!E19+YR2003_05!E19+YR2006_08!E21+YR2009_11!E22+YR2012_14!E23+YR2015_17!E23+YR2018_20!E23+YR2021_23!E23+'2024-26 Contributions'!F25</f>
        <v>0</v>
      </c>
      <c r="G25" s="155">
        <f>YR1991_93!F21+YR1994_96!F21+YR1997_99!F21+YR2000_02!F19+YR2003_05!F19+YR2006_08!F21+YR2009_11!F22+YR2012_14!F23+YR2015_17!F23+YR2018_20!F23+YR2021_23!F23+'2024-26 Contributions'!G25</f>
        <v>12817529.99</v>
      </c>
      <c r="H25" s="156" t="str">
        <f>[3]Summary!$D$110</f>
        <v>#ERROR!</v>
      </c>
      <c r="I25" s="159"/>
      <c r="J25" s="56"/>
      <c r="K25" s="2"/>
      <c r="L25" s="2"/>
      <c r="M25" s="2"/>
      <c r="N25" s="2"/>
      <c r="O25" s="2"/>
      <c r="P25" s="2"/>
      <c r="Q25" s="139"/>
      <c r="R25" s="139"/>
      <c r="S25" s="139"/>
      <c r="T25" s="139"/>
      <c r="U25" s="139"/>
      <c r="V25" s="139"/>
      <c r="W25" s="139"/>
      <c r="X25" s="139"/>
      <c r="Y25" s="139"/>
      <c r="Z25" s="139"/>
    </row>
    <row r="26" ht="15.0" customHeight="1">
      <c r="A26" s="2"/>
      <c r="B26" s="154" t="s">
        <v>101</v>
      </c>
      <c r="C26" s="155">
        <f>YR1991_93!B23+YR1994_96!B23+YR1997_99!B23+YR2000_02!B20+YR2003_05!B20+YR2006_08!B22+YR2009_11!B23+YR2012_14!B24+YR2015_17!B24+YR2018_20!B24+YR2021_23!B24+'2024-26 Contributions'!C26</f>
        <v>511487568.9</v>
      </c>
      <c r="D26" s="155">
        <f>YR1991_93!C23+YR1994_96!C23+YR1997_99!C23+YR2000_02!C20+YR2003_05!C20+YR2006_08!C22+YR2009_11!C23+YR2012_14!C24+YR2015_17!C24+YR2018_20!C24+YR2021_23!C24+'2024-26 Contributions'!D26</f>
        <v>408116546.3</v>
      </c>
      <c r="E26" s="155">
        <f>YR1991_93!D23+YR1994_96!D23+YR1997_99!D23+YR2000_02!D20+YR2003_05!D20+YR2006_08!D22+YR2009_11!D23+YR2012_14!D24+YR2015_17!D24+YR2018_20!D24+YR2021_23!D24+'2024-26 Contributions'!E26</f>
        <v>85595234</v>
      </c>
      <c r="F26" s="155">
        <f>YR1991_93!E23+YR1994_96!E23+YR1997_99!E23+YR2000_02!E20+YR2003_05!E20+YR2006_08!E22+YR2009_11!E23+YR2012_14!E24+YR2015_17!E24+YR2018_20!E24+YR2021_23!E24+'2024-26 Contributions'!F26</f>
        <v>-0.1098566425</v>
      </c>
      <c r="G26" s="155">
        <f>YR1991_93!F23+YR1994_96!F23+YR1997_99!F23+YR2000_02!F20+YR2003_05!F20+YR2006_08!F22+YR2009_11!F23+YR2012_14!F24+YR2015_17!F24+YR2018_20!F24+YR2021_23!F24+'2024-26 Contributions'!G26</f>
        <v>17775788.66</v>
      </c>
      <c r="H26" s="156" t="str">
        <f>[4]Summary!$D$111</f>
        <v>#ERROR!</v>
      </c>
      <c r="I26" s="56"/>
      <c r="J26" s="56"/>
      <c r="K26" s="2"/>
      <c r="L26" s="2"/>
      <c r="M26" s="2"/>
      <c r="N26" s="2"/>
      <c r="O26" s="2"/>
      <c r="P26" s="2"/>
      <c r="Q26" s="139"/>
      <c r="R26" s="139"/>
      <c r="S26" s="139"/>
      <c r="T26" s="139"/>
      <c r="U26" s="139"/>
      <c r="V26" s="139"/>
      <c r="W26" s="139"/>
      <c r="X26" s="139"/>
      <c r="Y26" s="139"/>
      <c r="Z26" s="139"/>
    </row>
    <row r="27" ht="15.0" customHeight="1">
      <c r="A27" s="2"/>
      <c r="B27" s="154" t="s">
        <v>102</v>
      </c>
      <c r="C27" s="155">
        <f>YR1991_93!B24+YR1994_96!B24+YR1997_99!B24+YR2000_02!B21+YR2003_05!B21+YR2006_08!B23+YR2009_11!B24+YR2012_14!B25+YR2015_17!B25+YR2018_20!B25+YR2021_23!B25+'2024-26 Contributions'!C27</f>
        <v>30250513.24</v>
      </c>
      <c r="D27" s="155">
        <f>YR1991_93!C24+YR1994_96!C24+YR1997_99!C24+YR2000_02!C21+YR2003_05!C21+YR2006_08!C23+YR2009_11!C24+YR2012_14!C25+YR2015_17!C25+YR2018_20!C25+YR2021_23!C25+'2024-26 Contributions'!D27</f>
        <v>29285785.11</v>
      </c>
      <c r="E27" s="155">
        <f>YR1991_93!D24+YR1994_96!D24+YR1997_99!D24+YR2000_02!D21+YR2003_05!D21+YR2006_08!D23+YR2009_11!D24+YR2012_14!D25+YR2015_17!D25+YR2018_20!D25+YR2021_23!D25+'2024-26 Contributions'!E27</f>
        <v>0</v>
      </c>
      <c r="F27" s="155">
        <f>YR1991_93!E24+YR1994_96!E24+YR1997_99!E24+YR2000_02!E21+YR2003_05!E21+YR2006_08!E23+YR2009_11!E24+YR2012_14!E25+YR2015_17!E25+YR2018_20!E25+YR2021_23!E25+'2024-26 Contributions'!F27</f>
        <v>0</v>
      </c>
      <c r="G27" s="155">
        <f>YR1991_93!F24+YR1994_96!F24+YR1997_99!F24+YR2000_02!F21+YR2003_05!F21+YR2006_08!F23+YR2009_11!F24+YR2012_14!F25+YR2015_17!F25+YR2018_20!F25+YR2021_23!F25+'2024-26 Contributions'!G27</f>
        <v>964728.13</v>
      </c>
      <c r="H27" s="156" t="str">
        <f>[4]Summary!$D$112</f>
        <v>#ERROR!</v>
      </c>
      <c r="I27" s="56"/>
      <c r="J27" s="56"/>
      <c r="K27" s="2"/>
      <c r="L27" s="2"/>
      <c r="M27" s="2"/>
      <c r="N27" s="2"/>
      <c r="O27" s="2"/>
      <c r="P27" s="2"/>
      <c r="Q27" s="139"/>
      <c r="R27" s="139"/>
      <c r="S27" s="139"/>
      <c r="T27" s="139"/>
      <c r="U27" s="139"/>
      <c r="V27" s="139"/>
      <c r="W27" s="139"/>
      <c r="X27" s="139"/>
      <c r="Y27" s="139"/>
      <c r="Z27" s="139"/>
    </row>
    <row r="28" ht="15.0" customHeight="1">
      <c r="A28" s="2"/>
      <c r="B28" s="154" t="s">
        <v>103</v>
      </c>
      <c r="C28" s="155">
        <f>YR2012_14!B26+YR2015_17!B26+YR2018_20!B26+YR2021_23!B26+'2024-26 Contributions'!C28</f>
        <v>29428.79</v>
      </c>
      <c r="D28" s="155">
        <f>YR2012_14!C26+YR2015_17!C26+YR2018_20!C26+YR2021_23!C26+'2024-26 Contributions'!D28</f>
        <v>26460.79</v>
      </c>
      <c r="E28" s="155">
        <f>YR2012_14!D26+YR2015_17!D26+YR2018_20!D26+YR2021_23!D26+'2024-26 Contributions'!E28</f>
        <v>0</v>
      </c>
      <c r="F28" s="155">
        <f>YR2012_14!E26+YR2015_17!E26+YR2018_20!E26+YR2021_23!E26+'2024-26 Contributions'!F28</f>
        <v>0</v>
      </c>
      <c r="G28" s="155">
        <f>YR2012_14!F26+YR2015_17!F26+YR2018_20!F26+YR2021_23!F26+'2024-26 Contributions'!G28</f>
        <v>2968</v>
      </c>
      <c r="H28" s="156">
        <v>0.0</v>
      </c>
      <c r="I28" s="56"/>
      <c r="J28" s="56"/>
      <c r="K28" s="2"/>
      <c r="L28" s="2"/>
      <c r="M28" s="2"/>
      <c r="N28" s="2"/>
      <c r="O28" s="2"/>
      <c r="P28" s="2"/>
      <c r="Q28" s="139"/>
      <c r="R28" s="139"/>
      <c r="S28" s="139"/>
      <c r="T28" s="139"/>
      <c r="U28" s="139"/>
      <c r="V28" s="139"/>
      <c r="W28" s="139"/>
      <c r="X28" s="139"/>
      <c r="Y28" s="139"/>
      <c r="Z28" s="139"/>
    </row>
    <row r="29" ht="15.0" customHeight="1">
      <c r="A29" s="2"/>
      <c r="B29" s="154" t="s">
        <v>104</v>
      </c>
      <c r="C29" s="155">
        <f>YR1991_93!B25+YR1994_96!B25+YR1997_99!B25+YR2000_02!B22+YR2003_05!B22+YR2006_08!B24+YR2009_11!B25+YR2012_14!B27+YR2015_17!B27+YR2018_20!B27+YR2021_23!B27+'2024-26 Contributions'!C29</f>
        <v>11906845.2</v>
      </c>
      <c r="D29" s="155">
        <f>YR1991_93!C25+YR1994_96!C25+YR1997_99!C25+YR2000_02!C22+YR2003_05!C22+YR2006_08!C24+YR2009_11!C25+YR2012_14!C27+YR2015_17!C27+YR2018_20!C27+YR2021_23!C27+'2024-26 Contributions'!D29</f>
        <v>11183557.2</v>
      </c>
      <c r="E29" s="155">
        <f>YR1991_93!D25+YR1994_96!D25+YR1997_99!D25+YR2000_02!D22+YR2003_05!D22+YR2006_08!D24+YR2009_11!D25+YR2012_14!D27+YR2015_17!D27+YR2018_20!D27+YR2021_23!D27+'2024-26 Contributions'!E29</f>
        <v>46494</v>
      </c>
      <c r="F29" s="155">
        <f>YR1991_93!E25+YR1994_96!E25+YR1997_99!E25+YR2000_02!E22+YR2003_05!E22+YR2006_08!E24+YR2009_11!E25+YR2012_14!E27+YR2015_17!E27+YR2018_20!E27+YR2021_23!E27+'2024-26 Contributions'!F29</f>
        <v>0</v>
      </c>
      <c r="G29" s="155">
        <f>YR1991_93!F25+YR1994_96!F25+YR1997_99!F25+YR2000_02!F22+YR2003_05!F22+YR2006_08!F24+YR2009_11!F25+YR2012_14!F27+YR2015_17!F27+YR2018_20!F27+YR2021_23!F27+'2024-26 Contributions'!G29</f>
        <v>676794</v>
      </c>
      <c r="H29" s="156" t="str">
        <f>[3]Summary!$D$113</f>
        <v>#ERROR!</v>
      </c>
      <c r="I29" s="2"/>
      <c r="J29" s="56"/>
      <c r="K29" s="2"/>
      <c r="L29" s="2"/>
      <c r="M29" s="2"/>
      <c r="N29" s="2"/>
      <c r="O29" s="2"/>
      <c r="P29" s="2"/>
      <c r="Q29" s="139"/>
      <c r="R29" s="139"/>
      <c r="S29" s="139"/>
      <c r="T29" s="139"/>
      <c r="U29" s="139"/>
      <c r="V29" s="139"/>
      <c r="W29" s="139"/>
      <c r="X29" s="139"/>
      <c r="Y29" s="139"/>
      <c r="Z29" s="139"/>
    </row>
    <row r="30" ht="15.0" customHeight="1">
      <c r="A30" s="2"/>
      <c r="B30" s="154" t="s">
        <v>105</v>
      </c>
      <c r="C30" s="155">
        <f>YR1991_93!B26+YR1994_96!B26+YR1997_99!B26+YR2000_02!B23+YR2003_05!B23+YR2006_08!B25+YR2009_11!B26+YR2012_14!B28+YR2015_17!B28+YR2018_20!B28+YR2021_23!B28+'2024-26 Contributions'!C30</f>
        <v>1984696.2</v>
      </c>
      <c r="D30" s="155">
        <f>YR1991_93!C26+YR1994_96!C26+YR1997_99!C26+YR2000_02!C23+YR2003_05!C23+YR2006_08!C25+YR2009_11!C26+YR2012_14!C28+YR2015_17!C28+YR2018_20!C28+YR2021_23!C28+'2024-26 Contributions'!D30</f>
        <v>1659566.84</v>
      </c>
      <c r="E30" s="155">
        <f>YR1991_93!D26+YR1994_96!D26+YR1997_99!D26+YR2000_02!D23+YR2003_05!D23+YR2006_08!D25+YR2009_11!D26+YR2012_14!D28+YR2015_17!D28+YR2018_20!D28+YR2021_23!D28+'2024-26 Contributions'!E30</f>
        <v>0</v>
      </c>
      <c r="F30" s="155">
        <f>YR1991_93!E26+YR1994_96!E26+YR1997_99!E26+YR2000_02!E23+YR2003_05!E23+YR2006_08!E25+YR2009_11!E26+YR2012_14!E28+YR2015_17!E28+YR2018_20!E28+YR2021_23!E28+'2024-26 Contributions'!F30</f>
        <v>0</v>
      </c>
      <c r="G30" s="155">
        <f>YR1991_93!F26+YR1994_96!F26+YR1997_99!F26+YR2000_02!F23+YR2003_05!F23+YR2006_08!F25+YR2009_11!F26+YR2012_14!F28+YR2015_17!F28+YR2018_20!F28+YR2021_23!F28+'2024-26 Contributions'!G30</f>
        <v>325129.36</v>
      </c>
      <c r="H30" s="156" t="str">
        <f>[3]Summary!$D$114</f>
        <v>#ERROR!</v>
      </c>
      <c r="I30" s="56"/>
      <c r="J30" s="56"/>
      <c r="K30" s="2"/>
      <c r="L30" s="2"/>
      <c r="M30" s="2"/>
      <c r="N30" s="2"/>
      <c r="O30" s="2"/>
      <c r="P30" s="2"/>
      <c r="Q30" s="139"/>
      <c r="R30" s="139"/>
      <c r="S30" s="139"/>
      <c r="T30" s="139"/>
      <c r="U30" s="139"/>
      <c r="V30" s="139"/>
      <c r="W30" s="139"/>
      <c r="X30" s="139"/>
      <c r="Y30" s="139"/>
      <c r="Z30" s="139"/>
    </row>
    <row r="31" ht="15.0" customHeight="1">
      <c r="A31" s="2"/>
      <c r="B31" s="154" t="s">
        <v>106</v>
      </c>
      <c r="C31" s="155">
        <f>YR1991_93!B27+YR1994_96!B27+YR1997_99!B27+YR2000_02!B24+YR2003_05!B24+YR2006_08!B26+YR2009_11!B27+YR2012_14!B29+YR2015_17!B29+YR2018_20!B29+YR2021_23!B29+'2024-26 Contributions'!C31</f>
        <v>21212789.06</v>
      </c>
      <c r="D31" s="155">
        <f>YR1991_93!C27+YR1994_96!C27+YR1997_99!C27+YR2000_02!C24+YR2003_05!C24+YR2006_08!C26+YR2009_11!C27+YR2012_14!C29+YR2015_17!C29+YR2018_20!C29+YR2021_23!C29+'2024-26 Contributions'!D31</f>
        <v>19909663.86</v>
      </c>
      <c r="E31" s="155">
        <f>YR1991_93!D27+YR1994_96!D27+YR1997_99!D27+YR2000_02!D24+YR2003_05!D24+YR2006_08!D26+YR2009_11!D27+YR2012_14!D29+YR2015_17!D29+YR2018_20!D29+YR2021_23!D29+'2024-26 Contributions'!E31</f>
        <v>0</v>
      </c>
      <c r="F31" s="155">
        <f>YR1991_93!E27+YR1994_96!E27+YR1997_99!E27+YR2000_02!E24+YR2003_05!E24+YR2006_08!E26+YR2009_11!E27+YR2012_14!E29+YR2015_17!E29+YR2018_20!E29+YR2021_23!E29+'2024-26 Contributions'!F31</f>
        <v>0</v>
      </c>
      <c r="G31" s="155">
        <f>YR1991_93!F27+YR1994_96!F27+YR1997_99!F27+YR2000_02!F24+YR2003_05!F24+YR2006_08!F26+YR2009_11!F27+YR2012_14!F29+YR2015_17!F29+YR2018_20!F29+YR2021_23!F29+'2024-26 Contributions'!G31</f>
        <v>1303125.2</v>
      </c>
      <c r="H31" s="156" t="str">
        <f>[3]Summary!$D$115</f>
        <v>#ERROR!</v>
      </c>
      <c r="I31" s="2"/>
      <c r="J31" s="2"/>
      <c r="K31" s="2"/>
      <c r="L31" s="2"/>
      <c r="M31" s="2"/>
      <c r="N31" s="2"/>
      <c r="O31" s="2"/>
      <c r="P31" s="2"/>
      <c r="Q31" s="139"/>
      <c r="R31" s="139"/>
      <c r="S31" s="139"/>
      <c r="T31" s="139"/>
      <c r="U31" s="139"/>
      <c r="V31" s="139"/>
      <c r="W31" s="139"/>
      <c r="X31" s="139"/>
      <c r="Y31" s="139"/>
      <c r="Z31" s="139"/>
    </row>
    <row r="32" ht="15.0" customHeight="1">
      <c r="A32" s="2"/>
      <c r="B32" s="154" t="s">
        <v>107</v>
      </c>
      <c r="C32" s="155">
        <f>YR1991_93!B28+YR1994_96!B28+YR1997_99!B28+YR2000_02!B25+YR2003_05!B25+YR2006_08!B27+YR2009_11!B28+YR2012_14!B30+YR2015_17!B30+YR2018_20!B30+YR2021_23!B30+'2024-26 Contributions'!C32</f>
        <v>24664159.43</v>
      </c>
      <c r="D32" s="155">
        <f>YR1991_93!C28+YR1994_96!C28+YR1997_99!C28+YR2000_02!C25+YR2003_05!C25+YR2006_08!C27+YR2009_11!C28+YR2012_14!C30+YR2015_17!C30+YR2018_20!C30+YR2021_23!C30+'2024-26 Contributions'!D32</f>
        <v>3824671</v>
      </c>
      <c r="E32" s="155">
        <f>YR1991_93!D28+YR1994_96!D28+YR1997_99!D28+YR2000_02!D25+YR2003_05!D25+YR2006_08!D27+YR2009_11!D28+YR2012_14!D30+YR2015_17!D30+YR2018_20!D30+YR2021_23!D30+'2024-26 Contributions'!E32</f>
        <v>70453</v>
      </c>
      <c r="F32" s="155">
        <f>YR1991_93!E28+YR1994_96!E28+YR1997_99!E28+YR2000_02!E25+YR2003_05!E25+YR2006_08!E27+YR2009_11!E28+YR2012_14!E30+YR2015_17!E30+YR2018_20!E30+YR2021_23!E30+'2024-26 Contributions'!F32</f>
        <v>0</v>
      </c>
      <c r="G32" s="155">
        <f>YR1991_93!F28+YR1994_96!F28+YR1997_99!F28+YR2000_02!F25+YR2003_05!F25+YR2006_08!F27+YR2009_11!F28+YR2012_14!F30+YR2015_17!F30+YR2018_20!F30+YR2021_23!F30+'2024-26 Contributions'!G32</f>
        <v>20769035.43</v>
      </c>
      <c r="H32" s="156">
        <v>0.0</v>
      </c>
      <c r="I32" s="2"/>
      <c r="J32" s="2"/>
      <c r="K32" s="2"/>
      <c r="L32" s="2"/>
      <c r="M32" s="2"/>
      <c r="N32" s="2"/>
      <c r="O32" s="2"/>
      <c r="P32" s="2"/>
      <c r="Q32" s="139"/>
      <c r="R32" s="139"/>
      <c r="S32" s="139"/>
      <c r="T32" s="139"/>
      <c r="U32" s="139"/>
      <c r="V32" s="139"/>
      <c r="W32" s="139"/>
      <c r="X32" s="139"/>
      <c r="Y32" s="139"/>
      <c r="Z32" s="139"/>
    </row>
    <row r="33" ht="15.0" customHeight="1">
      <c r="A33" s="2"/>
      <c r="B33" s="154" t="s">
        <v>108</v>
      </c>
      <c r="C33" s="155">
        <f>YR1991_93!B29+YR1994_96!B29+YR1997_99!B29+YR2000_02!B26+YR2003_05!B26+YR2006_08!B28+YR2009_11!B29+YR2012_14!B31+YR2015_17!B31+YR2018_20!B31+YR2021_23!B31+'2024-26 Contributions'!C33</f>
        <v>284616599.3</v>
      </c>
      <c r="D33" s="155">
        <f>YR1991_93!C29+YR1994_96!C29+YR1997_99!C29+YR2000_02!C26+YR2003_05!C26+YR2006_08!C28+YR2009_11!C29+YR2012_14!C31+YR2015_17!C31+YR2018_20!C31+YR2021_23!C31+'2024-26 Contributions'!D33</f>
        <v>256080816.8</v>
      </c>
      <c r="E33" s="155">
        <f>YR1991_93!D29+YR1994_96!D29+YR1997_99!D29+YR2000_02!D26+YR2003_05!D26+YR2006_08!D28+YR2009_11!D29+YR2012_14!D31+YR2015_17!D31+YR2018_20!D31+YR2021_23!D31+'2024-26 Contributions'!E33</f>
        <v>19069570.64</v>
      </c>
      <c r="F33" s="155">
        <f>YR1991_93!E29+YR1994_96!E29+YR1997_99!E29+YR2000_02!E26+YR2003_05!E26+YR2006_08!E28+YR2009_11!E29+YR2012_14!E31+YR2015_17!E31+YR2018_20!E31+YR2021_23!E31+'2024-26 Contributions'!F33</f>
        <v>0</v>
      </c>
      <c r="G33" s="155">
        <f>YR1991_93!F29+YR1994_96!F29+YR1997_99!F29+YR2000_02!F26+YR2003_05!F26+YR2006_08!F28+YR2009_11!F29+YR2012_14!F31+YR2015_17!F31+YR2018_20!F31+YR2021_23!F31+'2024-26 Contributions'!G33</f>
        <v>9466211.84</v>
      </c>
      <c r="H33" s="156" t="str">
        <f>[3]Summary!$D$116</f>
        <v>#ERROR!</v>
      </c>
      <c r="I33" s="2"/>
      <c r="J33" s="56"/>
      <c r="K33" s="2"/>
      <c r="L33" s="2"/>
      <c r="M33" s="2"/>
      <c r="N33" s="2"/>
      <c r="O33" s="2"/>
      <c r="P33" s="2"/>
      <c r="Q33" s="139"/>
      <c r="R33" s="139"/>
      <c r="S33" s="139"/>
      <c r="T33" s="139"/>
      <c r="U33" s="139"/>
      <c r="V33" s="139"/>
      <c r="W33" s="139"/>
      <c r="X33" s="139"/>
      <c r="Y33" s="139"/>
      <c r="Z33" s="139"/>
    </row>
    <row r="34" ht="15.0" customHeight="1">
      <c r="A34" s="2"/>
      <c r="B34" s="154" t="s">
        <v>109</v>
      </c>
      <c r="C34" s="155">
        <f>YR1991_93!B30+YR1994_96!B30+YR1997_99!B30+YR2000_02!B27+YR2003_05!B27+YR2006_08!B29+YR2009_11!B30+YR2012_14!B32+YR2015_17!B32+YR2018_20!B32+YR2021_23!B32+'2024-26 Contributions'!C34</f>
        <v>849210367.4</v>
      </c>
      <c r="D34" s="155">
        <f>YR1991_93!C30+YR1994_96!C30+YR1997_99!C30+YR2000_02!C27+YR2003_05!C27+YR2006_08!C29+YR2009_11!C30+YR2012_14!C32+YR2015_17!C32+YR2018_20!C32+YR2021_23!C32+'2024-26 Contributions'!D34</f>
        <v>805738660.8</v>
      </c>
      <c r="E34" s="155">
        <f>YR1991_93!D30+YR1994_96!D30+YR1997_99!D30+YR2000_02!D27+YR2003_05!D27+YR2006_08!D29+YR2009_11!D30+YR2012_14!D32+YR2015_17!D32+YR2018_20!D32+YR2021_23!D32+'2024-26 Contributions'!E34</f>
        <v>19626592.44</v>
      </c>
      <c r="F34" s="155">
        <f>YR1991_93!E30+YR1994_96!E30+YR1997_99!E30+YR2000_02!E27+YR2003_05!E27+YR2006_08!E29+YR2009_11!E30+YR2012_14!E32+YR2015_17!E32+YR2018_20!E32+YR2021_23!E32+'2024-26 Contributions'!F34</f>
        <v>0</v>
      </c>
      <c r="G34" s="155">
        <f>YR1991_93!F30+YR1994_96!F30+YR1997_99!F30+YR2000_02!F27+YR2003_05!F27+YR2006_08!F29+YR2009_11!F30+YR2012_14!F32+YR2015_17!F32+YR2018_20!F32+YR2021_23!F32+'2024-26 Contributions'!G34</f>
        <v>23845114.15</v>
      </c>
      <c r="H34" s="156">
        <v>0.0</v>
      </c>
      <c r="I34" s="2"/>
      <c r="J34" s="2"/>
      <c r="K34" s="56"/>
      <c r="L34" s="2"/>
      <c r="M34" s="2"/>
      <c r="N34" s="2"/>
      <c r="O34" s="2"/>
      <c r="P34" s="2"/>
      <c r="Q34" s="139"/>
      <c r="R34" s="139"/>
      <c r="S34" s="139"/>
      <c r="T34" s="139"/>
      <c r="U34" s="139"/>
      <c r="V34" s="139"/>
      <c r="W34" s="139"/>
      <c r="X34" s="139"/>
      <c r="Y34" s="139"/>
      <c r="Z34" s="139"/>
    </row>
    <row r="35" ht="15.0" customHeight="1">
      <c r="A35" s="2"/>
      <c r="B35" s="160" t="s">
        <v>110</v>
      </c>
      <c r="C35" s="155">
        <f>YR2000_02!B28+YR2003_05!B28+YR2006_08!B30+YR2009_11!B31+YR2012_14!B33+YR2015_17!B33+YR2018_20!B33+YR2021_23!B33+'2024-26 Contributions'!C35</f>
        <v>4088865.995</v>
      </c>
      <c r="D35" s="155">
        <f>YR2000_02!C28+YR2003_05!C28+YR2006_08!C30+YR2009_11!C31+YR2012_14!C33+YR2015_17!C33+YR2018_20!C33+YR2021_23!C33+'2024-26 Contributions'!D35</f>
        <v>2406516</v>
      </c>
      <c r="E35" s="155">
        <f>YR2000_02!D28+YR2003_05!D28+YR2006_08!D30+YR2009_11!D31+YR2012_14!D33+YR2015_17!D33+YR2018_20!D33+YR2021_23!D33+'2024-26 Contributions'!E35</f>
        <v>0</v>
      </c>
      <c r="F35" s="155">
        <f>YR2000_02!E28+YR2003_05!E28+YR2006_08!E30+YR2009_11!E31+YR2012_14!E33+YR2015_17!E33+YR2018_20!E33+YR2021_23!E33+'2024-26 Contributions'!F35</f>
        <v>0</v>
      </c>
      <c r="G35" s="155">
        <f>YR2000_02!F28+YR2003_05!F28+YR2006_08!F30+YR2009_11!F31+YR2012_14!F33+YR2015_17!F33+YR2018_20!F33+YR2021_23!F33+'2024-26 Contributions'!G35</f>
        <v>1682349.995</v>
      </c>
      <c r="H35" s="156">
        <v>0.0</v>
      </c>
      <c r="I35" s="2"/>
      <c r="J35" s="2"/>
      <c r="K35" s="56"/>
      <c r="L35" s="2"/>
      <c r="M35" s="2"/>
      <c r="N35" s="2"/>
      <c r="O35" s="2"/>
      <c r="P35" s="2"/>
      <c r="Q35" s="139"/>
      <c r="R35" s="139"/>
      <c r="S35" s="139"/>
      <c r="T35" s="139"/>
      <c r="U35" s="139"/>
      <c r="V35" s="139"/>
      <c r="W35" s="139"/>
      <c r="X35" s="139"/>
      <c r="Y35" s="139"/>
      <c r="Z35" s="139"/>
    </row>
    <row r="36" ht="15.0" customHeight="1">
      <c r="A36" s="2"/>
      <c r="B36" s="154" t="s">
        <v>111</v>
      </c>
      <c r="C36" s="155">
        <f>YR1991_93!B31</f>
        <v>286549</v>
      </c>
      <c r="D36" s="155">
        <f>YR1991_93!C31</f>
        <v>286549</v>
      </c>
      <c r="E36" s="155">
        <f>YR1991_93!D31</f>
        <v>0</v>
      </c>
      <c r="F36" s="155">
        <f>YR1991_93!E31</f>
        <v>0</v>
      </c>
      <c r="G36" s="155">
        <f>YR1991_93!F31</f>
        <v>0</v>
      </c>
      <c r="H36" s="156">
        <v>0.0</v>
      </c>
      <c r="I36" s="2"/>
      <c r="J36" s="2"/>
      <c r="K36" s="56"/>
      <c r="L36" s="2"/>
      <c r="M36" s="2"/>
      <c r="N36" s="2"/>
      <c r="O36" s="2"/>
      <c r="P36" s="2"/>
      <c r="Q36" s="139"/>
      <c r="R36" s="139"/>
      <c r="S36" s="139"/>
      <c r="T36" s="139"/>
      <c r="U36" s="139"/>
      <c r="V36" s="139"/>
      <c r="W36" s="139"/>
      <c r="X36" s="139"/>
      <c r="Y36" s="139"/>
      <c r="Z36" s="139"/>
    </row>
    <row r="37" ht="15.0" customHeight="1">
      <c r="A37" s="2"/>
      <c r="B37" s="154" t="s">
        <v>112</v>
      </c>
      <c r="C37" s="155">
        <f>YR1991_93!B32+YR1994_96!B32+YR1997_99!B32+YR2000_02!B29+YR2003_05!B29+YR2006_08!B31+YR2009_11!B32+YR2012_14!B34+YR2015_17!B34+YR2018_20!B34+YR2021_23!B34+'2024-26 Contributions'!C36</f>
        <v>1851626.9</v>
      </c>
      <c r="D37" s="155">
        <f>YR1991_93!C32+YR1994_96!C32+YR1997_99!C32+YR2000_02!C29+YR2003_05!C29+YR2006_08!C31+YR2009_11!C32+YR2012_14!C34+YR2015_17!C34+YR2018_20!C34+YR2021_23!C34+'2024-26 Contributions'!D36</f>
        <v>1703206.84</v>
      </c>
      <c r="E37" s="155">
        <f>YR1991_93!D32+YR1994_96!D32+YR1997_99!D32+YR2000_02!D29+YR2003_05!D29+YR2006_08!D31+YR2009_11!D32+YR2012_14!D34+YR2015_17!D34+YR2018_20!D34+YR2021_23!D34+'2024-26 Contributions'!E36</f>
        <v>0</v>
      </c>
      <c r="F37" s="155">
        <f>YR1991_93!E32+YR1994_96!E32+YR1997_99!E32+YR2000_02!E29+YR2003_05!E29+YR2006_08!E31+YR2009_11!E32+YR2012_14!E34+YR2015_17!E34+YR2018_20!E34+YR2021_23!E34+'2024-26 Contributions'!F36</f>
        <v>0</v>
      </c>
      <c r="G37" s="155">
        <f>YR1991_93!F32+YR1994_96!F32+YR1997_99!F32+YR2000_02!F29+YR2003_05!F29+YR2006_08!F31+YR2009_11!F32+YR2012_14!F34+YR2015_17!F34+YR2018_20!F34+YR2021_23!F34+'2024-26 Contributions'!G36</f>
        <v>148420.06</v>
      </c>
      <c r="H37" s="156" t="str">
        <f>[3]Summary!$D$117</f>
        <v>#ERROR!</v>
      </c>
      <c r="I37" s="2"/>
      <c r="J37" s="2"/>
      <c r="K37" s="56"/>
      <c r="L37" s="2"/>
      <c r="M37" s="2"/>
      <c r="N37" s="2"/>
      <c r="O37" s="2"/>
      <c r="P37" s="2"/>
      <c r="Q37" s="139"/>
      <c r="R37" s="139"/>
      <c r="S37" s="139"/>
      <c r="T37" s="139"/>
      <c r="U37" s="139"/>
      <c r="V37" s="139"/>
      <c r="W37" s="139"/>
      <c r="X37" s="139"/>
      <c r="Y37" s="139"/>
      <c r="Z37" s="139"/>
    </row>
    <row r="38" ht="15.0" customHeight="1">
      <c r="A38" s="2"/>
      <c r="B38" s="154" t="s">
        <v>113</v>
      </c>
      <c r="C38" s="155">
        <f>YR1991_93!B33+YR1994_96!B33+YR1997_99!B33+YR2000_02!B30+YR2003_05!B30+YR2006_08!B32+YR2009_11!B33+YR2012_14!B35+YR2015_17!B35+YR2018_20!B35+YR2021_23!B35+'2024-26 Contributions'!C37</f>
        <v>527173.91</v>
      </c>
      <c r="D38" s="155">
        <f>YR1991_93!C33+YR1994_96!C33+YR1997_99!C33+YR2000_02!C30+YR2003_05!C30+YR2006_08!C32+YR2009_11!C33+YR2012_14!C35+YR2015_17!C35+YR2018_20!C35+YR2021_23!C35+'2024-26 Contributions'!D37</f>
        <v>497489.57</v>
      </c>
      <c r="E38" s="155">
        <f>YR1991_93!D33+YR1994_96!D33+YR1997_99!D33+YR2000_02!D30+YR2003_05!D30+YR2006_08!D32+YR2009_11!D33+YR2012_14!D35+YR2015_17!D35+YR2018_20!D35+YR2021_23!D35+'2024-26 Contributions'!E37</f>
        <v>0</v>
      </c>
      <c r="F38" s="155">
        <f>YR1991_93!E33+YR1994_96!E33+YR1997_99!E33+YR2000_02!E30+YR2003_05!E30+YR2006_08!E32+YR2009_11!E33+YR2012_14!E35+YR2015_17!E35+YR2018_20!E35+YR2021_23!E35+'2024-26 Contributions'!F37</f>
        <v>0</v>
      </c>
      <c r="G38" s="155">
        <f>YR1991_93!F33+YR1994_96!F33+YR1997_99!F33+YR2000_02!F30+YR2003_05!F30+YR2006_08!F32+YR2009_11!F33+YR2012_14!F35+YR2015_17!F35+YR2018_20!F35+YR2021_23!F35+'2024-26 Contributions'!G37</f>
        <v>29684.34</v>
      </c>
      <c r="H38" s="156">
        <v>0.0</v>
      </c>
      <c r="I38" s="2"/>
      <c r="J38" s="2"/>
      <c r="K38" s="2"/>
      <c r="L38" s="2"/>
      <c r="M38" s="2"/>
      <c r="N38" s="2"/>
      <c r="O38" s="2"/>
      <c r="P38" s="2"/>
      <c r="Q38" s="139"/>
      <c r="R38" s="139"/>
      <c r="S38" s="139"/>
      <c r="T38" s="139"/>
      <c r="U38" s="139"/>
      <c r="V38" s="139"/>
      <c r="W38" s="139"/>
      <c r="X38" s="139"/>
      <c r="Y38" s="139"/>
      <c r="Z38" s="139"/>
    </row>
    <row r="39" ht="15.0" customHeight="1">
      <c r="A39" s="2"/>
      <c r="B39" s="154" t="s">
        <v>114</v>
      </c>
      <c r="C39" s="155">
        <f>YR1991_93!B34+YR1994_96!B34+YR1997_99!B34+YR2000_02!B31+YR2003_05!B31+YR2006_08!B33+YR2009_11!B34+YR2012_14!B36+YR2015_17!B36+YR2018_20!B36+YR2021_23!B36+'2024-26 Contributions'!C38</f>
        <v>2839490.81</v>
      </c>
      <c r="D39" s="155">
        <f>YR1991_93!C34+YR1994_96!C34+YR1997_99!C34+YR2000_02!C31+YR2003_05!C31+YR2006_08!C33+YR2009_11!C34+YR2012_14!C36+YR2015_17!C36+YR2018_20!C36+YR2021_23!C36+'2024-26 Contributions'!D38</f>
        <v>2117956.71</v>
      </c>
      <c r="E39" s="155">
        <f>YR1991_93!D34+YR1994_96!D34+YR1997_99!D34+YR2000_02!D31+YR2003_05!D31+YR2006_08!D33+YR2009_11!D34+YR2012_14!D36+YR2015_17!D36+YR2018_20!D36+YR2021_23!D36+'2024-26 Contributions'!E38</f>
        <v>0</v>
      </c>
      <c r="F39" s="155">
        <f>YR1991_93!E34+YR1994_96!E34+YR1997_99!E34+YR2000_02!E31+YR2003_05!E31+YR2006_08!E33+YR2009_11!E34+YR2012_14!E36+YR2015_17!E36+YR2018_20!E36+YR2021_23!E36+'2024-26 Contributions'!F38</f>
        <v>0</v>
      </c>
      <c r="G39" s="155">
        <f>YR1991_93!F34+YR1994_96!F34+YR1997_99!F34+YR2000_02!F31+YR2003_05!F31+YR2006_08!F33+YR2009_11!F34+YR2012_14!F36+YR2015_17!F36+YR2018_20!F36+YR2021_23!F36+'2024-26 Contributions'!G38</f>
        <v>721534.1</v>
      </c>
      <c r="H39" s="156" t="str">
        <f>[3]Summary!$D$118</f>
        <v>#ERROR!</v>
      </c>
      <c r="I39" s="2"/>
      <c r="J39" s="2"/>
      <c r="K39" s="2"/>
      <c r="L39" s="2"/>
      <c r="M39" s="2"/>
      <c r="N39" s="2"/>
      <c r="O39" s="2"/>
      <c r="P39" s="2"/>
      <c r="Q39" s="139"/>
      <c r="R39" s="139"/>
      <c r="S39" s="139"/>
      <c r="T39" s="139"/>
      <c r="U39" s="139"/>
      <c r="V39" s="139"/>
      <c r="W39" s="139"/>
      <c r="X39" s="139"/>
      <c r="Y39" s="139"/>
      <c r="Z39" s="139"/>
    </row>
    <row r="40" ht="15.0" customHeight="1">
      <c r="A40" s="2"/>
      <c r="B40" s="154" t="s">
        <v>115</v>
      </c>
      <c r="C40" s="155">
        <f>YR1991_93!B35+YR1994_96!B35+YR1997_99!B35+YR2000_02!B32+YR2003_05!B32+YR2006_08!B34+YR2009_11!B35+YR2012_14!B37+YR2015_17!B37+YR2018_20!B37+YR2021_23!B37+'2024-26 Contributions'!C39</f>
        <v>4645448.75</v>
      </c>
      <c r="D40" s="155">
        <f>YR1991_93!C35+YR1994_96!C35+YR1997_99!C35+YR2000_02!C32+YR2003_05!C32+YR2006_08!C34+YR2009_11!C35+YR2012_14!C37+YR2015_17!C37+YR2018_20!C37+YR2021_23!C37+'2024-26 Contributions'!D39</f>
        <v>4443598.11</v>
      </c>
      <c r="E40" s="155">
        <f>YR1991_93!D35+YR1994_96!D35+YR1997_99!D35+YR2000_02!D32+YR2003_05!D32+YR2006_08!D34+YR2009_11!D35+YR2012_14!D37+YR2015_17!D37+YR2018_20!D37+YR2021_23!D37+'2024-26 Contributions'!E39</f>
        <v>0</v>
      </c>
      <c r="F40" s="155">
        <f>YR1991_93!E35+YR1994_96!E35+YR1997_99!E35+YR2000_02!E32+YR2003_05!E32+YR2006_08!E34+YR2009_11!E35+YR2012_14!E37+YR2015_17!E37+YR2018_20!E37+YR2021_23!E37+'2024-26 Contributions'!F39</f>
        <v>0</v>
      </c>
      <c r="G40" s="155">
        <f>YR1991_93!F35+YR1994_96!F35+YR1997_99!F35+YR2000_02!F32+YR2003_05!F32+YR2006_08!F34+YR2009_11!F35+YR2012_14!F37+YR2015_17!F37+YR2018_20!F37+YR2021_23!F37+'2024-26 Contributions'!G39</f>
        <v>201850.64</v>
      </c>
      <c r="H40" s="156" t="str">
        <f>[3]Summary!$D$119</f>
        <v>#ERROR!</v>
      </c>
      <c r="I40" s="2"/>
      <c r="J40" s="2"/>
      <c r="K40" s="2"/>
      <c r="L40" s="2"/>
      <c r="M40" s="2"/>
      <c r="N40" s="2"/>
      <c r="O40" s="2"/>
      <c r="P40" s="2"/>
      <c r="Q40" s="139"/>
      <c r="R40" s="139"/>
      <c r="S40" s="139"/>
      <c r="T40" s="139"/>
      <c r="U40" s="139"/>
      <c r="V40" s="139"/>
      <c r="W40" s="139"/>
      <c r="X40" s="139"/>
      <c r="Y40" s="139"/>
      <c r="Z40" s="139"/>
    </row>
    <row r="41" ht="15.0" customHeight="1">
      <c r="A41" s="2"/>
      <c r="B41" s="154" t="s">
        <v>116</v>
      </c>
      <c r="C41" s="155">
        <f>YR1991_93!B36+YR1994_96!B36+YR1997_99!B36+YR2006_08!B35+YR2009_11!B36+YR2012_14!B38+YR2015_17!B38+YR2018_20!B38+YR2021_23!B38+'2024-26 Contributions'!C40</f>
        <v>674458.49</v>
      </c>
      <c r="D41" s="155">
        <f>YR1991_93!C36+YR1994_96!C36+YR1997_99!C36+YR2006_08!C35+YR2009_11!C36+YR2012_14!C38+YR2015_17!C38+YR2018_20!C38+YR2021_23!C38+'2024-26 Contributions'!D40</f>
        <v>332205.49</v>
      </c>
      <c r="E41" s="155">
        <f>YR1991_93!D36+YR1994_96!D36+YR1997_99!D36+YR2006_08!D35+YR2009_11!D36+YR2012_14!D38+YR2015_17!D38+YR2018_20!D38+YR2021_23!D38+'2024-26 Contributions'!E40</f>
        <v>0</v>
      </c>
      <c r="F41" s="155">
        <f>YR1991_93!E36+YR1994_96!E36+YR1997_99!E36+YR2006_08!E35+YR2009_11!E36+YR2012_14!E38+YR2015_17!E38+YR2018_20!E38+YR2021_23!E38+'2024-26 Contributions'!F40</f>
        <v>0</v>
      </c>
      <c r="G41" s="155">
        <f>YR1991_93!F36+YR1994_96!F36+YR1997_99!F36+YR2006_08!F35+YR2009_11!F36+YR2012_14!F38+YR2015_17!F38+YR2018_20!F38+YR2021_23!F38+'2024-26 Contributions'!G40</f>
        <v>342253</v>
      </c>
      <c r="H41" s="156" t="str">
        <f>[3]Summary!$D$120</f>
        <v>#ERROR!</v>
      </c>
      <c r="I41" s="2"/>
      <c r="J41" s="2"/>
      <c r="K41" s="2"/>
      <c r="L41" s="2"/>
      <c r="M41" s="2"/>
      <c r="N41" s="2"/>
      <c r="O41" s="2"/>
      <c r="P41" s="2"/>
      <c r="Q41" s="139"/>
      <c r="R41" s="139"/>
      <c r="S41" s="139"/>
      <c r="T41" s="139"/>
      <c r="U41" s="139"/>
      <c r="V41" s="139"/>
      <c r="W41" s="139"/>
      <c r="X41" s="139"/>
      <c r="Y41" s="139"/>
      <c r="Z41" s="139"/>
    </row>
    <row r="42" ht="15.0" customHeight="1">
      <c r="A42" s="2"/>
      <c r="B42" s="154" t="s">
        <v>117</v>
      </c>
      <c r="C42" s="155">
        <f>YR1991_93!B37+YR1994_96!B37+YR1997_99!B37+YR2000_02!B33+YR2003_05!B33+YR2006_08!B36+YR2009_11!B37+YR2012_14!B39+YR2015_17!B39+YR2018_20!B39+YR2021_23!B39+'2024-26 Contributions'!C41</f>
        <v>469639.31</v>
      </c>
      <c r="D42" s="155">
        <f>YR1991_93!C37+YR1994_96!C37+YR1997_99!C37+YR2000_02!C33+YR2003_05!C33+YR2006_08!C36+YR2009_11!C37+YR2012_14!C39+YR2015_17!C39+YR2018_20!C39+YR2021_23!C39+'2024-26 Contributions'!D41</f>
        <v>436987.31</v>
      </c>
      <c r="E42" s="155">
        <f>YR1991_93!D37+YR1994_96!D37+YR1997_99!D37+YR2000_02!D33+YR2003_05!D33+YR2006_08!D36+YR2009_11!D37+YR2012_14!D39+YR2015_17!D39+YR2018_20!D39+YR2021_23!D39+'2024-26 Contributions'!E41</f>
        <v>0</v>
      </c>
      <c r="F42" s="155">
        <f>YR1991_93!E37+YR1994_96!E37+YR1997_99!E37+YR2000_02!E33+YR2003_05!E33+YR2006_08!E36+YR2009_11!E37+YR2012_14!E39+YR2015_17!E39+YR2018_20!E39+YR2021_23!E39+'2024-26 Contributions'!F41</f>
        <v>0</v>
      </c>
      <c r="G42" s="155">
        <f>YR1991_93!F37+YR1994_96!F37+YR1997_99!F37+YR2000_02!F33+YR2003_05!F33+YR2006_08!F36+YR2009_11!F37+YR2012_14!F39+YR2015_17!F39+YR2018_20!F39+YR2021_23!F39+'2024-26 Contributions'!G41</f>
        <v>32652</v>
      </c>
      <c r="H42" s="156" t="str">
        <f>[3]Summary!$D$121</f>
        <v>#ERROR!</v>
      </c>
      <c r="I42" s="2"/>
      <c r="J42" s="2"/>
      <c r="K42" s="2"/>
      <c r="L42" s="2"/>
      <c r="M42" s="2"/>
      <c r="N42" s="2"/>
      <c r="O42" s="2"/>
      <c r="P42" s="2"/>
      <c r="Q42" s="139"/>
      <c r="R42" s="139"/>
      <c r="S42" s="139"/>
      <c r="T42" s="139"/>
      <c r="U42" s="139"/>
      <c r="V42" s="139"/>
      <c r="W42" s="139"/>
      <c r="X42" s="139"/>
      <c r="Y42" s="139"/>
      <c r="Z42" s="139"/>
    </row>
    <row r="43" ht="15.0" customHeight="1">
      <c r="A43" s="2"/>
      <c r="B43" s="154" t="s">
        <v>118</v>
      </c>
      <c r="C43" s="155">
        <f>YR1991_93!B38+YR1994_96!B38+YR1997_99!B38+YR2000_02!B34+YR2003_05!B34+YR2006_08!B37+YR2009_11!B38+YR2012_14!B40+YR2015_17!B40+YR2018_20!B40+YR2021_23!B40+'2024-26 Contributions'!C42</f>
        <v>102388778.8</v>
      </c>
      <c r="D43" s="155">
        <f>YR1991_93!C38+YR1994_96!C38+YR1997_99!C38+YR2000_02!C34+YR2003_05!C34+YR2006_08!C37+YR2009_11!C38+YR2012_14!C40+YR2015_17!C40+YR2018_20!C40+YR2021_23!C40+'2024-26 Contributions'!D42</f>
        <v>98301298.43</v>
      </c>
      <c r="E43" s="155">
        <f>YR1991_93!D38+YR1994_96!D38+YR1997_99!D38+YR2000_02!D34+YR2003_05!D34+YR2006_08!D37+YR2009_11!D38+YR2012_14!D40+YR2015_17!D40+YR2018_20!D40+YR2021_23!D40+'2024-26 Contributions'!E42</f>
        <v>0</v>
      </c>
      <c r="F43" s="155">
        <f>YR1991_93!E38+YR1994_96!E38+YR1997_99!E38+YR2000_02!E34+YR2003_05!E34+YR2006_08!E37+YR2009_11!E38+YR2012_14!E40+YR2015_17!E40+YR2018_20!E40+YR2021_23!E40+'2024-26 Contributions'!F42</f>
        <v>0</v>
      </c>
      <c r="G43" s="155">
        <f>YR1991_93!F38+YR1994_96!F38+YR1997_99!F38+YR2000_02!F34+YR2003_05!F34+YR2006_08!F37+YR2009_11!F38+YR2012_14!F40+YR2015_17!F40+YR2018_20!F40+YR2021_23!F40+'2024-26 Contributions'!G42</f>
        <v>4087480.36</v>
      </c>
      <c r="H43" s="156" t="str">
        <f>[3]Summary!$D$122</f>
        <v>#ERROR!</v>
      </c>
      <c r="I43" s="2"/>
      <c r="J43" s="2"/>
      <c r="K43" s="2"/>
      <c r="L43" s="2"/>
      <c r="M43" s="2"/>
      <c r="N43" s="2"/>
      <c r="O43" s="2"/>
      <c r="P43" s="2"/>
      <c r="Q43" s="139"/>
      <c r="R43" s="139"/>
      <c r="S43" s="139"/>
      <c r="T43" s="139"/>
      <c r="U43" s="139"/>
      <c r="V43" s="139"/>
      <c r="W43" s="139"/>
      <c r="X43" s="139"/>
      <c r="Y43" s="139"/>
      <c r="Z43" s="139"/>
    </row>
    <row r="44" ht="15.0" customHeight="1">
      <c r="A44" s="2"/>
      <c r="B44" s="154" t="s">
        <v>119</v>
      </c>
      <c r="C44" s="155">
        <f>YR1991_93!B39+YR1994_96!B39+YR1997_99!B39+YR2000_02!B35+YR2003_05!B35+YR2006_08!B38+YR2009_11!B39+YR2012_14!B41+YR2015_17!B41+YR2018_20!B41+YR2021_23!B41+'2024-26 Contributions'!C43</f>
        <v>16252229.68</v>
      </c>
      <c r="D44" s="155">
        <f>YR1991_93!C39+YR1994_96!C39+YR1997_99!C39+YR2000_02!C35+YR2003_05!C35+YR2006_08!C38+YR2009_11!C39+YR2012_14!C41+YR2015_17!C41+YR2018_20!C41+YR2021_23!C41+'2024-26 Contributions'!D43</f>
        <v>15334995.28</v>
      </c>
      <c r="E44" s="155">
        <f>YR1991_93!D39+YR1994_96!D39+YR1997_99!D39+YR2000_02!D35+YR2003_05!D35+YR2006_08!D38+YR2009_11!D39+YR2012_14!D41+YR2015_17!D41+YR2018_20!D41+YR2021_23!D41+'2024-26 Contributions'!E43</f>
        <v>0</v>
      </c>
      <c r="F44" s="155">
        <f>YR1991_93!E39+YR1994_96!E39+YR1997_99!E39+YR2000_02!E35+YR2003_05!E35+YR2006_08!E38+YR2009_11!E39+YR2012_14!E41+YR2015_17!E41+YR2018_20!E41+YR2021_23!E41+'2024-26 Contributions'!F43</f>
        <v>0</v>
      </c>
      <c r="G44" s="155">
        <f>YR1991_93!F39+YR1994_96!F39+YR1997_99!F39+YR2000_02!F35+YR2003_05!F35+YR2006_08!F38+YR2009_11!F39+YR2012_14!F41+YR2015_17!F41+YR2018_20!F41+YR2021_23!F41+'2024-26 Contributions'!G43</f>
        <v>917234.4</v>
      </c>
      <c r="H44" s="156" t="str">
        <f>[3]Summary!$D$123</f>
        <v>#ERROR!</v>
      </c>
      <c r="I44" s="2"/>
      <c r="J44" s="2"/>
      <c r="K44" s="2"/>
      <c r="L44" s="2"/>
      <c r="M44" s="2"/>
      <c r="N44" s="2"/>
      <c r="O44" s="2"/>
      <c r="P44" s="2"/>
      <c r="Q44" s="139"/>
      <c r="R44" s="139"/>
      <c r="S44" s="139"/>
      <c r="T44" s="139"/>
      <c r="U44" s="139"/>
      <c r="V44" s="139"/>
      <c r="W44" s="139"/>
      <c r="X44" s="139"/>
      <c r="Y44" s="139"/>
      <c r="Z44" s="139"/>
    </row>
    <row r="45" ht="15.0" customHeight="1">
      <c r="A45" s="2"/>
      <c r="B45" s="154" t="s">
        <v>120</v>
      </c>
      <c r="C45" s="155">
        <f>YR1991_93!B40+YR1994_96!B40+YR1997_99!B40+YR2000_02!B36+YR2003_05!B36+YR2006_08!B39+YR2009_11!B40+YR2012_14!B42+YR2015_17!B42+YR2018_20!B42+YR2021_23!B42+'2024-26 Contributions'!C44</f>
        <v>45464493.65</v>
      </c>
      <c r="D45" s="155">
        <f>YR1991_93!C40+YR1994_96!C40+YR1997_99!C40+YR2000_02!C36+YR2003_05!C36+YR2006_08!C39+YR2009_11!C40+YR2012_14!C42+YR2015_17!C42+YR2018_20!C42+YR2021_23!C42+'2024-26 Contributions'!D44</f>
        <v>43448953.31</v>
      </c>
      <c r="E45" s="155">
        <f>YR1991_93!D40+YR1994_96!D40+YR1997_99!D40+YR2000_02!D36+YR2003_05!D36+YR2006_08!D39+YR2009_11!D40+YR2012_14!D42+YR2015_17!D42+YR2018_20!D42+YR2021_23!D42+'2024-26 Contributions'!E44</f>
        <v>0</v>
      </c>
      <c r="F45" s="155">
        <f>YR1991_93!E40+YR1994_96!E40+YR1997_99!E40+YR2000_02!E36+YR2003_05!E36+YR2006_08!E39+YR2009_11!E40+YR2012_14!E42+YR2015_17!E42+YR2018_20!E42+YR2021_23!E42+'2024-26 Contributions'!F44</f>
        <v>0</v>
      </c>
      <c r="G45" s="155">
        <f>YR1991_93!F40+YR1994_96!F40+YR1997_99!F40+YR2000_02!F36+YR2003_05!F36+YR2006_08!F39+YR2009_11!F40+YR2012_14!F42+YR2015_17!F42+YR2018_20!F42+YR2021_23!F42+'2024-26 Contributions'!G44</f>
        <v>2015540.34</v>
      </c>
      <c r="H45" s="156" t="str">
        <f>[3]Summary!$D$124</f>
        <v>#ERROR!</v>
      </c>
      <c r="I45" s="2"/>
      <c r="J45" s="2"/>
      <c r="K45" s="2"/>
      <c r="L45" s="2"/>
      <c r="M45" s="2"/>
      <c r="N45" s="2"/>
      <c r="O45" s="2"/>
      <c r="P45" s="2"/>
      <c r="Q45" s="139"/>
      <c r="R45" s="139"/>
      <c r="S45" s="139"/>
      <c r="T45" s="139"/>
      <c r="U45" s="139"/>
      <c r="V45" s="139"/>
      <c r="W45" s="139"/>
      <c r="X45" s="139"/>
      <c r="Y45" s="139"/>
      <c r="Z45" s="139"/>
    </row>
    <row r="46" ht="15.0" customHeight="1">
      <c r="A46" s="2"/>
      <c r="B46" s="154" t="s">
        <v>121</v>
      </c>
      <c r="C46" s="155">
        <f>YR1994_96!B41</f>
        <v>16915</v>
      </c>
      <c r="D46" s="155">
        <f>YR1994_96!C41</f>
        <v>16915</v>
      </c>
      <c r="E46" s="155">
        <f>YR1994_96!D41</f>
        <v>0</v>
      </c>
      <c r="F46" s="155">
        <f>YR1994_96!E41</f>
        <v>0</v>
      </c>
      <c r="G46" s="155">
        <f>YR1994_96!F41</f>
        <v>0</v>
      </c>
      <c r="H46" s="156">
        <v>0.0</v>
      </c>
      <c r="I46" s="2"/>
      <c r="J46" s="2"/>
      <c r="K46" s="2"/>
      <c r="L46" s="2"/>
      <c r="M46" s="2"/>
      <c r="N46" s="2"/>
      <c r="O46" s="2"/>
      <c r="P46" s="2"/>
      <c r="Q46" s="139"/>
      <c r="R46" s="139"/>
      <c r="S46" s="139"/>
      <c r="T46" s="139"/>
      <c r="U46" s="139"/>
      <c r="V46" s="139"/>
      <c r="W46" s="139"/>
      <c r="X46" s="139"/>
      <c r="Y46" s="139"/>
      <c r="Z46" s="139"/>
    </row>
    <row r="47" ht="15.0" customHeight="1">
      <c r="A47" s="2"/>
      <c r="B47" s="154" t="s">
        <v>122</v>
      </c>
      <c r="C47" s="155">
        <f>YR1991_93!B42+YR1994_96!B42+YR1997_99!B42+YR2000_02!B37+YR2003_05!B37+YR2006_08!B40+YR2009_11!B41+YR2012_14!B43+YR2015_17!B43+YR2018_20!B43+YR2021_23!B43+'2024-26 Contributions'!C45</f>
        <v>34861874.97</v>
      </c>
      <c r="D47" s="155">
        <f>YR1991_93!C42+YR1994_96!C42+YR1997_99!C42+YR2000_02!C37+YR2003_05!C37+YR2006_08!C40+YR2009_11!C41+YR2012_14!C43+YR2015_17!C43+YR2018_20!C43+YR2021_23!C43+'2024-26 Contributions'!D45</f>
        <v>32264327.96</v>
      </c>
      <c r="E47" s="155">
        <f>YR1991_93!D42+YR1994_96!D42+YR1997_99!D42+YR2000_02!D37+YR2003_05!D37+YR2006_08!D40+YR2009_11!D41+YR2012_14!D43+YR2015_17!D43+YR2018_20!D43+YR2021_23!D43+'2024-26 Contributions'!E45</f>
        <v>113000</v>
      </c>
      <c r="F47" s="155">
        <f>YR1991_93!E42+YR1994_96!E42+YR1997_99!E42+YR2000_02!E37+YR2003_05!E37+YR2006_08!E40+YR2009_11!E41+YR2012_14!E43+YR2015_17!E43+YR2018_20!E43+YR2021_23!E43+'2024-26 Contributions'!F45</f>
        <v>0</v>
      </c>
      <c r="G47" s="155">
        <f>YR1991_93!F42+YR1994_96!F42+YR1997_99!F42+YR2000_02!F37+YR2003_05!F37+YR2006_08!F40+YR2009_11!F41+YR2012_14!F43+YR2015_17!F43+YR2018_20!F43+YR2021_23!F43+'2024-26 Contributions'!G45</f>
        <v>2484547.01</v>
      </c>
      <c r="H47" s="156" t="str">
        <f>[3]Summary!$D$125</f>
        <v>#ERROR!</v>
      </c>
      <c r="I47" s="2"/>
      <c r="J47" s="2"/>
      <c r="K47" s="2"/>
      <c r="L47" s="2"/>
      <c r="M47" s="2"/>
      <c r="N47" s="2"/>
      <c r="O47" s="2"/>
      <c r="P47" s="2"/>
      <c r="Q47" s="139"/>
      <c r="R47" s="139"/>
      <c r="S47" s="139"/>
      <c r="T47" s="139"/>
      <c r="U47" s="139"/>
      <c r="V47" s="139"/>
      <c r="W47" s="139"/>
      <c r="X47" s="139"/>
      <c r="Y47" s="139"/>
      <c r="Z47" s="139"/>
    </row>
    <row r="48" ht="15.0" customHeight="1">
      <c r="A48" s="2"/>
      <c r="B48" s="154" t="s">
        <v>123</v>
      </c>
      <c r="C48" s="155">
        <f>YR1991_93!B43+YR1994_96!B43+YR1997_99!B43+YR2000_02!B38+YR2003_05!B38+YR2006_08!B41+YR2009_11!B42+YR2012_14!B44+YR2015_17!B44+YR2018_20!B44+YR2021_23!B44+'2024-26 Contributions'!C46</f>
        <v>25141701.46</v>
      </c>
      <c r="D48" s="155">
        <f>YR1991_93!C43+YR1994_96!C43+YR1997_99!C43+YR2000_02!C38+YR2003_05!C38+YR2006_08!C41+YR2009_11!C42+YR2012_14!C44+YR2015_17!C44+YR2018_20!C44+YR2021_23!C44+'2024-26 Contributions'!D46</f>
        <v>24046116.94</v>
      </c>
      <c r="E48" s="155">
        <f>YR1991_93!D43+YR1994_96!D43+YR1997_99!D43+YR2000_02!D38+YR2003_05!D38+YR2006_08!D41+YR2009_11!D42+YR2012_14!D44+YR2015_17!D44+YR2018_20!D44+YR2021_23!D44+'2024-26 Contributions'!E46</f>
        <v>47743</v>
      </c>
      <c r="F48" s="155">
        <f>YR1991_93!E43+YR1994_96!E43+YR1997_99!E43+YR2000_02!E38+YR2003_05!E38+YR2006_08!E41+YR2009_11!E42+YR2012_14!E44+YR2015_17!E44+YR2018_20!E44+YR2021_23!E44+'2024-26 Contributions'!F46</f>
        <v>0</v>
      </c>
      <c r="G48" s="155">
        <f>YR1991_93!F43+YR1994_96!F43+YR1997_99!F43+YR2000_02!F38+YR2003_05!F38+YR2006_08!F41+YR2009_11!F42+YR2012_14!F44+YR2015_17!F44+YR2018_20!F44+YR2021_23!F44+'2024-26 Contributions'!G46</f>
        <v>1047841.52</v>
      </c>
      <c r="H48" s="156" t="str">
        <f>[4]Summary!$D$126</f>
        <v>#ERROR!</v>
      </c>
      <c r="I48" s="2"/>
      <c r="J48" s="2"/>
      <c r="K48" s="2"/>
      <c r="L48" s="2"/>
      <c r="M48" s="2"/>
      <c r="N48" s="2"/>
      <c r="O48" s="2"/>
      <c r="P48" s="2"/>
      <c r="Q48" s="139"/>
      <c r="R48" s="139"/>
      <c r="S48" s="139"/>
      <c r="T48" s="139"/>
      <c r="U48" s="139"/>
      <c r="V48" s="139"/>
      <c r="W48" s="139"/>
      <c r="X48" s="139"/>
      <c r="Y48" s="139"/>
      <c r="Z48" s="139"/>
    </row>
    <row r="49" ht="15.0" customHeight="1">
      <c r="A49" s="2"/>
      <c r="B49" s="154" t="s">
        <v>124</v>
      </c>
      <c r="C49" s="155">
        <f>YR2006_08!B42+YR2009_11!B43+YR2012_14!B45+YR2015_17!B45+YR2018_20!B45+YR2021_23!B45+'2024-26 Contributions'!C47</f>
        <v>6574066.55</v>
      </c>
      <c r="D49" s="155">
        <f>YR2006_08!C42+YR2009_11!C43+YR2012_14!C45+YR2015_17!C45+YR2018_20!C45+YR2021_23!C45+'2024-26 Contributions'!D47</f>
        <v>4548401.83</v>
      </c>
      <c r="E49" s="155">
        <f>YR2006_08!D42+YR2009_11!D43+YR2012_14!D45+YR2015_17!D45+YR2018_20!D45+YR2021_23!D45+'2024-26 Contributions'!E47</f>
        <v>0</v>
      </c>
      <c r="F49" s="155">
        <f>YR2006_08!E42+YR2009_11!E43+YR2012_14!E45+YR2015_17!E45+YR2018_20!E45+YR2021_23!E45+'2024-26 Contributions'!F47</f>
        <v>0</v>
      </c>
      <c r="G49" s="155">
        <f>YR2006_08!F42+YR2009_11!F43+YR2012_14!F45+YR2015_17!F45+YR2018_20!F45+YR2021_23!F45+'2024-26 Contributions'!G47</f>
        <v>2025664.72</v>
      </c>
      <c r="H49" s="156" t="str">
        <f>[3]Summary!$D$127</f>
        <v>#ERROR!</v>
      </c>
      <c r="I49" s="2"/>
      <c r="J49" s="2"/>
      <c r="K49" s="2"/>
      <c r="L49" s="2"/>
      <c r="M49" s="2"/>
      <c r="N49" s="2"/>
      <c r="O49" s="2"/>
      <c r="P49" s="2"/>
      <c r="Q49" s="139"/>
      <c r="R49" s="139"/>
      <c r="S49" s="139"/>
      <c r="T49" s="139"/>
      <c r="U49" s="139"/>
      <c r="V49" s="139"/>
      <c r="W49" s="139"/>
      <c r="X49" s="139"/>
      <c r="Y49" s="139"/>
      <c r="Z49" s="139"/>
    </row>
    <row r="50" ht="15.0" customHeight="1">
      <c r="A50" s="2"/>
      <c r="B50" s="154" t="s">
        <v>125</v>
      </c>
      <c r="C50" s="155">
        <f>YR1991_93!B44+YR1994_96!B44+YR1997_99!B44+YR2000_02!B39+YR2003_05!B39+YR2006_08!B43+YR2009_11!B44+YR2012_14!B46+YR2015_17!B46+YR2018_20!B46+YR2021_23!B46+'2024-26 Contributions'!C48</f>
        <v>175663314.2</v>
      </c>
      <c r="D50" s="155">
        <f>YR1991_93!C44+YR1994_96!C44+YR1997_99!C44+YR2000_02!C39+YR2003_05!C39+YR2006_08!C43+YR2009_11!C44+YR2012_14!C46+YR2015_17!C46+YR2018_20!C46+YR2021_23!C46+'2024-26 Contributions'!D48</f>
        <v>44411441.07</v>
      </c>
      <c r="E50" s="155">
        <f>YR1991_93!D44+YR1994_96!D44+YR1997_99!D44+YR2000_02!D39+YR2003_05!D39+YR2006_08!D43+YR2009_11!D44+YR2012_14!D46+YR2015_17!D46+YR2018_20!D46+YR2021_23!D46+'2024-26 Contributions'!E48</f>
        <v>666676</v>
      </c>
      <c r="F50" s="155">
        <f>YR1991_93!E44+YR1994_96!E44+YR1997_99!E44+YR2000_02!E39+YR2003_05!E39+YR2006_08!E43+YR2009_11!E44+YR2012_14!E46+YR2015_17!E46+YR2018_20!E46+YR2021_23!E46+'2024-26 Contributions'!F48</f>
        <v>0</v>
      </c>
      <c r="G50" s="155">
        <f>YR1991_93!F44+YR1994_96!F44+YR1997_99!F44+YR2000_02!F39+YR2003_05!F39+YR2006_08!F43+YR2009_11!F44+YR2012_14!F46+YR2015_17!F46+YR2018_20!F46+YR2021_23!F46+'2024-26 Contributions'!G48</f>
        <v>130585197.1</v>
      </c>
      <c r="H50" s="156" t="str">
        <f>[3]Summary!$D$128</f>
        <v>#ERROR!</v>
      </c>
      <c r="I50" s="2"/>
      <c r="J50" s="2"/>
      <c r="K50" s="2"/>
      <c r="L50" s="2"/>
      <c r="M50" s="2"/>
      <c r="N50" s="2"/>
      <c r="O50" s="2"/>
      <c r="P50" s="2"/>
      <c r="Q50" s="139"/>
      <c r="R50" s="139"/>
      <c r="S50" s="139"/>
      <c r="T50" s="139"/>
      <c r="U50" s="139"/>
      <c r="V50" s="139"/>
      <c r="W50" s="139"/>
      <c r="X50" s="139"/>
      <c r="Y50" s="139"/>
      <c r="Z50" s="139"/>
    </row>
    <row r="51" ht="15.0" customHeight="1">
      <c r="A51" s="2"/>
      <c r="B51" s="154" t="s">
        <v>126</v>
      </c>
      <c r="C51" s="155">
        <f>YR2009_11!B45+YR2012_14!B47+YR2015_17!B47+YR2018_20!B47+YR2021_23!B47+'2024-26 Contributions'!C49</f>
        <v>89258.13</v>
      </c>
      <c r="D51" s="155">
        <f>YR2009_11!C45+YR2012_14!C47+YR2015_17!C47+YR2018_20!C47+YR2021_23!C47+'2024-26 Contributions'!D49</f>
        <v>83322.13</v>
      </c>
      <c r="E51" s="155">
        <f>YR2009_11!D45+YR2012_14!D47+YR2015_17!D47+YR2018_20!D47+YR2021_23!D47+'2024-26 Contributions'!E49</f>
        <v>0</v>
      </c>
      <c r="F51" s="155">
        <f>YR2009_11!E45+YR2012_14!E47+YR2015_17!E47+YR2018_20!E47+YR2021_23!E47+'2024-26 Contributions'!F49</f>
        <v>0</v>
      </c>
      <c r="G51" s="155">
        <f>YR2009_11!F45+YR2012_14!F47+YR2015_17!F47+YR2018_20!F47+YR2021_23!F47+'2024-26 Contributions'!G49</f>
        <v>5936</v>
      </c>
      <c r="H51" s="156" t="str">
        <f>[3]Summary!$D$129</f>
        <v>#ERROR!</v>
      </c>
      <c r="I51" s="2"/>
      <c r="J51" s="2"/>
      <c r="K51" s="2"/>
      <c r="L51" s="2"/>
      <c r="M51" s="2"/>
      <c r="N51" s="2"/>
      <c r="O51" s="2"/>
      <c r="P51" s="2"/>
      <c r="Q51" s="139"/>
      <c r="R51" s="139"/>
      <c r="S51" s="139"/>
      <c r="T51" s="139"/>
      <c r="U51" s="139"/>
      <c r="V51" s="139"/>
      <c r="W51" s="139"/>
      <c r="X51" s="139"/>
      <c r="Y51" s="139"/>
      <c r="Z51" s="139"/>
    </row>
    <row r="52" ht="15.0" customHeight="1">
      <c r="A52" s="2"/>
      <c r="B52" s="154" t="s">
        <v>127</v>
      </c>
      <c r="C52" s="155">
        <f>YR1991_93!B45+YR1994_96!B45</f>
        <v>531221</v>
      </c>
      <c r="D52" s="155">
        <f>YR1991_93!C45+YR1994_96!C45</f>
        <v>459245</v>
      </c>
      <c r="E52" s="155">
        <f>YR1991_93!D45+YR1994_96!D45</f>
        <v>71976</v>
      </c>
      <c r="F52" s="155">
        <f>YR1991_93!E45+YR1994_96!E45</f>
        <v>0</v>
      </c>
      <c r="G52" s="155">
        <f>YR1991_93!F45+YR1994_96!F45</f>
        <v>0</v>
      </c>
      <c r="H52" s="156">
        <v>0.0</v>
      </c>
      <c r="I52" s="2"/>
      <c r="J52" s="2"/>
      <c r="K52" s="2"/>
      <c r="L52" s="2"/>
      <c r="M52" s="2"/>
      <c r="N52" s="2"/>
      <c r="O52" s="2"/>
      <c r="P52" s="2"/>
      <c r="Q52" s="139"/>
      <c r="R52" s="139"/>
      <c r="S52" s="139"/>
      <c r="T52" s="139"/>
      <c r="U52" s="139"/>
      <c r="V52" s="139"/>
      <c r="W52" s="139"/>
      <c r="X52" s="139"/>
      <c r="Y52" s="139"/>
      <c r="Z52" s="139"/>
    </row>
    <row r="53" ht="15.0" customHeight="1">
      <c r="A53" s="2"/>
      <c r="B53" s="154" t="s">
        <v>128</v>
      </c>
      <c r="C53" s="155">
        <f>YR1991_93!B46+YR1994_96!B46+YR1997_99!B46+YR2000_02!B40+YR2003_05!B40+YR2006_08!B44+YR2009_11!B46+YR2012_14!B48+YR2015_17!B48+YR2018_20!B48+YR2021_23!B48+'2024-26 Contributions'!C50</f>
        <v>7040176.34</v>
      </c>
      <c r="D53" s="155">
        <f>YR1991_93!C46+YR1994_96!C46+YR1997_99!C46+YR2000_02!C40+YR2003_05!C40+YR2006_08!C44+YR2009_11!C46+YR2012_14!C48+YR2015_17!C48+YR2018_20!C48+YR2021_23!C48+'2024-26 Contributions'!D50</f>
        <v>6563552.95</v>
      </c>
      <c r="E53" s="155">
        <f>YR1991_93!D46+YR1994_96!D46+YR1997_99!D46+YR2000_02!D40+YR2003_05!D40+YR2006_08!D44+YR2009_11!D46+YR2012_14!D48+YR2015_17!D48+YR2018_20!D48+YR2021_23!D48+'2024-26 Contributions'!E50</f>
        <v>16523</v>
      </c>
      <c r="F53" s="155">
        <f>YR1991_93!E46+YR1994_96!E46+YR1997_99!E46+YR2000_02!E40+YR2003_05!E40+YR2006_08!E44+YR2009_11!E46+YR2012_14!E48+YR2015_17!E48+YR2018_20!E48+YR2021_23!E48+'2024-26 Contributions'!F50</f>
        <v>0</v>
      </c>
      <c r="G53" s="155">
        <f>YR1991_93!F46+YR1994_96!F46+YR1997_99!F46+YR2000_02!F40+YR2003_05!F40+YR2006_08!F44+YR2009_11!F46+YR2012_14!F48+YR2015_17!F48+YR2018_20!F48+YR2021_23!F48+'2024-26 Contributions'!G50</f>
        <v>460100.39</v>
      </c>
      <c r="H53" s="156" t="str">
        <f>[3]Summary!$D$131</f>
        <v>#ERROR!</v>
      </c>
      <c r="I53" s="2"/>
      <c r="J53" s="2"/>
      <c r="K53" s="2"/>
      <c r="L53" s="2"/>
      <c r="M53" s="2"/>
      <c r="N53" s="2"/>
      <c r="O53" s="2"/>
      <c r="P53" s="2"/>
      <c r="Q53" s="139"/>
      <c r="R53" s="139"/>
      <c r="S53" s="139"/>
      <c r="T53" s="139"/>
      <c r="U53" s="139"/>
      <c r="V53" s="139"/>
      <c r="W53" s="139"/>
      <c r="X53" s="139"/>
      <c r="Y53" s="139"/>
      <c r="Z53" s="139"/>
    </row>
    <row r="54" ht="15.0" customHeight="1">
      <c r="A54" s="2"/>
      <c r="B54" s="154" t="s">
        <v>129</v>
      </c>
      <c r="C54" s="155">
        <f>YR1991_93!B47+YR1994_96!B47+YR1997_99!B47+YR2000_02!B41+YR2003_05!B41+YR2006_08!B45+YR2009_11!B47+YR2012_14!B49+YR2015_17!B49+YR2018_20!B49+YR2021_23!B49+'2024-26 Contributions'!C51</f>
        <v>3999217.74</v>
      </c>
      <c r="D54" s="155">
        <f>YR1991_93!C47+YR1994_96!C47+YR1997_99!C47+YR2000_02!C41+YR2003_05!C41+YR2006_08!C45+YR2009_11!C47+YR2012_14!C49+YR2015_17!C49+YR2018_20!C49+YR2021_23!C49+'2024-26 Contributions'!D51</f>
        <v>3764714.83</v>
      </c>
      <c r="E54" s="155">
        <f>YR1991_93!D47+YR1994_96!D47+YR1997_99!D47+YR2000_02!D41+YR2003_05!D41+YR2006_08!D45+YR2009_11!D47+YR2012_14!D49+YR2015_17!D49+YR2018_20!D49+YR2021_23!D49+'2024-26 Contributions'!E51</f>
        <v>0</v>
      </c>
      <c r="F54" s="155">
        <f>YR1991_93!E47+YR1994_96!E47+YR1997_99!E47+YR2000_02!E41+YR2003_05!E41+YR2006_08!E45+YR2009_11!E47+YR2012_14!E49+YR2015_17!E49+YR2018_20!E49+YR2021_23!E49+'2024-26 Contributions'!F51</f>
        <v>0</v>
      </c>
      <c r="G54" s="155">
        <f>YR1991_93!F47+YR1994_96!F47+YR1997_99!F47+YR2000_02!F41+YR2003_05!F41+YR2006_08!F45+YR2009_11!F47+YR2012_14!F49+YR2015_17!F49+YR2018_20!F49+YR2021_23!F49+'2024-26 Contributions'!G51</f>
        <v>234502.91</v>
      </c>
      <c r="H54" s="156" t="str">
        <f>[3]Summary!$D$130</f>
        <v>#ERROR!</v>
      </c>
      <c r="I54" s="2"/>
      <c r="J54" s="2"/>
      <c r="K54" s="2"/>
      <c r="L54" s="2"/>
      <c r="M54" s="2"/>
      <c r="N54" s="2"/>
      <c r="O54" s="2"/>
      <c r="P54" s="2"/>
      <c r="Q54" s="139"/>
      <c r="R54" s="139"/>
      <c r="S54" s="139"/>
      <c r="T54" s="139"/>
      <c r="U54" s="139"/>
      <c r="V54" s="139"/>
      <c r="W54" s="139"/>
      <c r="X54" s="139"/>
      <c r="Y54" s="139"/>
      <c r="Z54" s="139"/>
    </row>
    <row r="55" ht="15.0" customHeight="1">
      <c r="A55" s="2"/>
      <c r="B55" s="154" t="s">
        <v>130</v>
      </c>
      <c r="C55" s="155">
        <f>YR1991_93!B48+YR1994_96!B48+YR1997_99!B48</f>
        <v>3793691</v>
      </c>
      <c r="D55" s="155">
        <f>YR1991_93!C48+YR1994_96!C48+YR1997_99!C48</f>
        <v>3763691</v>
      </c>
      <c r="E55" s="155">
        <f>YR1991_93!D48+YR1994_96!D48+YR1997_99!D48</f>
        <v>30000</v>
      </c>
      <c r="F55" s="155">
        <f>YR1991_93!E48+YR1994_96!E48+YR1997_99!E48</f>
        <v>0</v>
      </c>
      <c r="G55" s="155">
        <f>YR1991_93!F48+YR1994_96!F48+YR1997_99!F48</f>
        <v>0</v>
      </c>
      <c r="H55" s="156">
        <v>0.0</v>
      </c>
      <c r="I55" s="2"/>
      <c r="J55" s="2"/>
      <c r="K55" s="2"/>
      <c r="L55" s="2"/>
      <c r="M55" s="2"/>
      <c r="N55" s="2"/>
      <c r="O55" s="2"/>
      <c r="P55" s="2"/>
      <c r="Q55" s="139"/>
      <c r="R55" s="139"/>
      <c r="S55" s="139"/>
      <c r="T55" s="139"/>
      <c r="U55" s="139"/>
      <c r="V55" s="139"/>
      <c r="W55" s="139"/>
      <c r="X55" s="139"/>
      <c r="Y55" s="139"/>
      <c r="Z55" s="139"/>
    </row>
    <row r="56" ht="15.0" customHeight="1">
      <c r="A56" s="2"/>
      <c r="B56" s="154" t="s">
        <v>131</v>
      </c>
      <c r="C56" s="155">
        <f>YR1991_93!B49+YR1994_96!B49+YR1997_99!B49+YR2000_02!B42+YR2003_05!B42+YR2006_08!B46+YR2009_11!B48+YR2012_14!B50+YR2015_17!B50+YR2018_20!B50+YR2021_23!B50+'2024-26 Contributions'!C52</f>
        <v>160014591</v>
      </c>
      <c r="D56" s="155">
        <f>YR1991_93!C49+YR1994_96!C49+YR1997_99!C49+YR2000_02!C42+YR2003_05!C42+YR2006_08!C46+YR2009_11!C48+YR2012_14!C50+YR2015_17!C50+YR2018_20!C50+YR2021_23!C50+'2024-26 Contributions'!D52</f>
        <v>147237284</v>
      </c>
      <c r="E56" s="155">
        <f>YR1991_93!D49+YR1994_96!D49+YR1997_99!D49+YR2000_02!D42+YR2003_05!D42+YR2006_08!D46+YR2009_11!D48+YR2012_14!D50+YR2015_17!D50+YR2018_20!D50+YR2021_23!D50+'2024-26 Contributions'!E52</f>
        <v>6442751.9</v>
      </c>
      <c r="F56" s="155">
        <f>YR1991_93!E49+YR1994_96!E49+YR1997_99!E49+YR2000_02!E42+YR2003_05!E42+YR2006_08!E46+YR2009_11!E48+YR2012_14!E50+YR2015_17!E50+YR2018_20!E50+YR2021_23!E50+'2024-26 Contributions'!F52</f>
        <v>0</v>
      </c>
      <c r="G56" s="155">
        <f>YR1991_93!F49+YR1994_96!F49+YR1997_99!F49+YR2000_02!F42+YR2003_05!F42+YR2006_08!F46+YR2009_11!F48+YR2012_14!F50+YR2015_17!F50+YR2018_20!F50+YR2021_23!F50+'2024-26 Contributions'!G52</f>
        <v>6334555.03</v>
      </c>
      <c r="H56" s="156" t="str">
        <f>[4]Summary!$D$132</f>
        <v>#ERROR!</v>
      </c>
      <c r="I56" s="2"/>
      <c r="J56" s="2"/>
      <c r="K56" s="2"/>
      <c r="L56" s="2"/>
      <c r="M56" s="2"/>
      <c r="N56" s="2"/>
      <c r="O56" s="2"/>
      <c r="P56" s="2"/>
      <c r="Q56" s="139"/>
      <c r="R56" s="139"/>
      <c r="S56" s="139"/>
      <c r="T56" s="139"/>
      <c r="U56" s="139"/>
      <c r="V56" s="139"/>
      <c r="W56" s="139"/>
      <c r="X56" s="139"/>
      <c r="Y56" s="139"/>
      <c r="Z56" s="139"/>
    </row>
    <row r="57" ht="15.0" customHeight="1">
      <c r="A57" s="2"/>
      <c r="B57" s="154" t="s">
        <v>132</v>
      </c>
      <c r="C57" s="155">
        <f>YR1991_93!B50+YR1994_96!B50+YR1997_99!B50+YR2000_02!B43+YR2003_05!B43+YR2006_08!B47+YR2009_11!B49+YR2012_14!B51+YR2015_17!B51+YR2018_20!B51+YR2021_23!B51+'2024-26 Contributions'!C53</f>
        <v>65779756.98</v>
      </c>
      <c r="D57" s="155">
        <f>YR1991_93!C50+YR1994_96!C50+YR1997_99!C50+YR2000_02!C43+YR2003_05!C43+YR2006_08!C47+YR2009_11!C49+YR2012_14!C51+YR2015_17!C51+YR2018_20!C51+YR2021_23!C51+'2024-26 Contributions'!D53</f>
        <v>61619956.99</v>
      </c>
      <c r="E57" s="155">
        <f>YR1991_93!D50+YR1994_96!D50+YR1997_99!D50+YR2000_02!D43+YR2003_05!D43+YR2006_08!D47+YR2009_11!D49+YR2012_14!D51+YR2015_17!D51+YR2018_20!D51+YR2021_23!D51+'2024-26 Contributions'!E53</f>
        <v>1574328</v>
      </c>
      <c r="F57" s="155">
        <f>YR1991_93!E50+YR1994_96!E50+YR1997_99!E50+YR2000_02!E43+YR2003_05!E43+YR2006_08!E47+YR2009_11!E49+YR2012_14!E51+YR2015_17!E51+YR2018_20!E51+YR2021_23!E51+'2024-26 Contributions'!F53</f>
        <v>0</v>
      </c>
      <c r="G57" s="155">
        <f>YR1991_93!F50+YR1994_96!F50+YR1997_99!F50+YR2000_02!F43+YR2003_05!F43+YR2006_08!F47+YR2009_11!F49+YR2012_14!F51+YR2015_17!F51+YR2018_20!F51+YR2021_23!F51+'2024-26 Contributions'!G53</f>
        <v>2585471.99</v>
      </c>
      <c r="H57" s="156" t="str">
        <f>[3]Summary!$D$133</f>
        <v>#ERROR!</v>
      </c>
      <c r="I57" s="2"/>
      <c r="J57" s="2"/>
      <c r="K57" s="2"/>
      <c r="L57" s="2"/>
      <c r="M57" s="2"/>
      <c r="N57" s="2"/>
      <c r="O57" s="2"/>
      <c r="P57" s="2"/>
      <c r="Q57" s="139"/>
      <c r="R57" s="139"/>
      <c r="S57" s="139"/>
      <c r="T57" s="139"/>
      <c r="U57" s="139"/>
      <c r="V57" s="139"/>
      <c r="W57" s="139"/>
      <c r="X57" s="139"/>
      <c r="Y57" s="139"/>
      <c r="Z57" s="139"/>
    </row>
    <row r="58" ht="15.0" customHeight="1">
      <c r="A58" s="2"/>
      <c r="B58" s="154" t="s">
        <v>133</v>
      </c>
      <c r="C58" s="155">
        <f>YR1991_93!B51+YR1994_96!B51+YR1997_99!B51+YR2000_02!B44+YR2003_05!B44+YR2006_08!B48+YR2009_11!B50+YR2012_14!B52+YR2015_17!B52+YR2018_20!B52+YR2021_23!B52+'2024-26 Contributions'!C54</f>
        <v>74211214.85</v>
      </c>
      <c r="D58" s="155">
        <f>YR1991_93!C51+YR1994_96!C51+YR1997_99!C51+YR2000_02!C44+YR2003_05!C44+YR2006_08!C48+YR2009_11!C50+YR2012_14!C52+YR2015_17!C52+YR2018_20!C52+YR2021_23!C52+'2024-26 Contributions'!D54</f>
        <v>68931823.77</v>
      </c>
      <c r="E58" s="155">
        <f>YR1991_93!D51+YR1994_96!D51+YR1997_99!D51+YR2000_02!D44+YR2003_05!D44+YR2006_08!D48+YR2009_11!D50+YR2012_14!D52+YR2015_17!D52+YR2018_20!D52+YR2021_23!D52+'2024-26 Contributions'!E54</f>
        <v>1913230</v>
      </c>
      <c r="F58" s="155">
        <f>YR1991_93!E51+YR1994_96!E51+YR1997_99!E51+YR2000_02!E44+YR2003_05!E44+YR2006_08!E48+YR2009_11!E50+YR2012_14!E52+YR2015_17!E52+YR2018_20!E52+YR2021_23!E52+'2024-26 Contributions'!F54</f>
        <v>0</v>
      </c>
      <c r="G58" s="155">
        <f>YR1991_93!F51+YR1994_96!F51+YR1997_99!F51+YR2000_02!F44+YR2003_05!F44+YR2006_08!F48+YR2009_11!F50+YR2012_14!F52+YR2015_17!F52+YR2018_20!F52+YR2021_23!F52+'2024-26 Contributions'!G54</f>
        <v>3366161.08</v>
      </c>
      <c r="H58" s="156" t="str">
        <f>[3]Summary!$D$134</f>
        <v>#ERROR!</v>
      </c>
      <c r="I58" s="2"/>
      <c r="J58" s="2"/>
      <c r="K58" s="2"/>
      <c r="L58" s="2"/>
      <c r="M58" s="2"/>
      <c r="N58" s="2"/>
      <c r="O58" s="2"/>
      <c r="P58" s="2"/>
      <c r="Q58" s="139"/>
      <c r="R58" s="139"/>
      <c r="S58" s="139"/>
      <c r="T58" s="139"/>
      <c r="U58" s="139"/>
      <c r="V58" s="139"/>
      <c r="W58" s="139"/>
      <c r="X58" s="139"/>
      <c r="Y58" s="139"/>
      <c r="Z58" s="139"/>
    </row>
    <row r="59" ht="15.0" customHeight="1">
      <c r="A59" s="2"/>
      <c r="B59" s="154" t="s">
        <v>134</v>
      </c>
      <c r="C59" s="155">
        <f>YR1991_93!B52+YR1994_96!B52+YR1997_99!B52+YR2000_02!B45+YR2003_05!B45+YR2006_08!B49+YR2009_11!B51+YR2012_14!B53+YR2015_17!B53+YR2018_20!B53+YR2021_23!B53+'2024-26 Contributions'!C55</f>
        <v>204984.73</v>
      </c>
      <c r="D59" s="155">
        <f>YR1991_93!C52+YR1994_96!C52+YR1997_99!C52+YR2000_02!C45+YR2003_05!C45+YR2006_08!C49+YR2009_11!C51+YR2012_14!C53+YR2015_17!C53+YR2018_20!C53+YR2021_23!C53+'2024-26 Contributions'!D55</f>
        <v>49086</v>
      </c>
      <c r="E59" s="155">
        <f>YR1991_93!D52+YR1994_96!D52+YR1997_99!D52+YR2000_02!D45+YR2003_05!D45+YR2006_08!D49+YR2009_11!D51+YR2012_14!D53+YR2015_17!D53+YR2018_20!D53+YR2021_23!D53+'2024-26 Contributions'!E55</f>
        <v>0</v>
      </c>
      <c r="F59" s="155">
        <f>YR1991_93!E52+YR1994_96!E52+YR1997_99!E52+YR2000_02!E45+YR2003_05!E45+YR2006_08!E49+YR2009_11!E51+YR2012_14!E53+YR2015_17!E53+YR2018_20!E53+YR2021_23!E53+'2024-26 Contributions'!F55</f>
        <v>0</v>
      </c>
      <c r="G59" s="155">
        <f>YR1991_93!F52+YR1994_96!F52+YR1997_99!F52+YR2000_02!F45+YR2003_05!F45+YR2006_08!F49+YR2009_11!F51+YR2012_14!F53+YR2015_17!F53+YR2018_20!F53+YR2021_23!F53+'2024-26 Contributions'!G55</f>
        <v>155898.73</v>
      </c>
      <c r="H59" s="156">
        <v>0.0</v>
      </c>
      <c r="I59" s="2"/>
      <c r="J59" s="2"/>
      <c r="K59" s="2"/>
      <c r="L59" s="2"/>
      <c r="M59" s="2"/>
      <c r="N59" s="2"/>
      <c r="O59" s="2"/>
      <c r="P59" s="2"/>
      <c r="Q59" s="139"/>
      <c r="R59" s="139"/>
      <c r="S59" s="139"/>
      <c r="T59" s="139"/>
      <c r="U59" s="139"/>
      <c r="V59" s="139"/>
      <c r="W59" s="139"/>
      <c r="X59" s="139"/>
      <c r="Y59" s="139"/>
      <c r="Z59" s="139"/>
    </row>
    <row r="60" ht="15.0" customHeight="1">
      <c r="A60" s="2"/>
      <c r="B60" s="154" t="s">
        <v>135</v>
      </c>
      <c r="C60" s="155">
        <f>YR1991_93!B53+YR1994_96!B53+YR1997_99!B53+YR2000_02!B46+YR2003_05!B46</f>
        <v>293245.01</v>
      </c>
      <c r="D60" s="155">
        <f>YR1991_93!C53+YR1994_96!C53+YR1997_99!C53+YR2000_02!C46+YR2003_05!C46</f>
        <v>5763.67</v>
      </c>
      <c r="E60" s="155">
        <f>YR1991_93!D53+YR1994_96!D53+YR1997_99!D53+YR2000_02!D46+YR2003_05!D46</f>
        <v>0</v>
      </c>
      <c r="F60" s="155">
        <f>YR1991_93!E53+YR1994_96!E53+YR1997_99!E53+YR2000_02!E46+YR2003_05!E46</f>
        <v>0</v>
      </c>
      <c r="G60" s="155">
        <f>YR1991_93!F53+YR1994_96!F53+YR1997_99!F53+YR2000_02!F46+YR2003_05!F46</f>
        <v>287481.34</v>
      </c>
      <c r="H60" s="156">
        <v>0.0</v>
      </c>
      <c r="I60" s="2"/>
      <c r="J60" s="2"/>
      <c r="K60" s="2"/>
      <c r="L60" s="2"/>
      <c r="M60" s="2"/>
      <c r="N60" s="2"/>
      <c r="O60" s="2"/>
      <c r="P60" s="2"/>
      <c r="Q60" s="139"/>
      <c r="R60" s="139"/>
      <c r="S60" s="139"/>
      <c r="T60" s="139"/>
      <c r="U60" s="139"/>
      <c r="V60" s="139"/>
      <c r="W60" s="139"/>
      <c r="X60" s="139"/>
      <c r="Y60" s="139"/>
      <c r="Z60" s="139"/>
    </row>
    <row r="61" ht="15.0" customHeight="1">
      <c r="A61" s="2"/>
      <c r="B61" s="154" t="s">
        <v>136</v>
      </c>
      <c r="C61" s="155">
        <f>YR1991_93!B54+YR1994_96!B54+YR1997_99!B54+YR2000_02!B47+YR2003_05!B47+YR2006_08!B50+YR2009_11!B52+YR2012_14!B54+YR2015_17!B54+YR2018_20!B54+YR2021_23!B54+'2024-26 Contributions'!C56</f>
        <v>11650917.91</v>
      </c>
      <c r="D61" s="155">
        <f>YR1991_93!C54+YR1994_96!C54+YR1997_99!C54+YR2000_02!C47+YR2003_05!C47+YR2006_08!C50+YR2009_11!C52+YR2012_14!C54+YR2015_17!C54+YR2018_20!C54+YR2021_23!C54+'2024-26 Contributions'!D56</f>
        <v>1303750.1</v>
      </c>
      <c r="E61" s="155">
        <f>YR1991_93!D54+YR1994_96!D54+YR1997_99!D54+YR2000_02!D47+YR2003_05!D47+YR2006_08!D50+YR2009_11!D52+YR2012_14!D54+YR2015_17!D54+YR2018_20!D54+YR2021_23!D54+'2024-26 Contributions'!E56</f>
        <v>0</v>
      </c>
      <c r="F61" s="155">
        <f>YR1991_93!E54+YR1994_96!E54+YR1997_99!E54+YR2000_02!E47+YR2003_05!E47+YR2006_08!E50+YR2009_11!E52+YR2012_14!E54+YR2015_17!E54+YR2018_20!E54+YR2021_23!E54+'2024-26 Contributions'!F56</f>
        <v>0</v>
      </c>
      <c r="G61" s="155">
        <f>YR1991_93!F54+YR1994_96!F54+YR1997_99!F54+YR2000_02!F47+YR2003_05!F47+YR2006_08!F50+YR2009_11!F52+YR2012_14!F54+YR2015_17!F54+YR2018_20!F54+YR2021_23!F54+'2024-26 Contributions'!G56</f>
        <v>10347167.81</v>
      </c>
      <c r="H61" s="156">
        <v>0.0</v>
      </c>
      <c r="I61" s="2"/>
      <c r="J61" s="2"/>
      <c r="K61" s="2"/>
      <c r="L61" s="2"/>
      <c r="M61" s="2"/>
      <c r="N61" s="2"/>
      <c r="O61" s="2"/>
      <c r="P61" s="2"/>
      <c r="Q61" s="139"/>
      <c r="R61" s="139"/>
      <c r="S61" s="139"/>
      <c r="T61" s="139"/>
      <c r="U61" s="139"/>
      <c r="V61" s="139"/>
      <c r="W61" s="139"/>
      <c r="X61" s="139"/>
      <c r="Y61" s="139"/>
      <c r="Z61" s="139"/>
    </row>
    <row r="62" ht="15.0" customHeight="1">
      <c r="A62" s="2"/>
      <c r="B62" s="154" t="s">
        <v>137</v>
      </c>
      <c r="C62" s="155">
        <f>YR1991_93!B55</f>
        <v>559639</v>
      </c>
      <c r="D62" s="155">
        <f>YR1991_93!C55</f>
        <v>559639</v>
      </c>
      <c r="E62" s="155">
        <f>YR1991_93!D55</f>
        <v>0</v>
      </c>
      <c r="F62" s="155">
        <f>YR1991_93!E55</f>
        <v>0</v>
      </c>
      <c r="G62" s="155">
        <f>YR1991_93!F55</f>
        <v>0</v>
      </c>
      <c r="H62" s="156">
        <v>0.0</v>
      </c>
      <c r="I62" s="2"/>
      <c r="J62" s="2"/>
      <c r="K62" s="2"/>
      <c r="L62" s="2"/>
      <c r="M62" s="2"/>
      <c r="N62" s="2"/>
      <c r="O62" s="2"/>
      <c r="P62" s="2"/>
      <c r="Q62" s="139"/>
      <c r="R62" s="139"/>
      <c r="S62" s="139"/>
      <c r="T62" s="139"/>
      <c r="U62" s="139"/>
      <c r="V62" s="139"/>
      <c r="W62" s="139"/>
      <c r="X62" s="139"/>
      <c r="Y62" s="139"/>
      <c r="Z62" s="139"/>
    </row>
    <row r="63" ht="15.0" customHeight="1">
      <c r="A63" s="2"/>
      <c r="B63" s="154" t="s">
        <v>138</v>
      </c>
      <c r="C63" s="155">
        <f>YR1991_93!B56+YR1994_96!B56+YR1997_99!B56+YR2000_02!B48+YR2003_05!B48+YR2006_08!B51+YR2009_11!B53+YR2012_14!B55+YR2015_17!B55+YR2018_20!B55+YR2021_23!B55+'2024-26 Contributions'!C57</f>
        <v>337524473.9</v>
      </c>
      <c r="D63" s="155">
        <f>YR1991_93!C56+YR1994_96!C56+YR1997_99!C56+YR2000_02!C48+YR2003_05!C48+YR2006_08!C51+YR2009_11!C53+YR2012_14!C55+YR2015_17!C55+YR2018_20!C55+YR2021_23!C55+'2024-26 Contributions'!D57</f>
        <v>323972746.2</v>
      </c>
      <c r="E63" s="155">
        <f>YR1991_93!D56+YR1994_96!D56+YR1997_99!D56+YR2000_02!D48+YR2003_05!D48+YR2006_08!D51+YR2009_11!D53+YR2012_14!D55+YR2015_17!D55+YR2018_20!D55+YR2021_23!D55+'2024-26 Contributions'!E57</f>
        <v>565000</v>
      </c>
      <c r="F63" s="155">
        <f>YR1991_93!E56+YR1994_96!E56+YR1997_99!E56+YR2000_02!E48+YR2003_05!E48+YR2006_08!E51+YR2009_11!E53+YR2012_14!E55+YR2015_17!E55+YR2018_20!E55+YR2021_23!E55+'2024-26 Contributions'!F57</f>
        <v>0.0000000009313225746</v>
      </c>
      <c r="G63" s="155">
        <f>YR1991_93!F56+YR1994_96!F56+YR1997_99!F56+YR2000_02!F48+YR2003_05!F48+YR2006_08!F51+YR2009_11!F53+YR2012_14!F55+YR2015_17!F55+YR2018_20!F55+YR2021_23!F55+'2024-26 Contributions'!G57</f>
        <v>12986727.78</v>
      </c>
      <c r="H63" s="156" t="str">
        <f>[3]Summary!$D$135</f>
        <v>#ERROR!</v>
      </c>
      <c r="I63" s="56"/>
      <c r="J63" s="2"/>
      <c r="K63" s="2"/>
      <c r="L63" s="2"/>
      <c r="M63" s="2"/>
      <c r="N63" s="2"/>
      <c r="O63" s="2"/>
      <c r="P63" s="2"/>
      <c r="Q63" s="139"/>
      <c r="R63" s="139"/>
      <c r="S63" s="139"/>
      <c r="T63" s="139"/>
      <c r="U63" s="139"/>
      <c r="V63" s="139"/>
      <c r="W63" s="139"/>
      <c r="X63" s="139"/>
      <c r="Y63" s="139"/>
      <c r="Z63" s="139"/>
    </row>
    <row r="64" ht="15.0" customHeight="1">
      <c r="A64" s="2"/>
      <c r="B64" s="154" t="s">
        <v>139</v>
      </c>
      <c r="C64" s="155">
        <f>YR1991_93!B57+YR1994_96!B57+YR1997_99!B57+YR2000_02!B49+YR2003_05!B49+YR2006_08!B52+YR2009_11!B54+YR2012_14!B56+YR2015_17!B56+YR2018_20!B56+YR2021_23!B56+'2024-26 Contributions'!C58</f>
        <v>1076541576</v>
      </c>
      <c r="D64" s="155">
        <f>YR1991_93!C57+YR1994_96!C57+YR1997_99!C57+YR2000_02!C49+YR2003_05!C49+YR2006_08!C52+YR2009_11!C54+YR2012_14!C56+YR2015_17!C56+YR2018_20!C56+YR2021_23!C56+'2024-26 Contributions'!D58</f>
        <v>1016430385</v>
      </c>
      <c r="E64" s="155">
        <f>YR1991_93!D57+YR1994_96!D57+YR1997_99!D57+YR2000_02!D49+YR2003_05!D49+YR2006_08!D52+YR2009_11!D54+YR2012_14!D56+YR2015_17!D56+YR2018_20!D56+YR2021_23!D56+'2024-26 Contributions'!E58</f>
        <v>21567191</v>
      </c>
      <c r="F64" s="155">
        <f>YR1991_93!E57+YR1994_96!E57+YR1997_99!E57+YR2000_02!E49+YR2003_05!E49+YR2006_08!E52+YR2009_11!E54+YR2012_14!E56+YR2015_17!E56+YR2018_20!E56+YR2021_23!E56+'2024-26 Contributions'!F58</f>
        <v>0</v>
      </c>
      <c r="G64" s="155">
        <f>YR1991_93!F57+YR1994_96!F57+YR1997_99!F57+YR2000_02!F49+YR2003_05!F49+YR2006_08!F52+YR2009_11!F54+YR2012_14!F56+YR2015_17!F56+YR2018_20!F56+YR2021_23!F56+'2024-26 Contributions'!G58</f>
        <v>38543999.59</v>
      </c>
      <c r="H64" s="156">
        <v>0.0</v>
      </c>
      <c r="I64" s="56"/>
      <c r="J64" s="56"/>
      <c r="K64" s="56"/>
      <c r="L64" s="2"/>
      <c r="M64" s="2"/>
      <c r="N64" s="2"/>
      <c r="O64" s="2"/>
      <c r="P64" s="2"/>
      <c r="Q64" s="139"/>
      <c r="R64" s="139"/>
      <c r="S64" s="139"/>
      <c r="T64" s="139"/>
      <c r="U64" s="139"/>
      <c r="V64" s="139"/>
      <c r="W64" s="139"/>
      <c r="X64" s="139"/>
      <c r="Y64" s="139"/>
      <c r="Z64" s="139"/>
    </row>
    <row r="65" ht="15.0" customHeight="1">
      <c r="A65" s="2"/>
      <c r="B65" s="161" t="s">
        <v>140</v>
      </c>
      <c r="C65" s="162">
        <f>YR1991_93!B58+YR1994_96!B58+YR1997_99!B58+YR2000_02!B50+YR2003_05!B50+YR2006_08!B53+YR2009_11!B55+YR2012_14!B57+YR2015_17!B57+YR2018_20!B57+YR2021_23!B57+'2024-26 Contributions'!C59</f>
        <v>1336169</v>
      </c>
      <c r="D65" s="162">
        <f>YR1991_93!C58+YR1994_96!C58+YR1997_99!C58+YR2000_02!C50+YR2003_05!C50+YR2006_08!C53+YR2009_11!C55+YR2012_14!C57+YR2015_17!C57+YR2018_20!C57+YR2021_23!C57+'2024-26 Contributions'!D59</f>
        <v>472506</v>
      </c>
      <c r="E65" s="162">
        <f>YR1991_93!D58+YR1994_96!D58+YR1997_99!D58+YR2000_02!D50+YR2003_05!D50+YR2006_08!D53+YR2009_11!D55+YR2012_14!D57+YR2015_17!D57+YR2018_20!D57+YR2021_23!D57+'2024-26 Contributions'!E59</f>
        <v>0</v>
      </c>
      <c r="F65" s="162">
        <f>YR1991_93!E58+YR1994_96!E58+YR1997_99!E58+YR2000_02!E50+YR2003_05!E50+YR2006_08!E53+YR2009_11!E55+YR2012_14!E57+YR2015_17!E57+YR2018_20!E57+YR2021_23!E57+'2024-26 Contributions'!F59</f>
        <v>0</v>
      </c>
      <c r="G65" s="162">
        <f>YR1991_93!F58+YR1994_96!F58+YR1997_99!F58+YR2000_02!F50+YR2003_05!F50+YR2006_08!F53+YR2009_11!F55+YR2012_14!F57+YR2015_17!F57+YR2018_20!F57+YR2021_23!F57+'2024-26 Contributions'!G59</f>
        <v>863663</v>
      </c>
      <c r="H65" s="163">
        <v>0.0</v>
      </c>
      <c r="I65" s="2"/>
      <c r="J65" s="56"/>
      <c r="K65" s="56"/>
      <c r="L65" s="2"/>
      <c r="M65" s="2"/>
      <c r="N65" s="2"/>
      <c r="O65" s="2"/>
      <c r="P65" s="2"/>
      <c r="Q65" s="139"/>
      <c r="R65" s="139"/>
      <c r="S65" s="139"/>
      <c r="T65" s="139"/>
      <c r="U65" s="139"/>
      <c r="V65" s="139"/>
      <c r="W65" s="139"/>
      <c r="X65" s="139"/>
      <c r="Y65" s="139"/>
      <c r="Z65" s="139"/>
    </row>
    <row r="66" ht="15.0" customHeight="1">
      <c r="A66" s="2"/>
      <c r="B66" s="164" t="s">
        <v>141</v>
      </c>
      <c r="C66" s="114">
        <f t="shared" ref="C66:H66" si="1">SUM(C11:C65)</f>
        <v>4792310474</v>
      </c>
      <c r="D66" s="114">
        <f t="shared" si="1"/>
        <v>4272742415</v>
      </c>
      <c r="E66" s="114">
        <f t="shared" si="1"/>
        <v>188759809.1</v>
      </c>
      <c r="F66" s="114">
        <f t="shared" si="1"/>
        <v>-0.1098566416</v>
      </c>
      <c r="G66" s="114">
        <f t="shared" si="1"/>
        <v>330808249.6</v>
      </c>
      <c r="H66" s="165" t="str">
        <f t="shared" si="1"/>
        <v>#ERROR!</v>
      </c>
      <c r="I66" s="56"/>
      <c r="J66" s="158"/>
      <c r="K66" s="158"/>
      <c r="L66" s="158"/>
      <c r="M66" s="2"/>
      <c r="N66" s="2"/>
      <c r="O66" s="2"/>
      <c r="P66" s="2"/>
      <c r="Q66" s="139"/>
      <c r="R66" s="139"/>
      <c r="S66" s="139"/>
      <c r="T66" s="139"/>
      <c r="U66" s="139"/>
      <c r="V66" s="139"/>
      <c r="W66" s="139"/>
      <c r="X66" s="139"/>
      <c r="Y66" s="139"/>
      <c r="Z66" s="139"/>
    </row>
    <row r="67" ht="15.0" customHeight="1">
      <c r="A67" s="2"/>
      <c r="B67" s="166" t="s">
        <v>142</v>
      </c>
      <c r="C67" s="167">
        <f>YR1994_96!B60+YR2006_08!B55+YR2009_11!B57+YR2012_14!B59+YR2015_17!B59+YR2018_20!B59+YR2021_23!B59</f>
        <v>50765644.4</v>
      </c>
      <c r="D67" s="167">
        <v>0.0</v>
      </c>
      <c r="E67" s="167">
        <v>0.0</v>
      </c>
      <c r="F67" s="167">
        <v>0.0</v>
      </c>
      <c r="G67" s="168">
        <f>C67-D67-E67-F67</f>
        <v>50765644.4</v>
      </c>
      <c r="H67" s="169">
        <v>0.0</v>
      </c>
      <c r="I67" s="56"/>
      <c r="J67" s="2"/>
      <c r="K67" s="158"/>
      <c r="L67" s="2"/>
      <c r="M67" s="2"/>
      <c r="N67" s="2"/>
      <c r="O67" s="2"/>
      <c r="P67" s="2"/>
      <c r="Q67" s="139"/>
      <c r="R67" s="139"/>
      <c r="S67" s="139"/>
      <c r="T67" s="139"/>
      <c r="U67" s="139"/>
      <c r="V67" s="139"/>
      <c r="W67" s="139"/>
      <c r="X67" s="139"/>
      <c r="Y67" s="139"/>
      <c r="Z67" s="139"/>
    </row>
    <row r="68" ht="15.0" customHeight="1">
      <c r="A68" s="88"/>
      <c r="B68" s="170" t="s">
        <v>143</v>
      </c>
      <c r="C68" s="114">
        <f t="shared" ref="C68:G68" si="2">C66+C67</f>
        <v>4843076118</v>
      </c>
      <c r="D68" s="114">
        <f t="shared" si="2"/>
        <v>4272742415</v>
      </c>
      <c r="E68" s="114">
        <f t="shared" si="2"/>
        <v>188759809.1</v>
      </c>
      <c r="F68" s="114">
        <f t="shared" si="2"/>
        <v>-0.1098566416</v>
      </c>
      <c r="G68" s="114">
        <f t="shared" si="2"/>
        <v>381573894</v>
      </c>
      <c r="H68" s="165">
        <v>0.0</v>
      </c>
      <c r="I68" s="88"/>
      <c r="J68" s="171"/>
      <c r="K68" s="88"/>
      <c r="L68" s="88"/>
      <c r="M68" s="88"/>
      <c r="N68" s="88"/>
      <c r="O68" s="88"/>
      <c r="P68" s="88"/>
      <c r="Q68" s="150"/>
      <c r="R68" s="150"/>
      <c r="S68" s="150"/>
      <c r="T68" s="150"/>
      <c r="U68" s="150"/>
      <c r="V68" s="150"/>
      <c r="W68" s="150"/>
      <c r="X68" s="150"/>
      <c r="Y68" s="150"/>
      <c r="Z68" s="150"/>
    </row>
    <row r="69" ht="31.5" customHeight="1">
      <c r="A69" s="2"/>
      <c r="B69" s="172" t="s">
        <v>144</v>
      </c>
      <c r="C69" s="11"/>
      <c r="D69" s="11"/>
      <c r="E69" s="11"/>
      <c r="F69" s="11"/>
      <c r="G69" s="11"/>
      <c r="H69" s="12"/>
      <c r="I69" s="2"/>
      <c r="J69" s="2"/>
      <c r="K69" s="2"/>
      <c r="L69" s="2"/>
      <c r="M69" s="2"/>
      <c r="N69" s="2"/>
      <c r="O69" s="2"/>
      <c r="P69" s="2"/>
      <c r="Q69" s="139"/>
      <c r="R69" s="139"/>
      <c r="S69" s="139"/>
      <c r="T69" s="139"/>
      <c r="U69" s="139"/>
      <c r="V69" s="139"/>
      <c r="W69" s="139"/>
      <c r="X69" s="139"/>
      <c r="Y69" s="139"/>
      <c r="Z69" s="139"/>
    </row>
    <row r="70" ht="29.25" customHeight="1">
      <c r="A70" s="2"/>
      <c r="B70" s="172" t="s">
        <v>145</v>
      </c>
      <c r="C70" s="11"/>
      <c r="D70" s="11"/>
      <c r="E70" s="11"/>
      <c r="F70" s="11"/>
      <c r="G70" s="11"/>
      <c r="H70" s="12"/>
      <c r="I70" s="2"/>
      <c r="J70" s="2"/>
      <c r="K70" s="2"/>
      <c r="L70" s="2"/>
      <c r="M70" s="2"/>
      <c r="N70" s="2"/>
      <c r="O70" s="2"/>
      <c r="P70" s="2"/>
      <c r="Q70" s="139"/>
      <c r="R70" s="139"/>
      <c r="S70" s="139"/>
      <c r="T70" s="139"/>
      <c r="U70" s="139"/>
      <c r="V70" s="139"/>
      <c r="W70" s="139"/>
      <c r="X70" s="139"/>
      <c r="Y70" s="139"/>
      <c r="Z70" s="139"/>
    </row>
    <row r="71" ht="29.25" customHeight="1">
      <c r="A71" s="173"/>
      <c r="B71" s="174" t="s">
        <v>146</v>
      </c>
      <c r="C71" s="11"/>
      <c r="D71" s="11"/>
      <c r="E71" s="11"/>
      <c r="F71" s="11"/>
      <c r="G71" s="11"/>
      <c r="H71" s="12"/>
      <c r="I71" s="173"/>
      <c r="J71" s="173"/>
      <c r="K71" s="173"/>
      <c r="L71" s="173"/>
      <c r="M71" s="173"/>
      <c r="N71" s="173"/>
      <c r="O71" s="173"/>
      <c r="P71" s="173"/>
      <c r="Q71" s="175"/>
      <c r="R71" s="175"/>
      <c r="S71" s="175"/>
      <c r="T71" s="175"/>
      <c r="U71" s="175"/>
      <c r="V71" s="175"/>
      <c r="W71" s="175"/>
      <c r="X71" s="175"/>
      <c r="Y71" s="175"/>
      <c r="Z71" s="175"/>
    </row>
    <row r="72" ht="15.0" customHeight="1">
      <c r="A72" s="2"/>
      <c r="B72" s="176"/>
      <c r="C72" s="177"/>
      <c r="D72" s="177"/>
      <c r="E72" s="177"/>
      <c r="F72" s="177"/>
      <c r="G72" s="177"/>
      <c r="H72" s="178"/>
      <c r="I72" s="2"/>
      <c r="J72" s="2"/>
      <c r="K72" s="2"/>
      <c r="L72" s="2"/>
      <c r="M72" s="2"/>
      <c r="N72" s="2"/>
      <c r="O72" s="2"/>
      <c r="P72" s="2"/>
      <c r="Q72" s="139"/>
      <c r="R72" s="139"/>
      <c r="S72" s="139"/>
      <c r="T72" s="139"/>
      <c r="U72" s="139"/>
      <c r="V72" s="139"/>
      <c r="W72" s="139"/>
      <c r="X72" s="139"/>
      <c r="Y72" s="139"/>
      <c r="Z72" s="139"/>
    </row>
    <row r="73" ht="15.0" customHeight="1">
      <c r="A73" s="2"/>
      <c r="B73" s="2"/>
      <c r="C73" s="177"/>
      <c r="D73" s="177"/>
      <c r="E73" s="177"/>
      <c r="F73" s="177"/>
      <c r="G73" s="177"/>
      <c r="H73" s="177"/>
      <c r="I73" s="2"/>
      <c r="J73" s="2"/>
      <c r="K73" s="2"/>
      <c r="L73" s="2"/>
      <c r="M73" s="2"/>
      <c r="N73" s="2"/>
      <c r="O73" s="2"/>
      <c r="P73" s="2"/>
      <c r="Q73" s="139"/>
      <c r="R73" s="139"/>
      <c r="S73" s="139"/>
      <c r="T73" s="139"/>
      <c r="U73" s="139"/>
      <c r="V73" s="139"/>
      <c r="W73" s="139"/>
      <c r="X73" s="139"/>
      <c r="Y73" s="139"/>
      <c r="Z73" s="139"/>
    </row>
    <row r="74" ht="15.0" customHeight="1">
      <c r="A74" s="2"/>
      <c r="B74" s="2"/>
      <c r="C74" s="142"/>
      <c r="D74" s="142"/>
      <c r="E74" s="142"/>
      <c r="F74" s="142"/>
      <c r="G74" s="142"/>
      <c r="H74" s="179"/>
      <c r="I74" s="2"/>
      <c r="J74" s="2"/>
      <c r="K74" s="2"/>
      <c r="L74" s="2"/>
      <c r="M74" s="2"/>
      <c r="N74" s="2"/>
      <c r="O74" s="2"/>
      <c r="P74" s="2"/>
      <c r="Q74" s="139"/>
      <c r="R74" s="139"/>
      <c r="S74" s="139"/>
      <c r="T74" s="139"/>
      <c r="U74" s="139"/>
      <c r="V74" s="139"/>
      <c r="W74" s="139"/>
      <c r="X74" s="139"/>
      <c r="Y74" s="139"/>
      <c r="Z74" s="139"/>
    </row>
    <row r="75" ht="15.0" customHeight="1">
      <c r="A75" s="2"/>
      <c r="B75" s="2"/>
      <c r="C75" s="142"/>
      <c r="D75" s="142"/>
      <c r="E75" s="142"/>
      <c r="F75" s="142"/>
      <c r="G75" s="142"/>
      <c r="H75" s="179"/>
      <c r="I75" s="2"/>
      <c r="J75" s="2"/>
      <c r="K75" s="2"/>
      <c r="L75" s="2"/>
      <c r="M75" s="2"/>
      <c r="N75" s="2"/>
      <c r="O75" s="2"/>
      <c r="P75" s="2"/>
      <c r="Q75" s="139"/>
      <c r="R75" s="139"/>
      <c r="S75" s="139"/>
      <c r="T75" s="139"/>
      <c r="U75" s="139"/>
      <c r="V75" s="139"/>
      <c r="W75" s="139"/>
      <c r="X75" s="139"/>
      <c r="Y75" s="139"/>
      <c r="Z75" s="139"/>
    </row>
    <row r="76" ht="15.0" customHeight="1">
      <c r="A76" s="2"/>
      <c r="B76" s="180"/>
      <c r="C76" s="142"/>
      <c r="D76" s="142"/>
      <c r="E76" s="142"/>
      <c r="F76" s="142"/>
      <c r="G76" s="142"/>
      <c r="H76" s="179"/>
      <c r="I76" s="2"/>
      <c r="J76" s="2"/>
      <c r="K76" s="2"/>
      <c r="L76" s="2"/>
      <c r="M76" s="2"/>
      <c r="N76" s="2"/>
      <c r="O76" s="2"/>
      <c r="P76" s="2"/>
      <c r="Q76" s="139"/>
      <c r="R76" s="139"/>
      <c r="S76" s="139"/>
      <c r="T76" s="139"/>
      <c r="U76" s="139"/>
      <c r="V76" s="139"/>
      <c r="W76" s="139"/>
      <c r="X76" s="139"/>
      <c r="Y76" s="139"/>
      <c r="Z76" s="139"/>
    </row>
    <row r="77" ht="15.0" customHeight="1">
      <c r="A77" s="2"/>
      <c r="B77" s="181"/>
      <c r="C77" s="142"/>
      <c r="D77" s="142"/>
      <c r="E77" s="142"/>
      <c r="F77" s="142"/>
      <c r="G77" s="142"/>
      <c r="H77" s="142"/>
      <c r="I77" s="2"/>
      <c r="J77" s="2"/>
      <c r="K77" s="2"/>
      <c r="L77" s="2"/>
      <c r="M77" s="2"/>
      <c r="N77" s="2"/>
      <c r="O77" s="2"/>
      <c r="P77" s="2"/>
      <c r="Q77" s="139"/>
      <c r="R77" s="139"/>
      <c r="S77" s="139"/>
      <c r="T77" s="139"/>
      <c r="U77" s="139"/>
      <c r="V77" s="139"/>
      <c r="W77" s="139"/>
      <c r="X77" s="139"/>
      <c r="Y77" s="139"/>
      <c r="Z77" s="139"/>
    </row>
    <row r="78" ht="15.0" customHeight="1">
      <c r="A78" s="2"/>
      <c r="B78" s="180"/>
      <c r="C78" s="182"/>
      <c r="D78" s="142"/>
      <c r="E78" s="142"/>
      <c r="F78" s="142"/>
      <c r="G78" s="142"/>
      <c r="H78" s="179"/>
      <c r="I78" s="2"/>
      <c r="J78" s="2"/>
      <c r="K78" s="2"/>
      <c r="L78" s="2"/>
      <c r="M78" s="2"/>
      <c r="N78" s="2"/>
      <c r="O78" s="2"/>
      <c r="P78" s="2"/>
      <c r="Q78" s="139"/>
      <c r="R78" s="139"/>
      <c r="S78" s="139"/>
      <c r="T78" s="139"/>
      <c r="U78" s="139"/>
      <c r="V78" s="139"/>
      <c r="W78" s="139"/>
      <c r="X78" s="139"/>
      <c r="Y78" s="139"/>
      <c r="Z78" s="139"/>
    </row>
    <row r="79" ht="15.0" customHeight="1">
      <c r="A79" s="2"/>
      <c r="B79" s="180"/>
      <c r="C79" s="182"/>
      <c r="D79" s="142"/>
      <c r="E79" s="142"/>
      <c r="F79" s="142"/>
      <c r="G79" s="142"/>
      <c r="H79" s="179"/>
      <c r="I79" s="2"/>
      <c r="J79" s="2"/>
      <c r="K79" s="2"/>
      <c r="L79" s="2"/>
      <c r="M79" s="2"/>
      <c r="N79" s="2"/>
      <c r="O79" s="2"/>
      <c r="P79" s="2"/>
      <c r="Q79" s="139"/>
      <c r="R79" s="139"/>
      <c r="S79" s="139"/>
      <c r="T79" s="139"/>
      <c r="U79" s="139"/>
      <c r="V79" s="139"/>
      <c r="W79" s="139"/>
      <c r="X79" s="139"/>
      <c r="Y79" s="139"/>
      <c r="Z79" s="139"/>
    </row>
    <row r="80" ht="15.0" customHeight="1">
      <c r="A80" s="2"/>
      <c r="B80" s="180"/>
      <c r="C80" s="182"/>
      <c r="D80" s="142"/>
      <c r="E80" s="142"/>
      <c r="F80" s="142"/>
      <c r="G80" s="142"/>
      <c r="H80" s="179"/>
      <c r="I80" s="2"/>
      <c r="J80" s="2"/>
      <c r="K80" s="2"/>
      <c r="L80" s="2"/>
      <c r="M80" s="2"/>
      <c r="N80" s="2"/>
      <c r="O80" s="2"/>
      <c r="P80" s="2"/>
      <c r="Q80" s="139"/>
      <c r="R80" s="139"/>
      <c r="S80" s="139"/>
      <c r="T80" s="139"/>
      <c r="U80" s="139"/>
      <c r="V80" s="139"/>
      <c r="W80" s="139"/>
      <c r="X80" s="139"/>
      <c r="Y80" s="139"/>
      <c r="Z80" s="139"/>
    </row>
    <row r="81" ht="15.0" customHeight="1">
      <c r="A81" s="2"/>
      <c r="B81" s="180"/>
      <c r="C81" s="182"/>
      <c r="D81" s="142"/>
      <c r="E81" s="142"/>
      <c r="F81" s="142"/>
      <c r="G81" s="142"/>
      <c r="H81" s="179"/>
      <c r="I81" s="2"/>
      <c r="J81" s="2"/>
      <c r="K81" s="2"/>
      <c r="L81" s="2"/>
      <c r="M81" s="2"/>
      <c r="N81" s="2"/>
      <c r="O81" s="2"/>
      <c r="P81" s="2"/>
      <c r="Q81" s="139"/>
      <c r="R81" s="139"/>
      <c r="S81" s="139"/>
      <c r="T81" s="139"/>
      <c r="U81" s="139"/>
      <c r="V81" s="139"/>
      <c r="W81" s="139"/>
      <c r="X81" s="139"/>
      <c r="Y81" s="139"/>
      <c r="Z81" s="139"/>
    </row>
    <row r="82" ht="15.0" customHeight="1">
      <c r="A82" s="2"/>
      <c r="B82" s="180"/>
      <c r="C82" s="182"/>
      <c r="D82" s="142"/>
      <c r="E82" s="142"/>
      <c r="F82" s="142"/>
      <c r="G82" s="142"/>
      <c r="H82" s="179"/>
      <c r="I82" s="2"/>
      <c r="J82" s="2"/>
      <c r="K82" s="2"/>
      <c r="L82" s="2"/>
      <c r="M82" s="2"/>
      <c r="N82" s="2"/>
      <c r="O82" s="2"/>
      <c r="P82" s="2"/>
      <c r="Q82" s="139"/>
      <c r="R82" s="139"/>
      <c r="S82" s="139"/>
      <c r="T82" s="139"/>
      <c r="U82" s="139"/>
      <c r="V82" s="139"/>
      <c r="W82" s="139"/>
      <c r="X82" s="139"/>
      <c r="Y82" s="139"/>
      <c r="Z82" s="139"/>
    </row>
    <row r="83" ht="15.0" customHeight="1">
      <c r="A83" s="2"/>
      <c r="B83" s="180"/>
      <c r="C83" s="182"/>
      <c r="D83" s="142"/>
      <c r="E83" s="142"/>
      <c r="F83" s="142"/>
      <c r="G83" s="142"/>
      <c r="H83" s="179"/>
      <c r="I83" s="2"/>
      <c r="J83" s="2"/>
      <c r="K83" s="2"/>
      <c r="L83" s="2"/>
      <c r="M83" s="2"/>
      <c r="N83" s="2"/>
      <c r="O83" s="2"/>
      <c r="P83" s="2"/>
      <c r="Q83" s="139"/>
      <c r="R83" s="139"/>
      <c r="S83" s="139"/>
      <c r="T83" s="139"/>
      <c r="U83" s="139"/>
      <c r="V83" s="139"/>
      <c r="W83" s="139"/>
      <c r="X83" s="139"/>
      <c r="Y83" s="139"/>
      <c r="Z83" s="139"/>
    </row>
    <row r="84" ht="15.0" customHeight="1">
      <c r="A84" s="2"/>
      <c r="B84" s="180"/>
      <c r="C84" s="182"/>
      <c r="D84" s="142"/>
      <c r="E84" s="142"/>
      <c r="F84" s="142"/>
      <c r="G84" s="142"/>
      <c r="H84" s="179"/>
      <c r="I84" s="2"/>
      <c r="J84" s="2"/>
      <c r="K84" s="2"/>
      <c r="L84" s="2"/>
      <c r="M84" s="2"/>
      <c r="N84" s="2"/>
      <c r="O84" s="2"/>
      <c r="P84" s="2"/>
      <c r="Q84" s="139"/>
      <c r="R84" s="139"/>
      <c r="S84" s="139"/>
      <c r="T84" s="139"/>
      <c r="U84" s="139"/>
      <c r="V84" s="139"/>
      <c r="W84" s="139"/>
      <c r="X84" s="139"/>
      <c r="Y84" s="139"/>
      <c r="Z84" s="139"/>
    </row>
    <row r="85" ht="15.0" customHeight="1">
      <c r="A85" s="2"/>
      <c r="B85" s="181"/>
      <c r="C85" s="182"/>
      <c r="D85" s="142"/>
      <c r="E85" s="142"/>
      <c r="F85" s="142"/>
      <c r="G85" s="142"/>
      <c r="H85" s="179"/>
      <c r="I85" s="2"/>
      <c r="J85" s="2"/>
      <c r="K85" s="2"/>
      <c r="L85" s="2"/>
      <c r="M85" s="2"/>
      <c r="N85" s="2"/>
      <c r="O85" s="2"/>
      <c r="P85" s="2"/>
      <c r="Q85" s="139"/>
      <c r="R85" s="139"/>
      <c r="S85" s="139"/>
      <c r="T85" s="139"/>
      <c r="U85" s="139"/>
      <c r="V85" s="139"/>
      <c r="W85" s="139"/>
      <c r="X85" s="139"/>
      <c r="Y85" s="139"/>
      <c r="Z85" s="139"/>
    </row>
    <row r="86" ht="15.0" customHeight="1">
      <c r="A86" s="2"/>
      <c r="B86" s="180"/>
      <c r="C86" s="182"/>
      <c r="D86" s="142"/>
      <c r="E86" s="142"/>
      <c r="F86" s="142"/>
      <c r="G86" s="142"/>
      <c r="H86" s="179"/>
      <c r="I86" s="2"/>
      <c r="J86" s="2"/>
      <c r="K86" s="2"/>
      <c r="L86" s="2"/>
      <c r="M86" s="2"/>
      <c r="N86" s="2"/>
      <c r="O86" s="2"/>
      <c r="P86" s="2"/>
      <c r="Q86" s="139"/>
      <c r="R86" s="139"/>
      <c r="S86" s="139"/>
      <c r="T86" s="139"/>
      <c r="U86" s="139"/>
      <c r="V86" s="139"/>
      <c r="W86" s="139"/>
      <c r="X86" s="139"/>
      <c r="Y86" s="139"/>
      <c r="Z86" s="139"/>
    </row>
    <row r="87" ht="15.0" customHeight="1">
      <c r="A87" s="2"/>
      <c r="B87" s="180"/>
      <c r="C87" s="182"/>
      <c r="D87" s="142"/>
      <c r="E87" s="142"/>
      <c r="F87" s="142"/>
      <c r="G87" s="142"/>
      <c r="H87" s="179"/>
      <c r="I87" s="2"/>
      <c r="J87" s="2"/>
      <c r="K87" s="2"/>
      <c r="L87" s="2"/>
      <c r="M87" s="2"/>
      <c r="N87" s="2"/>
      <c r="O87" s="2"/>
      <c r="P87" s="2"/>
      <c r="Q87" s="139"/>
      <c r="R87" s="139"/>
      <c r="S87" s="139"/>
      <c r="T87" s="139"/>
      <c r="U87" s="139"/>
      <c r="V87" s="139"/>
      <c r="W87" s="139"/>
      <c r="X87" s="139"/>
      <c r="Y87" s="139"/>
      <c r="Z87" s="139"/>
    </row>
    <row r="88" ht="15.0" customHeight="1">
      <c r="A88" s="2"/>
      <c r="B88" s="180"/>
      <c r="C88" s="182"/>
      <c r="D88" s="142"/>
      <c r="E88" s="142"/>
      <c r="F88" s="142"/>
      <c r="G88" s="142"/>
      <c r="H88" s="179"/>
      <c r="I88" s="2"/>
      <c r="J88" s="2"/>
      <c r="K88" s="2"/>
      <c r="L88" s="2"/>
      <c r="M88" s="2"/>
      <c r="N88" s="2"/>
      <c r="O88" s="2"/>
      <c r="P88" s="2"/>
      <c r="Q88" s="139"/>
      <c r="R88" s="139"/>
      <c r="S88" s="139"/>
      <c r="T88" s="139"/>
      <c r="U88" s="139"/>
      <c r="V88" s="139"/>
      <c r="W88" s="139"/>
      <c r="X88" s="139"/>
      <c r="Y88" s="139"/>
      <c r="Z88" s="139"/>
    </row>
    <row r="89" ht="15.0" customHeight="1">
      <c r="A89" s="2"/>
      <c r="B89" s="2"/>
      <c r="C89" s="142"/>
      <c r="D89" s="142"/>
      <c r="E89" s="142"/>
      <c r="F89" s="142"/>
      <c r="G89" s="142"/>
      <c r="H89" s="179"/>
      <c r="I89" s="2"/>
      <c r="J89" s="2"/>
      <c r="K89" s="2"/>
      <c r="L89" s="2"/>
      <c r="M89" s="2"/>
      <c r="N89" s="2"/>
      <c r="O89" s="2"/>
      <c r="P89" s="2"/>
      <c r="Q89" s="139"/>
      <c r="R89" s="139"/>
      <c r="S89" s="139"/>
      <c r="T89" s="139"/>
      <c r="U89" s="139"/>
      <c r="V89" s="139"/>
      <c r="W89" s="139"/>
      <c r="X89" s="139"/>
      <c r="Y89" s="139"/>
      <c r="Z89" s="139"/>
    </row>
    <row r="90" ht="15.0" customHeight="1">
      <c r="A90" s="2"/>
      <c r="B90" s="2"/>
      <c r="C90" s="142"/>
      <c r="D90" s="142"/>
      <c r="E90" s="142"/>
      <c r="F90" s="142"/>
      <c r="G90" s="142"/>
      <c r="H90" s="179"/>
      <c r="I90" s="2"/>
      <c r="J90" s="2"/>
      <c r="K90" s="2"/>
      <c r="L90" s="2"/>
      <c r="M90" s="2"/>
      <c r="N90" s="2"/>
      <c r="O90" s="2"/>
      <c r="P90" s="2"/>
      <c r="Q90" s="139"/>
      <c r="R90" s="139"/>
      <c r="S90" s="139"/>
      <c r="T90" s="139"/>
      <c r="U90" s="139"/>
      <c r="V90" s="139"/>
      <c r="W90" s="139"/>
      <c r="X90" s="139"/>
      <c r="Y90" s="139"/>
      <c r="Z90" s="139"/>
    </row>
    <row r="91" ht="15.0" customHeight="1">
      <c r="A91" s="2"/>
      <c r="B91" s="2"/>
      <c r="C91" s="142"/>
      <c r="D91" s="142"/>
      <c r="E91" s="142"/>
      <c r="F91" s="142"/>
      <c r="G91" s="142"/>
      <c r="H91" s="179"/>
      <c r="I91" s="2"/>
      <c r="J91" s="2"/>
      <c r="K91" s="2"/>
      <c r="L91" s="2"/>
      <c r="M91" s="2"/>
      <c r="N91" s="2"/>
      <c r="O91" s="2"/>
      <c r="P91" s="2"/>
      <c r="Q91" s="139"/>
      <c r="R91" s="139"/>
      <c r="S91" s="139"/>
      <c r="T91" s="139"/>
      <c r="U91" s="139"/>
      <c r="V91" s="139"/>
      <c r="W91" s="139"/>
      <c r="X91" s="139"/>
      <c r="Y91" s="139"/>
      <c r="Z91" s="139"/>
    </row>
    <row r="92" ht="15.0" customHeight="1">
      <c r="A92" s="2"/>
      <c r="B92" s="2"/>
      <c r="C92" s="142"/>
      <c r="D92" s="142"/>
      <c r="E92" s="142"/>
      <c r="F92" s="142"/>
      <c r="G92" s="142"/>
      <c r="H92" s="179"/>
      <c r="I92" s="2"/>
      <c r="J92" s="2"/>
      <c r="K92" s="2"/>
      <c r="L92" s="2"/>
      <c r="M92" s="2"/>
      <c r="N92" s="2"/>
      <c r="O92" s="2"/>
      <c r="P92" s="2"/>
      <c r="Q92" s="139"/>
      <c r="R92" s="139"/>
      <c r="S92" s="139"/>
      <c r="T92" s="139"/>
      <c r="U92" s="139"/>
      <c r="V92" s="139"/>
      <c r="W92" s="139"/>
      <c r="X92" s="139"/>
      <c r="Y92" s="139"/>
      <c r="Z92" s="139"/>
    </row>
    <row r="93" ht="15.0" customHeight="1">
      <c r="A93" s="2"/>
      <c r="B93" s="2"/>
      <c r="C93" s="142"/>
      <c r="D93" s="142"/>
      <c r="E93" s="142"/>
      <c r="F93" s="142"/>
      <c r="G93" s="142"/>
      <c r="H93" s="179"/>
      <c r="I93" s="2"/>
      <c r="J93" s="2"/>
      <c r="K93" s="2"/>
      <c r="L93" s="2"/>
      <c r="M93" s="2"/>
      <c r="N93" s="2"/>
      <c r="O93" s="2"/>
      <c r="P93" s="2"/>
      <c r="Q93" s="139"/>
      <c r="R93" s="139"/>
      <c r="S93" s="139"/>
      <c r="T93" s="139"/>
      <c r="U93" s="139"/>
      <c r="V93" s="139"/>
      <c r="W93" s="139"/>
      <c r="X93" s="139"/>
      <c r="Y93" s="139"/>
      <c r="Z93" s="139"/>
    </row>
    <row r="94" ht="15.0" customHeight="1">
      <c r="A94" s="2"/>
      <c r="B94" s="2"/>
      <c r="C94" s="142"/>
      <c r="D94" s="142"/>
      <c r="E94" s="142"/>
      <c r="F94" s="142"/>
      <c r="G94" s="142"/>
      <c r="H94" s="179"/>
      <c r="I94" s="2"/>
      <c r="J94" s="2"/>
      <c r="K94" s="2"/>
      <c r="L94" s="2"/>
      <c r="M94" s="2"/>
      <c r="N94" s="2"/>
      <c r="O94" s="2"/>
      <c r="P94" s="2"/>
      <c r="Q94" s="139"/>
      <c r="R94" s="139"/>
      <c r="S94" s="139"/>
      <c r="T94" s="139"/>
      <c r="U94" s="139"/>
      <c r="V94" s="139"/>
      <c r="W94" s="139"/>
      <c r="X94" s="139"/>
      <c r="Y94" s="139"/>
      <c r="Z94" s="139"/>
    </row>
    <row r="95" ht="15.0" customHeight="1">
      <c r="A95" s="2"/>
      <c r="B95" s="2"/>
      <c r="C95" s="142"/>
      <c r="D95" s="142"/>
      <c r="E95" s="142"/>
      <c r="F95" s="142"/>
      <c r="G95" s="142"/>
      <c r="H95" s="179"/>
      <c r="I95" s="2"/>
      <c r="J95" s="2"/>
      <c r="K95" s="2"/>
      <c r="L95" s="2"/>
      <c r="M95" s="2"/>
      <c r="N95" s="2"/>
      <c r="O95" s="2"/>
      <c r="P95" s="2"/>
      <c r="Q95" s="139"/>
      <c r="R95" s="139"/>
      <c r="S95" s="139"/>
      <c r="T95" s="139"/>
      <c r="U95" s="139"/>
      <c r="V95" s="139"/>
      <c r="W95" s="139"/>
      <c r="X95" s="139"/>
      <c r="Y95" s="139"/>
      <c r="Z95" s="139"/>
    </row>
    <row r="96" ht="15.0" customHeight="1">
      <c r="A96" s="2"/>
      <c r="B96" s="2"/>
      <c r="C96" s="142"/>
      <c r="D96" s="142"/>
      <c r="E96" s="142"/>
      <c r="F96" s="142"/>
      <c r="G96" s="142"/>
      <c r="H96" s="179"/>
      <c r="I96" s="2"/>
      <c r="J96" s="2"/>
      <c r="K96" s="2"/>
      <c r="L96" s="2"/>
      <c r="M96" s="2"/>
      <c r="N96" s="2"/>
      <c r="O96" s="2"/>
      <c r="P96" s="2"/>
      <c r="Q96" s="139"/>
      <c r="R96" s="139"/>
      <c r="S96" s="139"/>
      <c r="T96" s="139"/>
      <c r="U96" s="139"/>
      <c r="V96" s="139"/>
      <c r="W96" s="139"/>
      <c r="X96" s="139"/>
      <c r="Y96" s="139"/>
      <c r="Z96" s="139"/>
    </row>
    <row r="97" ht="15.0" customHeight="1">
      <c r="A97" s="2"/>
      <c r="B97" s="2"/>
      <c r="C97" s="142"/>
      <c r="D97" s="142"/>
      <c r="E97" s="142"/>
      <c r="F97" s="142"/>
      <c r="G97" s="142"/>
      <c r="H97" s="179"/>
      <c r="I97" s="2"/>
      <c r="J97" s="2"/>
      <c r="K97" s="2"/>
      <c r="L97" s="2"/>
      <c r="M97" s="2"/>
      <c r="N97" s="2"/>
      <c r="O97" s="2"/>
      <c r="P97" s="2"/>
      <c r="Q97" s="139"/>
      <c r="R97" s="139"/>
      <c r="S97" s="139"/>
      <c r="T97" s="139"/>
      <c r="U97" s="139"/>
      <c r="V97" s="139"/>
      <c r="W97" s="139"/>
      <c r="X97" s="139"/>
      <c r="Y97" s="139"/>
      <c r="Z97" s="139"/>
    </row>
    <row r="98" ht="15.0" customHeight="1">
      <c r="A98" s="2"/>
      <c r="B98" s="2"/>
      <c r="C98" s="142"/>
      <c r="D98" s="142"/>
      <c r="E98" s="142"/>
      <c r="F98" s="142"/>
      <c r="G98" s="142"/>
      <c r="H98" s="179"/>
      <c r="I98" s="2"/>
      <c r="J98" s="2"/>
      <c r="K98" s="2"/>
      <c r="L98" s="2"/>
      <c r="M98" s="2"/>
      <c r="N98" s="2"/>
      <c r="O98" s="2"/>
      <c r="P98" s="2"/>
      <c r="Q98" s="139"/>
      <c r="R98" s="139"/>
      <c r="S98" s="139"/>
      <c r="T98" s="139"/>
      <c r="U98" s="139"/>
      <c r="V98" s="139"/>
      <c r="W98" s="139"/>
      <c r="X98" s="139"/>
      <c r="Y98" s="139"/>
      <c r="Z98" s="139"/>
    </row>
    <row r="99" ht="15.0" customHeight="1">
      <c r="A99" s="2"/>
      <c r="B99" s="2"/>
      <c r="C99" s="142"/>
      <c r="D99" s="142"/>
      <c r="E99" s="142"/>
      <c r="F99" s="142"/>
      <c r="G99" s="142"/>
      <c r="H99" s="179"/>
      <c r="I99" s="2"/>
      <c r="J99" s="2"/>
      <c r="K99" s="2"/>
      <c r="L99" s="2"/>
      <c r="M99" s="2"/>
      <c r="N99" s="2"/>
      <c r="O99" s="2"/>
      <c r="P99" s="2"/>
      <c r="Q99" s="139"/>
      <c r="R99" s="139"/>
      <c r="S99" s="139"/>
      <c r="T99" s="139"/>
      <c r="U99" s="139"/>
      <c r="V99" s="139"/>
      <c r="W99" s="139"/>
      <c r="X99" s="139"/>
      <c r="Y99" s="139"/>
      <c r="Z99" s="139"/>
    </row>
    <row r="100" ht="15.0" customHeight="1">
      <c r="A100" s="2"/>
      <c r="B100" s="2"/>
      <c r="C100" s="142"/>
      <c r="D100" s="142"/>
      <c r="E100" s="142"/>
      <c r="F100" s="142"/>
      <c r="G100" s="142"/>
      <c r="H100" s="179"/>
      <c r="I100" s="2"/>
      <c r="J100" s="2"/>
      <c r="K100" s="2"/>
      <c r="L100" s="2"/>
      <c r="M100" s="2"/>
      <c r="N100" s="2"/>
      <c r="O100" s="2"/>
      <c r="P100" s="2"/>
      <c r="Q100" s="139"/>
      <c r="R100" s="139"/>
      <c r="S100" s="139"/>
      <c r="T100" s="139"/>
      <c r="U100" s="139"/>
      <c r="V100" s="139"/>
      <c r="W100" s="139"/>
      <c r="X100" s="139"/>
      <c r="Y100" s="139"/>
      <c r="Z100" s="139"/>
    </row>
    <row r="101" ht="15.0" customHeight="1">
      <c r="A101" s="2"/>
      <c r="B101" s="2"/>
      <c r="C101" s="142"/>
      <c r="D101" s="142"/>
      <c r="E101" s="142"/>
      <c r="F101" s="142"/>
      <c r="G101" s="142"/>
      <c r="H101" s="142"/>
      <c r="I101" s="2"/>
      <c r="J101" s="2"/>
      <c r="K101" s="2"/>
      <c r="L101" s="2"/>
      <c r="M101" s="2"/>
      <c r="N101" s="2"/>
      <c r="O101" s="2"/>
      <c r="P101" s="2"/>
      <c r="Q101" s="139"/>
      <c r="R101" s="139"/>
      <c r="S101" s="139"/>
      <c r="T101" s="139"/>
      <c r="U101" s="139"/>
      <c r="V101" s="139"/>
      <c r="W101" s="139"/>
      <c r="X101" s="139"/>
      <c r="Y101" s="139"/>
      <c r="Z101" s="139"/>
    </row>
    <row r="102" ht="15.0" customHeight="1">
      <c r="A102" s="2"/>
      <c r="B102" s="2"/>
      <c r="C102" s="142"/>
      <c r="D102" s="142"/>
      <c r="E102" s="142"/>
      <c r="F102" s="142"/>
      <c r="G102" s="142"/>
      <c r="H102" s="142"/>
      <c r="I102" s="2"/>
      <c r="J102" s="2"/>
      <c r="K102" s="2"/>
      <c r="L102" s="2"/>
      <c r="M102" s="2"/>
      <c r="N102" s="2"/>
      <c r="O102" s="2"/>
      <c r="P102" s="2"/>
      <c r="Q102" s="139"/>
      <c r="R102" s="139"/>
      <c r="S102" s="139"/>
      <c r="T102" s="139"/>
      <c r="U102" s="139"/>
      <c r="V102" s="139"/>
      <c r="W102" s="139"/>
      <c r="X102" s="139"/>
      <c r="Y102" s="139"/>
      <c r="Z102" s="139"/>
    </row>
    <row r="103" ht="15.0" customHeight="1">
      <c r="A103" s="2"/>
      <c r="B103" s="2"/>
      <c r="C103" s="142"/>
      <c r="D103" s="142"/>
      <c r="E103" s="142"/>
      <c r="F103" s="142"/>
      <c r="G103" s="142"/>
      <c r="H103" s="142"/>
      <c r="I103" s="2"/>
      <c r="J103" s="2"/>
      <c r="K103" s="2"/>
      <c r="L103" s="2"/>
      <c r="M103" s="2"/>
      <c r="N103" s="2"/>
      <c r="O103" s="2"/>
      <c r="P103" s="2"/>
      <c r="Q103" s="139"/>
      <c r="R103" s="139"/>
      <c r="S103" s="139"/>
      <c r="T103" s="139"/>
      <c r="U103" s="139"/>
      <c r="V103" s="139"/>
      <c r="W103" s="139"/>
      <c r="X103" s="139"/>
      <c r="Y103" s="139"/>
      <c r="Z103" s="139"/>
    </row>
    <row r="104" ht="15.0" customHeight="1">
      <c r="A104" s="2"/>
      <c r="B104" s="2"/>
      <c r="C104" s="142"/>
      <c r="D104" s="142"/>
      <c r="E104" s="142"/>
      <c r="F104" s="142"/>
      <c r="G104" s="142"/>
      <c r="H104" s="142"/>
      <c r="I104" s="2"/>
      <c r="J104" s="2"/>
      <c r="K104" s="2"/>
      <c r="L104" s="2"/>
      <c r="M104" s="2"/>
      <c r="N104" s="2"/>
      <c r="O104" s="2"/>
      <c r="P104" s="2"/>
      <c r="Q104" s="139"/>
      <c r="R104" s="139"/>
      <c r="S104" s="139"/>
      <c r="T104" s="139"/>
      <c r="U104" s="139"/>
      <c r="V104" s="139"/>
      <c r="W104" s="139"/>
      <c r="X104" s="139"/>
      <c r="Y104" s="139"/>
      <c r="Z104" s="139"/>
    </row>
    <row r="105" ht="15.0" customHeight="1">
      <c r="A105" s="2"/>
      <c r="B105" s="2"/>
      <c r="C105" s="142"/>
      <c r="D105" s="142"/>
      <c r="E105" s="142"/>
      <c r="F105" s="142"/>
      <c r="G105" s="142"/>
      <c r="H105" s="142"/>
      <c r="I105" s="2"/>
      <c r="J105" s="2"/>
      <c r="K105" s="2"/>
      <c r="L105" s="2"/>
      <c r="M105" s="2"/>
      <c r="N105" s="2"/>
      <c r="O105" s="2"/>
      <c r="P105" s="2"/>
      <c r="Q105" s="139"/>
      <c r="R105" s="139"/>
      <c r="S105" s="139"/>
      <c r="T105" s="139"/>
      <c r="U105" s="139"/>
      <c r="V105" s="139"/>
      <c r="W105" s="139"/>
      <c r="X105" s="139"/>
      <c r="Y105" s="139"/>
      <c r="Z105" s="139"/>
    </row>
    <row r="106" ht="15.0" customHeight="1">
      <c r="A106" s="2"/>
      <c r="B106" s="2"/>
      <c r="C106" s="142"/>
      <c r="D106" s="142"/>
      <c r="E106" s="142"/>
      <c r="F106" s="142"/>
      <c r="G106" s="142"/>
      <c r="H106" s="142"/>
      <c r="I106" s="2"/>
      <c r="J106" s="2"/>
      <c r="K106" s="2"/>
      <c r="L106" s="2"/>
      <c r="M106" s="2"/>
      <c r="N106" s="2"/>
      <c r="O106" s="2"/>
      <c r="P106" s="2"/>
      <c r="Q106" s="139"/>
      <c r="R106" s="139"/>
      <c r="S106" s="139"/>
      <c r="T106" s="139"/>
      <c r="U106" s="139"/>
      <c r="V106" s="139"/>
      <c r="W106" s="139"/>
      <c r="X106" s="139"/>
      <c r="Y106" s="139"/>
      <c r="Z106" s="139"/>
    </row>
    <row r="107" ht="15.0" customHeight="1">
      <c r="A107" s="2"/>
      <c r="B107" s="2"/>
      <c r="C107" s="142"/>
      <c r="D107" s="142"/>
      <c r="E107" s="142"/>
      <c r="F107" s="142"/>
      <c r="G107" s="142"/>
      <c r="H107" s="142"/>
      <c r="I107" s="2"/>
      <c r="J107" s="2"/>
      <c r="K107" s="2"/>
      <c r="L107" s="2"/>
      <c r="M107" s="2"/>
      <c r="N107" s="2"/>
      <c r="O107" s="2"/>
      <c r="P107" s="2"/>
      <c r="Q107" s="139"/>
      <c r="R107" s="139"/>
      <c r="S107" s="139"/>
      <c r="T107" s="139"/>
      <c r="U107" s="139"/>
      <c r="V107" s="139"/>
      <c r="W107" s="139"/>
      <c r="X107" s="139"/>
      <c r="Y107" s="139"/>
      <c r="Z107" s="139"/>
    </row>
    <row r="108" ht="15.0" customHeight="1">
      <c r="A108" s="2"/>
      <c r="B108" s="2"/>
      <c r="C108" s="142"/>
      <c r="D108" s="142"/>
      <c r="E108" s="142"/>
      <c r="F108" s="142"/>
      <c r="G108" s="142"/>
      <c r="H108" s="179"/>
      <c r="I108" s="2"/>
      <c r="J108" s="2"/>
      <c r="K108" s="2"/>
      <c r="L108" s="2"/>
      <c r="M108" s="2"/>
      <c r="N108" s="2"/>
      <c r="O108" s="2"/>
      <c r="P108" s="2"/>
      <c r="Q108" s="139"/>
      <c r="R108" s="139"/>
      <c r="S108" s="139"/>
      <c r="T108" s="139"/>
      <c r="U108" s="139"/>
      <c r="V108" s="139"/>
      <c r="W108" s="139"/>
      <c r="X108" s="139"/>
      <c r="Y108" s="139"/>
      <c r="Z108" s="139"/>
    </row>
    <row r="109" ht="15.0" customHeight="1">
      <c r="A109" s="2"/>
      <c r="B109" s="2"/>
      <c r="C109" s="142"/>
      <c r="D109" s="142"/>
      <c r="E109" s="142"/>
      <c r="F109" s="142"/>
      <c r="G109" s="142"/>
      <c r="H109" s="179"/>
      <c r="I109" s="2"/>
      <c r="J109" s="2"/>
      <c r="K109" s="2"/>
      <c r="L109" s="2"/>
      <c r="M109" s="2"/>
      <c r="N109" s="2"/>
      <c r="O109" s="2"/>
      <c r="P109" s="2"/>
      <c r="Q109" s="139"/>
      <c r="R109" s="139"/>
      <c r="S109" s="139"/>
      <c r="T109" s="139"/>
      <c r="U109" s="139"/>
      <c r="V109" s="139"/>
      <c r="W109" s="139"/>
      <c r="X109" s="139"/>
      <c r="Y109" s="139"/>
      <c r="Z109" s="139"/>
    </row>
    <row r="110" ht="15.0" customHeight="1">
      <c r="A110" s="2"/>
      <c r="B110" s="2"/>
      <c r="C110" s="142"/>
      <c r="D110" s="142"/>
      <c r="E110" s="142"/>
      <c r="F110" s="142"/>
      <c r="G110" s="142"/>
      <c r="H110" s="179"/>
      <c r="I110" s="2"/>
      <c r="J110" s="2"/>
      <c r="K110" s="2"/>
      <c r="L110" s="2"/>
      <c r="M110" s="2"/>
      <c r="N110" s="2"/>
      <c r="O110" s="2"/>
      <c r="P110" s="2"/>
      <c r="Q110" s="139"/>
      <c r="R110" s="139"/>
      <c r="S110" s="139"/>
      <c r="T110" s="139"/>
      <c r="U110" s="139"/>
      <c r="V110" s="139"/>
      <c r="W110" s="139"/>
      <c r="X110" s="139"/>
      <c r="Y110" s="139"/>
      <c r="Z110" s="139"/>
    </row>
    <row r="111" ht="15.0" customHeight="1">
      <c r="A111" s="2"/>
      <c r="B111" s="2"/>
      <c r="C111" s="142"/>
      <c r="D111" s="142"/>
      <c r="E111" s="142"/>
      <c r="F111" s="142"/>
      <c r="G111" s="142"/>
      <c r="H111" s="179"/>
      <c r="I111" s="2"/>
      <c r="J111" s="2"/>
      <c r="K111" s="2"/>
      <c r="L111" s="2"/>
      <c r="M111" s="2"/>
      <c r="N111" s="2"/>
      <c r="O111" s="2"/>
      <c r="P111" s="2"/>
      <c r="Q111" s="139"/>
      <c r="R111" s="139"/>
      <c r="S111" s="139"/>
      <c r="T111" s="139"/>
      <c r="U111" s="139"/>
      <c r="V111" s="139"/>
      <c r="W111" s="139"/>
      <c r="X111" s="139"/>
      <c r="Y111" s="139"/>
      <c r="Z111" s="139"/>
    </row>
    <row r="112" ht="15.0" customHeight="1">
      <c r="A112" s="2"/>
      <c r="B112" s="2"/>
      <c r="C112" s="142"/>
      <c r="D112" s="142"/>
      <c r="E112" s="142"/>
      <c r="F112" s="142"/>
      <c r="G112" s="142"/>
      <c r="H112" s="179"/>
      <c r="I112" s="2"/>
      <c r="J112" s="2"/>
      <c r="K112" s="2"/>
      <c r="L112" s="2"/>
      <c r="M112" s="2"/>
      <c r="N112" s="2"/>
      <c r="O112" s="2"/>
      <c r="P112" s="2"/>
      <c r="Q112" s="139"/>
      <c r="R112" s="139"/>
      <c r="S112" s="139"/>
      <c r="T112" s="139"/>
      <c r="U112" s="139"/>
      <c r="V112" s="139"/>
      <c r="W112" s="139"/>
      <c r="X112" s="139"/>
      <c r="Y112" s="139"/>
      <c r="Z112" s="139"/>
    </row>
    <row r="113" ht="15.0" customHeight="1">
      <c r="A113" s="2"/>
      <c r="B113" s="2"/>
      <c r="C113" s="142"/>
      <c r="D113" s="142"/>
      <c r="E113" s="142"/>
      <c r="F113" s="142"/>
      <c r="G113" s="142"/>
      <c r="H113" s="179"/>
      <c r="I113" s="2"/>
      <c r="J113" s="2"/>
      <c r="K113" s="2"/>
      <c r="L113" s="2"/>
      <c r="M113" s="2"/>
      <c r="N113" s="2"/>
      <c r="O113" s="2"/>
      <c r="P113" s="2"/>
      <c r="Q113" s="139"/>
      <c r="R113" s="139"/>
      <c r="S113" s="139"/>
      <c r="T113" s="139"/>
      <c r="U113" s="139"/>
      <c r="V113" s="139"/>
      <c r="W113" s="139"/>
      <c r="X113" s="139"/>
      <c r="Y113" s="139"/>
      <c r="Z113" s="139"/>
    </row>
    <row r="114" ht="15.0" customHeight="1">
      <c r="A114" s="2"/>
      <c r="B114" s="2"/>
      <c r="C114" s="142"/>
      <c r="D114" s="142"/>
      <c r="E114" s="142"/>
      <c r="F114" s="142"/>
      <c r="G114" s="142"/>
      <c r="H114" s="179"/>
      <c r="I114" s="2"/>
      <c r="J114" s="2"/>
      <c r="K114" s="2"/>
      <c r="L114" s="2"/>
      <c r="M114" s="2"/>
      <c r="N114" s="2"/>
      <c r="O114" s="2"/>
      <c r="P114" s="2"/>
      <c r="Q114" s="139"/>
      <c r="R114" s="139"/>
      <c r="S114" s="139"/>
      <c r="T114" s="139"/>
      <c r="U114" s="139"/>
      <c r="V114" s="139"/>
      <c r="W114" s="139"/>
      <c r="X114" s="139"/>
      <c r="Y114" s="139"/>
      <c r="Z114" s="139"/>
    </row>
    <row r="115" ht="15.0" customHeight="1">
      <c r="A115" s="2"/>
      <c r="B115" s="2"/>
      <c r="C115" s="142"/>
      <c r="D115" s="142"/>
      <c r="E115" s="142"/>
      <c r="F115" s="142"/>
      <c r="G115" s="142"/>
      <c r="H115" s="179"/>
      <c r="I115" s="2"/>
      <c r="J115" s="2"/>
      <c r="K115" s="2"/>
      <c r="L115" s="2"/>
      <c r="M115" s="2"/>
      <c r="N115" s="2"/>
      <c r="O115" s="2"/>
      <c r="P115" s="2"/>
      <c r="Q115" s="139"/>
      <c r="R115" s="139"/>
      <c r="S115" s="139"/>
      <c r="T115" s="139"/>
      <c r="U115" s="139"/>
      <c r="V115" s="139"/>
      <c r="W115" s="139"/>
      <c r="X115" s="139"/>
      <c r="Y115" s="139"/>
      <c r="Z115" s="139"/>
    </row>
    <row r="116" ht="15.0" customHeight="1">
      <c r="A116" s="2"/>
      <c r="B116" s="2"/>
      <c r="C116" s="142"/>
      <c r="D116" s="142"/>
      <c r="E116" s="142"/>
      <c r="F116" s="142"/>
      <c r="G116" s="142"/>
      <c r="H116" s="179"/>
      <c r="I116" s="2"/>
      <c r="J116" s="2"/>
      <c r="K116" s="2"/>
      <c r="L116" s="2"/>
      <c r="M116" s="2"/>
      <c r="N116" s="2"/>
      <c r="O116" s="2"/>
      <c r="P116" s="2"/>
      <c r="Q116" s="139"/>
      <c r="R116" s="139"/>
      <c r="S116" s="139"/>
      <c r="T116" s="139"/>
      <c r="U116" s="139"/>
      <c r="V116" s="139"/>
      <c r="W116" s="139"/>
      <c r="X116" s="139"/>
      <c r="Y116" s="139"/>
      <c r="Z116" s="139"/>
    </row>
    <row r="117" ht="15.0" customHeight="1">
      <c r="A117" s="2"/>
      <c r="B117" s="2"/>
      <c r="C117" s="142"/>
      <c r="D117" s="142"/>
      <c r="E117" s="142"/>
      <c r="F117" s="142"/>
      <c r="G117" s="142"/>
      <c r="H117" s="179"/>
      <c r="I117" s="2"/>
      <c r="J117" s="2"/>
      <c r="K117" s="2"/>
      <c r="L117" s="2"/>
      <c r="M117" s="2"/>
      <c r="N117" s="2"/>
      <c r="O117" s="2"/>
      <c r="P117" s="2"/>
      <c r="Q117" s="139"/>
      <c r="R117" s="139"/>
      <c r="S117" s="139"/>
      <c r="T117" s="139"/>
      <c r="U117" s="139"/>
      <c r="V117" s="139"/>
      <c r="W117" s="139"/>
      <c r="X117" s="139"/>
      <c r="Y117" s="139"/>
      <c r="Z117" s="139"/>
    </row>
    <row r="118" ht="15.0" customHeight="1">
      <c r="A118" s="2"/>
      <c r="B118" s="2"/>
      <c r="C118" s="142"/>
      <c r="D118" s="142"/>
      <c r="E118" s="142"/>
      <c r="F118" s="142"/>
      <c r="G118" s="142"/>
      <c r="H118" s="179"/>
      <c r="I118" s="2"/>
      <c r="J118" s="2"/>
      <c r="K118" s="2"/>
      <c r="L118" s="2"/>
      <c r="M118" s="2"/>
      <c r="N118" s="2"/>
      <c r="O118" s="2"/>
      <c r="P118" s="2"/>
      <c r="Q118" s="139"/>
      <c r="R118" s="139"/>
      <c r="S118" s="139"/>
      <c r="T118" s="139"/>
      <c r="U118" s="139"/>
      <c r="V118" s="139"/>
      <c r="W118" s="139"/>
      <c r="X118" s="139"/>
      <c r="Y118" s="139"/>
      <c r="Z118" s="139"/>
    </row>
    <row r="119" ht="15.0" customHeight="1">
      <c r="A119" s="2"/>
      <c r="B119" s="2"/>
      <c r="C119" s="142"/>
      <c r="D119" s="142"/>
      <c r="E119" s="142"/>
      <c r="F119" s="142"/>
      <c r="G119" s="142"/>
      <c r="H119" s="179"/>
      <c r="I119" s="2"/>
      <c r="J119" s="2"/>
      <c r="K119" s="2"/>
      <c r="L119" s="2"/>
      <c r="M119" s="2"/>
      <c r="N119" s="2"/>
      <c r="O119" s="2"/>
      <c r="P119" s="2"/>
      <c r="Q119" s="139"/>
      <c r="R119" s="139"/>
      <c r="S119" s="139"/>
      <c r="T119" s="139"/>
      <c r="U119" s="139"/>
      <c r="V119" s="139"/>
      <c r="W119" s="139"/>
      <c r="X119" s="139"/>
      <c r="Y119" s="139"/>
      <c r="Z119" s="139"/>
    </row>
    <row r="120" ht="15.0" customHeight="1">
      <c r="A120" s="2"/>
      <c r="B120" s="2"/>
      <c r="C120" s="142"/>
      <c r="D120" s="142"/>
      <c r="E120" s="142"/>
      <c r="F120" s="142"/>
      <c r="G120" s="142"/>
      <c r="H120" s="179"/>
      <c r="I120" s="2"/>
      <c r="J120" s="2"/>
      <c r="K120" s="2"/>
      <c r="L120" s="2"/>
      <c r="M120" s="2"/>
      <c r="N120" s="2"/>
      <c r="O120" s="2"/>
      <c r="P120" s="2"/>
      <c r="Q120" s="139"/>
      <c r="R120" s="139"/>
      <c r="S120" s="139"/>
      <c r="T120" s="139"/>
      <c r="U120" s="139"/>
      <c r="V120" s="139"/>
      <c r="W120" s="139"/>
      <c r="X120" s="139"/>
      <c r="Y120" s="139"/>
      <c r="Z120" s="139"/>
    </row>
    <row r="121" ht="15.0" customHeight="1">
      <c r="A121" s="2"/>
      <c r="B121" s="2"/>
      <c r="C121" s="142"/>
      <c r="D121" s="142"/>
      <c r="E121" s="142"/>
      <c r="F121" s="142"/>
      <c r="G121" s="142"/>
      <c r="H121" s="179"/>
      <c r="I121" s="2"/>
      <c r="J121" s="2"/>
      <c r="K121" s="2"/>
      <c r="L121" s="2"/>
      <c r="M121" s="2"/>
      <c r="N121" s="2"/>
      <c r="O121" s="2"/>
      <c r="P121" s="2"/>
      <c r="Q121" s="139"/>
      <c r="R121" s="139"/>
      <c r="S121" s="139"/>
      <c r="T121" s="139"/>
      <c r="U121" s="139"/>
      <c r="V121" s="139"/>
      <c r="W121" s="139"/>
      <c r="X121" s="139"/>
      <c r="Y121" s="139"/>
      <c r="Z121" s="139"/>
    </row>
    <row r="122" ht="15.0" customHeight="1">
      <c r="A122" s="2"/>
      <c r="B122" s="2"/>
      <c r="C122" s="142"/>
      <c r="D122" s="142"/>
      <c r="E122" s="142"/>
      <c r="F122" s="142"/>
      <c r="G122" s="142"/>
      <c r="H122" s="179"/>
      <c r="I122" s="2"/>
      <c r="J122" s="2"/>
      <c r="K122" s="2"/>
      <c r="L122" s="2"/>
      <c r="M122" s="2"/>
      <c r="N122" s="2"/>
      <c r="O122" s="2"/>
      <c r="P122" s="2"/>
      <c r="Q122" s="139"/>
      <c r="R122" s="139"/>
      <c r="S122" s="139"/>
      <c r="T122" s="139"/>
      <c r="U122" s="139"/>
      <c r="V122" s="139"/>
      <c r="W122" s="139"/>
      <c r="X122" s="139"/>
      <c r="Y122" s="139"/>
      <c r="Z122" s="139"/>
    </row>
    <row r="123" ht="15.0" customHeight="1">
      <c r="A123" s="2"/>
      <c r="B123" s="2"/>
      <c r="C123" s="142"/>
      <c r="D123" s="142"/>
      <c r="E123" s="142"/>
      <c r="F123" s="142"/>
      <c r="G123" s="142"/>
      <c r="H123" s="179"/>
      <c r="I123" s="2"/>
      <c r="J123" s="2"/>
      <c r="K123" s="2"/>
      <c r="L123" s="2"/>
      <c r="M123" s="2"/>
      <c r="N123" s="2"/>
      <c r="O123" s="2"/>
      <c r="P123" s="2"/>
      <c r="Q123" s="139"/>
      <c r="R123" s="139"/>
      <c r="S123" s="139"/>
      <c r="T123" s="139"/>
      <c r="U123" s="139"/>
      <c r="V123" s="139"/>
      <c r="W123" s="139"/>
      <c r="X123" s="139"/>
      <c r="Y123" s="139"/>
      <c r="Z123" s="139"/>
    </row>
    <row r="124" ht="15.0" customHeight="1">
      <c r="A124" s="2"/>
      <c r="B124" s="2"/>
      <c r="C124" s="142"/>
      <c r="D124" s="142"/>
      <c r="E124" s="142"/>
      <c r="F124" s="142"/>
      <c r="G124" s="142"/>
      <c r="H124" s="179"/>
      <c r="I124" s="2"/>
      <c r="J124" s="2"/>
      <c r="K124" s="2"/>
      <c r="L124" s="2"/>
      <c r="M124" s="2"/>
      <c r="N124" s="2"/>
      <c r="O124" s="2"/>
      <c r="P124" s="2"/>
      <c r="Q124" s="139"/>
      <c r="R124" s="139"/>
      <c r="S124" s="139"/>
      <c r="T124" s="139"/>
      <c r="U124" s="139"/>
      <c r="V124" s="139"/>
      <c r="W124" s="139"/>
      <c r="X124" s="139"/>
      <c r="Y124" s="139"/>
      <c r="Z124" s="139"/>
    </row>
    <row r="125" ht="15.0" customHeight="1">
      <c r="A125" s="2"/>
      <c r="B125" s="2"/>
      <c r="C125" s="142"/>
      <c r="D125" s="142"/>
      <c r="E125" s="142"/>
      <c r="F125" s="142"/>
      <c r="G125" s="142"/>
      <c r="H125" s="179"/>
      <c r="I125" s="2"/>
      <c r="J125" s="2"/>
      <c r="K125" s="2"/>
      <c r="L125" s="2"/>
      <c r="M125" s="2"/>
      <c r="N125" s="2"/>
      <c r="O125" s="2"/>
      <c r="P125" s="2"/>
      <c r="Q125" s="139"/>
      <c r="R125" s="139"/>
      <c r="S125" s="139"/>
      <c r="T125" s="139"/>
      <c r="U125" s="139"/>
      <c r="V125" s="139"/>
      <c r="W125" s="139"/>
      <c r="X125" s="139"/>
      <c r="Y125" s="139"/>
      <c r="Z125" s="139"/>
    </row>
    <row r="126" ht="15.0" customHeight="1">
      <c r="A126" s="2"/>
      <c r="B126" s="2"/>
      <c r="C126" s="142"/>
      <c r="D126" s="142"/>
      <c r="E126" s="142"/>
      <c r="F126" s="142"/>
      <c r="G126" s="142"/>
      <c r="H126" s="179"/>
      <c r="I126" s="2"/>
      <c r="J126" s="2"/>
      <c r="K126" s="2"/>
      <c r="L126" s="2"/>
      <c r="M126" s="2"/>
      <c r="N126" s="2"/>
      <c r="O126" s="2"/>
      <c r="P126" s="2"/>
      <c r="Q126" s="139"/>
      <c r="R126" s="139"/>
      <c r="S126" s="139"/>
      <c r="T126" s="139"/>
      <c r="U126" s="139"/>
      <c r="V126" s="139"/>
      <c r="W126" s="139"/>
      <c r="X126" s="139"/>
      <c r="Y126" s="139"/>
      <c r="Z126" s="139"/>
    </row>
    <row r="127" ht="15.0" customHeight="1">
      <c r="A127" s="2"/>
      <c r="B127" s="2"/>
      <c r="C127" s="142"/>
      <c r="D127" s="142"/>
      <c r="E127" s="142"/>
      <c r="F127" s="142"/>
      <c r="G127" s="142"/>
      <c r="H127" s="179"/>
      <c r="I127" s="2"/>
      <c r="J127" s="2"/>
      <c r="K127" s="2"/>
      <c r="L127" s="2"/>
      <c r="M127" s="2"/>
      <c r="N127" s="2"/>
      <c r="O127" s="2"/>
      <c r="P127" s="2"/>
      <c r="Q127" s="139"/>
      <c r="R127" s="139"/>
      <c r="S127" s="139"/>
      <c r="T127" s="139"/>
      <c r="U127" s="139"/>
      <c r="V127" s="139"/>
      <c r="W127" s="139"/>
      <c r="X127" s="139"/>
      <c r="Y127" s="139"/>
      <c r="Z127" s="139"/>
    </row>
    <row r="128" ht="15.0" customHeight="1">
      <c r="A128" s="2"/>
      <c r="B128" s="2"/>
      <c r="C128" s="142"/>
      <c r="D128" s="142"/>
      <c r="E128" s="142"/>
      <c r="F128" s="142"/>
      <c r="G128" s="142"/>
      <c r="H128" s="179"/>
      <c r="I128" s="2"/>
      <c r="J128" s="2"/>
      <c r="K128" s="2"/>
      <c r="L128" s="2"/>
      <c r="M128" s="2"/>
      <c r="N128" s="2"/>
      <c r="O128" s="2"/>
      <c r="P128" s="2"/>
      <c r="Q128" s="139"/>
      <c r="R128" s="139"/>
      <c r="S128" s="139"/>
      <c r="T128" s="139"/>
      <c r="U128" s="139"/>
      <c r="V128" s="139"/>
      <c r="W128" s="139"/>
      <c r="X128" s="139"/>
      <c r="Y128" s="139"/>
      <c r="Z128" s="139"/>
    </row>
    <row r="129" ht="15.0" customHeight="1">
      <c r="A129" s="2"/>
      <c r="B129" s="2"/>
      <c r="C129" s="142"/>
      <c r="D129" s="142"/>
      <c r="E129" s="142"/>
      <c r="F129" s="142"/>
      <c r="G129" s="142"/>
      <c r="H129" s="179"/>
      <c r="I129" s="2"/>
      <c r="J129" s="2"/>
      <c r="K129" s="2"/>
      <c r="L129" s="2"/>
      <c r="M129" s="2"/>
      <c r="N129" s="2"/>
      <c r="O129" s="2"/>
      <c r="P129" s="2"/>
      <c r="Q129" s="139"/>
      <c r="R129" s="139"/>
      <c r="S129" s="139"/>
      <c r="T129" s="139"/>
      <c r="U129" s="139"/>
      <c r="V129" s="139"/>
      <c r="W129" s="139"/>
      <c r="X129" s="139"/>
      <c r="Y129" s="139"/>
      <c r="Z129" s="139"/>
    </row>
    <row r="130" ht="15.0" customHeight="1">
      <c r="A130" s="2"/>
      <c r="B130" s="2"/>
      <c r="C130" s="142"/>
      <c r="D130" s="142"/>
      <c r="E130" s="142"/>
      <c r="F130" s="142"/>
      <c r="G130" s="142"/>
      <c r="H130" s="179"/>
      <c r="I130" s="2"/>
      <c r="J130" s="2"/>
      <c r="K130" s="2"/>
      <c r="L130" s="2"/>
      <c r="M130" s="2"/>
      <c r="N130" s="2"/>
      <c r="O130" s="2"/>
      <c r="P130" s="2"/>
      <c r="Q130" s="139"/>
      <c r="R130" s="139"/>
      <c r="S130" s="139"/>
      <c r="T130" s="139"/>
      <c r="U130" s="139"/>
      <c r="V130" s="139"/>
      <c r="W130" s="139"/>
      <c r="X130" s="139"/>
      <c r="Y130" s="139"/>
      <c r="Z130" s="139"/>
    </row>
    <row r="131" ht="15.0" customHeight="1">
      <c r="A131" s="2"/>
      <c r="B131" s="2"/>
      <c r="C131" s="142"/>
      <c r="D131" s="142"/>
      <c r="E131" s="142"/>
      <c r="F131" s="142"/>
      <c r="G131" s="142"/>
      <c r="H131" s="179"/>
      <c r="I131" s="2"/>
      <c r="J131" s="2"/>
      <c r="K131" s="2"/>
      <c r="L131" s="2"/>
      <c r="M131" s="2"/>
      <c r="N131" s="2"/>
      <c r="O131" s="2"/>
      <c r="P131" s="2"/>
      <c r="Q131" s="139"/>
      <c r="R131" s="139"/>
      <c r="S131" s="139"/>
      <c r="T131" s="139"/>
      <c r="U131" s="139"/>
      <c r="V131" s="139"/>
      <c r="W131" s="139"/>
      <c r="X131" s="139"/>
      <c r="Y131" s="139"/>
      <c r="Z131" s="139"/>
    </row>
    <row r="132" ht="15.0" customHeight="1">
      <c r="A132" s="2"/>
      <c r="B132" s="2"/>
      <c r="C132" s="142"/>
      <c r="D132" s="142"/>
      <c r="E132" s="142"/>
      <c r="F132" s="142"/>
      <c r="G132" s="142"/>
      <c r="H132" s="179"/>
      <c r="I132" s="2"/>
      <c r="J132" s="2"/>
      <c r="K132" s="2"/>
      <c r="L132" s="2"/>
      <c r="M132" s="2"/>
      <c r="N132" s="2"/>
      <c r="O132" s="2"/>
      <c r="P132" s="2"/>
      <c r="Q132" s="139"/>
      <c r="R132" s="139"/>
      <c r="S132" s="139"/>
      <c r="T132" s="139"/>
      <c r="U132" s="139"/>
      <c r="V132" s="139"/>
      <c r="W132" s="139"/>
      <c r="X132" s="139"/>
      <c r="Y132" s="139"/>
      <c r="Z132" s="139"/>
    </row>
    <row r="133" ht="15.0" customHeight="1">
      <c r="A133" s="2"/>
      <c r="B133" s="2"/>
      <c r="C133" s="142"/>
      <c r="D133" s="142"/>
      <c r="E133" s="142"/>
      <c r="F133" s="142"/>
      <c r="G133" s="142"/>
      <c r="H133" s="179"/>
      <c r="I133" s="2"/>
      <c r="J133" s="2"/>
      <c r="K133" s="2"/>
      <c r="L133" s="2"/>
      <c r="M133" s="2"/>
      <c r="N133" s="2"/>
      <c r="O133" s="2"/>
      <c r="P133" s="2"/>
      <c r="Q133" s="139"/>
      <c r="R133" s="139"/>
      <c r="S133" s="139"/>
      <c r="T133" s="139"/>
      <c r="U133" s="139"/>
      <c r="V133" s="139"/>
      <c r="W133" s="139"/>
      <c r="X133" s="139"/>
      <c r="Y133" s="139"/>
      <c r="Z133" s="139"/>
    </row>
    <row r="134" ht="15.0" customHeight="1">
      <c r="A134" s="2"/>
      <c r="B134" s="2"/>
      <c r="C134" s="142"/>
      <c r="D134" s="142"/>
      <c r="E134" s="142"/>
      <c r="F134" s="142"/>
      <c r="G134" s="142"/>
      <c r="H134" s="179"/>
      <c r="I134" s="2"/>
      <c r="J134" s="2"/>
      <c r="K134" s="2"/>
      <c r="L134" s="2"/>
      <c r="M134" s="2"/>
      <c r="N134" s="2"/>
      <c r="O134" s="2"/>
      <c r="P134" s="2"/>
      <c r="Q134" s="139"/>
      <c r="R134" s="139"/>
      <c r="S134" s="139"/>
      <c r="T134" s="139"/>
      <c r="U134" s="139"/>
      <c r="V134" s="139"/>
      <c r="W134" s="139"/>
      <c r="X134" s="139"/>
      <c r="Y134" s="139"/>
      <c r="Z134" s="139"/>
    </row>
    <row r="135" ht="15.0" customHeight="1">
      <c r="A135" s="2"/>
      <c r="B135" s="2"/>
      <c r="C135" s="142"/>
      <c r="D135" s="142"/>
      <c r="E135" s="142"/>
      <c r="F135" s="142"/>
      <c r="G135" s="142"/>
      <c r="H135" s="179"/>
      <c r="I135" s="2"/>
      <c r="J135" s="2"/>
      <c r="K135" s="2"/>
      <c r="L135" s="2"/>
      <c r="M135" s="2"/>
      <c r="N135" s="2"/>
      <c r="O135" s="2"/>
      <c r="P135" s="2"/>
      <c r="Q135" s="139"/>
      <c r="R135" s="139"/>
      <c r="S135" s="139"/>
      <c r="T135" s="139"/>
      <c r="U135" s="139"/>
      <c r="V135" s="139"/>
      <c r="W135" s="139"/>
      <c r="X135" s="139"/>
      <c r="Y135" s="139"/>
      <c r="Z135" s="139"/>
    </row>
    <row r="136" ht="15.0" customHeight="1">
      <c r="A136" s="2"/>
      <c r="B136" s="2"/>
      <c r="C136" s="142"/>
      <c r="D136" s="142"/>
      <c r="E136" s="142"/>
      <c r="F136" s="142"/>
      <c r="G136" s="142"/>
      <c r="H136" s="179"/>
      <c r="I136" s="2"/>
      <c r="J136" s="2"/>
      <c r="K136" s="2"/>
      <c r="L136" s="2"/>
      <c r="M136" s="2"/>
      <c r="N136" s="2"/>
      <c r="O136" s="2"/>
      <c r="P136" s="2"/>
      <c r="Q136" s="139"/>
      <c r="R136" s="139"/>
      <c r="S136" s="139"/>
      <c r="T136" s="139"/>
      <c r="U136" s="139"/>
      <c r="V136" s="139"/>
      <c r="W136" s="139"/>
      <c r="X136" s="139"/>
      <c r="Y136" s="139"/>
      <c r="Z136" s="139"/>
    </row>
    <row r="137" ht="15.0" customHeight="1">
      <c r="A137" s="139"/>
      <c r="B137" s="139"/>
      <c r="C137" s="183"/>
      <c r="D137" s="183"/>
      <c r="E137" s="183"/>
      <c r="F137" s="183"/>
      <c r="G137" s="183"/>
      <c r="H137" s="184"/>
      <c r="I137" s="139"/>
      <c r="J137" s="139"/>
      <c r="K137" s="139"/>
      <c r="L137" s="139"/>
      <c r="M137" s="139"/>
      <c r="N137" s="139"/>
      <c r="O137" s="139"/>
      <c r="P137" s="139"/>
      <c r="Q137" s="139"/>
      <c r="R137" s="139"/>
      <c r="S137" s="139"/>
      <c r="T137" s="139"/>
      <c r="U137" s="139"/>
      <c r="V137" s="139"/>
      <c r="W137" s="139"/>
      <c r="X137" s="139"/>
      <c r="Y137" s="139"/>
      <c r="Z137" s="139"/>
    </row>
    <row r="138" ht="15.0" customHeight="1">
      <c r="A138" s="139"/>
      <c r="B138" s="139"/>
      <c r="C138" s="183"/>
      <c r="D138" s="183"/>
      <c r="E138" s="183"/>
      <c r="F138" s="183"/>
      <c r="G138" s="183"/>
      <c r="H138" s="184"/>
      <c r="I138" s="139"/>
      <c r="J138" s="139"/>
      <c r="K138" s="139"/>
      <c r="L138" s="139"/>
      <c r="M138" s="139"/>
      <c r="N138" s="139"/>
      <c r="O138" s="139"/>
      <c r="P138" s="139"/>
      <c r="Q138" s="139"/>
      <c r="R138" s="139"/>
      <c r="S138" s="139"/>
      <c r="T138" s="139"/>
      <c r="U138" s="139"/>
      <c r="V138" s="139"/>
      <c r="W138" s="139"/>
      <c r="X138" s="139"/>
      <c r="Y138" s="139"/>
      <c r="Z138" s="139"/>
    </row>
    <row r="139" ht="15.0" customHeight="1">
      <c r="A139" s="139"/>
      <c r="B139" s="139"/>
      <c r="C139" s="183"/>
      <c r="D139" s="183"/>
      <c r="E139" s="183"/>
      <c r="F139" s="183"/>
      <c r="G139" s="183"/>
      <c r="H139" s="184"/>
      <c r="I139" s="139"/>
      <c r="J139" s="139"/>
      <c r="K139" s="139"/>
      <c r="L139" s="139"/>
      <c r="M139" s="139"/>
      <c r="N139" s="139"/>
      <c r="O139" s="139"/>
      <c r="P139" s="139"/>
      <c r="Q139" s="139"/>
      <c r="R139" s="139"/>
      <c r="S139" s="139"/>
      <c r="T139" s="139"/>
      <c r="U139" s="139"/>
      <c r="V139" s="139"/>
      <c r="W139" s="139"/>
      <c r="X139" s="139"/>
      <c r="Y139" s="139"/>
      <c r="Z139" s="139"/>
    </row>
    <row r="140" ht="15.0" customHeight="1">
      <c r="A140" s="139"/>
      <c r="B140" s="139"/>
      <c r="C140" s="183"/>
      <c r="D140" s="183"/>
      <c r="E140" s="183"/>
      <c r="F140" s="183"/>
      <c r="G140" s="183"/>
      <c r="H140" s="184"/>
      <c r="I140" s="139"/>
      <c r="J140" s="139"/>
      <c r="K140" s="139"/>
      <c r="L140" s="139"/>
      <c r="M140" s="139"/>
      <c r="N140" s="139"/>
      <c r="O140" s="139"/>
      <c r="P140" s="139"/>
      <c r="Q140" s="139"/>
      <c r="R140" s="139"/>
      <c r="S140" s="139"/>
      <c r="T140" s="139"/>
      <c r="U140" s="139"/>
      <c r="V140" s="139"/>
      <c r="W140" s="139"/>
      <c r="X140" s="139"/>
      <c r="Y140" s="139"/>
      <c r="Z140" s="139"/>
    </row>
    <row r="141" ht="15.0" customHeight="1">
      <c r="A141" s="139"/>
      <c r="B141" s="139"/>
      <c r="C141" s="183"/>
      <c r="D141" s="183"/>
      <c r="E141" s="183"/>
      <c r="F141" s="183"/>
      <c r="G141" s="183"/>
      <c r="H141" s="184"/>
      <c r="I141" s="139"/>
      <c r="J141" s="139"/>
      <c r="K141" s="139"/>
      <c r="L141" s="139"/>
      <c r="M141" s="139"/>
      <c r="N141" s="139"/>
      <c r="O141" s="139"/>
      <c r="P141" s="139"/>
      <c r="Q141" s="139"/>
      <c r="R141" s="139"/>
      <c r="S141" s="139"/>
      <c r="T141" s="139"/>
      <c r="U141" s="139"/>
      <c r="V141" s="139"/>
      <c r="W141" s="139"/>
      <c r="X141" s="139"/>
      <c r="Y141" s="139"/>
      <c r="Z141" s="139"/>
    </row>
    <row r="142" ht="15.0" customHeight="1">
      <c r="A142" s="139"/>
      <c r="B142" s="139"/>
      <c r="C142" s="183"/>
      <c r="D142" s="183"/>
      <c r="E142" s="183"/>
      <c r="F142" s="183"/>
      <c r="G142" s="183"/>
      <c r="H142" s="184"/>
      <c r="I142" s="139"/>
      <c r="J142" s="139"/>
      <c r="K142" s="139"/>
      <c r="L142" s="139"/>
      <c r="M142" s="139"/>
      <c r="N142" s="139"/>
      <c r="O142" s="139"/>
      <c r="P142" s="139"/>
      <c r="Q142" s="139"/>
      <c r="R142" s="139"/>
      <c r="S142" s="139"/>
      <c r="T142" s="139"/>
      <c r="U142" s="139"/>
      <c r="V142" s="139"/>
      <c r="W142" s="139"/>
      <c r="X142" s="139"/>
      <c r="Y142" s="139"/>
      <c r="Z142" s="139"/>
    </row>
    <row r="143" ht="15.0" customHeight="1">
      <c r="A143" s="139"/>
      <c r="B143" s="139"/>
      <c r="C143" s="183"/>
      <c r="D143" s="183"/>
      <c r="E143" s="183"/>
      <c r="F143" s="183"/>
      <c r="G143" s="183"/>
      <c r="H143" s="184"/>
      <c r="I143" s="139"/>
      <c r="J143" s="139"/>
      <c r="K143" s="139"/>
      <c r="L143" s="139"/>
      <c r="M143" s="139"/>
      <c r="N143" s="139"/>
      <c r="O143" s="139"/>
      <c r="P143" s="139"/>
      <c r="Q143" s="139"/>
      <c r="R143" s="139"/>
      <c r="S143" s="139"/>
      <c r="T143" s="139"/>
      <c r="U143" s="139"/>
      <c r="V143" s="139"/>
      <c r="W143" s="139"/>
      <c r="X143" s="139"/>
      <c r="Y143" s="139"/>
      <c r="Z143" s="139"/>
    </row>
    <row r="144" ht="15.0" customHeight="1">
      <c r="A144" s="139"/>
      <c r="B144" s="139"/>
      <c r="C144" s="183"/>
      <c r="D144" s="183"/>
      <c r="E144" s="183"/>
      <c r="F144" s="183"/>
      <c r="G144" s="183"/>
      <c r="H144" s="184"/>
      <c r="I144" s="139"/>
      <c r="J144" s="139"/>
      <c r="K144" s="139"/>
      <c r="L144" s="139"/>
      <c r="M144" s="139"/>
      <c r="N144" s="139"/>
      <c r="O144" s="139"/>
      <c r="P144" s="139"/>
      <c r="Q144" s="139"/>
      <c r="R144" s="139"/>
      <c r="S144" s="139"/>
      <c r="T144" s="139"/>
      <c r="U144" s="139"/>
      <c r="V144" s="139"/>
      <c r="W144" s="139"/>
      <c r="X144" s="139"/>
      <c r="Y144" s="139"/>
      <c r="Z144" s="139"/>
    </row>
    <row r="145" ht="15.0" customHeight="1">
      <c r="A145" s="139"/>
      <c r="B145" s="139"/>
      <c r="C145" s="183"/>
      <c r="D145" s="183"/>
      <c r="E145" s="183"/>
      <c r="F145" s="183"/>
      <c r="G145" s="183"/>
      <c r="H145" s="184"/>
      <c r="I145" s="139"/>
      <c r="J145" s="139"/>
      <c r="K145" s="139"/>
      <c r="L145" s="139"/>
      <c r="M145" s="139"/>
      <c r="N145" s="139"/>
      <c r="O145" s="139"/>
      <c r="P145" s="139"/>
      <c r="Q145" s="139"/>
      <c r="R145" s="139"/>
      <c r="S145" s="139"/>
      <c r="T145" s="139"/>
      <c r="U145" s="139"/>
      <c r="V145" s="139"/>
      <c r="W145" s="139"/>
      <c r="X145" s="139"/>
      <c r="Y145" s="139"/>
      <c r="Z145" s="139"/>
    </row>
    <row r="146" ht="15.0" customHeight="1">
      <c r="A146" s="139"/>
      <c r="B146" s="139"/>
      <c r="C146" s="183"/>
      <c r="D146" s="183"/>
      <c r="E146" s="183"/>
      <c r="F146" s="183"/>
      <c r="G146" s="183"/>
      <c r="H146" s="184"/>
      <c r="I146" s="139"/>
      <c r="J146" s="139"/>
      <c r="K146" s="139"/>
      <c r="L146" s="139"/>
      <c r="M146" s="139"/>
      <c r="N146" s="139"/>
      <c r="O146" s="139"/>
      <c r="P146" s="139"/>
      <c r="Q146" s="139"/>
      <c r="R146" s="139"/>
      <c r="S146" s="139"/>
      <c r="T146" s="139"/>
      <c r="U146" s="139"/>
      <c r="V146" s="139"/>
      <c r="W146" s="139"/>
      <c r="X146" s="139"/>
      <c r="Y146" s="139"/>
      <c r="Z146" s="139"/>
    </row>
    <row r="147" ht="15.0" customHeight="1">
      <c r="A147" s="139"/>
      <c r="B147" s="139"/>
      <c r="C147" s="183"/>
      <c r="D147" s="183"/>
      <c r="E147" s="183"/>
      <c r="F147" s="183"/>
      <c r="G147" s="183"/>
      <c r="H147" s="184"/>
      <c r="I147" s="139"/>
      <c r="J147" s="139"/>
      <c r="K147" s="139"/>
      <c r="L147" s="139"/>
      <c r="M147" s="139"/>
      <c r="N147" s="139"/>
      <c r="O147" s="139"/>
      <c r="P147" s="139"/>
      <c r="Q147" s="139"/>
      <c r="R147" s="139"/>
      <c r="S147" s="139"/>
      <c r="T147" s="139"/>
      <c r="U147" s="139"/>
      <c r="V147" s="139"/>
      <c r="W147" s="139"/>
      <c r="X147" s="139"/>
      <c r="Y147" s="139"/>
      <c r="Z147" s="139"/>
    </row>
    <row r="148" ht="15.75" customHeight="1">
      <c r="A148" s="139"/>
      <c r="B148" s="139"/>
      <c r="C148" s="183"/>
      <c r="D148" s="183"/>
      <c r="E148" s="183"/>
      <c r="F148" s="183"/>
      <c r="G148" s="183"/>
      <c r="H148" s="184"/>
      <c r="I148" s="139"/>
      <c r="J148" s="139"/>
      <c r="K148" s="139"/>
      <c r="L148" s="139"/>
      <c r="M148" s="139"/>
      <c r="N148" s="139"/>
      <c r="O148" s="139"/>
      <c r="P148" s="139"/>
      <c r="Q148" s="139"/>
      <c r="R148" s="139"/>
      <c r="S148" s="139"/>
      <c r="T148" s="139"/>
      <c r="U148" s="139"/>
      <c r="V148" s="139"/>
      <c r="W148" s="139"/>
      <c r="X148" s="139"/>
      <c r="Y148" s="139"/>
      <c r="Z148" s="139"/>
    </row>
    <row r="149" ht="15.75" customHeight="1">
      <c r="A149" s="139"/>
      <c r="B149" s="139"/>
      <c r="C149" s="183"/>
      <c r="D149" s="183"/>
      <c r="E149" s="183"/>
      <c r="F149" s="183"/>
      <c r="G149" s="183"/>
      <c r="H149" s="184"/>
      <c r="I149" s="139"/>
      <c r="J149" s="139"/>
      <c r="K149" s="139"/>
      <c r="L149" s="139"/>
      <c r="M149" s="139"/>
      <c r="N149" s="139"/>
      <c r="O149" s="139"/>
      <c r="P149" s="139"/>
      <c r="Q149" s="139"/>
      <c r="R149" s="139"/>
      <c r="S149" s="139"/>
      <c r="T149" s="139"/>
      <c r="U149" s="139"/>
      <c r="V149" s="139"/>
      <c r="W149" s="139"/>
      <c r="X149" s="139"/>
      <c r="Y149" s="139"/>
      <c r="Z149" s="139"/>
    </row>
    <row r="150" ht="15.75" customHeight="1">
      <c r="A150" s="139"/>
      <c r="B150" s="139"/>
      <c r="C150" s="183"/>
      <c r="D150" s="183"/>
      <c r="E150" s="183"/>
      <c r="F150" s="183"/>
      <c r="G150" s="183"/>
      <c r="H150" s="184"/>
      <c r="I150" s="139"/>
      <c r="J150" s="139"/>
      <c r="K150" s="139"/>
      <c r="L150" s="139"/>
      <c r="M150" s="139"/>
      <c r="N150" s="139"/>
      <c r="O150" s="139"/>
      <c r="P150" s="139"/>
      <c r="Q150" s="139"/>
      <c r="R150" s="139"/>
      <c r="S150" s="139"/>
      <c r="T150" s="139"/>
      <c r="U150" s="139"/>
      <c r="V150" s="139"/>
      <c r="W150" s="139"/>
      <c r="X150" s="139"/>
      <c r="Y150" s="139"/>
      <c r="Z150" s="139"/>
    </row>
    <row r="151" ht="15.75" customHeight="1">
      <c r="A151" s="139"/>
      <c r="B151" s="139"/>
      <c r="C151" s="183"/>
      <c r="D151" s="183"/>
      <c r="E151" s="183"/>
      <c r="F151" s="183"/>
      <c r="G151" s="183"/>
      <c r="H151" s="184"/>
      <c r="I151" s="139"/>
      <c r="J151" s="139"/>
      <c r="K151" s="139"/>
      <c r="L151" s="139"/>
      <c r="M151" s="139"/>
      <c r="N151" s="139"/>
      <c r="O151" s="139"/>
      <c r="P151" s="139"/>
      <c r="Q151" s="139"/>
      <c r="R151" s="139"/>
      <c r="S151" s="139"/>
      <c r="T151" s="139"/>
      <c r="U151" s="139"/>
      <c r="V151" s="139"/>
      <c r="W151" s="139"/>
      <c r="X151" s="139"/>
      <c r="Y151" s="139"/>
      <c r="Z151" s="139"/>
    </row>
    <row r="152" ht="15.75" customHeight="1">
      <c r="A152" s="139"/>
      <c r="B152" s="139"/>
      <c r="C152" s="183"/>
      <c r="D152" s="183"/>
      <c r="E152" s="183"/>
      <c r="F152" s="183"/>
      <c r="G152" s="183"/>
      <c r="H152" s="184"/>
      <c r="I152" s="139"/>
      <c r="J152" s="139"/>
      <c r="K152" s="139"/>
      <c r="L152" s="139"/>
      <c r="M152" s="139"/>
      <c r="N152" s="139"/>
      <c r="O152" s="139"/>
      <c r="P152" s="139"/>
      <c r="Q152" s="139"/>
      <c r="R152" s="139"/>
      <c r="S152" s="139"/>
      <c r="T152" s="139"/>
      <c r="U152" s="139"/>
      <c r="V152" s="139"/>
      <c r="W152" s="139"/>
      <c r="X152" s="139"/>
      <c r="Y152" s="139"/>
      <c r="Z152" s="139"/>
    </row>
    <row r="153" ht="15.75" customHeight="1">
      <c r="A153" s="139"/>
      <c r="B153" s="139"/>
      <c r="C153" s="183"/>
      <c r="D153" s="183"/>
      <c r="E153" s="183"/>
      <c r="F153" s="183"/>
      <c r="G153" s="183"/>
      <c r="H153" s="184"/>
      <c r="I153" s="139"/>
      <c r="J153" s="139"/>
      <c r="K153" s="139"/>
      <c r="L153" s="139"/>
      <c r="M153" s="139"/>
      <c r="N153" s="139"/>
      <c r="O153" s="139"/>
      <c r="P153" s="139"/>
      <c r="Q153" s="139"/>
      <c r="R153" s="139"/>
      <c r="S153" s="139"/>
      <c r="T153" s="139"/>
      <c r="U153" s="139"/>
      <c r="V153" s="139"/>
      <c r="W153" s="139"/>
      <c r="X153" s="139"/>
      <c r="Y153" s="139"/>
      <c r="Z153" s="139"/>
    </row>
    <row r="154" ht="15.75" customHeight="1">
      <c r="A154" s="139"/>
      <c r="B154" s="139"/>
      <c r="C154" s="183"/>
      <c r="D154" s="183"/>
      <c r="E154" s="183"/>
      <c r="F154" s="183"/>
      <c r="G154" s="183"/>
      <c r="H154" s="184"/>
      <c r="I154" s="139"/>
      <c r="J154" s="139"/>
      <c r="K154" s="139"/>
      <c r="L154" s="139"/>
      <c r="M154" s="139"/>
      <c r="N154" s="139"/>
      <c r="O154" s="139"/>
      <c r="P154" s="139"/>
      <c r="Q154" s="139"/>
      <c r="R154" s="139"/>
      <c r="S154" s="139"/>
      <c r="T154" s="139"/>
      <c r="U154" s="139"/>
      <c r="V154" s="139"/>
      <c r="W154" s="139"/>
      <c r="X154" s="139"/>
      <c r="Y154" s="139"/>
      <c r="Z154" s="139"/>
    </row>
    <row r="155" ht="15.75" customHeight="1">
      <c r="A155" s="139"/>
      <c r="B155" s="139"/>
      <c r="C155" s="183"/>
      <c r="D155" s="183"/>
      <c r="E155" s="183"/>
      <c r="F155" s="183"/>
      <c r="G155" s="183"/>
      <c r="H155" s="184"/>
      <c r="I155" s="139"/>
      <c r="J155" s="139"/>
      <c r="K155" s="139"/>
      <c r="L155" s="139"/>
      <c r="M155" s="139"/>
      <c r="N155" s="139"/>
      <c r="O155" s="139"/>
      <c r="P155" s="139"/>
      <c r="Q155" s="139"/>
      <c r="R155" s="139"/>
      <c r="S155" s="139"/>
      <c r="T155" s="139"/>
      <c r="U155" s="139"/>
      <c r="V155" s="139"/>
      <c r="W155" s="139"/>
      <c r="X155" s="139"/>
      <c r="Y155" s="139"/>
      <c r="Z155" s="139"/>
    </row>
    <row r="156" ht="15.75" customHeight="1">
      <c r="A156" s="139"/>
      <c r="B156" s="139"/>
      <c r="C156" s="183"/>
      <c r="D156" s="183"/>
      <c r="E156" s="183"/>
      <c r="F156" s="183"/>
      <c r="G156" s="183"/>
      <c r="H156" s="184"/>
      <c r="I156" s="139"/>
      <c r="J156" s="139"/>
      <c r="K156" s="139"/>
      <c r="L156" s="139"/>
      <c r="M156" s="139"/>
      <c r="N156" s="139"/>
      <c r="O156" s="139"/>
      <c r="P156" s="139"/>
      <c r="Q156" s="139"/>
      <c r="R156" s="139"/>
      <c r="S156" s="139"/>
      <c r="T156" s="139"/>
      <c r="U156" s="139"/>
      <c r="V156" s="139"/>
      <c r="W156" s="139"/>
      <c r="X156" s="139"/>
      <c r="Y156" s="139"/>
      <c r="Z156" s="139"/>
    </row>
    <row r="157" ht="15.75" customHeight="1">
      <c r="A157" s="139"/>
      <c r="B157" s="139"/>
      <c r="C157" s="183"/>
      <c r="D157" s="183"/>
      <c r="E157" s="183"/>
      <c r="F157" s="183"/>
      <c r="G157" s="183"/>
      <c r="H157" s="184"/>
      <c r="I157" s="139"/>
      <c r="J157" s="139"/>
      <c r="K157" s="139"/>
      <c r="L157" s="139"/>
      <c r="M157" s="139"/>
      <c r="N157" s="139"/>
      <c r="O157" s="139"/>
      <c r="P157" s="139"/>
      <c r="Q157" s="139"/>
      <c r="R157" s="139"/>
      <c r="S157" s="139"/>
      <c r="T157" s="139"/>
      <c r="U157" s="139"/>
      <c r="V157" s="139"/>
      <c r="W157" s="139"/>
      <c r="X157" s="139"/>
      <c r="Y157" s="139"/>
      <c r="Z157" s="139"/>
    </row>
    <row r="158" ht="15.75" customHeight="1">
      <c r="A158" s="139"/>
      <c r="B158" s="139"/>
      <c r="C158" s="183"/>
      <c r="D158" s="183"/>
      <c r="E158" s="183"/>
      <c r="F158" s="183"/>
      <c r="G158" s="183"/>
      <c r="H158" s="184"/>
      <c r="I158" s="139"/>
      <c r="J158" s="139"/>
      <c r="K158" s="139"/>
      <c r="L158" s="139"/>
      <c r="M158" s="139"/>
      <c r="N158" s="139"/>
      <c r="O158" s="139"/>
      <c r="P158" s="139"/>
      <c r="Q158" s="139"/>
      <c r="R158" s="139"/>
      <c r="S158" s="139"/>
      <c r="T158" s="139"/>
      <c r="U158" s="139"/>
      <c r="V158" s="139"/>
      <c r="W158" s="139"/>
      <c r="X158" s="139"/>
      <c r="Y158" s="139"/>
      <c r="Z158" s="139"/>
    </row>
    <row r="159" ht="15.75" customHeight="1">
      <c r="A159" s="139"/>
      <c r="B159" s="139"/>
      <c r="C159" s="183"/>
      <c r="D159" s="183"/>
      <c r="E159" s="183"/>
      <c r="F159" s="183"/>
      <c r="G159" s="183"/>
      <c r="H159" s="184"/>
      <c r="I159" s="139"/>
      <c r="J159" s="139"/>
      <c r="K159" s="139"/>
      <c r="L159" s="139"/>
      <c r="M159" s="139"/>
      <c r="N159" s="139"/>
      <c r="O159" s="139"/>
      <c r="P159" s="139"/>
      <c r="Q159" s="139"/>
      <c r="R159" s="139"/>
      <c r="S159" s="139"/>
      <c r="T159" s="139"/>
      <c r="U159" s="139"/>
      <c r="V159" s="139"/>
      <c r="W159" s="139"/>
      <c r="X159" s="139"/>
      <c r="Y159" s="139"/>
      <c r="Z159" s="139"/>
    </row>
    <row r="160" ht="15.75" customHeight="1">
      <c r="A160" s="139"/>
      <c r="B160" s="139"/>
      <c r="C160" s="183"/>
      <c r="D160" s="183"/>
      <c r="E160" s="183"/>
      <c r="F160" s="183"/>
      <c r="G160" s="183"/>
      <c r="H160" s="184"/>
      <c r="I160" s="139"/>
      <c r="J160" s="139"/>
      <c r="K160" s="139"/>
      <c r="L160" s="139"/>
      <c r="M160" s="139"/>
      <c r="N160" s="139"/>
      <c r="O160" s="139"/>
      <c r="P160" s="139"/>
      <c r="Q160" s="139"/>
      <c r="R160" s="139"/>
      <c r="S160" s="139"/>
      <c r="T160" s="139"/>
      <c r="U160" s="139"/>
      <c r="V160" s="139"/>
      <c r="W160" s="139"/>
      <c r="X160" s="139"/>
      <c r="Y160" s="139"/>
      <c r="Z160" s="139"/>
    </row>
    <row r="161" ht="15.75" customHeight="1">
      <c r="A161" s="139"/>
      <c r="B161" s="139"/>
      <c r="C161" s="183"/>
      <c r="D161" s="183"/>
      <c r="E161" s="183"/>
      <c r="F161" s="183"/>
      <c r="G161" s="183"/>
      <c r="H161" s="184"/>
      <c r="I161" s="139"/>
      <c r="J161" s="139"/>
      <c r="K161" s="139"/>
      <c r="L161" s="139"/>
      <c r="M161" s="139"/>
      <c r="N161" s="139"/>
      <c r="O161" s="139"/>
      <c r="P161" s="139"/>
      <c r="Q161" s="139"/>
      <c r="R161" s="139"/>
      <c r="S161" s="139"/>
      <c r="T161" s="139"/>
      <c r="U161" s="139"/>
      <c r="V161" s="139"/>
      <c r="W161" s="139"/>
      <c r="X161" s="139"/>
      <c r="Y161" s="139"/>
      <c r="Z161" s="139"/>
    </row>
    <row r="162" ht="15.75" customHeight="1">
      <c r="A162" s="139"/>
      <c r="B162" s="139"/>
      <c r="C162" s="183"/>
      <c r="D162" s="183"/>
      <c r="E162" s="183"/>
      <c r="F162" s="183"/>
      <c r="G162" s="183"/>
      <c r="H162" s="184"/>
      <c r="I162" s="139"/>
      <c r="J162" s="139"/>
      <c r="K162" s="139"/>
      <c r="L162" s="139"/>
      <c r="M162" s="139"/>
      <c r="N162" s="139"/>
      <c r="O162" s="139"/>
      <c r="P162" s="139"/>
      <c r="Q162" s="139"/>
      <c r="R162" s="139"/>
      <c r="S162" s="139"/>
      <c r="T162" s="139"/>
      <c r="U162" s="139"/>
      <c r="V162" s="139"/>
      <c r="W162" s="139"/>
      <c r="X162" s="139"/>
      <c r="Y162" s="139"/>
      <c r="Z162" s="139"/>
    </row>
    <row r="163" ht="15.75" customHeight="1">
      <c r="A163" s="139"/>
      <c r="B163" s="139"/>
      <c r="C163" s="183"/>
      <c r="D163" s="183"/>
      <c r="E163" s="183"/>
      <c r="F163" s="183"/>
      <c r="G163" s="183"/>
      <c r="H163" s="184"/>
      <c r="I163" s="139"/>
      <c r="J163" s="139"/>
      <c r="K163" s="139"/>
      <c r="L163" s="139"/>
      <c r="M163" s="139"/>
      <c r="N163" s="139"/>
      <c r="O163" s="139"/>
      <c r="P163" s="139"/>
      <c r="Q163" s="139"/>
      <c r="R163" s="139"/>
      <c r="S163" s="139"/>
      <c r="T163" s="139"/>
      <c r="U163" s="139"/>
      <c r="V163" s="139"/>
      <c r="W163" s="139"/>
      <c r="X163" s="139"/>
      <c r="Y163" s="139"/>
      <c r="Z163" s="139"/>
    </row>
    <row r="164" ht="15.75" customHeight="1">
      <c r="A164" s="139"/>
      <c r="B164" s="139"/>
      <c r="C164" s="183"/>
      <c r="D164" s="183"/>
      <c r="E164" s="183"/>
      <c r="F164" s="183"/>
      <c r="G164" s="183"/>
      <c r="H164" s="184"/>
      <c r="I164" s="139"/>
      <c r="J164" s="139"/>
      <c r="K164" s="139"/>
      <c r="L164" s="139"/>
      <c r="M164" s="139"/>
      <c r="N164" s="139"/>
      <c r="O164" s="139"/>
      <c r="P164" s="139"/>
      <c r="Q164" s="139"/>
      <c r="R164" s="139"/>
      <c r="S164" s="139"/>
      <c r="T164" s="139"/>
      <c r="U164" s="139"/>
      <c r="V164" s="139"/>
      <c r="W164" s="139"/>
      <c r="X164" s="139"/>
      <c r="Y164" s="139"/>
      <c r="Z164" s="139"/>
    </row>
    <row r="165" ht="15.75" customHeight="1">
      <c r="A165" s="139"/>
      <c r="B165" s="139"/>
      <c r="C165" s="183"/>
      <c r="D165" s="183"/>
      <c r="E165" s="183"/>
      <c r="F165" s="183"/>
      <c r="G165" s="183"/>
      <c r="H165" s="184"/>
      <c r="I165" s="139"/>
      <c r="J165" s="139"/>
      <c r="K165" s="139"/>
      <c r="L165" s="139"/>
      <c r="M165" s="139"/>
      <c r="N165" s="139"/>
      <c r="O165" s="139"/>
      <c r="P165" s="139"/>
      <c r="Q165" s="139"/>
      <c r="R165" s="139"/>
      <c r="S165" s="139"/>
      <c r="T165" s="139"/>
      <c r="U165" s="139"/>
      <c r="V165" s="139"/>
      <c r="W165" s="139"/>
      <c r="X165" s="139"/>
      <c r="Y165" s="139"/>
      <c r="Z165" s="139"/>
    </row>
    <row r="166" ht="15.75" customHeight="1">
      <c r="A166" s="139"/>
      <c r="B166" s="139"/>
      <c r="C166" s="183"/>
      <c r="D166" s="183"/>
      <c r="E166" s="183"/>
      <c r="F166" s="183"/>
      <c r="G166" s="183"/>
      <c r="H166" s="184"/>
      <c r="I166" s="139"/>
      <c r="J166" s="139"/>
      <c r="K166" s="139"/>
      <c r="L166" s="139"/>
      <c r="M166" s="139"/>
      <c r="N166" s="139"/>
      <c r="O166" s="139"/>
      <c r="P166" s="139"/>
      <c r="Q166" s="139"/>
      <c r="R166" s="139"/>
      <c r="S166" s="139"/>
      <c r="T166" s="139"/>
      <c r="U166" s="139"/>
      <c r="V166" s="139"/>
      <c r="W166" s="139"/>
      <c r="X166" s="139"/>
      <c r="Y166" s="139"/>
      <c r="Z166" s="139"/>
    </row>
    <row r="167" ht="15.75" customHeight="1">
      <c r="A167" s="139"/>
      <c r="B167" s="139"/>
      <c r="C167" s="183"/>
      <c r="D167" s="183"/>
      <c r="E167" s="183"/>
      <c r="F167" s="183"/>
      <c r="G167" s="183"/>
      <c r="H167" s="184"/>
      <c r="I167" s="139"/>
      <c r="J167" s="139"/>
      <c r="K167" s="139"/>
      <c r="L167" s="139"/>
      <c r="M167" s="139"/>
      <c r="N167" s="139"/>
      <c r="O167" s="139"/>
      <c r="P167" s="139"/>
      <c r="Q167" s="139"/>
      <c r="R167" s="139"/>
      <c r="S167" s="139"/>
      <c r="T167" s="139"/>
      <c r="U167" s="139"/>
      <c r="V167" s="139"/>
      <c r="W167" s="139"/>
      <c r="X167" s="139"/>
      <c r="Y167" s="139"/>
      <c r="Z167" s="139"/>
    </row>
    <row r="168" ht="15.75" customHeight="1">
      <c r="A168" s="139"/>
      <c r="B168" s="139"/>
      <c r="C168" s="183"/>
      <c r="D168" s="183"/>
      <c r="E168" s="183"/>
      <c r="F168" s="183"/>
      <c r="G168" s="183"/>
      <c r="H168" s="184"/>
      <c r="I168" s="139"/>
      <c r="J168" s="139"/>
      <c r="K168" s="139"/>
      <c r="L168" s="139"/>
      <c r="M168" s="139"/>
      <c r="N168" s="139"/>
      <c r="O168" s="139"/>
      <c r="P168" s="139"/>
      <c r="Q168" s="139"/>
      <c r="R168" s="139"/>
      <c r="S168" s="139"/>
      <c r="T168" s="139"/>
      <c r="U168" s="139"/>
      <c r="V168" s="139"/>
      <c r="W168" s="139"/>
      <c r="X168" s="139"/>
      <c r="Y168" s="139"/>
      <c r="Z168" s="139"/>
    </row>
    <row r="169" ht="15.75" customHeight="1">
      <c r="A169" s="139"/>
      <c r="B169" s="139"/>
      <c r="C169" s="183"/>
      <c r="D169" s="183"/>
      <c r="E169" s="183"/>
      <c r="F169" s="183"/>
      <c r="G169" s="183"/>
      <c r="H169" s="184"/>
      <c r="I169" s="139"/>
      <c r="J169" s="139"/>
      <c r="K169" s="139"/>
      <c r="L169" s="139"/>
      <c r="M169" s="139"/>
      <c r="N169" s="139"/>
      <c r="O169" s="139"/>
      <c r="P169" s="139"/>
      <c r="Q169" s="139"/>
      <c r="R169" s="139"/>
      <c r="S169" s="139"/>
      <c r="T169" s="139"/>
      <c r="U169" s="139"/>
      <c r="V169" s="139"/>
      <c r="W169" s="139"/>
      <c r="X169" s="139"/>
      <c r="Y169" s="139"/>
      <c r="Z169" s="139"/>
    </row>
    <row r="170" ht="15.75" customHeight="1">
      <c r="A170" s="139"/>
      <c r="B170" s="139"/>
      <c r="C170" s="183"/>
      <c r="D170" s="183"/>
      <c r="E170" s="183"/>
      <c r="F170" s="183"/>
      <c r="G170" s="183"/>
      <c r="H170" s="184"/>
      <c r="I170" s="139"/>
      <c r="J170" s="139"/>
      <c r="K170" s="139"/>
      <c r="L170" s="139"/>
      <c r="M170" s="139"/>
      <c r="N170" s="139"/>
      <c r="O170" s="139"/>
      <c r="P170" s="139"/>
      <c r="Q170" s="139"/>
      <c r="R170" s="139"/>
      <c r="S170" s="139"/>
      <c r="T170" s="139"/>
      <c r="U170" s="139"/>
      <c r="V170" s="139"/>
      <c r="W170" s="139"/>
      <c r="X170" s="139"/>
      <c r="Y170" s="139"/>
      <c r="Z170" s="139"/>
    </row>
    <row r="171" ht="15.75" customHeight="1">
      <c r="A171" s="139"/>
      <c r="B171" s="139"/>
      <c r="C171" s="183"/>
      <c r="D171" s="183"/>
      <c r="E171" s="183"/>
      <c r="F171" s="183"/>
      <c r="G171" s="183"/>
      <c r="H171" s="184"/>
      <c r="I171" s="139"/>
      <c r="J171" s="139"/>
      <c r="K171" s="139"/>
      <c r="L171" s="139"/>
      <c r="M171" s="139"/>
      <c r="N171" s="139"/>
      <c r="O171" s="139"/>
      <c r="P171" s="139"/>
      <c r="Q171" s="139"/>
      <c r="R171" s="139"/>
      <c r="S171" s="139"/>
      <c r="T171" s="139"/>
      <c r="U171" s="139"/>
      <c r="V171" s="139"/>
      <c r="W171" s="139"/>
      <c r="X171" s="139"/>
      <c r="Y171" s="139"/>
      <c r="Z171" s="139"/>
    </row>
    <row r="172" ht="15.75" customHeight="1">
      <c r="A172" s="139"/>
      <c r="B172" s="139"/>
      <c r="C172" s="183"/>
      <c r="D172" s="183"/>
      <c r="E172" s="183"/>
      <c r="F172" s="183"/>
      <c r="G172" s="183"/>
      <c r="H172" s="184"/>
      <c r="I172" s="139"/>
      <c r="J172" s="139"/>
      <c r="K172" s="139"/>
      <c r="L172" s="139"/>
      <c r="M172" s="139"/>
      <c r="N172" s="139"/>
      <c r="O172" s="139"/>
      <c r="P172" s="139"/>
      <c r="Q172" s="139"/>
      <c r="R172" s="139"/>
      <c r="S172" s="139"/>
      <c r="T172" s="139"/>
      <c r="U172" s="139"/>
      <c r="V172" s="139"/>
      <c r="W172" s="139"/>
      <c r="X172" s="139"/>
      <c r="Y172" s="139"/>
      <c r="Z172" s="139"/>
    </row>
    <row r="173" ht="15.75" customHeight="1">
      <c r="A173" s="139"/>
      <c r="B173" s="139"/>
      <c r="C173" s="183"/>
      <c r="D173" s="183"/>
      <c r="E173" s="183"/>
      <c r="F173" s="183"/>
      <c r="G173" s="183"/>
      <c r="H173" s="184"/>
      <c r="I173" s="139"/>
      <c r="J173" s="139"/>
      <c r="K173" s="139"/>
      <c r="L173" s="139"/>
      <c r="M173" s="139"/>
      <c r="N173" s="139"/>
      <c r="O173" s="139"/>
      <c r="P173" s="139"/>
      <c r="Q173" s="139"/>
      <c r="R173" s="139"/>
      <c r="S173" s="139"/>
      <c r="T173" s="139"/>
      <c r="U173" s="139"/>
      <c r="V173" s="139"/>
      <c r="W173" s="139"/>
      <c r="X173" s="139"/>
      <c r="Y173" s="139"/>
      <c r="Z173" s="139"/>
    </row>
    <row r="174" ht="15.75" customHeight="1">
      <c r="A174" s="139"/>
      <c r="B174" s="139"/>
      <c r="C174" s="183"/>
      <c r="D174" s="183"/>
      <c r="E174" s="183"/>
      <c r="F174" s="183"/>
      <c r="G174" s="183"/>
      <c r="H174" s="184"/>
      <c r="I174" s="139"/>
      <c r="J174" s="139"/>
      <c r="K174" s="139"/>
      <c r="L174" s="139"/>
      <c r="M174" s="139"/>
      <c r="N174" s="139"/>
      <c r="O174" s="139"/>
      <c r="P174" s="139"/>
      <c r="Q174" s="139"/>
      <c r="R174" s="139"/>
      <c r="S174" s="139"/>
      <c r="T174" s="139"/>
      <c r="U174" s="139"/>
      <c r="V174" s="139"/>
      <c r="W174" s="139"/>
      <c r="X174" s="139"/>
      <c r="Y174" s="139"/>
      <c r="Z174" s="139"/>
    </row>
    <row r="175" ht="15.75" customHeight="1">
      <c r="A175" s="139"/>
      <c r="B175" s="139"/>
      <c r="C175" s="183"/>
      <c r="D175" s="183"/>
      <c r="E175" s="183"/>
      <c r="F175" s="183"/>
      <c r="G175" s="183"/>
      <c r="H175" s="184"/>
      <c r="I175" s="139"/>
      <c r="J175" s="139"/>
      <c r="K175" s="139"/>
      <c r="L175" s="139"/>
      <c r="M175" s="139"/>
      <c r="N175" s="139"/>
      <c r="O175" s="139"/>
      <c r="P175" s="139"/>
      <c r="Q175" s="139"/>
      <c r="R175" s="139"/>
      <c r="S175" s="139"/>
      <c r="T175" s="139"/>
      <c r="U175" s="139"/>
      <c r="V175" s="139"/>
      <c r="W175" s="139"/>
      <c r="X175" s="139"/>
      <c r="Y175" s="139"/>
      <c r="Z175" s="139"/>
    </row>
    <row r="176" ht="15.75" customHeight="1">
      <c r="A176" s="139"/>
      <c r="B176" s="139"/>
      <c r="C176" s="183"/>
      <c r="D176" s="183"/>
      <c r="E176" s="183"/>
      <c r="F176" s="183"/>
      <c r="G176" s="183"/>
      <c r="H176" s="184"/>
      <c r="I176" s="139"/>
      <c r="J176" s="139"/>
      <c r="K176" s="139"/>
      <c r="L176" s="139"/>
      <c r="M176" s="139"/>
      <c r="N176" s="139"/>
      <c r="O176" s="139"/>
      <c r="P176" s="139"/>
      <c r="Q176" s="139"/>
      <c r="R176" s="139"/>
      <c r="S176" s="139"/>
      <c r="T176" s="139"/>
      <c r="U176" s="139"/>
      <c r="V176" s="139"/>
      <c r="W176" s="139"/>
      <c r="X176" s="139"/>
      <c r="Y176" s="139"/>
      <c r="Z176" s="139"/>
    </row>
    <row r="177" ht="15.75" customHeight="1">
      <c r="A177" s="139"/>
      <c r="B177" s="139"/>
      <c r="C177" s="183"/>
      <c r="D177" s="183"/>
      <c r="E177" s="183"/>
      <c r="F177" s="183"/>
      <c r="G177" s="183"/>
      <c r="H177" s="184"/>
      <c r="I177" s="139"/>
      <c r="J177" s="139"/>
      <c r="K177" s="139"/>
      <c r="L177" s="139"/>
      <c r="M177" s="139"/>
      <c r="N177" s="139"/>
      <c r="O177" s="139"/>
      <c r="P177" s="139"/>
      <c r="Q177" s="139"/>
      <c r="R177" s="139"/>
      <c r="S177" s="139"/>
      <c r="T177" s="139"/>
      <c r="U177" s="139"/>
      <c r="V177" s="139"/>
      <c r="W177" s="139"/>
      <c r="X177" s="139"/>
      <c r="Y177" s="139"/>
      <c r="Z177" s="139"/>
    </row>
    <row r="178" ht="15.75" customHeight="1">
      <c r="A178" s="139"/>
      <c r="B178" s="139"/>
      <c r="C178" s="183"/>
      <c r="D178" s="183"/>
      <c r="E178" s="183"/>
      <c r="F178" s="183"/>
      <c r="G178" s="183"/>
      <c r="H178" s="184"/>
      <c r="I178" s="139"/>
      <c r="J178" s="139"/>
      <c r="K178" s="139"/>
      <c r="L178" s="139"/>
      <c r="M178" s="139"/>
      <c r="N178" s="139"/>
      <c r="O178" s="139"/>
      <c r="P178" s="139"/>
      <c r="Q178" s="139"/>
      <c r="R178" s="139"/>
      <c r="S178" s="139"/>
      <c r="T178" s="139"/>
      <c r="U178" s="139"/>
      <c r="V178" s="139"/>
      <c r="W178" s="139"/>
      <c r="X178" s="139"/>
      <c r="Y178" s="139"/>
      <c r="Z178" s="139"/>
    </row>
    <row r="179" ht="15.75" customHeight="1">
      <c r="A179" s="139"/>
      <c r="B179" s="139"/>
      <c r="C179" s="183"/>
      <c r="D179" s="183"/>
      <c r="E179" s="183"/>
      <c r="F179" s="183"/>
      <c r="G179" s="183"/>
      <c r="H179" s="184"/>
      <c r="I179" s="139"/>
      <c r="J179" s="139"/>
      <c r="K179" s="139"/>
      <c r="L179" s="139"/>
      <c r="M179" s="139"/>
      <c r="N179" s="139"/>
      <c r="O179" s="139"/>
      <c r="P179" s="139"/>
      <c r="Q179" s="139"/>
      <c r="R179" s="139"/>
      <c r="S179" s="139"/>
      <c r="T179" s="139"/>
      <c r="U179" s="139"/>
      <c r="V179" s="139"/>
      <c r="W179" s="139"/>
      <c r="X179" s="139"/>
      <c r="Y179" s="139"/>
      <c r="Z179" s="139"/>
    </row>
    <row r="180" ht="15.75" customHeight="1">
      <c r="A180" s="139"/>
      <c r="B180" s="139"/>
      <c r="C180" s="183"/>
      <c r="D180" s="183"/>
      <c r="E180" s="183"/>
      <c r="F180" s="183"/>
      <c r="G180" s="183"/>
      <c r="H180" s="184"/>
      <c r="I180" s="139"/>
      <c r="J180" s="139"/>
      <c r="K180" s="139"/>
      <c r="L180" s="139"/>
      <c r="M180" s="139"/>
      <c r="N180" s="139"/>
      <c r="O180" s="139"/>
      <c r="P180" s="139"/>
      <c r="Q180" s="139"/>
      <c r="R180" s="139"/>
      <c r="S180" s="139"/>
      <c r="T180" s="139"/>
      <c r="U180" s="139"/>
      <c r="V180" s="139"/>
      <c r="W180" s="139"/>
      <c r="X180" s="139"/>
      <c r="Y180" s="139"/>
      <c r="Z180" s="139"/>
    </row>
    <row r="181" ht="15.75" customHeight="1">
      <c r="A181" s="139"/>
      <c r="B181" s="139"/>
      <c r="C181" s="183"/>
      <c r="D181" s="183"/>
      <c r="E181" s="183"/>
      <c r="F181" s="183"/>
      <c r="G181" s="183"/>
      <c r="H181" s="184"/>
      <c r="I181" s="139"/>
      <c r="J181" s="139"/>
      <c r="K181" s="139"/>
      <c r="L181" s="139"/>
      <c r="M181" s="139"/>
      <c r="N181" s="139"/>
      <c r="O181" s="139"/>
      <c r="P181" s="139"/>
      <c r="Q181" s="139"/>
      <c r="R181" s="139"/>
      <c r="S181" s="139"/>
      <c r="T181" s="139"/>
      <c r="U181" s="139"/>
      <c r="V181" s="139"/>
      <c r="W181" s="139"/>
      <c r="X181" s="139"/>
      <c r="Y181" s="139"/>
      <c r="Z181" s="139"/>
    </row>
    <row r="182" ht="15.75" customHeight="1">
      <c r="A182" s="139"/>
      <c r="B182" s="139"/>
      <c r="C182" s="183"/>
      <c r="D182" s="183"/>
      <c r="E182" s="183"/>
      <c r="F182" s="183"/>
      <c r="G182" s="183"/>
      <c r="H182" s="184"/>
      <c r="I182" s="139"/>
      <c r="J182" s="139"/>
      <c r="K182" s="139"/>
      <c r="L182" s="139"/>
      <c r="M182" s="139"/>
      <c r="N182" s="139"/>
      <c r="O182" s="139"/>
      <c r="P182" s="139"/>
      <c r="Q182" s="139"/>
      <c r="R182" s="139"/>
      <c r="S182" s="139"/>
      <c r="T182" s="139"/>
      <c r="U182" s="139"/>
      <c r="V182" s="139"/>
      <c r="W182" s="139"/>
      <c r="X182" s="139"/>
      <c r="Y182" s="139"/>
      <c r="Z182" s="139"/>
    </row>
    <row r="183" ht="15.75" customHeight="1">
      <c r="A183" s="139"/>
      <c r="B183" s="139"/>
      <c r="C183" s="183"/>
      <c r="D183" s="183"/>
      <c r="E183" s="183"/>
      <c r="F183" s="183"/>
      <c r="G183" s="183"/>
      <c r="H183" s="184"/>
      <c r="I183" s="139"/>
      <c r="J183" s="139"/>
      <c r="K183" s="139"/>
      <c r="L183" s="139"/>
      <c r="M183" s="139"/>
      <c r="N183" s="139"/>
      <c r="O183" s="139"/>
      <c r="P183" s="139"/>
      <c r="Q183" s="139"/>
      <c r="R183" s="139"/>
      <c r="S183" s="139"/>
      <c r="T183" s="139"/>
      <c r="U183" s="139"/>
      <c r="V183" s="139"/>
      <c r="W183" s="139"/>
      <c r="X183" s="139"/>
      <c r="Y183" s="139"/>
      <c r="Z183" s="139"/>
    </row>
    <row r="184" ht="15.75" customHeight="1">
      <c r="A184" s="139"/>
      <c r="B184" s="139"/>
      <c r="C184" s="183"/>
      <c r="D184" s="183"/>
      <c r="E184" s="183"/>
      <c r="F184" s="183"/>
      <c r="G184" s="183"/>
      <c r="H184" s="184"/>
      <c r="I184" s="139"/>
      <c r="J184" s="139"/>
      <c r="K184" s="139"/>
      <c r="L184" s="139"/>
      <c r="M184" s="139"/>
      <c r="N184" s="139"/>
      <c r="O184" s="139"/>
      <c r="P184" s="139"/>
      <c r="Q184" s="139"/>
      <c r="R184" s="139"/>
      <c r="S184" s="139"/>
      <c r="T184" s="139"/>
      <c r="U184" s="139"/>
      <c r="V184" s="139"/>
      <c r="W184" s="139"/>
      <c r="X184" s="139"/>
      <c r="Y184" s="139"/>
      <c r="Z184" s="139"/>
    </row>
    <row r="185" ht="15.75" customHeight="1">
      <c r="A185" s="139"/>
      <c r="B185" s="139"/>
      <c r="C185" s="183"/>
      <c r="D185" s="183"/>
      <c r="E185" s="183"/>
      <c r="F185" s="183"/>
      <c r="G185" s="183"/>
      <c r="H185" s="184"/>
      <c r="I185" s="139"/>
      <c r="J185" s="139"/>
      <c r="K185" s="139"/>
      <c r="L185" s="139"/>
      <c r="M185" s="139"/>
      <c r="N185" s="139"/>
      <c r="O185" s="139"/>
      <c r="P185" s="139"/>
      <c r="Q185" s="139"/>
      <c r="R185" s="139"/>
      <c r="S185" s="139"/>
      <c r="T185" s="139"/>
      <c r="U185" s="139"/>
      <c r="V185" s="139"/>
      <c r="W185" s="139"/>
      <c r="X185" s="139"/>
      <c r="Y185" s="139"/>
      <c r="Z185" s="139"/>
    </row>
    <row r="186" ht="15.75" customHeight="1">
      <c r="A186" s="139"/>
      <c r="B186" s="139"/>
      <c r="C186" s="183"/>
      <c r="D186" s="183"/>
      <c r="E186" s="183"/>
      <c r="F186" s="183"/>
      <c r="G186" s="183"/>
      <c r="H186" s="184"/>
      <c r="I186" s="139"/>
      <c r="J186" s="139"/>
      <c r="K186" s="139"/>
      <c r="L186" s="139"/>
      <c r="M186" s="139"/>
      <c r="N186" s="139"/>
      <c r="O186" s="139"/>
      <c r="P186" s="139"/>
      <c r="Q186" s="139"/>
      <c r="R186" s="139"/>
      <c r="S186" s="139"/>
      <c r="T186" s="139"/>
      <c r="U186" s="139"/>
      <c r="V186" s="139"/>
      <c r="W186" s="139"/>
      <c r="X186" s="139"/>
      <c r="Y186" s="139"/>
      <c r="Z186" s="139"/>
    </row>
    <row r="187" ht="15.75" customHeight="1">
      <c r="A187" s="139"/>
      <c r="B187" s="139"/>
      <c r="C187" s="183"/>
      <c r="D187" s="183"/>
      <c r="E187" s="183"/>
      <c r="F187" s="183"/>
      <c r="G187" s="183"/>
      <c r="H187" s="184"/>
      <c r="I187" s="139"/>
      <c r="J187" s="139"/>
      <c r="K187" s="139"/>
      <c r="L187" s="139"/>
      <c r="M187" s="139"/>
      <c r="N187" s="139"/>
      <c r="O187" s="139"/>
      <c r="P187" s="139"/>
      <c r="Q187" s="139"/>
      <c r="R187" s="139"/>
      <c r="S187" s="139"/>
      <c r="T187" s="139"/>
      <c r="U187" s="139"/>
      <c r="V187" s="139"/>
      <c r="W187" s="139"/>
      <c r="X187" s="139"/>
      <c r="Y187" s="139"/>
      <c r="Z187" s="139"/>
    </row>
    <row r="188" ht="15.75" customHeight="1">
      <c r="A188" s="139"/>
      <c r="B188" s="139"/>
      <c r="C188" s="183"/>
      <c r="D188" s="183"/>
      <c r="E188" s="183"/>
      <c r="F188" s="183"/>
      <c r="G188" s="183"/>
      <c r="H188" s="184"/>
      <c r="I188" s="139"/>
      <c r="J188" s="139"/>
      <c r="K188" s="139"/>
      <c r="L188" s="139"/>
      <c r="M188" s="139"/>
      <c r="N188" s="139"/>
      <c r="O188" s="139"/>
      <c r="P188" s="139"/>
      <c r="Q188" s="139"/>
      <c r="R188" s="139"/>
      <c r="S188" s="139"/>
      <c r="T188" s="139"/>
      <c r="U188" s="139"/>
      <c r="V188" s="139"/>
      <c r="W188" s="139"/>
      <c r="X188" s="139"/>
      <c r="Y188" s="139"/>
      <c r="Z188" s="139"/>
    </row>
    <row r="189" ht="15.75" customHeight="1">
      <c r="A189" s="139"/>
      <c r="B189" s="139"/>
      <c r="C189" s="183"/>
      <c r="D189" s="183"/>
      <c r="E189" s="183"/>
      <c r="F189" s="183"/>
      <c r="G189" s="183"/>
      <c r="H189" s="184"/>
      <c r="I189" s="139"/>
      <c r="J189" s="139"/>
      <c r="K189" s="139"/>
      <c r="L189" s="139"/>
      <c r="M189" s="139"/>
      <c r="N189" s="139"/>
      <c r="O189" s="139"/>
      <c r="P189" s="139"/>
      <c r="Q189" s="139"/>
      <c r="R189" s="139"/>
      <c r="S189" s="139"/>
      <c r="T189" s="139"/>
      <c r="U189" s="139"/>
      <c r="V189" s="139"/>
      <c r="W189" s="139"/>
      <c r="X189" s="139"/>
      <c r="Y189" s="139"/>
      <c r="Z189" s="139"/>
    </row>
    <row r="190" ht="15.75" customHeight="1">
      <c r="A190" s="139"/>
      <c r="B190" s="139"/>
      <c r="C190" s="183"/>
      <c r="D190" s="183"/>
      <c r="E190" s="183"/>
      <c r="F190" s="183"/>
      <c r="G190" s="183"/>
      <c r="H190" s="184"/>
      <c r="I190" s="139"/>
      <c r="J190" s="139"/>
      <c r="K190" s="139"/>
      <c r="L190" s="139"/>
      <c r="M190" s="139"/>
      <c r="N190" s="139"/>
      <c r="O190" s="139"/>
      <c r="P190" s="139"/>
      <c r="Q190" s="139"/>
      <c r="R190" s="139"/>
      <c r="S190" s="139"/>
      <c r="T190" s="139"/>
      <c r="U190" s="139"/>
      <c r="V190" s="139"/>
      <c r="W190" s="139"/>
      <c r="X190" s="139"/>
      <c r="Y190" s="139"/>
      <c r="Z190" s="139"/>
    </row>
    <row r="191" ht="15.75" customHeight="1">
      <c r="A191" s="139"/>
      <c r="B191" s="139"/>
      <c r="C191" s="183"/>
      <c r="D191" s="183"/>
      <c r="E191" s="183"/>
      <c r="F191" s="183"/>
      <c r="G191" s="183"/>
      <c r="H191" s="184"/>
      <c r="I191" s="139"/>
      <c r="J191" s="139"/>
      <c r="K191" s="139"/>
      <c r="L191" s="139"/>
      <c r="M191" s="139"/>
      <c r="N191" s="139"/>
      <c r="O191" s="139"/>
      <c r="P191" s="139"/>
      <c r="Q191" s="139"/>
      <c r="R191" s="139"/>
      <c r="S191" s="139"/>
      <c r="T191" s="139"/>
      <c r="U191" s="139"/>
      <c r="V191" s="139"/>
      <c r="W191" s="139"/>
      <c r="X191" s="139"/>
      <c r="Y191" s="139"/>
      <c r="Z191" s="139"/>
    </row>
    <row r="192" ht="15.75" customHeight="1">
      <c r="A192" s="139"/>
      <c r="B192" s="139"/>
      <c r="C192" s="183"/>
      <c r="D192" s="183"/>
      <c r="E192" s="183"/>
      <c r="F192" s="183"/>
      <c r="G192" s="183"/>
      <c r="H192" s="184"/>
      <c r="I192" s="139"/>
      <c r="J192" s="139"/>
      <c r="K192" s="139"/>
      <c r="L192" s="139"/>
      <c r="M192" s="139"/>
      <c r="N192" s="139"/>
      <c r="O192" s="139"/>
      <c r="P192" s="139"/>
      <c r="Q192" s="139"/>
      <c r="R192" s="139"/>
      <c r="S192" s="139"/>
      <c r="T192" s="139"/>
      <c r="U192" s="139"/>
      <c r="V192" s="139"/>
      <c r="W192" s="139"/>
      <c r="X192" s="139"/>
      <c r="Y192" s="139"/>
      <c r="Z192" s="139"/>
    </row>
    <row r="193" ht="15.75" customHeight="1">
      <c r="A193" s="139"/>
      <c r="B193" s="139"/>
      <c r="C193" s="183"/>
      <c r="D193" s="183"/>
      <c r="E193" s="183"/>
      <c r="F193" s="183"/>
      <c r="G193" s="183"/>
      <c r="H193" s="184"/>
      <c r="I193" s="139"/>
      <c r="J193" s="139"/>
      <c r="K193" s="139"/>
      <c r="L193" s="139"/>
      <c r="M193" s="139"/>
      <c r="N193" s="139"/>
      <c r="O193" s="139"/>
      <c r="P193" s="139"/>
      <c r="Q193" s="139"/>
      <c r="R193" s="139"/>
      <c r="S193" s="139"/>
      <c r="T193" s="139"/>
      <c r="U193" s="139"/>
      <c r="V193" s="139"/>
      <c r="W193" s="139"/>
      <c r="X193" s="139"/>
      <c r="Y193" s="139"/>
      <c r="Z193" s="139"/>
    </row>
    <row r="194" ht="15.75" customHeight="1">
      <c r="A194" s="139"/>
      <c r="B194" s="139"/>
      <c r="C194" s="183"/>
      <c r="D194" s="183"/>
      <c r="E194" s="183"/>
      <c r="F194" s="183"/>
      <c r="G194" s="183"/>
      <c r="H194" s="184"/>
      <c r="I194" s="139"/>
      <c r="J194" s="139"/>
      <c r="K194" s="139"/>
      <c r="L194" s="139"/>
      <c r="M194" s="139"/>
      <c r="N194" s="139"/>
      <c r="O194" s="139"/>
      <c r="P194" s="139"/>
      <c r="Q194" s="139"/>
      <c r="R194" s="139"/>
      <c r="S194" s="139"/>
      <c r="T194" s="139"/>
      <c r="U194" s="139"/>
      <c r="V194" s="139"/>
      <c r="W194" s="139"/>
      <c r="X194" s="139"/>
      <c r="Y194" s="139"/>
      <c r="Z194" s="139"/>
    </row>
    <row r="195" ht="15.75" customHeight="1">
      <c r="A195" s="139"/>
      <c r="B195" s="139"/>
      <c r="C195" s="183"/>
      <c r="D195" s="183"/>
      <c r="E195" s="183"/>
      <c r="F195" s="183"/>
      <c r="G195" s="183"/>
      <c r="H195" s="184"/>
      <c r="I195" s="139"/>
      <c r="J195" s="139"/>
      <c r="K195" s="139"/>
      <c r="L195" s="139"/>
      <c r="M195" s="139"/>
      <c r="N195" s="139"/>
      <c r="O195" s="139"/>
      <c r="P195" s="139"/>
      <c r="Q195" s="139"/>
      <c r="R195" s="139"/>
      <c r="S195" s="139"/>
      <c r="T195" s="139"/>
      <c r="U195" s="139"/>
      <c r="V195" s="139"/>
      <c r="W195" s="139"/>
      <c r="X195" s="139"/>
      <c r="Y195" s="139"/>
      <c r="Z195" s="139"/>
    </row>
    <row r="196" ht="15.75" customHeight="1">
      <c r="A196" s="139"/>
      <c r="B196" s="139"/>
      <c r="C196" s="183"/>
      <c r="D196" s="183"/>
      <c r="E196" s="183"/>
      <c r="F196" s="183"/>
      <c r="G196" s="183"/>
      <c r="H196" s="184"/>
      <c r="I196" s="139"/>
      <c r="J196" s="139"/>
      <c r="K196" s="139"/>
      <c r="L196" s="139"/>
      <c r="M196" s="139"/>
      <c r="N196" s="139"/>
      <c r="O196" s="139"/>
      <c r="P196" s="139"/>
      <c r="Q196" s="139"/>
      <c r="R196" s="139"/>
      <c r="S196" s="139"/>
      <c r="T196" s="139"/>
      <c r="U196" s="139"/>
      <c r="V196" s="139"/>
      <c r="W196" s="139"/>
      <c r="X196" s="139"/>
      <c r="Y196" s="139"/>
      <c r="Z196" s="139"/>
    </row>
    <row r="197" ht="15.75" customHeight="1">
      <c r="A197" s="139"/>
      <c r="B197" s="139"/>
      <c r="C197" s="183"/>
      <c r="D197" s="183"/>
      <c r="E197" s="183"/>
      <c r="F197" s="183"/>
      <c r="G197" s="183"/>
      <c r="H197" s="184"/>
      <c r="I197" s="139"/>
      <c r="J197" s="139"/>
      <c r="K197" s="139"/>
      <c r="L197" s="139"/>
      <c r="M197" s="139"/>
      <c r="N197" s="139"/>
      <c r="O197" s="139"/>
      <c r="P197" s="139"/>
      <c r="Q197" s="139"/>
      <c r="R197" s="139"/>
      <c r="S197" s="139"/>
      <c r="T197" s="139"/>
      <c r="U197" s="139"/>
      <c r="V197" s="139"/>
      <c r="W197" s="139"/>
      <c r="X197" s="139"/>
      <c r="Y197" s="139"/>
      <c r="Z197" s="139"/>
    </row>
    <row r="198" ht="15.75" customHeight="1">
      <c r="A198" s="139"/>
      <c r="B198" s="139"/>
      <c r="C198" s="183"/>
      <c r="D198" s="183"/>
      <c r="E198" s="183"/>
      <c r="F198" s="183"/>
      <c r="G198" s="183"/>
      <c r="H198" s="184"/>
      <c r="I198" s="139"/>
      <c r="J198" s="139"/>
      <c r="K198" s="139"/>
      <c r="L198" s="139"/>
      <c r="M198" s="139"/>
      <c r="N198" s="139"/>
      <c r="O198" s="139"/>
      <c r="P198" s="139"/>
      <c r="Q198" s="139"/>
      <c r="R198" s="139"/>
      <c r="S198" s="139"/>
      <c r="T198" s="139"/>
      <c r="U198" s="139"/>
      <c r="V198" s="139"/>
      <c r="W198" s="139"/>
      <c r="X198" s="139"/>
      <c r="Y198" s="139"/>
      <c r="Z198" s="139"/>
    </row>
    <row r="199" ht="15.75" customHeight="1">
      <c r="A199" s="139"/>
      <c r="B199" s="139"/>
      <c r="C199" s="183"/>
      <c r="D199" s="183"/>
      <c r="E199" s="183"/>
      <c r="F199" s="183"/>
      <c r="G199" s="183"/>
      <c r="H199" s="184"/>
      <c r="I199" s="139"/>
      <c r="J199" s="139"/>
      <c r="K199" s="139"/>
      <c r="L199" s="139"/>
      <c r="M199" s="139"/>
      <c r="N199" s="139"/>
      <c r="O199" s="139"/>
      <c r="P199" s="139"/>
      <c r="Q199" s="139"/>
      <c r="R199" s="139"/>
      <c r="S199" s="139"/>
      <c r="T199" s="139"/>
      <c r="U199" s="139"/>
      <c r="V199" s="139"/>
      <c r="W199" s="139"/>
      <c r="X199" s="139"/>
      <c r="Y199" s="139"/>
      <c r="Z199" s="139"/>
    </row>
    <row r="200" ht="15.75" customHeight="1">
      <c r="A200" s="139"/>
      <c r="B200" s="139"/>
      <c r="C200" s="183"/>
      <c r="D200" s="183"/>
      <c r="E200" s="183"/>
      <c r="F200" s="183"/>
      <c r="G200" s="183"/>
      <c r="H200" s="184"/>
      <c r="I200" s="139"/>
      <c r="J200" s="139"/>
      <c r="K200" s="139"/>
      <c r="L200" s="139"/>
      <c r="M200" s="139"/>
      <c r="N200" s="139"/>
      <c r="O200" s="139"/>
      <c r="P200" s="139"/>
      <c r="Q200" s="139"/>
      <c r="R200" s="139"/>
      <c r="S200" s="139"/>
      <c r="T200" s="139"/>
      <c r="U200" s="139"/>
      <c r="V200" s="139"/>
      <c r="W200" s="139"/>
      <c r="X200" s="139"/>
      <c r="Y200" s="139"/>
      <c r="Z200" s="139"/>
    </row>
    <row r="201" ht="15.75" customHeight="1">
      <c r="A201" s="139"/>
      <c r="B201" s="139"/>
      <c r="C201" s="183"/>
      <c r="D201" s="183"/>
      <c r="E201" s="183"/>
      <c r="F201" s="183"/>
      <c r="G201" s="183"/>
      <c r="H201" s="184"/>
      <c r="I201" s="139"/>
      <c r="J201" s="139"/>
      <c r="K201" s="139"/>
      <c r="L201" s="139"/>
      <c r="M201" s="139"/>
      <c r="N201" s="139"/>
      <c r="O201" s="139"/>
      <c r="P201" s="139"/>
      <c r="Q201" s="139"/>
      <c r="R201" s="139"/>
      <c r="S201" s="139"/>
      <c r="T201" s="139"/>
      <c r="U201" s="139"/>
      <c r="V201" s="139"/>
      <c r="W201" s="139"/>
      <c r="X201" s="139"/>
      <c r="Y201" s="139"/>
      <c r="Z201" s="139"/>
    </row>
    <row r="202" ht="15.75" customHeight="1">
      <c r="A202" s="139"/>
      <c r="B202" s="139"/>
      <c r="C202" s="183"/>
      <c r="D202" s="183"/>
      <c r="E202" s="183"/>
      <c r="F202" s="183"/>
      <c r="G202" s="183"/>
      <c r="H202" s="184"/>
      <c r="I202" s="139"/>
      <c r="J202" s="139"/>
      <c r="K202" s="139"/>
      <c r="L202" s="139"/>
      <c r="M202" s="139"/>
      <c r="N202" s="139"/>
      <c r="O202" s="139"/>
      <c r="P202" s="139"/>
      <c r="Q202" s="139"/>
      <c r="R202" s="139"/>
      <c r="S202" s="139"/>
      <c r="T202" s="139"/>
      <c r="U202" s="139"/>
      <c r="V202" s="139"/>
      <c r="W202" s="139"/>
      <c r="X202" s="139"/>
      <c r="Y202" s="139"/>
      <c r="Z202" s="139"/>
    </row>
    <row r="203" ht="15.75" customHeight="1">
      <c r="A203" s="139"/>
      <c r="B203" s="139"/>
      <c r="C203" s="183"/>
      <c r="D203" s="183"/>
      <c r="E203" s="183"/>
      <c r="F203" s="183"/>
      <c r="G203" s="183"/>
      <c r="H203" s="184"/>
      <c r="I203" s="139"/>
      <c r="J203" s="139"/>
      <c r="K203" s="139"/>
      <c r="L203" s="139"/>
      <c r="M203" s="139"/>
      <c r="N203" s="139"/>
      <c r="O203" s="139"/>
      <c r="P203" s="139"/>
      <c r="Q203" s="139"/>
      <c r="R203" s="139"/>
      <c r="S203" s="139"/>
      <c r="T203" s="139"/>
      <c r="U203" s="139"/>
      <c r="V203" s="139"/>
      <c r="W203" s="139"/>
      <c r="X203" s="139"/>
      <c r="Y203" s="139"/>
      <c r="Z203" s="139"/>
    </row>
    <row r="204" ht="15.75" customHeight="1">
      <c r="A204" s="139"/>
      <c r="B204" s="139"/>
      <c r="C204" s="183"/>
      <c r="D204" s="183"/>
      <c r="E204" s="183"/>
      <c r="F204" s="183"/>
      <c r="G204" s="183"/>
      <c r="H204" s="184"/>
      <c r="I204" s="139"/>
      <c r="J204" s="139"/>
      <c r="K204" s="139"/>
      <c r="L204" s="139"/>
      <c r="M204" s="139"/>
      <c r="N204" s="139"/>
      <c r="O204" s="139"/>
      <c r="P204" s="139"/>
      <c r="Q204" s="139"/>
      <c r="R204" s="139"/>
      <c r="S204" s="139"/>
      <c r="T204" s="139"/>
      <c r="U204" s="139"/>
      <c r="V204" s="139"/>
      <c r="W204" s="139"/>
      <c r="X204" s="139"/>
      <c r="Y204" s="139"/>
      <c r="Z204" s="139"/>
    </row>
    <row r="205" ht="15.75" customHeight="1">
      <c r="A205" s="139"/>
      <c r="B205" s="139"/>
      <c r="C205" s="183"/>
      <c r="D205" s="183"/>
      <c r="E205" s="183"/>
      <c r="F205" s="183"/>
      <c r="G205" s="183"/>
      <c r="H205" s="184"/>
      <c r="I205" s="139"/>
      <c r="J205" s="139"/>
      <c r="K205" s="139"/>
      <c r="L205" s="139"/>
      <c r="M205" s="139"/>
      <c r="N205" s="139"/>
      <c r="O205" s="139"/>
      <c r="P205" s="139"/>
      <c r="Q205" s="139"/>
      <c r="R205" s="139"/>
      <c r="S205" s="139"/>
      <c r="T205" s="139"/>
      <c r="U205" s="139"/>
      <c r="V205" s="139"/>
      <c r="W205" s="139"/>
      <c r="X205" s="139"/>
      <c r="Y205" s="139"/>
      <c r="Z205" s="139"/>
    </row>
    <row r="206" ht="15.75" customHeight="1">
      <c r="A206" s="139"/>
      <c r="B206" s="139"/>
      <c r="C206" s="183"/>
      <c r="D206" s="183"/>
      <c r="E206" s="183"/>
      <c r="F206" s="183"/>
      <c r="G206" s="183"/>
      <c r="H206" s="184"/>
      <c r="I206" s="139"/>
      <c r="J206" s="139"/>
      <c r="K206" s="139"/>
      <c r="L206" s="139"/>
      <c r="M206" s="139"/>
      <c r="N206" s="139"/>
      <c r="O206" s="139"/>
      <c r="P206" s="139"/>
      <c r="Q206" s="139"/>
      <c r="R206" s="139"/>
      <c r="S206" s="139"/>
      <c r="T206" s="139"/>
      <c r="U206" s="139"/>
      <c r="V206" s="139"/>
      <c r="W206" s="139"/>
      <c r="X206" s="139"/>
      <c r="Y206" s="139"/>
      <c r="Z206" s="139"/>
    </row>
    <row r="207" ht="15.75" customHeight="1">
      <c r="A207" s="139"/>
      <c r="B207" s="139"/>
      <c r="C207" s="183"/>
      <c r="D207" s="183"/>
      <c r="E207" s="183"/>
      <c r="F207" s="183"/>
      <c r="G207" s="183"/>
      <c r="H207" s="184"/>
      <c r="I207" s="139"/>
      <c r="J207" s="139"/>
      <c r="K207" s="139"/>
      <c r="L207" s="139"/>
      <c r="M207" s="139"/>
      <c r="N207" s="139"/>
      <c r="O207" s="139"/>
      <c r="P207" s="139"/>
      <c r="Q207" s="139"/>
      <c r="R207" s="139"/>
      <c r="S207" s="139"/>
      <c r="T207" s="139"/>
      <c r="U207" s="139"/>
      <c r="V207" s="139"/>
      <c r="W207" s="139"/>
      <c r="X207" s="139"/>
      <c r="Y207" s="139"/>
      <c r="Z207" s="139"/>
    </row>
    <row r="208" ht="15.75" customHeight="1">
      <c r="A208" s="139"/>
      <c r="B208" s="139"/>
      <c r="C208" s="183"/>
      <c r="D208" s="183"/>
      <c r="E208" s="183"/>
      <c r="F208" s="183"/>
      <c r="G208" s="183"/>
      <c r="H208" s="184"/>
      <c r="I208" s="139"/>
      <c r="J208" s="139"/>
      <c r="K208" s="139"/>
      <c r="L208" s="139"/>
      <c r="M208" s="139"/>
      <c r="N208" s="139"/>
      <c r="O208" s="139"/>
      <c r="P208" s="139"/>
      <c r="Q208" s="139"/>
      <c r="R208" s="139"/>
      <c r="S208" s="139"/>
      <c r="T208" s="139"/>
      <c r="U208" s="139"/>
      <c r="V208" s="139"/>
      <c r="W208" s="139"/>
      <c r="X208" s="139"/>
      <c r="Y208" s="139"/>
      <c r="Z208" s="139"/>
    </row>
    <row r="209" ht="15.75" customHeight="1">
      <c r="A209" s="139"/>
      <c r="B209" s="139"/>
      <c r="C209" s="183"/>
      <c r="D209" s="183"/>
      <c r="E209" s="183"/>
      <c r="F209" s="183"/>
      <c r="G209" s="183"/>
      <c r="H209" s="184"/>
      <c r="I209" s="139"/>
      <c r="J209" s="139"/>
      <c r="K209" s="139"/>
      <c r="L209" s="139"/>
      <c r="M209" s="139"/>
      <c r="N209" s="139"/>
      <c r="O209" s="139"/>
      <c r="P209" s="139"/>
      <c r="Q209" s="139"/>
      <c r="R209" s="139"/>
      <c r="S209" s="139"/>
      <c r="T209" s="139"/>
      <c r="U209" s="139"/>
      <c r="V209" s="139"/>
      <c r="W209" s="139"/>
      <c r="X209" s="139"/>
      <c r="Y209" s="139"/>
      <c r="Z209" s="139"/>
    </row>
    <row r="210" ht="15.75" customHeight="1">
      <c r="A210" s="139"/>
      <c r="B210" s="139"/>
      <c r="C210" s="183"/>
      <c r="D210" s="183"/>
      <c r="E210" s="183"/>
      <c r="F210" s="183"/>
      <c r="G210" s="183"/>
      <c r="H210" s="184"/>
      <c r="I210" s="139"/>
      <c r="J210" s="139"/>
      <c r="K210" s="139"/>
      <c r="L210" s="139"/>
      <c r="M210" s="139"/>
      <c r="N210" s="139"/>
      <c r="O210" s="139"/>
      <c r="P210" s="139"/>
      <c r="Q210" s="139"/>
      <c r="R210" s="139"/>
      <c r="S210" s="139"/>
      <c r="T210" s="139"/>
      <c r="U210" s="139"/>
      <c r="V210" s="139"/>
      <c r="W210" s="139"/>
      <c r="X210" s="139"/>
      <c r="Y210" s="139"/>
      <c r="Z210" s="139"/>
    </row>
    <row r="211" ht="15.75" customHeight="1">
      <c r="A211" s="139"/>
      <c r="B211" s="139"/>
      <c r="C211" s="183"/>
      <c r="D211" s="183"/>
      <c r="E211" s="183"/>
      <c r="F211" s="183"/>
      <c r="G211" s="183"/>
      <c r="H211" s="184"/>
      <c r="I211" s="139"/>
      <c r="J211" s="139"/>
      <c r="K211" s="139"/>
      <c r="L211" s="139"/>
      <c r="M211" s="139"/>
      <c r="N211" s="139"/>
      <c r="O211" s="139"/>
      <c r="P211" s="139"/>
      <c r="Q211" s="139"/>
      <c r="R211" s="139"/>
      <c r="S211" s="139"/>
      <c r="T211" s="139"/>
      <c r="U211" s="139"/>
      <c r="V211" s="139"/>
      <c r="W211" s="139"/>
      <c r="X211" s="139"/>
      <c r="Y211" s="139"/>
      <c r="Z211" s="139"/>
    </row>
    <row r="212" ht="15.75" customHeight="1">
      <c r="A212" s="139"/>
      <c r="B212" s="139"/>
      <c r="C212" s="183"/>
      <c r="D212" s="183"/>
      <c r="E212" s="183"/>
      <c r="F212" s="183"/>
      <c r="G212" s="183"/>
      <c r="H212" s="184"/>
      <c r="I212" s="139"/>
      <c r="J212" s="139"/>
      <c r="K212" s="139"/>
      <c r="L212" s="139"/>
      <c r="M212" s="139"/>
      <c r="N212" s="139"/>
      <c r="O212" s="139"/>
      <c r="P212" s="139"/>
      <c r="Q212" s="139"/>
      <c r="R212" s="139"/>
      <c r="S212" s="139"/>
      <c r="T212" s="139"/>
      <c r="U212" s="139"/>
      <c r="V212" s="139"/>
      <c r="W212" s="139"/>
      <c r="X212" s="139"/>
      <c r="Y212" s="139"/>
      <c r="Z212" s="139"/>
    </row>
    <row r="213" ht="15.75" customHeight="1">
      <c r="A213" s="139"/>
      <c r="B213" s="139"/>
      <c r="C213" s="183"/>
      <c r="D213" s="183"/>
      <c r="E213" s="183"/>
      <c r="F213" s="183"/>
      <c r="G213" s="183"/>
      <c r="H213" s="184"/>
      <c r="I213" s="139"/>
      <c r="J213" s="139"/>
      <c r="K213" s="139"/>
      <c r="L213" s="139"/>
      <c r="M213" s="139"/>
      <c r="N213" s="139"/>
      <c r="O213" s="139"/>
      <c r="P213" s="139"/>
      <c r="Q213" s="139"/>
      <c r="R213" s="139"/>
      <c r="S213" s="139"/>
      <c r="T213" s="139"/>
      <c r="U213" s="139"/>
      <c r="V213" s="139"/>
      <c r="W213" s="139"/>
      <c r="X213" s="139"/>
      <c r="Y213" s="139"/>
      <c r="Z213" s="139"/>
    </row>
    <row r="214" ht="15.75" customHeight="1">
      <c r="A214" s="139"/>
      <c r="B214" s="139"/>
      <c r="C214" s="183"/>
      <c r="D214" s="183"/>
      <c r="E214" s="183"/>
      <c r="F214" s="183"/>
      <c r="G214" s="183"/>
      <c r="H214" s="184"/>
      <c r="I214" s="139"/>
      <c r="J214" s="139"/>
      <c r="K214" s="139"/>
      <c r="L214" s="139"/>
      <c r="M214" s="139"/>
      <c r="N214" s="139"/>
      <c r="O214" s="139"/>
      <c r="P214" s="139"/>
      <c r="Q214" s="139"/>
      <c r="R214" s="139"/>
      <c r="S214" s="139"/>
      <c r="T214" s="139"/>
      <c r="U214" s="139"/>
      <c r="V214" s="139"/>
      <c r="W214" s="139"/>
      <c r="X214" s="139"/>
      <c r="Y214" s="139"/>
      <c r="Z214" s="139"/>
    </row>
    <row r="215" ht="15.75" customHeight="1">
      <c r="A215" s="139"/>
      <c r="B215" s="139"/>
      <c r="C215" s="183"/>
      <c r="D215" s="183"/>
      <c r="E215" s="183"/>
      <c r="F215" s="183"/>
      <c r="G215" s="183"/>
      <c r="H215" s="184"/>
      <c r="I215" s="139"/>
      <c r="J215" s="139"/>
      <c r="K215" s="139"/>
      <c r="L215" s="139"/>
      <c r="M215" s="139"/>
      <c r="N215" s="139"/>
      <c r="O215" s="139"/>
      <c r="P215" s="139"/>
      <c r="Q215" s="139"/>
      <c r="R215" s="139"/>
      <c r="S215" s="139"/>
      <c r="T215" s="139"/>
      <c r="U215" s="139"/>
      <c r="V215" s="139"/>
      <c r="W215" s="139"/>
      <c r="X215" s="139"/>
      <c r="Y215" s="139"/>
      <c r="Z215" s="139"/>
    </row>
    <row r="216" ht="15.75" customHeight="1">
      <c r="A216" s="139"/>
      <c r="B216" s="139"/>
      <c r="C216" s="183"/>
      <c r="D216" s="183"/>
      <c r="E216" s="183"/>
      <c r="F216" s="183"/>
      <c r="G216" s="183"/>
      <c r="H216" s="184"/>
      <c r="I216" s="139"/>
      <c r="J216" s="139"/>
      <c r="K216" s="139"/>
      <c r="L216" s="139"/>
      <c r="M216" s="139"/>
      <c r="N216" s="139"/>
      <c r="O216" s="139"/>
      <c r="P216" s="139"/>
      <c r="Q216" s="139"/>
      <c r="R216" s="139"/>
      <c r="S216" s="139"/>
      <c r="T216" s="139"/>
      <c r="U216" s="139"/>
      <c r="V216" s="139"/>
      <c r="W216" s="139"/>
      <c r="X216" s="139"/>
      <c r="Y216" s="139"/>
      <c r="Z216" s="139"/>
    </row>
    <row r="217" ht="15.75" customHeight="1">
      <c r="A217" s="139"/>
      <c r="B217" s="139"/>
      <c r="C217" s="183"/>
      <c r="D217" s="183"/>
      <c r="E217" s="183"/>
      <c r="F217" s="183"/>
      <c r="G217" s="183"/>
      <c r="H217" s="184"/>
      <c r="I217" s="139"/>
      <c r="J217" s="139"/>
      <c r="K217" s="139"/>
      <c r="L217" s="139"/>
      <c r="M217" s="139"/>
      <c r="N217" s="139"/>
      <c r="O217" s="139"/>
      <c r="P217" s="139"/>
      <c r="Q217" s="139"/>
      <c r="R217" s="139"/>
      <c r="S217" s="139"/>
      <c r="T217" s="139"/>
      <c r="U217" s="139"/>
      <c r="V217" s="139"/>
      <c r="W217" s="139"/>
      <c r="X217" s="139"/>
      <c r="Y217" s="139"/>
      <c r="Z217" s="139"/>
    </row>
    <row r="218" ht="15.75" customHeight="1">
      <c r="A218" s="139"/>
      <c r="B218" s="139"/>
      <c r="C218" s="183"/>
      <c r="D218" s="183"/>
      <c r="E218" s="183"/>
      <c r="F218" s="183"/>
      <c r="G218" s="183"/>
      <c r="H218" s="184"/>
      <c r="I218" s="139"/>
      <c r="J218" s="139"/>
      <c r="K218" s="139"/>
      <c r="L218" s="139"/>
      <c r="M218" s="139"/>
      <c r="N218" s="139"/>
      <c r="O218" s="139"/>
      <c r="P218" s="139"/>
      <c r="Q218" s="139"/>
      <c r="R218" s="139"/>
      <c r="S218" s="139"/>
      <c r="T218" s="139"/>
      <c r="U218" s="139"/>
      <c r="V218" s="139"/>
      <c r="W218" s="139"/>
      <c r="X218" s="139"/>
      <c r="Y218" s="139"/>
      <c r="Z218" s="139"/>
    </row>
    <row r="219" ht="15.75" customHeight="1">
      <c r="A219" s="139"/>
      <c r="B219" s="139"/>
      <c r="C219" s="183"/>
      <c r="D219" s="183"/>
      <c r="E219" s="183"/>
      <c r="F219" s="183"/>
      <c r="G219" s="183"/>
      <c r="H219" s="184"/>
      <c r="I219" s="139"/>
      <c r="J219" s="139"/>
      <c r="K219" s="139"/>
      <c r="L219" s="139"/>
      <c r="M219" s="139"/>
      <c r="N219" s="139"/>
      <c r="O219" s="139"/>
      <c r="P219" s="139"/>
      <c r="Q219" s="139"/>
      <c r="R219" s="139"/>
      <c r="S219" s="139"/>
      <c r="T219" s="139"/>
      <c r="U219" s="139"/>
      <c r="V219" s="139"/>
      <c r="W219" s="139"/>
      <c r="X219" s="139"/>
      <c r="Y219" s="139"/>
      <c r="Z219" s="139"/>
    </row>
    <row r="220" ht="15.75" customHeight="1">
      <c r="A220" s="139"/>
      <c r="B220" s="139"/>
      <c r="C220" s="183"/>
      <c r="D220" s="183"/>
      <c r="E220" s="183"/>
      <c r="F220" s="183"/>
      <c r="G220" s="183"/>
      <c r="H220" s="184"/>
      <c r="I220" s="139"/>
      <c r="J220" s="139"/>
      <c r="K220" s="139"/>
      <c r="L220" s="139"/>
      <c r="M220" s="139"/>
      <c r="N220" s="139"/>
      <c r="O220" s="139"/>
      <c r="P220" s="139"/>
      <c r="Q220" s="139"/>
      <c r="R220" s="139"/>
      <c r="S220" s="139"/>
      <c r="T220" s="139"/>
      <c r="U220" s="139"/>
      <c r="V220" s="139"/>
      <c r="W220" s="139"/>
      <c r="X220" s="139"/>
      <c r="Y220" s="139"/>
      <c r="Z220" s="139"/>
    </row>
    <row r="221" ht="15.75" customHeight="1">
      <c r="A221" s="139"/>
      <c r="B221" s="139"/>
      <c r="C221" s="183"/>
      <c r="D221" s="183"/>
      <c r="E221" s="183"/>
      <c r="F221" s="183"/>
      <c r="G221" s="183"/>
      <c r="H221" s="184"/>
      <c r="I221" s="139"/>
      <c r="J221" s="139"/>
      <c r="K221" s="139"/>
      <c r="L221" s="139"/>
      <c r="M221" s="139"/>
      <c r="N221" s="139"/>
      <c r="O221" s="139"/>
      <c r="P221" s="139"/>
      <c r="Q221" s="139"/>
      <c r="R221" s="139"/>
      <c r="S221" s="139"/>
      <c r="T221" s="139"/>
      <c r="U221" s="139"/>
      <c r="V221" s="139"/>
      <c r="W221" s="139"/>
      <c r="X221" s="139"/>
      <c r="Y221" s="139"/>
      <c r="Z221" s="139"/>
    </row>
    <row r="222" ht="15.75" customHeight="1">
      <c r="A222" s="139"/>
      <c r="B222" s="139"/>
      <c r="C222" s="183"/>
      <c r="D222" s="183"/>
      <c r="E222" s="183"/>
      <c r="F222" s="183"/>
      <c r="G222" s="183"/>
      <c r="H222" s="184"/>
      <c r="I222" s="139"/>
      <c r="J222" s="139"/>
      <c r="K222" s="139"/>
      <c r="L222" s="139"/>
      <c r="M222" s="139"/>
      <c r="N222" s="139"/>
      <c r="O222" s="139"/>
      <c r="P222" s="139"/>
      <c r="Q222" s="139"/>
      <c r="R222" s="139"/>
      <c r="S222" s="139"/>
      <c r="T222" s="139"/>
      <c r="U222" s="139"/>
      <c r="V222" s="139"/>
      <c r="W222" s="139"/>
      <c r="X222" s="139"/>
      <c r="Y222" s="139"/>
      <c r="Z222" s="139"/>
    </row>
    <row r="223" ht="15.75" customHeight="1">
      <c r="A223" s="139"/>
      <c r="B223" s="139"/>
      <c r="C223" s="183"/>
      <c r="D223" s="183"/>
      <c r="E223" s="183"/>
      <c r="F223" s="183"/>
      <c r="G223" s="183"/>
      <c r="H223" s="184"/>
      <c r="I223" s="139"/>
      <c r="J223" s="139"/>
      <c r="K223" s="139"/>
      <c r="L223" s="139"/>
      <c r="M223" s="139"/>
      <c r="N223" s="139"/>
      <c r="O223" s="139"/>
      <c r="P223" s="139"/>
      <c r="Q223" s="139"/>
      <c r="R223" s="139"/>
      <c r="S223" s="139"/>
      <c r="T223" s="139"/>
      <c r="U223" s="139"/>
      <c r="V223" s="139"/>
      <c r="W223" s="139"/>
      <c r="X223" s="139"/>
      <c r="Y223" s="139"/>
      <c r="Z223" s="139"/>
    </row>
    <row r="224" ht="15.75" customHeight="1">
      <c r="A224" s="139"/>
      <c r="B224" s="139"/>
      <c r="C224" s="183"/>
      <c r="D224" s="183"/>
      <c r="E224" s="183"/>
      <c r="F224" s="183"/>
      <c r="G224" s="183"/>
      <c r="H224" s="184"/>
      <c r="I224" s="139"/>
      <c r="J224" s="139"/>
      <c r="K224" s="139"/>
      <c r="L224" s="139"/>
      <c r="M224" s="139"/>
      <c r="N224" s="139"/>
      <c r="O224" s="139"/>
      <c r="P224" s="139"/>
      <c r="Q224" s="139"/>
      <c r="R224" s="139"/>
      <c r="S224" s="139"/>
      <c r="T224" s="139"/>
      <c r="U224" s="139"/>
      <c r="V224" s="139"/>
      <c r="W224" s="139"/>
      <c r="X224" s="139"/>
      <c r="Y224" s="139"/>
      <c r="Z224" s="139"/>
    </row>
    <row r="225" ht="15.75" customHeight="1">
      <c r="A225" s="139"/>
      <c r="B225" s="139"/>
      <c r="C225" s="183"/>
      <c r="D225" s="183"/>
      <c r="E225" s="183"/>
      <c r="F225" s="183"/>
      <c r="G225" s="183"/>
      <c r="H225" s="184"/>
      <c r="I225" s="139"/>
      <c r="J225" s="139"/>
      <c r="K225" s="139"/>
      <c r="L225" s="139"/>
      <c r="M225" s="139"/>
      <c r="N225" s="139"/>
      <c r="O225" s="139"/>
      <c r="P225" s="139"/>
      <c r="Q225" s="139"/>
      <c r="R225" s="139"/>
      <c r="S225" s="139"/>
      <c r="T225" s="139"/>
      <c r="U225" s="139"/>
      <c r="V225" s="139"/>
      <c r="W225" s="139"/>
      <c r="X225" s="139"/>
      <c r="Y225" s="139"/>
      <c r="Z225" s="139"/>
    </row>
    <row r="226" ht="15.75" customHeight="1">
      <c r="A226" s="139"/>
      <c r="B226" s="139"/>
      <c r="C226" s="183"/>
      <c r="D226" s="183"/>
      <c r="E226" s="183"/>
      <c r="F226" s="183"/>
      <c r="G226" s="183"/>
      <c r="H226" s="184"/>
      <c r="I226" s="139"/>
      <c r="J226" s="139"/>
      <c r="K226" s="139"/>
      <c r="L226" s="139"/>
      <c r="M226" s="139"/>
      <c r="N226" s="139"/>
      <c r="O226" s="139"/>
      <c r="P226" s="139"/>
      <c r="Q226" s="139"/>
      <c r="R226" s="139"/>
      <c r="S226" s="139"/>
      <c r="T226" s="139"/>
      <c r="U226" s="139"/>
      <c r="V226" s="139"/>
      <c r="W226" s="139"/>
      <c r="X226" s="139"/>
      <c r="Y226" s="139"/>
      <c r="Z226" s="139"/>
    </row>
    <row r="227" ht="15.75" customHeight="1">
      <c r="A227" s="139"/>
      <c r="B227" s="139"/>
      <c r="C227" s="183"/>
      <c r="D227" s="183"/>
      <c r="E227" s="183"/>
      <c r="F227" s="183"/>
      <c r="G227" s="183"/>
      <c r="H227" s="184"/>
      <c r="I227" s="139"/>
      <c r="J227" s="139"/>
      <c r="K227" s="139"/>
      <c r="L227" s="139"/>
      <c r="M227" s="139"/>
      <c r="N227" s="139"/>
      <c r="O227" s="139"/>
      <c r="P227" s="139"/>
      <c r="Q227" s="139"/>
      <c r="R227" s="139"/>
      <c r="S227" s="139"/>
      <c r="T227" s="139"/>
      <c r="U227" s="139"/>
      <c r="V227" s="139"/>
      <c r="W227" s="139"/>
      <c r="X227" s="139"/>
      <c r="Y227" s="139"/>
      <c r="Z227" s="139"/>
    </row>
    <row r="228" ht="15.75" customHeight="1">
      <c r="A228" s="139"/>
      <c r="B228" s="139"/>
      <c r="C228" s="183"/>
      <c r="D228" s="183"/>
      <c r="E228" s="183"/>
      <c r="F228" s="183"/>
      <c r="G228" s="183"/>
      <c r="H228" s="184"/>
      <c r="I228" s="139"/>
      <c r="J228" s="139"/>
      <c r="K228" s="139"/>
      <c r="L228" s="139"/>
      <c r="M228" s="139"/>
      <c r="N228" s="139"/>
      <c r="O228" s="139"/>
      <c r="P228" s="139"/>
      <c r="Q228" s="139"/>
      <c r="R228" s="139"/>
      <c r="S228" s="139"/>
      <c r="T228" s="139"/>
      <c r="U228" s="139"/>
      <c r="V228" s="139"/>
      <c r="W228" s="139"/>
      <c r="X228" s="139"/>
      <c r="Y228" s="139"/>
      <c r="Z228" s="139"/>
    </row>
    <row r="229" ht="15.75" customHeight="1">
      <c r="A229" s="139"/>
      <c r="B229" s="139"/>
      <c r="C229" s="183"/>
      <c r="D229" s="183"/>
      <c r="E229" s="183"/>
      <c r="F229" s="183"/>
      <c r="G229" s="183"/>
      <c r="H229" s="184"/>
      <c r="I229" s="139"/>
      <c r="J229" s="139"/>
      <c r="K229" s="139"/>
      <c r="L229" s="139"/>
      <c r="M229" s="139"/>
      <c r="N229" s="139"/>
      <c r="O229" s="139"/>
      <c r="P229" s="139"/>
      <c r="Q229" s="139"/>
      <c r="R229" s="139"/>
      <c r="S229" s="139"/>
      <c r="T229" s="139"/>
      <c r="U229" s="139"/>
      <c r="V229" s="139"/>
      <c r="W229" s="139"/>
      <c r="X229" s="139"/>
      <c r="Y229" s="139"/>
      <c r="Z229" s="139"/>
    </row>
    <row r="230" ht="15.75" customHeight="1">
      <c r="A230" s="139"/>
      <c r="B230" s="139"/>
      <c r="C230" s="183"/>
      <c r="D230" s="183"/>
      <c r="E230" s="183"/>
      <c r="F230" s="183"/>
      <c r="G230" s="183"/>
      <c r="H230" s="184"/>
      <c r="I230" s="139"/>
      <c r="J230" s="139"/>
      <c r="K230" s="139"/>
      <c r="L230" s="139"/>
      <c r="M230" s="139"/>
      <c r="N230" s="139"/>
      <c r="O230" s="139"/>
      <c r="P230" s="139"/>
      <c r="Q230" s="139"/>
      <c r="R230" s="139"/>
      <c r="S230" s="139"/>
      <c r="T230" s="139"/>
      <c r="U230" s="139"/>
      <c r="V230" s="139"/>
      <c r="W230" s="139"/>
      <c r="X230" s="139"/>
      <c r="Y230" s="139"/>
      <c r="Z230" s="139"/>
    </row>
    <row r="231" ht="15.75" customHeight="1">
      <c r="A231" s="139"/>
      <c r="B231" s="139"/>
      <c r="C231" s="183"/>
      <c r="D231" s="183"/>
      <c r="E231" s="183"/>
      <c r="F231" s="183"/>
      <c r="G231" s="183"/>
      <c r="H231" s="184"/>
      <c r="I231" s="139"/>
      <c r="J231" s="139"/>
      <c r="K231" s="139"/>
      <c r="L231" s="139"/>
      <c r="M231" s="139"/>
      <c r="N231" s="139"/>
      <c r="O231" s="139"/>
      <c r="P231" s="139"/>
      <c r="Q231" s="139"/>
      <c r="R231" s="139"/>
      <c r="S231" s="139"/>
      <c r="T231" s="139"/>
      <c r="U231" s="139"/>
      <c r="V231" s="139"/>
      <c r="W231" s="139"/>
      <c r="X231" s="139"/>
      <c r="Y231" s="139"/>
      <c r="Z231" s="139"/>
    </row>
    <row r="232" ht="15.75" customHeight="1">
      <c r="A232" s="139"/>
      <c r="B232" s="139"/>
      <c r="C232" s="183"/>
      <c r="D232" s="183"/>
      <c r="E232" s="183"/>
      <c r="F232" s="183"/>
      <c r="G232" s="183"/>
      <c r="H232" s="184"/>
      <c r="I232" s="139"/>
      <c r="J232" s="139"/>
      <c r="K232" s="139"/>
      <c r="L232" s="139"/>
      <c r="M232" s="139"/>
      <c r="N232" s="139"/>
      <c r="O232" s="139"/>
      <c r="P232" s="139"/>
      <c r="Q232" s="139"/>
      <c r="R232" s="139"/>
      <c r="S232" s="139"/>
      <c r="T232" s="139"/>
      <c r="U232" s="139"/>
      <c r="V232" s="139"/>
      <c r="W232" s="139"/>
      <c r="X232" s="139"/>
      <c r="Y232" s="139"/>
      <c r="Z232" s="139"/>
    </row>
    <row r="233" ht="15.75" customHeight="1">
      <c r="A233" s="139"/>
      <c r="B233" s="139"/>
      <c r="C233" s="183"/>
      <c r="D233" s="183"/>
      <c r="E233" s="183"/>
      <c r="F233" s="183"/>
      <c r="G233" s="183"/>
      <c r="H233" s="184"/>
      <c r="I233" s="139"/>
      <c r="J233" s="139"/>
      <c r="K233" s="139"/>
      <c r="L233" s="139"/>
      <c r="M233" s="139"/>
      <c r="N233" s="139"/>
      <c r="O233" s="139"/>
      <c r="P233" s="139"/>
      <c r="Q233" s="139"/>
      <c r="R233" s="139"/>
      <c r="S233" s="139"/>
      <c r="T233" s="139"/>
      <c r="U233" s="139"/>
      <c r="V233" s="139"/>
      <c r="W233" s="139"/>
      <c r="X233" s="139"/>
      <c r="Y233" s="139"/>
      <c r="Z233" s="139"/>
    </row>
    <row r="234" ht="15.75" customHeight="1">
      <c r="A234" s="139"/>
      <c r="B234" s="139"/>
      <c r="C234" s="183"/>
      <c r="D234" s="183"/>
      <c r="E234" s="183"/>
      <c r="F234" s="183"/>
      <c r="G234" s="183"/>
      <c r="H234" s="184"/>
      <c r="I234" s="139"/>
      <c r="J234" s="139"/>
      <c r="K234" s="139"/>
      <c r="L234" s="139"/>
      <c r="M234" s="139"/>
      <c r="N234" s="139"/>
      <c r="O234" s="139"/>
      <c r="P234" s="139"/>
      <c r="Q234" s="139"/>
      <c r="R234" s="139"/>
      <c r="S234" s="139"/>
      <c r="T234" s="139"/>
      <c r="U234" s="139"/>
      <c r="V234" s="139"/>
      <c r="W234" s="139"/>
      <c r="X234" s="139"/>
      <c r="Y234" s="139"/>
      <c r="Z234" s="139"/>
    </row>
    <row r="235" ht="15.75" customHeight="1">
      <c r="A235" s="139"/>
      <c r="B235" s="139"/>
      <c r="C235" s="183"/>
      <c r="D235" s="183"/>
      <c r="E235" s="183"/>
      <c r="F235" s="183"/>
      <c r="G235" s="183"/>
      <c r="H235" s="184"/>
      <c r="I235" s="139"/>
      <c r="J235" s="139"/>
      <c r="K235" s="139"/>
      <c r="L235" s="139"/>
      <c r="M235" s="139"/>
      <c r="N235" s="139"/>
      <c r="O235" s="139"/>
      <c r="P235" s="139"/>
      <c r="Q235" s="139"/>
      <c r="R235" s="139"/>
      <c r="S235" s="139"/>
      <c r="T235" s="139"/>
      <c r="U235" s="139"/>
      <c r="V235" s="139"/>
      <c r="W235" s="139"/>
      <c r="X235" s="139"/>
      <c r="Y235" s="139"/>
      <c r="Z235" s="139"/>
    </row>
    <row r="236" ht="15.75" customHeight="1">
      <c r="A236" s="139"/>
      <c r="B236" s="139"/>
      <c r="C236" s="183"/>
      <c r="D236" s="183"/>
      <c r="E236" s="183"/>
      <c r="F236" s="183"/>
      <c r="G236" s="183"/>
      <c r="H236" s="184"/>
      <c r="I236" s="139"/>
      <c r="J236" s="139"/>
      <c r="K236" s="139"/>
      <c r="L236" s="139"/>
      <c r="M236" s="139"/>
      <c r="N236" s="139"/>
      <c r="O236" s="139"/>
      <c r="P236" s="139"/>
      <c r="Q236" s="139"/>
      <c r="R236" s="139"/>
      <c r="S236" s="139"/>
      <c r="T236" s="139"/>
      <c r="U236" s="139"/>
      <c r="V236" s="139"/>
      <c r="W236" s="139"/>
      <c r="X236" s="139"/>
      <c r="Y236" s="139"/>
      <c r="Z236" s="139"/>
    </row>
    <row r="237" ht="15.75" customHeight="1">
      <c r="A237" s="139"/>
      <c r="B237" s="139"/>
      <c r="C237" s="183"/>
      <c r="D237" s="183"/>
      <c r="E237" s="183"/>
      <c r="F237" s="183"/>
      <c r="G237" s="183"/>
      <c r="H237" s="184"/>
      <c r="I237" s="139"/>
      <c r="J237" s="139"/>
      <c r="K237" s="139"/>
      <c r="L237" s="139"/>
      <c r="M237" s="139"/>
      <c r="N237" s="139"/>
      <c r="O237" s="139"/>
      <c r="P237" s="139"/>
      <c r="Q237" s="139"/>
      <c r="R237" s="139"/>
      <c r="S237" s="139"/>
      <c r="T237" s="139"/>
      <c r="U237" s="139"/>
      <c r="V237" s="139"/>
      <c r="W237" s="139"/>
      <c r="X237" s="139"/>
      <c r="Y237" s="139"/>
      <c r="Z237" s="139"/>
    </row>
    <row r="238" ht="15.75" customHeight="1">
      <c r="A238" s="139"/>
      <c r="B238" s="139"/>
      <c r="C238" s="183"/>
      <c r="D238" s="183"/>
      <c r="E238" s="183"/>
      <c r="F238" s="183"/>
      <c r="G238" s="183"/>
      <c r="H238" s="184"/>
      <c r="I238" s="139"/>
      <c r="J238" s="139"/>
      <c r="K238" s="139"/>
      <c r="L238" s="139"/>
      <c r="M238" s="139"/>
      <c r="N238" s="139"/>
      <c r="O238" s="139"/>
      <c r="P238" s="139"/>
      <c r="Q238" s="139"/>
      <c r="R238" s="139"/>
      <c r="S238" s="139"/>
      <c r="T238" s="139"/>
      <c r="U238" s="139"/>
      <c r="V238" s="139"/>
      <c r="W238" s="139"/>
      <c r="X238" s="139"/>
      <c r="Y238" s="139"/>
      <c r="Z238" s="139"/>
    </row>
    <row r="239" ht="15.75" customHeight="1">
      <c r="A239" s="139"/>
      <c r="B239" s="139"/>
      <c r="C239" s="183"/>
      <c r="D239" s="183"/>
      <c r="E239" s="183"/>
      <c r="F239" s="183"/>
      <c r="G239" s="183"/>
      <c r="H239" s="184"/>
      <c r="I239" s="139"/>
      <c r="J239" s="139"/>
      <c r="K239" s="139"/>
      <c r="L239" s="139"/>
      <c r="M239" s="139"/>
      <c r="N239" s="139"/>
      <c r="O239" s="139"/>
      <c r="P239" s="139"/>
      <c r="Q239" s="139"/>
      <c r="R239" s="139"/>
      <c r="S239" s="139"/>
      <c r="T239" s="139"/>
      <c r="U239" s="139"/>
      <c r="V239" s="139"/>
      <c r="W239" s="139"/>
      <c r="X239" s="139"/>
      <c r="Y239" s="139"/>
      <c r="Z239" s="139"/>
    </row>
    <row r="240" ht="15.75" customHeight="1">
      <c r="A240" s="139"/>
      <c r="B240" s="139"/>
      <c r="C240" s="183"/>
      <c r="D240" s="183"/>
      <c r="E240" s="183"/>
      <c r="F240" s="183"/>
      <c r="G240" s="183"/>
      <c r="H240" s="184"/>
      <c r="I240" s="139"/>
      <c r="J240" s="139"/>
      <c r="K240" s="139"/>
      <c r="L240" s="139"/>
      <c r="M240" s="139"/>
      <c r="N240" s="139"/>
      <c r="O240" s="139"/>
      <c r="P240" s="139"/>
      <c r="Q240" s="139"/>
      <c r="R240" s="139"/>
      <c r="S240" s="139"/>
      <c r="T240" s="139"/>
      <c r="U240" s="139"/>
      <c r="V240" s="139"/>
      <c r="W240" s="139"/>
      <c r="X240" s="139"/>
      <c r="Y240" s="139"/>
      <c r="Z240" s="139"/>
    </row>
    <row r="241" ht="15.75" customHeight="1">
      <c r="A241" s="139"/>
      <c r="B241" s="139"/>
      <c r="C241" s="183"/>
      <c r="D241" s="183"/>
      <c r="E241" s="183"/>
      <c r="F241" s="183"/>
      <c r="G241" s="183"/>
      <c r="H241" s="184"/>
      <c r="I241" s="139"/>
      <c r="J241" s="139"/>
      <c r="K241" s="139"/>
      <c r="L241" s="139"/>
      <c r="M241" s="139"/>
      <c r="N241" s="139"/>
      <c r="O241" s="139"/>
      <c r="P241" s="139"/>
      <c r="Q241" s="139"/>
      <c r="R241" s="139"/>
      <c r="S241" s="139"/>
      <c r="T241" s="139"/>
      <c r="U241" s="139"/>
      <c r="V241" s="139"/>
      <c r="W241" s="139"/>
      <c r="X241" s="139"/>
      <c r="Y241" s="139"/>
      <c r="Z241" s="139"/>
    </row>
    <row r="242" ht="15.75" customHeight="1">
      <c r="A242" s="139"/>
      <c r="B242" s="139"/>
      <c r="C242" s="183"/>
      <c r="D242" s="183"/>
      <c r="E242" s="183"/>
      <c r="F242" s="183"/>
      <c r="G242" s="183"/>
      <c r="H242" s="184"/>
      <c r="I242" s="139"/>
      <c r="J242" s="139"/>
      <c r="K242" s="139"/>
      <c r="L242" s="139"/>
      <c r="M242" s="139"/>
      <c r="N242" s="139"/>
      <c r="O242" s="139"/>
      <c r="P242" s="139"/>
      <c r="Q242" s="139"/>
      <c r="R242" s="139"/>
      <c r="S242" s="139"/>
      <c r="T242" s="139"/>
      <c r="U242" s="139"/>
      <c r="V242" s="139"/>
      <c r="W242" s="139"/>
      <c r="X242" s="139"/>
      <c r="Y242" s="139"/>
      <c r="Z242" s="139"/>
    </row>
    <row r="243" ht="15.75" customHeight="1">
      <c r="A243" s="139"/>
      <c r="B243" s="139"/>
      <c r="C243" s="183"/>
      <c r="D243" s="183"/>
      <c r="E243" s="183"/>
      <c r="F243" s="183"/>
      <c r="G243" s="183"/>
      <c r="H243" s="184"/>
      <c r="I243" s="139"/>
      <c r="J243" s="139"/>
      <c r="K243" s="139"/>
      <c r="L243" s="139"/>
      <c r="M243" s="139"/>
      <c r="N243" s="139"/>
      <c r="O243" s="139"/>
      <c r="P243" s="139"/>
      <c r="Q243" s="139"/>
      <c r="R243" s="139"/>
      <c r="S243" s="139"/>
      <c r="T243" s="139"/>
      <c r="U243" s="139"/>
      <c r="V243" s="139"/>
      <c r="W243" s="139"/>
      <c r="X243" s="139"/>
      <c r="Y243" s="139"/>
      <c r="Z243" s="139"/>
    </row>
    <row r="244" ht="15.75" customHeight="1">
      <c r="A244" s="139"/>
      <c r="B244" s="139"/>
      <c r="C244" s="183"/>
      <c r="D244" s="183"/>
      <c r="E244" s="183"/>
      <c r="F244" s="183"/>
      <c r="G244" s="183"/>
      <c r="H244" s="184"/>
      <c r="I244" s="139"/>
      <c r="J244" s="139"/>
      <c r="K244" s="139"/>
      <c r="L244" s="139"/>
      <c r="M244" s="139"/>
      <c r="N244" s="139"/>
      <c r="O244" s="139"/>
      <c r="P244" s="139"/>
      <c r="Q244" s="139"/>
      <c r="R244" s="139"/>
      <c r="S244" s="139"/>
      <c r="T244" s="139"/>
      <c r="U244" s="139"/>
      <c r="V244" s="139"/>
      <c r="W244" s="139"/>
      <c r="X244" s="139"/>
      <c r="Y244" s="139"/>
      <c r="Z244" s="139"/>
    </row>
    <row r="245" ht="15.75" customHeight="1">
      <c r="A245" s="139"/>
      <c r="B245" s="139"/>
      <c r="C245" s="183"/>
      <c r="D245" s="183"/>
      <c r="E245" s="183"/>
      <c r="F245" s="183"/>
      <c r="G245" s="183"/>
      <c r="H245" s="184"/>
      <c r="I245" s="139"/>
      <c r="J245" s="139"/>
      <c r="K245" s="139"/>
      <c r="L245" s="139"/>
      <c r="M245" s="139"/>
      <c r="N245" s="139"/>
      <c r="O245" s="139"/>
      <c r="P245" s="139"/>
      <c r="Q245" s="139"/>
      <c r="R245" s="139"/>
      <c r="S245" s="139"/>
      <c r="T245" s="139"/>
      <c r="U245" s="139"/>
      <c r="V245" s="139"/>
      <c r="W245" s="139"/>
      <c r="X245" s="139"/>
      <c r="Y245" s="139"/>
      <c r="Z245" s="139"/>
    </row>
    <row r="246" ht="15.75" customHeight="1">
      <c r="A246" s="139"/>
      <c r="B246" s="139"/>
      <c r="C246" s="183"/>
      <c r="D246" s="183"/>
      <c r="E246" s="183"/>
      <c r="F246" s="183"/>
      <c r="G246" s="183"/>
      <c r="H246" s="184"/>
      <c r="I246" s="139"/>
      <c r="J246" s="139"/>
      <c r="K246" s="139"/>
      <c r="L246" s="139"/>
      <c r="M246" s="139"/>
      <c r="N246" s="139"/>
      <c r="O246" s="139"/>
      <c r="P246" s="139"/>
      <c r="Q246" s="139"/>
      <c r="R246" s="139"/>
      <c r="S246" s="139"/>
      <c r="T246" s="139"/>
      <c r="U246" s="139"/>
      <c r="V246" s="139"/>
      <c r="W246" s="139"/>
      <c r="X246" s="139"/>
      <c r="Y246" s="139"/>
      <c r="Z246" s="139"/>
    </row>
    <row r="247" ht="15.75" customHeight="1">
      <c r="A247" s="139"/>
      <c r="B247" s="139"/>
      <c r="C247" s="183"/>
      <c r="D247" s="183"/>
      <c r="E247" s="183"/>
      <c r="F247" s="183"/>
      <c r="G247" s="183"/>
      <c r="H247" s="184"/>
      <c r="I247" s="139"/>
      <c r="J247" s="139"/>
      <c r="K247" s="139"/>
      <c r="L247" s="139"/>
      <c r="M247" s="139"/>
      <c r="N247" s="139"/>
      <c r="O247" s="139"/>
      <c r="P247" s="139"/>
      <c r="Q247" s="139"/>
      <c r="R247" s="139"/>
      <c r="S247" s="139"/>
      <c r="T247" s="139"/>
      <c r="U247" s="139"/>
      <c r="V247" s="139"/>
      <c r="W247" s="139"/>
      <c r="X247" s="139"/>
      <c r="Y247" s="139"/>
      <c r="Z247" s="139"/>
    </row>
    <row r="248" ht="15.75" customHeight="1">
      <c r="A248" s="139"/>
      <c r="B248" s="139"/>
      <c r="C248" s="183"/>
      <c r="D248" s="183"/>
      <c r="E248" s="183"/>
      <c r="F248" s="183"/>
      <c r="G248" s="183"/>
      <c r="H248" s="184"/>
      <c r="I248" s="139"/>
      <c r="J248" s="139"/>
      <c r="K248" s="139"/>
      <c r="L248" s="139"/>
      <c r="M248" s="139"/>
      <c r="N248" s="139"/>
      <c r="O248" s="139"/>
      <c r="P248" s="139"/>
      <c r="Q248" s="139"/>
      <c r="R248" s="139"/>
      <c r="S248" s="139"/>
      <c r="T248" s="139"/>
      <c r="U248" s="139"/>
      <c r="V248" s="139"/>
      <c r="W248" s="139"/>
      <c r="X248" s="139"/>
      <c r="Y248" s="139"/>
      <c r="Z248" s="139"/>
    </row>
    <row r="249" ht="15.75" customHeight="1">
      <c r="A249" s="139"/>
      <c r="B249" s="139"/>
      <c r="C249" s="183"/>
      <c r="D249" s="183"/>
      <c r="E249" s="183"/>
      <c r="F249" s="183"/>
      <c r="G249" s="183"/>
      <c r="H249" s="184"/>
      <c r="I249" s="139"/>
      <c r="J249" s="139"/>
      <c r="K249" s="139"/>
      <c r="L249" s="139"/>
      <c r="M249" s="139"/>
      <c r="N249" s="139"/>
      <c r="O249" s="139"/>
      <c r="P249" s="139"/>
      <c r="Q249" s="139"/>
      <c r="R249" s="139"/>
      <c r="S249" s="139"/>
      <c r="T249" s="139"/>
      <c r="U249" s="139"/>
      <c r="V249" s="139"/>
      <c r="W249" s="139"/>
      <c r="X249" s="139"/>
      <c r="Y249" s="139"/>
      <c r="Z249" s="139"/>
    </row>
    <row r="250" ht="15.75" customHeight="1">
      <c r="A250" s="139"/>
      <c r="B250" s="139"/>
      <c r="C250" s="183"/>
      <c r="D250" s="183"/>
      <c r="E250" s="183"/>
      <c r="F250" s="183"/>
      <c r="G250" s="183"/>
      <c r="H250" s="184"/>
      <c r="I250" s="139"/>
      <c r="J250" s="139"/>
      <c r="K250" s="139"/>
      <c r="L250" s="139"/>
      <c r="M250" s="139"/>
      <c r="N250" s="139"/>
      <c r="O250" s="139"/>
      <c r="P250" s="139"/>
      <c r="Q250" s="139"/>
      <c r="R250" s="139"/>
      <c r="S250" s="139"/>
      <c r="T250" s="139"/>
      <c r="U250" s="139"/>
      <c r="V250" s="139"/>
      <c r="W250" s="139"/>
      <c r="X250" s="139"/>
      <c r="Y250" s="139"/>
      <c r="Z250" s="139"/>
    </row>
    <row r="251" ht="15.75" customHeight="1">
      <c r="A251" s="139"/>
      <c r="B251" s="139"/>
      <c r="C251" s="183"/>
      <c r="D251" s="183"/>
      <c r="E251" s="183"/>
      <c r="F251" s="183"/>
      <c r="G251" s="183"/>
      <c r="H251" s="184"/>
      <c r="I251" s="139"/>
      <c r="J251" s="139"/>
      <c r="K251" s="139"/>
      <c r="L251" s="139"/>
      <c r="M251" s="139"/>
      <c r="N251" s="139"/>
      <c r="O251" s="139"/>
      <c r="P251" s="139"/>
      <c r="Q251" s="139"/>
      <c r="R251" s="139"/>
      <c r="S251" s="139"/>
      <c r="T251" s="139"/>
      <c r="U251" s="139"/>
      <c r="V251" s="139"/>
      <c r="W251" s="139"/>
      <c r="X251" s="139"/>
      <c r="Y251" s="139"/>
      <c r="Z251" s="139"/>
    </row>
    <row r="252" ht="15.75" customHeight="1">
      <c r="A252" s="139"/>
      <c r="B252" s="139"/>
      <c r="C252" s="183"/>
      <c r="D252" s="183"/>
      <c r="E252" s="183"/>
      <c r="F252" s="183"/>
      <c r="G252" s="183"/>
      <c r="H252" s="184"/>
      <c r="I252" s="139"/>
      <c r="J252" s="139"/>
      <c r="K252" s="139"/>
      <c r="L252" s="139"/>
      <c r="M252" s="139"/>
      <c r="N252" s="139"/>
      <c r="O252" s="139"/>
      <c r="P252" s="139"/>
      <c r="Q252" s="139"/>
      <c r="R252" s="139"/>
      <c r="S252" s="139"/>
      <c r="T252" s="139"/>
      <c r="U252" s="139"/>
      <c r="V252" s="139"/>
      <c r="W252" s="139"/>
      <c r="X252" s="139"/>
      <c r="Y252" s="139"/>
      <c r="Z252" s="139"/>
    </row>
    <row r="253" ht="15.75" customHeight="1">
      <c r="A253" s="139"/>
      <c r="B253" s="139"/>
      <c r="C253" s="183"/>
      <c r="D253" s="183"/>
      <c r="E253" s="183"/>
      <c r="F253" s="183"/>
      <c r="G253" s="183"/>
      <c r="H253" s="184"/>
      <c r="I253" s="139"/>
      <c r="J253" s="139"/>
      <c r="K253" s="139"/>
      <c r="L253" s="139"/>
      <c r="M253" s="139"/>
      <c r="N253" s="139"/>
      <c r="O253" s="139"/>
      <c r="P253" s="139"/>
      <c r="Q253" s="139"/>
      <c r="R253" s="139"/>
      <c r="S253" s="139"/>
      <c r="T253" s="139"/>
      <c r="U253" s="139"/>
      <c r="V253" s="139"/>
      <c r="W253" s="139"/>
      <c r="X253" s="139"/>
      <c r="Y253" s="139"/>
      <c r="Z253" s="139"/>
    </row>
    <row r="254" ht="15.75" customHeight="1">
      <c r="A254" s="139"/>
      <c r="B254" s="139"/>
      <c r="C254" s="183"/>
      <c r="D254" s="183"/>
      <c r="E254" s="183"/>
      <c r="F254" s="183"/>
      <c r="G254" s="183"/>
      <c r="H254" s="184"/>
      <c r="I254" s="139"/>
      <c r="J254" s="139"/>
      <c r="K254" s="139"/>
      <c r="L254" s="139"/>
      <c r="M254" s="139"/>
      <c r="N254" s="139"/>
      <c r="O254" s="139"/>
      <c r="P254" s="139"/>
      <c r="Q254" s="139"/>
      <c r="R254" s="139"/>
      <c r="S254" s="139"/>
      <c r="T254" s="139"/>
      <c r="U254" s="139"/>
      <c r="V254" s="139"/>
      <c r="W254" s="139"/>
      <c r="X254" s="139"/>
      <c r="Y254" s="139"/>
      <c r="Z254" s="139"/>
    </row>
    <row r="255" ht="15.75" customHeight="1">
      <c r="A255" s="139"/>
      <c r="B255" s="139"/>
      <c r="C255" s="183"/>
      <c r="D255" s="183"/>
      <c r="E255" s="183"/>
      <c r="F255" s="183"/>
      <c r="G255" s="183"/>
      <c r="H255" s="184"/>
      <c r="I255" s="139"/>
      <c r="J255" s="139"/>
      <c r="K255" s="139"/>
      <c r="L255" s="139"/>
      <c r="M255" s="139"/>
      <c r="N255" s="139"/>
      <c r="O255" s="139"/>
      <c r="P255" s="139"/>
      <c r="Q255" s="139"/>
      <c r="R255" s="139"/>
      <c r="S255" s="139"/>
      <c r="T255" s="139"/>
      <c r="U255" s="139"/>
      <c r="V255" s="139"/>
      <c r="W255" s="139"/>
      <c r="X255" s="139"/>
      <c r="Y255" s="139"/>
      <c r="Z255" s="139"/>
    </row>
    <row r="256" ht="15.75" customHeight="1">
      <c r="A256" s="139"/>
      <c r="B256" s="139"/>
      <c r="C256" s="183"/>
      <c r="D256" s="183"/>
      <c r="E256" s="183"/>
      <c r="F256" s="183"/>
      <c r="G256" s="183"/>
      <c r="H256" s="184"/>
      <c r="I256" s="139"/>
      <c r="J256" s="139"/>
      <c r="K256" s="139"/>
      <c r="L256" s="139"/>
      <c r="M256" s="139"/>
      <c r="N256" s="139"/>
      <c r="O256" s="139"/>
      <c r="P256" s="139"/>
      <c r="Q256" s="139"/>
      <c r="R256" s="139"/>
      <c r="S256" s="139"/>
      <c r="T256" s="139"/>
      <c r="U256" s="139"/>
      <c r="V256" s="139"/>
      <c r="W256" s="139"/>
      <c r="X256" s="139"/>
      <c r="Y256" s="139"/>
      <c r="Z256" s="139"/>
    </row>
    <row r="257" ht="15.75" customHeight="1">
      <c r="A257" s="139"/>
      <c r="B257" s="139"/>
      <c r="C257" s="183"/>
      <c r="D257" s="183"/>
      <c r="E257" s="183"/>
      <c r="F257" s="183"/>
      <c r="G257" s="183"/>
      <c r="H257" s="184"/>
      <c r="I257" s="139"/>
      <c r="J257" s="139"/>
      <c r="K257" s="139"/>
      <c r="L257" s="139"/>
      <c r="M257" s="139"/>
      <c r="N257" s="139"/>
      <c r="O257" s="139"/>
      <c r="P257" s="139"/>
      <c r="Q257" s="139"/>
      <c r="R257" s="139"/>
      <c r="S257" s="139"/>
      <c r="T257" s="139"/>
      <c r="U257" s="139"/>
      <c r="V257" s="139"/>
      <c r="W257" s="139"/>
      <c r="X257" s="139"/>
      <c r="Y257" s="139"/>
      <c r="Z257" s="139"/>
    </row>
    <row r="258" ht="15.75" customHeight="1">
      <c r="A258" s="139"/>
      <c r="B258" s="139"/>
      <c r="C258" s="183"/>
      <c r="D258" s="183"/>
      <c r="E258" s="183"/>
      <c r="F258" s="183"/>
      <c r="G258" s="183"/>
      <c r="H258" s="184"/>
      <c r="I258" s="139"/>
      <c r="J258" s="139"/>
      <c r="K258" s="139"/>
      <c r="L258" s="139"/>
      <c r="M258" s="139"/>
      <c r="N258" s="139"/>
      <c r="O258" s="139"/>
      <c r="P258" s="139"/>
      <c r="Q258" s="139"/>
      <c r="R258" s="139"/>
      <c r="S258" s="139"/>
      <c r="T258" s="139"/>
      <c r="U258" s="139"/>
      <c r="V258" s="139"/>
      <c r="W258" s="139"/>
      <c r="X258" s="139"/>
      <c r="Y258" s="139"/>
      <c r="Z258" s="139"/>
    </row>
    <row r="259" ht="15.75" customHeight="1">
      <c r="A259" s="139"/>
      <c r="B259" s="139"/>
      <c r="C259" s="183"/>
      <c r="D259" s="183"/>
      <c r="E259" s="183"/>
      <c r="F259" s="183"/>
      <c r="G259" s="183"/>
      <c r="H259" s="184"/>
      <c r="I259" s="139"/>
      <c r="J259" s="139"/>
      <c r="K259" s="139"/>
      <c r="L259" s="139"/>
      <c r="M259" s="139"/>
      <c r="N259" s="139"/>
      <c r="O259" s="139"/>
      <c r="P259" s="139"/>
      <c r="Q259" s="139"/>
      <c r="R259" s="139"/>
      <c r="S259" s="139"/>
      <c r="T259" s="139"/>
      <c r="U259" s="139"/>
      <c r="V259" s="139"/>
      <c r="W259" s="139"/>
      <c r="X259" s="139"/>
      <c r="Y259" s="139"/>
      <c r="Z259" s="139"/>
    </row>
    <row r="260" ht="15.75" customHeight="1">
      <c r="A260" s="139"/>
      <c r="B260" s="139"/>
      <c r="C260" s="183"/>
      <c r="D260" s="183"/>
      <c r="E260" s="183"/>
      <c r="F260" s="183"/>
      <c r="G260" s="183"/>
      <c r="H260" s="184"/>
      <c r="I260" s="139"/>
      <c r="J260" s="139"/>
      <c r="K260" s="139"/>
      <c r="L260" s="139"/>
      <c r="M260" s="139"/>
      <c r="N260" s="139"/>
      <c r="O260" s="139"/>
      <c r="P260" s="139"/>
      <c r="Q260" s="139"/>
      <c r="R260" s="139"/>
      <c r="S260" s="139"/>
      <c r="T260" s="139"/>
      <c r="U260" s="139"/>
      <c r="V260" s="139"/>
      <c r="W260" s="139"/>
      <c r="X260" s="139"/>
      <c r="Y260" s="139"/>
      <c r="Z260" s="139"/>
    </row>
    <row r="261" ht="15.75" customHeight="1">
      <c r="A261" s="139"/>
      <c r="B261" s="139"/>
      <c r="C261" s="183"/>
      <c r="D261" s="183"/>
      <c r="E261" s="183"/>
      <c r="F261" s="183"/>
      <c r="G261" s="183"/>
      <c r="H261" s="184"/>
      <c r="I261" s="139"/>
      <c r="J261" s="139"/>
      <c r="K261" s="139"/>
      <c r="L261" s="139"/>
      <c r="M261" s="139"/>
      <c r="N261" s="139"/>
      <c r="O261" s="139"/>
      <c r="P261" s="139"/>
      <c r="Q261" s="139"/>
      <c r="R261" s="139"/>
      <c r="S261" s="139"/>
      <c r="T261" s="139"/>
      <c r="U261" s="139"/>
      <c r="V261" s="139"/>
      <c r="W261" s="139"/>
      <c r="X261" s="139"/>
      <c r="Y261" s="139"/>
      <c r="Z261" s="139"/>
    </row>
    <row r="262" ht="15.75" customHeight="1">
      <c r="A262" s="139"/>
      <c r="B262" s="139"/>
      <c r="C262" s="183"/>
      <c r="D262" s="183"/>
      <c r="E262" s="183"/>
      <c r="F262" s="183"/>
      <c r="G262" s="183"/>
      <c r="H262" s="184"/>
      <c r="I262" s="139"/>
      <c r="J262" s="139"/>
      <c r="K262" s="139"/>
      <c r="L262" s="139"/>
      <c r="M262" s="139"/>
      <c r="N262" s="139"/>
      <c r="O262" s="139"/>
      <c r="P262" s="139"/>
      <c r="Q262" s="139"/>
      <c r="R262" s="139"/>
      <c r="S262" s="139"/>
      <c r="T262" s="139"/>
      <c r="U262" s="139"/>
      <c r="V262" s="139"/>
      <c r="W262" s="139"/>
      <c r="X262" s="139"/>
      <c r="Y262" s="139"/>
      <c r="Z262" s="139"/>
    </row>
    <row r="263" ht="15.75" customHeight="1">
      <c r="A263" s="139"/>
      <c r="B263" s="139"/>
      <c r="C263" s="183"/>
      <c r="D263" s="183"/>
      <c r="E263" s="183"/>
      <c r="F263" s="183"/>
      <c r="G263" s="183"/>
      <c r="H263" s="184"/>
      <c r="I263" s="139"/>
      <c r="J263" s="139"/>
      <c r="K263" s="139"/>
      <c r="L263" s="139"/>
      <c r="M263" s="139"/>
      <c r="N263" s="139"/>
      <c r="O263" s="139"/>
      <c r="P263" s="139"/>
      <c r="Q263" s="139"/>
      <c r="R263" s="139"/>
      <c r="S263" s="139"/>
      <c r="T263" s="139"/>
      <c r="U263" s="139"/>
      <c r="V263" s="139"/>
      <c r="W263" s="139"/>
      <c r="X263" s="139"/>
      <c r="Y263" s="139"/>
      <c r="Z263" s="139"/>
    </row>
    <row r="264" ht="15.75" customHeight="1">
      <c r="A264" s="139"/>
      <c r="B264" s="139"/>
      <c r="C264" s="183"/>
      <c r="D264" s="183"/>
      <c r="E264" s="183"/>
      <c r="F264" s="183"/>
      <c r="G264" s="183"/>
      <c r="H264" s="184"/>
      <c r="I264" s="139"/>
      <c r="J264" s="139"/>
      <c r="K264" s="139"/>
      <c r="L264" s="139"/>
      <c r="M264" s="139"/>
      <c r="N264" s="139"/>
      <c r="O264" s="139"/>
      <c r="P264" s="139"/>
      <c r="Q264" s="139"/>
      <c r="R264" s="139"/>
      <c r="S264" s="139"/>
      <c r="T264" s="139"/>
      <c r="U264" s="139"/>
      <c r="V264" s="139"/>
      <c r="W264" s="139"/>
      <c r="X264" s="139"/>
      <c r="Y264" s="139"/>
      <c r="Z264" s="139"/>
    </row>
    <row r="265" ht="15.75" customHeight="1">
      <c r="A265" s="139"/>
      <c r="B265" s="139"/>
      <c r="C265" s="183"/>
      <c r="D265" s="183"/>
      <c r="E265" s="183"/>
      <c r="F265" s="183"/>
      <c r="G265" s="183"/>
      <c r="H265" s="184"/>
      <c r="I265" s="139"/>
      <c r="J265" s="139"/>
      <c r="K265" s="139"/>
      <c r="L265" s="139"/>
      <c r="M265" s="139"/>
      <c r="N265" s="139"/>
      <c r="O265" s="139"/>
      <c r="P265" s="139"/>
      <c r="Q265" s="139"/>
      <c r="R265" s="139"/>
      <c r="S265" s="139"/>
      <c r="T265" s="139"/>
      <c r="U265" s="139"/>
      <c r="V265" s="139"/>
      <c r="W265" s="139"/>
      <c r="X265" s="139"/>
      <c r="Y265" s="139"/>
      <c r="Z265" s="139"/>
    </row>
    <row r="266" ht="15.75" customHeight="1">
      <c r="A266" s="139"/>
      <c r="B266" s="139"/>
      <c r="C266" s="183"/>
      <c r="D266" s="183"/>
      <c r="E266" s="183"/>
      <c r="F266" s="183"/>
      <c r="G266" s="183"/>
      <c r="H266" s="184"/>
      <c r="I266" s="139"/>
      <c r="J266" s="139"/>
      <c r="K266" s="139"/>
      <c r="L266" s="139"/>
      <c r="M266" s="139"/>
      <c r="N266" s="139"/>
      <c r="O266" s="139"/>
      <c r="P266" s="139"/>
      <c r="Q266" s="139"/>
      <c r="R266" s="139"/>
      <c r="S266" s="139"/>
      <c r="T266" s="139"/>
      <c r="U266" s="139"/>
      <c r="V266" s="139"/>
      <c r="W266" s="139"/>
      <c r="X266" s="139"/>
      <c r="Y266" s="139"/>
      <c r="Z266" s="139"/>
    </row>
    <row r="267" ht="15.75" customHeight="1">
      <c r="A267" s="139"/>
      <c r="B267" s="139"/>
      <c r="C267" s="183"/>
      <c r="D267" s="183"/>
      <c r="E267" s="183"/>
      <c r="F267" s="183"/>
      <c r="G267" s="183"/>
      <c r="H267" s="184"/>
      <c r="I267" s="139"/>
      <c r="J267" s="139"/>
      <c r="K267" s="139"/>
      <c r="L267" s="139"/>
      <c r="M267" s="139"/>
      <c r="N267" s="139"/>
      <c r="O267" s="139"/>
      <c r="P267" s="139"/>
      <c r="Q267" s="139"/>
      <c r="R267" s="139"/>
      <c r="S267" s="139"/>
      <c r="T267" s="139"/>
      <c r="U267" s="139"/>
      <c r="V267" s="139"/>
      <c r="W267" s="139"/>
      <c r="X267" s="139"/>
      <c r="Y267" s="139"/>
      <c r="Z267" s="139"/>
    </row>
    <row r="268" ht="15.75" customHeight="1">
      <c r="A268" s="139"/>
      <c r="B268" s="139"/>
      <c r="C268" s="183"/>
      <c r="D268" s="183"/>
      <c r="E268" s="183"/>
      <c r="F268" s="183"/>
      <c r="G268" s="183"/>
      <c r="H268" s="184"/>
      <c r="I268" s="139"/>
      <c r="J268" s="139"/>
      <c r="K268" s="139"/>
      <c r="L268" s="139"/>
      <c r="M268" s="139"/>
      <c r="N268" s="139"/>
      <c r="O268" s="139"/>
      <c r="P268" s="139"/>
      <c r="Q268" s="139"/>
      <c r="R268" s="139"/>
      <c r="S268" s="139"/>
      <c r="T268" s="139"/>
      <c r="U268" s="139"/>
      <c r="V268" s="139"/>
      <c r="W268" s="139"/>
      <c r="X268" s="139"/>
      <c r="Y268" s="139"/>
      <c r="Z268" s="139"/>
    </row>
    <row r="269" ht="15.75" customHeight="1">
      <c r="A269" s="139"/>
      <c r="B269" s="139"/>
      <c r="C269" s="183"/>
      <c r="D269" s="183"/>
      <c r="E269" s="183"/>
      <c r="F269" s="183"/>
      <c r="G269" s="183"/>
      <c r="H269" s="184"/>
      <c r="I269" s="139"/>
      <c r="J269" s="139"/>
      <c r="K269" s="139"/>
      <c r="L269" s="139"/>
      <c r="M269" s="139"/>
      <c r="N269" s="139"/>
      <c r="O269" s="139"/>
      <c r="P269" s="139"/>
      <c r="Q269" s="139"/>
      <c r="R269" s="139"/>
      <c r="S269" s="139"/>
      <c r="T269" s="139"/>
      <c r="U269" s="139"/>
      <c r="V269" s="139"/>
      <c r="W269" s="139"/>
      <c r="X269" s="139"/>
      <c r="Y269" s="139"/>
      <c r="Z269" s="139"/>
    </row>
    <row r="270" ht="15.75" customHeight="1">
      <c r="A270" s="139"/>
      <c r="B270" s="139"/>
      <c r="C270" s="183"/>
      <c r="D270" s="183"/>
      <c r="E270" s="183"/>
      <c r="F270" s="183"/>
      <c r="G270" s="183"/>
      <c r="H270" s="184"/>
      <c r="I270" s="139"/>
      <c r="J270" s="139"/>
      <c r="K270" s="139"/>
      <c r="L270" s="139"/>
      <c r="M270" s="139"/>
      <c r="N270" s="139"/>
      <c r="O270" s="139"/>
      <c r="P270" s="139"/>
      <c r="Q270" s="139"/>
      <c r="R270" s="139"/>
      <c r="S270" s="139"/>
      <c r="T270" s="139"/>
      <c r="U270" s="139"/>
      <c r="V270" s="139"/>
      <c r="W270" s="139"/>
      <c r="X270" s="139"/>
      <c r="Y270" s="139"/>
      <c r="Z270" s="139"/>
    </row>
    <row r="271" ht="15.75" customHeight="1">
      <c r="A271" s="139"/>
      <c r="B271" s="139"/>
      <c r="C271" s="183"/>
      <c r="D271" s="183"/>
      <c r="E271" s="183"/>
      <c r="F271" s="183"/>
      <c r="G271" s="183"/>
      <c r="H271" s="184"/>
      <c r="I271" s="139"/>
      <c r="J271" s="139"/>
      <c r="K271" s="139"/>
      <c r="L271" s="139"/>
      <c r="M271" s="139"/>
      <c r="N271" s="139"/>
      <c r="O271" s="139"/>
      <c r="P271" s="139"/>
      <c r="Q271" s="139"/>
      <c r="R271" s="139"/>
      <c r="S271" s="139"/>
      <c r="T271" s="139"/>
      <c r="U271" s="139"/>
      <c r="V271" s="139"/>
      <c r="W271" s="139"/>
      <c r="X271" s="139"/>
      <c r="Y271" s="139"/>
      <c r="Z271" s="139"/>
    </row>
    <row r="272" ht="15.75" customHeight="1">
      <c r="A272" s="139"/>
      <c r="B272" s="139"/>
      <c r="C272" s="183"/>
      <c r="D272" s="183"/>
      <c r="E272" s="183"/>
      <c r="F272" s="183"/>
      <c r="G272" s="183"/>
      <c r="H272" s="184"/>
      <c r="I272" s="139"/>
      <c r="J272" s="139"/>
      <c r="K272" s="139"/>
      <c r="L272" s="139"/>
      <c r="M272" s="139"/>
      <c r="N272" s="139"/>
      <c r="O272" s="139"/>
      <c r="P272" s="139"/>
      <c r="Q272" s="139"/>
      <c r="R272" s="139"/>
      <c r="S272" s="139"/>
      <c r="T272" s="139"/>
      <c r="U272" s="139"/>
      <c r="V272" s="139"/>
      <c r="W272" s="139"/>
      <c r="X272" s="139"/>
      <c r="Y272" s="139"/>
      <c r="Z272" s="139"/>
    </row>
    <row r="273" ht="15.75" customHeight="1">
      <c r="A273" s="139"/>
      <c r="B273" s="139"/>
      <c r="C273" s="183"/>
      <c r="D273" s="183"/>
      <c r="E273" s="183"/>
      <c r="F273" s="183"/>
      <c r="G273" s="183"/>
      <c r="H273" s="184"/>
      <c r="I273" s="139"/>
      <c r="J273" s="139"/>
      <c r="K273" s="139"/>
      <c r="L273" s="139"/>
      <c r="M273" s="139"/>
      <c r="N273" s="139"/>
      <c r="O273" s="139"/>
      <c r="P273" s="139"/>
      <c r="Q273" s="139"/>
      <c r="R273" s="139"/>
      <c r="S273" s="139"/>
      <c r="T273" s="139"/>
      <c r="U273" s="139"/>
      <c r="V273" s="139"/>
      <c r="W273" s="139"/>
      <c r="X273" s="139"/>
      <c r="Y273" s="139"/>
      <c r="Z273" s="139"/>
    </row>
    <row r="274" ht="15.75" customHeight="1">
      <c r="A274" s="139"/>
      <c r="B274" s="139"/>
      <c r="C274" s="183"/>
      <c r="D274" s="183"/>
      <c r="E274" s="183"/>
      <c r="F274" s="183"/>
      <c r="G274" s="183"/>
      <c r="H274" s="184"/>
      <c r="I274" s="139"/>
      <c r="J274" s="139"/>
      <c r="K274" s="139"/>
      <c r="L274" s="139"/>
      <c r="M274" s="139"/>
      <c r="N274" s="139"/>
      <c r="O274" s="139"/>
      <c r="P274" s="139"/>
      <c r="Q274" s="139"/>
      <c r="R274" s="139"/>
      <c r="S274" s="139"/>
      <c r="T274" s="139"/>
      <c r="U274" s="139"/>
      <c r="V274" s="139"/>
      <c r="W274" s="139"/>
      <c r="X274" s="139"/>
      <c r="Y274" s="139"/>
      <c r="Z274" s="139"/>
    </row>
    <row r="275" ht="15.75" customHeight="1">
      <c r="A275" s="139"/>
      <c r="B275" s="139"/>
      <c r="C275" s="183"/>
      <c r="D275" s="183"/>
      <c r="E275" s="183"/>
      <c r="F275" s="183"/>
      <c r="G275" s="183"/>
      <c r="H275" s="184"/>
      <c r="I275" s="139"/>
      <c r="J275" s="139"/>
      <c r="K275" s="139"/>
      <c r="L275" s="139"/>
      <c r="M275" s="139"/>
      <c r="N275" s="139"/>
      <c r="O275" s="139"/>
      <c r="P275" s="139"/>
      <c r="Q275" s="139"/>
      <c r="R275" s="139"/>
      <c r="S275" s="139"/>
      <c r="T275" s="139"/>
      <c r="U275" s="139"/>
      <c r="V275" s="139"/>
      <c r="W275" s="139"/>
      <c r="X275" s="139"/>
      <c r="Y275" s="139"/>
      <c r="Z275" s="139"/>
    </row>
    <row r="276" ht="15.75" customHeight="1">
      <c r="A276" s="139"/>
      <c r="B276" s="139"/>
      <c r="C276" s="183"/>
      <c r="D276" s="183"/>
      <c r="E276" s="183"/>
      <c r="F276" s="183"/>
      <c r="G276" s="183"/>
      <c r="H276" s="184"/>
      <c r="I276" s="139"/>
      <c r="J276" s="139"/>
      <c r="K276" s="139"/>
      <c r="L276" s="139"/>
      <c r="M276" s="139"/>
      <c r="N276" s="139"/>
      <c r="O276" s="139"/>
      <c r="P276" s="139"/>
      <c r="Q276" s="139"/>
      <c r="R276" s="139"/>
      <c r="S276" s="139"/>
      <c r="T276" s="139"/>
      <c r="U276" s="139"/>
      <c r="V276" s="139"/>
      <c r="W276" s="139"/>
      <c r="X276" s="139"/>
      <c r="Y276" s="139"/>
      <c r="Z276" s="139"/>
    </row>
    <row r="277" ht="15.75" customHeight="1">
      <c r="A277" s="139"/>
      <c r="B277" s="139"/>
      <c r="C277" s="183"/>
      <c r="D277" s="183"/>
      <c r="E277" s="183"/>
      <c r="F277" s="183"/>
      <c r="G277" s="183"/>
      <c r="H277" s="184"/>
      <c r="I277" s="139"/>
      <c r="J277" s="139"/>
      <c r="K277" s="139"/>
      <c r="L277" s="139"/>
      <c r="M277" s="139"/>
      <c r="N277" s="139"/>
      <c r="O277" s="139"/>
      <c r="P277" s="139"/>
      <c r="Q277" s="139"/>
      <c r="R277" s="139"/>
      <c r="S277" s="139"/>
      <c r="T277" s="139"/>
      <c r="U277" s="139"/>
      <c r="V277" s="139"/>
      <c r="W277" s="139"/>
      <c r="X277" s="139"/>
      <c r="Y277" s="139"/>
      <c r="Z277" s="139"/>
    </row>
    <row r="278" ht="15.75" customHeight="1">
      <c r="A278" s="139"/>
      <c r="B278" s="139"/>
      <c r="C278" s="183"/>
      <c r="D278" s="183"/>
      <c r="E278" s="183"/>
      <c r="F278" s="183"/>
      <c r="G278" s="183"/>
      <c r="H278" s="184"/>
      <c r="I278" s="139"/>
      <c r="J278" s="139"/>
      <c r="K278" s="139"/>
      <c r="L278" s="139"/>
      <c r="M278" s="139"/>
      <c r="N278" s="139"/>
      <c r="O278" s="139"/>
      <c r="P278" s="139"/>
      <c r="Q278" s="139"/>
      <c r="R278" s="139"/>
      <c r="S278" s="139"/>
      <c r="T278" s="139"/>
      <c r="U278" s="139"/>
      <c r="V278" s="139"/>
      <c r="W278" s="139"/>
      <c r="X278" s="139"/>
      <c r="Y278" s="139"/>
      <c r="Z278" s="139"/>
    </row>
    <row r="279" ht="15.75" customHeight="1">
      <c r="A279" s="139"/>
      <c r="B279" s="139"/>
      <c r="C279" s="183"/>
      <c r="D279" s="183"/>
      <c r="E279" s="183"/>
      <c r="F279" s="183"/>
      <c r="G279" s="183"/>
      <c r="H279" s="184"/>
      <c r="I279" s="139"/>
      <c r="J279" s="139"/>
      <c r="K279" s="139"/>
      <c r="L279" s="139"/>
      <c r="M279" s="139"/>
      <c r="N279" s="139"/>
      <c r="O279" s="139"/>
      <c r="P279" s="139"/>
      <c r="Q279" s="139"/>
      <c r="R279" s="139"/>
      <c r="S279" s="139"/>
      <c r="T279" s="139"/>
      <c r="U279" s="139"/>
      <c r="V279" s="139"/>
      <c r="W279" s="139"/>
      <c r="X279" s="139"/>
      <c r="Y279" s="139"/>
      <c r="Z279" s="139"/>
    </row>
    <row r="280" ht="15.75" customHeight="1">
      <c r="A280" s="139"/>
      <c r="B280" s="139"/>
      <c r="C280" s="183"/>
      <c r="D280" s="183"/>
      <c r="E280" s="183"/>
      <c r="F280" s="183"/>
      <c r="G280" s="183"/>
      <c r="H280" s="184"/>
      <c r="I280" s="139"/>
      <c r="J280" s="139"/>
      <c r="K280" s="139"/>
      <c r="L280" s="139"/>
      <c r="M280" s="139"/>
      <c r="N280" s="139"/>
      <c r="O280" s="139"/>
      <c r="P280" s="139"/>
      <c r="Q280" s="139"/>
      <c r="R280" s="139"/>
      <c r="S280" s="139"/>
      <c r="T280" s="139"/>
      <c r="U280" s="139"/>
      <c r="V280" s="139"/>
      <c r="W280" s="139"/>
      <c r="X280" s="139"/>
      <c r="Y280" s="139"/>
      <c r="Z280" s="139"/>
    </row>
    <row r="281" ht="15.75" customHeight="1">
      <c r="A281" s="139"/>
      <c r="B281" s="139"/>
      <c r="C281" s="183"/>
      <c r="D281" s="183"/>
      <c r="E281" s="183"/>
      <c r="F281" s="183"/>
      <c r="G281" s="183"/>
      <c r="H281" s="184"/>
      <c r="I281" s="139"/>
      <c r="J281" s="139"/>
      <c r="K281" s="139"/>
      <c r="L281" s="139"/>
      <c r="M281" s="139"/>
      <c r="N281" s="139"/>
      <c r="O281" s="139"/>
      <c r="P281" s="139"/>
      <c r="Q281" s="139"/>
      <c r="R281" s="139"/>
      <c r="S281" s="139"/>
      <c r="T281" s="139"/>
      <c r="U281" s="139"/>
      <c r="V281" s="139"/>
      <c r="W281" s="139"/>
      <c r="X281" s="139"/>
      <c r="Y281" s="139"/>
      <c r="Z281" s="139"/>
    </row>
    <row r="282" ht="15.75" customHeight="1">
      <c r="A282" s="139"/>
      <c r="B282" s="139"/>
      <c r="C282" s="183"/>
      <c r="D282" s="183"/>
      <c r="E282" s="183"/>
      <c r="F282" s="183"/>
      <c r="G282" s="183"/>
      <c r="H282" s="184"/>
      <c r="I282" s="139"/>
      <c r="J282" s="139"/>
      <c r="K282" s="139"/>
      <c r="L282" s="139"/>
      <c r="M282" s="139"/>
      <c r="N282" s="139"/>
      <c r="O282" s="139"/>
      <c r="P282" s="139"/>
      <c r="Q282" s="139"/>
      <c r="R282" s="139"/>
      <c r="S282" s="139"/>
      <c r="T282" s="139"/>
      <c r="U282" s="139"/>
      <c r="V282" s="139"/>
      <c r="W282" s="139"/>
      <c r="X282" s="139"/>
      <c r="Y282" s="139"/>
      <c r="Z282" s="139"/>
    </row>
    <row r="283" ht="15.75" customHeight="1">
      <c r="A283" s="139"/>
      <c r="B283" s="139"/>
      <c r="C283" s="183"/>
      <c r="D283" s="183"/>
      <c r="E283" s="183"/>
      <c r="F283" s="183"/>
      <c r="G283" s="183"/>
      <c r="H283" s="184"/>
      <c r="I283" s="139"/>
      <c r="J283" s="139"/>
      <c r="K283" s="139"/>
      <c r="L283" s="139"/>
      <c r="M283" s="139"/>
      <c r="N283" s="139"/>
      <c r="O283" s="139"/>
      <c r="P283" s="139"/>
      <c r="Q283" s="139"/>
      <c r="R283" s="139"/>
      <c r="S283" s="139"/>
      <c r="T283" s="139"/>
      <c r="U283" s="139"/>
      <c r="V283" s="139"/>
      <c r="W283" s="139"/>
      <c r="X283" s="139"/>
      <c r="Y283" s="139"/>
      <c r="Z283" s="139"/>
    </row>
    <row r="284" ht="15.75" customHeight="1">
      <c r="A284" s="139"/>
      <c r="B284" s="139"/>
      <c r="C284" s="183"/>
      <c r="D284" s="183"/>
      <c r="E284" s="183"/>
      <c r="F284" s="183"/>
      <c r="G284" s="183"/>
      <c r="H284" s="184"/>
      <c r="I284" s="139"/>
      <c r="J284" s="139"/>
      <c r="K284" s="139"/>
      <c r="L284" s="139"/>
      <c r="M284" s="139"/>
      <c r="N284" s="139"/>
      <c r="O284" s="139"/>
      <c r="P284" s="139"/>
      <c r="Q284" s="139"/>
      <c r="R284" s="139"/>
      <c r="S284" s="139"/>
      <c r="T284" s="139"/>
      <c r="U284" s="139"/>
      <c r="V284" s="139"/>
      <c r="W284" s="139"/>
      <c r="X284" s="139"/>
      <c r="Y284" s="139"/>
      <c r="Z284" s="139"/>
    </row>
    <row r="285" ht="15.75" customHeight="1">
      <c r="A285" s="139"/>
      <c r="B285" s="139"/>
      <c r="C285" s="183"/>
      <c r="D285" s="183"/>
      <c r="E285" s="183"/>
      <c r="F285" s="183"/>
      <c r="G285" s="183"/>
      <c r="H285" s="184"/>
      <c r="I285" s="139"/>
      <c r="J285" s="139"/>
      <c r="K285" s="139"/>
      <c r="L285" s="139"/>
      <c r="M285" s="139"/>
      <c r="N285" s="139"/>
      <c r="O285" s="139"/>
      <c r="P285" s="139"/>
      <c r="Q285" s="139"/>
      <c r="R285" s="139"/>
      <c r="S285" s="139"/>
      <c r="T285" s="139"/>
      <c r="U285" s="139"/>
      <c r="V285" s="139"/>
      <c r="W285" s="139"/>
      <c r="X285" s="139"/>
      <c r="Y285" s="139"/>
      <c r="Z285" s="139"/>
    </row>
    <row r="286" ht="15.75" customHeight="1">
      <c r="A286" s="139"/>
      <c r="B286" s="139"/>
      <c r="C286" s="183"/>
      <c r="D286" s="183"/>
      <c r="E286" s="183"/>
      <c r="F286" s="183"/>
      <c r="G286" s="183"/>
      <c r="H286" s="184"/>
      <c r="I286" s="139"/>
      <c r="J286" s="139"/>
      <c r="K286" s="139"/>
      <c r="L286" s="139"/>
      <c r="M286" s="139"/>
      <c r="N286" s="139"/>
      <c r="O286" s="139"/>
      <c r="P286" s="139"/>
      <c r="Q286" s="139"/>
      <c r="R286" s="139"/>
      <c r="S286" s="139"/>
      <c r="T286" s="139"/>
      <c r="U286" s="139"/>
      <c r="V286" s="139"/>
      <c r="W286" s="139"/>
      <c r="X286" s="139"/>
      <c r="Y286" s="139"/>
      <c r="Z286" s="139"/>
    </row>
    <row r="287" ht="15.75" customHeight="1">
      <c r="A287" s="139"/>
      <c r="B287" s="139"/>
      <c r="C287" s="183"/>
      <c r="D287" s="183"/>
      <c r="E287" s="183"/>
      <c r="F287" s="183"/>
      <c r="G287" s="183"/>
      <c r="H287" s="184"/>
      <c r="I287" s="139"/>
      <c r="J287" s="139"/>
      <c r="K287" s="139"/>
      <c r="L287" s="139"/>
      <c r="M287" s="139"/>
      <c r="N287" s="139"/>
      <c r="O287" s="139"/>
      <c r="P287" s="139"/>
      <c r="Q287" s="139"/>
      <c r="R287" s="139"/>
      <c r="S287" s="139"/>
      <c r="T287" s="139"/>
      <c r="U287" s="139"/>
      <c r="V287" s="139"/>
      <c r="W287" s="139"/>
      <c r="X287" s="139"/>
      <c r="Y287" s="139"/>
      <c r="Z287" s="139"/>
    </row>
    <row r="288" ht="15.75" customHeight="1">
      <c r="A288" s="139"/>
      <c r="B288" s="139"/>
      <c r="C288" s="183"/>
      <c r="D288" s="183"/>
      <c r="E288" s="183"/>
      <c r="F288" s="183"/>
      <c r="G288" s="183"/>
      <c r="H288" s="184"/>
      <c r="I288" s="139"/>
      <c r="J288" s="139"/>
      <c r="K288" s="139"/>
      <c r="L288" s="139"/>
      <c r="M288" s="139"/>
      <c r="N288" s="139"/>
      <c r="O288" s="139"/>
      <c r="P288" s="139"/>
      <c r="Q288" s="139"/>
      <c r="R288" s="139"/>
      <c r="S288" s="139"/>
      <c r="T288" s="139"/>
      <c r="U288" s="139"/>
      <c r="V288" s="139"/>
      <c r="W288" s="139"/>
      <c r="X288" s="139"/>
      <c r="Y288" s="139"/>
      <c r="Z288" s="139"/>
    </row>
    <row r="289" ht="15.75" customHeight="1">
      <c r="A289" s="139"/>
      <c r="B289" s="139"/>
      <c r="C289" s="183"/>
      <c r="D289" s="183"/>
      <c r="E289" s="183"/>
      <c r="F289" s="183"/>
      <c r="G289" s="183"/>
      <c r="H289" s="184"/>
      <c r="I289" s="139"/>
      <c r="J289" s="139"/>
      <c r="K289" s="139"/>
      <c r="L289" s="139"/>
      <c r="M289" s="139"/>
      <c r="N289" s="139"/>
      <c r="O289" s="139"/>
      <c r="P289" s="139"/>
      <c r="Q289" s="139"/>
      <c r="R289" s="139"/>
      <c r="S289" s="139"/>
      <c r="T289" s="139"/>
      <c r="U289" s="139"/>
      <c r="V289" s="139"/>
      <c r="W289" s="139"/>
      <c r="X289" s="139"/>
      <c r="Y289" s="139"/>
      <c r="Z289" s="139"/>
    </row>
    <row r="290" ht="15.75" customHeight="1">
      <c r="A290" s="139"/>
      <c r="B290" s="139"/>
      <c r="C290" s="183"/>
      <c r="D290" s="183"/>
      <c r="E290" s="183"/>
      <c r="F290" s="183"/>
      <c r="G290" s="183"/>
      <c r="H290" s="184"/>
      <c r="I290" s="139"/>
      <c r="J290" s="139"/>
      <c r="K290" s="139"/>
      <c r="L290" s="139"/>
      <c r="M290" s="139"/>
      <c r="N290" s="139"/>
      <c r="O290" s="139"/>
      <c r="P290" s="139"/>
      <c r="Q290" s="139"/>
      <c r="R290" s="139"/>
      <c r="S290" s="139"/>
      <c r="T290" s="139"/>
      <c r="U290" s="139"/>
      <c r="V290" s="139"/>
      <c r="W290" s="139"/>
      <c r="X290" s="139"/>
      <c r="Y290" s="139"/>
      <c r="Z290" s="139"/>
    </row>
    <row r="291" ht="15.75" customHeight="1">
      <c r="A291" s="139"/>
      <c r="B291" s="139"/>
      <c r="C291" s="183"/>
      <c r="D291" s="183"/>
      <c r="E291" s="183"/>
      <c r="F291" s="183"/>
      <c r="G291" s="183"/>
      <c r="H291" s="184"/>
      <c r="I291" s="139"/>
      <c r="J291" s="139"/>
      <c r="K291" s="139"/>
      <c r="L291" s="139"/>
      <c r="M291" s="139"/>
      <c r="N291" s="139"/>
      <c r="O291" s="139"/>
      <c r="P291" s="139"/>
      <c r="Q291" s="139"/>
      <c r="R291" s="139"/>
      <c r="S291" s="139"/>
      <c r="T291" s="139"/>
      <c r="U291" s="139"/>
      <c r="V291" s="139"/>
      <c r="W291" s="139"/>
      <c r="X291" s="139"/>
      <c r="Y291" s="139"/>
      <c r="Z291" s="139"/>
    </row>
    <row r="292" ht="15.75" customHeight="1">
      <c r="A292" s="139"/>
      <c r="B292" s="139"/>
      <c r="C292" s="183"/>
      <c r="D292" s="183"/>
      <c r="E292" s="183"/>
      <c r="F292" s="183"/>
      <c r="G292" s="183"/>
      <c r="H292" s="184"/>
      <c r="I292" s="139"/>
      <c r="J292" s="139"/>
      <c r="K292" s="139"/>
      <c r="L292" s="139"/>
      <c r="M292" s="139"/>
      <c r="N292" s="139"/>
      <c r="O292" s="139"/>
      <c r="P292" s="139"/>
      <c r="Q292" s="139"/>
      <c r="R292" s="139"/>
      <c r="S292" s="139"/>
      <c r="T292" s="139"/>
      <c r="U292" s="139"/>
      <c r="V292" s="139"/>
      <c r="W292" s="139"/>
      <c r="X292" s="139"/>
      <c r="Y292" s="139"/>
      <c r="Z292" s="139"/>
    </row>
    <row r="293" ht="15.75" customHeight="1">
      <c r="A293" s="139"/>
      <c r="B293" s="139"/>
      <c r="C293" s="183"/>
      <c r="D293" s="183"/>
      <c r="E293" s="183"/>
      <c r="F293" s="183"/>
      <c r="G293" s="183"/>
      <c r="H293" s="184"/>
      <c r="I293" s="139"/>
      <c r="J293" s="139"/>
      <c r="K293" s="139"/>
      <c r="L293" s="139"/>
      <c r="M293" s="139"/>
      <c r="N293" s="139"/>
      <c r="O293" s="139"/>
      <c r="P293" s="139"/>
      <c r="Q293" s="139"/>
      <c r="R293" s="139"/>
      <c r="S293" s="139"/>
      <c r="T293" s="139"/>
      <c r="U293" s="139"/>
      <c r="V293" s="139"/>
      <c r="W293" s="139"/>
      <c r="X293" s="139"/>
      <c r="Y293" s="139"/>
      <c r="Z293" s="139"/>
    </row>
    <row r="294" ht="15.75" customHeight="1">
      <c r="A294" s="139"/>
      <c r="B294" s="139"/>
      <c r="C294" s="183"/>
      <c r="D294" s="183"/>
      <c r="E294" s="183"/>
      <c r="F294" s="183"/>
      <c r="G294" s="183"/>
      <c r="H294" s="184"/>
      <c r="I294" s="139"/>
      <c r="J294" s="139"/>
      <c r="K294" s="139"/>
      <c r="L294" s="139"/>
      <c r="M294" s="139"/>
      <c r="N294" s="139"/>
      <c r="O294" s="139"/>
      <c r="P294" s="139"/>
      <c r="Q294" s="139"/>
      <c r="R294" s="139"/>
      <c r="S294" s="139"/>
      <c r="T294" s="139"/>
      <c r="U294" s="139"/>
      <c r="V294" s="139"/>
      <c r="W294" s="139"/>
      <c r="X294" s="139"/>
      <c r="Y294" s="139"/>
      <c r="Z294" s="139"/>
    </row>
    <row r="295" ht="15.75" customHeight="1">
      <c r="A295" s="139"/>
      <c r="B295" s="139"/>
      <c r="C295" s="183"/>
      <c r="D295" s="183"/>
      <c r="E295" s="183"/>
      <c r="F295" s="183"/>
      <c r="G295" s="183"/>
      <c r="H295" s="184"/>
      <c r="I295" s="139"/>
      <c r="J295" s="139"/>
      <c r="K295" s="139"/>
      <c r="L295" s="139"/>
      <c r="M295" s="139"/>
      <c r="N295" s="139"/>
      <c r="O295" s="139"/>
      <c r="P295" s="139"/>
      <c r="Q295" s="139"/>
      <c r="R295" s="139"/>
      <c r="S295" s="139"/>
      <c r="T295" s="139"/>
      <c r="U295" s="139"/>
      <c r="V295" s="139"/>
      <c r="W295" s="139"/>
      <c r="X295" s="139"/>
      <c r="Y295" s="139"/>
      <c r="Z295" s="139"/>
    </row>
    <row r="296" ht="15.75" customHeight="1">
      <c r="A296" s="139"/>
      <c r="B296" s="139"/>
      <c r="C296" s="183"/>
      <c r="D296" s="183"/>
      <c r="E296" s="183"/>
      <c r="F296" s="183"/>
      <c r="G296" s="183"/>
      <c r="H296" s="184"/>
      <c r="I296" s="139"/>
      <c r="J296" s="139"/>
      <c r="K296" s="139"/>
      <c r="L296" s="139"/>
      <c r="M296" s="139"/>
      <c r="N296" s="139"/>
      <c r="O296" s="139"/>
      <c r="P296" s="139"/>
      <c r="Q296" s="139"/>
      <c r="R296" s="139"/>
      <c r="S296" s="139"/>
      <c r="T296" s="139"/>
      <c r="U296" s="139"/>
      <c r="V296" s="139"/>
      <c r="W296" s="139"/>
      <c r="X296" s="139"/>
      <c r="Y296" s="139"/>
      <c r="Z296" s="139"/>
    </row>
    <row r="297" ht="15.75" customHeight="1">
      <c r="A297" s="139"/>
      <c r="B297" s="139"/>
      <c r="C297" s="183"/>
      <c r="D297" s="183"/>
      <c r="E297" s="183"/>
      <c r="F297" s="183"/>
      <c r="G297" s="183"/>
      <c r="H297" s="184"/>
      <c r="I297" s="139"/>
      <c r="J297" s="139"/>
      <c r="K297" s="139"/>
      <c r="L297" s="139"/>
      <c r="M297" s="139"/>
      <c r="N297" s="139"/>
      <c r="O297" s="139"/>
      <c r="P297" s="139"/>
      <c r="Q297" s="139"/>
      <c r="R297" s="139"/>
      <c r="S297" s="139"/>
      <c r="T297" s="139"/>
      <c r="U297" s="139"/>
      <c r="V297" s="139"/>
      <c r="W297" s="139"/>
      <c r="X297" s="139"/>
      <c r="Y297" s="139"/>
      <c r="Z297" s="139"/>
    </row>
    <row r="298" ht="15.75" customHeight="1">
      <c r="A298" s="139"/>
      <c r="B298" s="139"/>
      <c r="C298" s="183"/>
      <c r="D298" s="183"/>
      <c r="E298" s="183"/>
      <c r="F298" s="183"/>
      <c r="G298" s="183"/>
      <c r="H298" s="184"/>
      <c r="I298" s="139"/>
      <c r="J298" s="139"/>
      <c r="K298" s="139"/>
      <c r="L298" s="139"/>
      <c r="M298" s="139"/>
      <c r="N298" s="139"/>
      <c r="O298" s="139"/>
      <c r="P298" s="139"/>
      <c r="Q298" s="139"/>
      <c r="R298" s="139"/>
      <c r="S298" s="139"/>
      <c r="T298" s="139"/>
      <c r="U298" s="139"/>
      <c r="V298" s="139"/>
      <c r="W298" s="139"/>
      <c r="X298" s="139"/>
      <c r="Y298" s="139"/>
      <c r="Z298" s="139"/>
    </row>
    <row r="299" ht="15.75" customHeight="1">
      <c r="A299" s="139"/>
      <c r="B299" s="139"/>
      <c r="C299" s="183"/>
      <c r="D299" s="183"/>
      <c r="E299" s="183"/>
      <c r="F299" s="183"/>
      <c r="G299" s="183"/>
      <c r="H299" s="184"/>
      <c r="I299" s="139"/>
      <c r="J299" s="139"/>
      <c r="K299" s="139"/>
      <c r="L299" s="139"/>
      <c r="M299" s="139"/>
      <c r="N299" s="139"/>
      <c r="O299" s="139"/>
      <c r="P299" s="139"/>
      <c r="Q299" s="139"/>
      <c r="R299" s="139"/>
      <c r="S299" s="139"/>
      <c r="T299" s="139"/>
      <c r="U299" s="139"/>
      <c r="V299" s="139"/>
      <c r="W299" s="139"/>
      <c r="X299" s="139"/>
      <c r="Y299" s="139"/>
      <c r="Z299" s="139"/>
    </row>
    <row r="300" ht="15.75" customHeight="1">
      <c r="A300" s="139"/>
      <c r="B300" s="139"/>
      <c r="C300" s="183"/>
      <c r="D300" s="183"/>
      <c r="E300" s="183"/>
      <c r="F300" s="183"/>
      <c r="G300" s="183"/>
      <c r="H300" s="184"/>
      <c r="I300" s="139"/>
      <c r="J300" s="139"/>
      <c r="K300" s="139"/>
      <c r="L300" s="139"/>
      <c r="M300" s="139"/>
      <c r="N300" s="139"/>
      <c r="O300" s="139"/>
      <c r="P300" s="139"/>
      <c r="Q300" s="139"/>
      <c r="R300" s="139"/>
      <c r="S300" s="139"/>
      <c r="T300" s="139"/>
      <c r="U300" s="139"/>
      <c r="V300" s="139"/>
      <c r="W300" s="139"/>
      <c r="X300" s="139"/>
      <c r="Y300" s="139"/>
      <c r="Z300" s="139"/>
    </row>
    <row r="301" ht="15.75" customHeight="1">
      <c r="A301" s="139"/>
      <c r="B301" s="139"/>
      <c r="C301" s="183"/>
      <c r="D301" s="183"/>
      <c r="E301" s="183"/>
      <c r="F301" s="183"/>
      <c r="G301" s="183"/>
      <c r="H301" s="184"/>
      <c r="I301" s="139"/>
      <c r="J301" s="139"/>
      <c r="K301" s="139"/>
      <c r="L301" s="139"/>
      <c r="M301" s="139"/>
      <c r="N301" s="139"/>
      <c r="O301" s="139"/>
      <c r="P301" s="139"/>
      <c r="Q301" s="139"/>
      <c r="R301" s="139"/>
      <c r="S301" s="139"/>
      <c r="T301" s="139"/>
      <c r="U301" s="139"/>
      <c r="V301" s="139"/>
      <c r="W301" s="139"/>
      <c r="X301" s="139"/>
      <c r="Y301" s="139"/>
      <c r="Z301" s="139"/>
    </row>
    <row r="302" ht="15.75" customHeight="1">
      <c r="A302" s="139"/>
      <c r="B302" s="139"/>
      <c r="C302" s="183"/>
      <c r="D302" s="183"/>
      <c r="E302" s="183"/>
      <c r="F302" s="183"/>
      <c r="G302" s="183"/>
      <c r="H302" s="184"/>
      <c r="I302" s="139"/>
      <c r="J302" s="139"/>
      <c r="K302" s="139"/>
      <c r="L302" s="139"/>
      <c r="M302" s="139"/>
      <c r="N302" s="139"/>
      <c r="O302" s="139"/>
      <c r="P302" s="139"/>
      <c r="Q302" s="139"/>
      <c r="R302" s="139"/>
      <c r="S302" s="139"/>
      <c r="T302" s="139"/>
      <c r="U302" s="139"/>
      <c r="V302" s="139"/>
      <c r="W302" s="139"/>
      <c r="X302" s="139"/>
      <c r="Y302" s="139"/>
      <c r="Z302" s="139"/>
    </row>
    <row r="303" ht="15.75" customHeight="1">
      <c r="A303" s="139"/>
      <c r="B303" s="139"/>
      <c r="C303" s="183"/>
      <c r="D303" s="183"/>
      <c r="E303" s="183"/>
      <c r="F303" s="183"/>
      <c r="G303" s="183"/>
      <c r="H303" s="184"/>
      <c r="I303" s="139"/>
      <c r="J303" s="139"/>
      <c r="K303" s="139"/>
      <c r="L303" s="139"/>
      <c r="M303" s="139"/>
      <c r="N303" s="139"/>
      <c r="O303" s="139"/>
      <c r="P303" s="139"/>
      <c r="Q303" s="139"/>
      <c r="R303" s="139"/>
      <c r="S303" s="139"/>
      <c r="T303" s="139"/>
      <c r="U303" s="139"/>
      <c r="V303" s="139"/>
      <c r="W303" s="139"/>
      <c r="X303" s="139"/>
      <c r="Y303" s="139"/>
      <c r="Z303" s="139"/>
    </row>
    <row r="304" ht="15.75" customHeight="1">
      <c r="A304" s="139"/>
      <c r="B304" s="139"/>
      <c r="C304" s="183"/>
      <c r="D304" s="183"/>
      <c r="E304" s="183"/>
      <c r="F304" s="183"/>
      <c r="G304" s="183"/>
      <c r="H304" s="184"/>
      <c r="I304" s="139"/>
      <c r="J304" s="139"/>
      <c r="K304" s="139"/>
      <c r="L304" s="139"/>
      <c r="M304" s="139"/>
      <c r="N304" s="139"/>
      <c r="O304" s="139"/>
      <c r="P304" s="139"/>
      <c r="Q304" s="139"/>
      <c r="R304" s="139"/>
      <c r="S304" s="139"/>
      <c r="T304" s="139"/>
      <c r="U304" s="139"/>
      <c r="V304" s="139"/>
      <c r="W304" s="139"/>
      <c r="X304" s="139"/>
      <c r="Y304" s="139"/>
      <c r="Z304" s="139"/>
    </row>
    <row r="305" ht="15.75" customHeight="1">
      <c r="A305" s="139"/>
      <c r="B305" s="139"/>
      <c r="C305" s="183"/>
      <c r="D305" s="183"/>
      <c r="E305" s="183"/>
      <c r="F305" s="183"/>
      <c r="G305" s="183"/>
      <c r="H305" s="184"/>
      <c r="I305" s="139"/>
      <c r="J305" s="139"/>
      <c r="K305" s="139"/>
      <c r="L305" s="139"/>
      <c r="M305" s="139"/>
      <c r="N305" s="139"/>
      <c r="O305" s="139"/>
      <c r="P305" s="139"/>
      <c r="Q305" s="139"/>
      <c r="R305" s="139"/>
      <c r="S305" s="139"/>
      <c r="T305" s="139"/>
      <c r="U305" s="139"/>
      <c r="V305" s="139"/>
      <c r="W305" s="139"/>
      <c r="X305" s="139"/>
      <c r="Y305" s="139"/>
      <c r="Z305" s="139"/>
    </row>
    <row r="306" ht="15.75" customHeight="1">
      <c r="A306" s="139"/>
      <c r="B306" s="139"/>
      <c r="C306" s="183"/>
      <c r="D306" s="183"/>
      <c r="E306" s="183"/>
      <c r="F306" s="183"/>
      <c r="G306" s="183"/>
      <c r="H306" s="184"/>
      <c r="I306" s="139"/>
      <c r="J306" s="139"/>
      <c r="K306" s="139"/>
      <c r="L306" s="139"/>
      <c r="M306" s="139"/>
      <c r="N306" s="139"/>
      <c r="O306" s="139"/>
      <c r="P306" s="139"/>
      <c r="Q306" s="139"/>
      <c r="R306" s="139"/>
      <c r="S306" s="139"/>
      <c r="T306" s="139"/>
      <c r="U306" s="139"/>
      <c r="V306" s="139"/>
      <c r="W306" s="139"/>
      <c r="X306" s="139"/>
      <c r="Y306" s="139"/>
      <c r="Z306" s="139"/>
    </row>
    <row r="307" ht="15.75" customHeight="1">
      <c r="A307" s="139"/>
      <c r="B307" s="139"/>
      <c r="C307" s="183"/>
      <c r="D307" s="183"/>
      <c r="E307" s="183"/>
      <c r="F307" s="183"/>
      <c r="G307" s="183"/>
      <c r="H307" s="184"/>
      <c r="I307" s="139"/>
      <c r="J307" s="139"/>
      <c r="K307" s="139"/>
      <c r="L307" s="139"/>
      <c r="M307" s="139"/>
      <c r="N307" s="139"/>
      <c r="O307" s="139"/>
      <c r="P307" s="139"/>
      <c r="Q307" s="139"/>
      <c r="R307" s="139"/>
      <c r="S307" s="139"/>
      <c r="T307" s="139"/>
      <c r="U307" s="139"/>
      <c r="V307" s="139"/>
      <c r="W307" s="139"/>
      <c r="X307" s="139"/>
      <c r="Y307" s="139"/>
      <c r="Z307" s="139"/>
    </row>
    <row r="308" ht="15.75" customHeight="1">
      <c r="A308" s="139"/>
      <c r="B308" s="139"/>
      <c r="C308" s="183"/>
      <c r="D308" s="183"/>
      <c r="E308" s="183"/>
      <c r="F308" s="183"/>
      <c r="G308" s="183"/>
      <c r="H308" s="184"/>
      <c r="I308" s="139"/>
      <c r="J308" s="139"/>
      <c r="K308" s="139"/>
      <c r="L308" s="139"/>
      <c r="M308" s="139"/>
      <c r="N308" s="139"/>
      <c r="O308" s="139"/>
      <c r="P308" s="139"/>
      <c r="Q308" s="139"/>
      <c r="R308" s="139"/>
      <c r="S308" s="139"/>
      <c r="T308" s="139"/>
      <c r="U308" s="139"/>
      <c r="V308" s="139"/>
      <c r="W308" s="139"/>
      <c r="X308" s="139"/>
      <c r="Y308" s="139"/>
      <c r="Z308" s="139"/>
    </row>
    <row r="309" ht="15.75" customHeight="1">
      <c r="A309" s="139"/>
      <c r="B309" s="139"/>
      <c r="C309" s="183"/>
      <c r="D309" s="183"/>
      <c r="E309" s="183"/>
      <c r="F309" s="183"/>
      <c r="G309" s="183"/>
      <c r="H309" s="184"/>
      <c r="I309" s="139"/>
      <c r="J309" s="139"/>
      <c r="K309" s="139"/>
      <c r="L309" s="139"/>
      <c r="M309" s="139"/>
      <c r="N309" s="139"/>
      <c r="O309" s="139"/>
      <c r="P309" s="139"/>
      <c r="Q309" s="139"/>
      <c r="R309" s="139"/>
      <c r="S309" s="139"/>
      <c r="T309" s="139"/>
      <c r="U309" s="139"/>
      <c r="V309" s="139"/>
      <c r="W309" s="139"/>
      <c r="X309" s="139"/>
      <c r="Y309" s="139"/>
      <c r="Z309" s="139"/>
    </row>
    <row r="310" ht="15.75" customHeight="1">
      <c r="A310" s="139"/>
      <c r="B310" s="139"/>
      <c r="C310" s="183"/>
      <c r="D310" s="183"/>
      <c r="E310" s="183"/>
      <c r="F310" s="183"/>
      <c r="G310" s="183"/>
      <c r="H310" s="184"/>
      <c r="I310" s="139"/>
      <c r="J310" s="139"/>
      <c r="K310" s="139"/>
      <c r="L310" s="139"/>
      <c r="M310" s="139"/>
      <c r="N310" s="139"/>
      <c r="O310" s="139"/>
      <c r="P310" s="139"/>
      <c r="Q310" s="139"/>
      <c r="R310" s="139"/>
      <c r="S310" s="139"/>
      <c r="T310" s="139"/>
      <c r="U310" s="139"/>
      <c r="V310" s="139"/>
      <c r="W310" s="139"/>
      <c r="X310" s="139"/>
      <c r="Y310" s="139"/>
      <c r="Z310" s="139"/>
    </row>
    <row r="311" ht="15.75" customHeight="1">
      <c r="A311" s="139"/>
      <c r="B311" s="139"/>
      <c r="C311" s="183"/>
      <c r="D311" s="183"/>
      <c r="E311" s="183"/>
      <c r="F311" s="183"/>
      <c r="G311" s="183"/>
      <c r="H311" s="184"/>
      <c r="I311" s="139"/>
      <c r="J311" s="139"/>
      <c r="K311" s="139"/>
      <c r="L311" s="139"/>
      <c r="M311" s="139"/>
      <c r="N311" s="139"/>
      <c r="O311" s="139"/>
      <c r="P311" s="139"/>
      <c r="Q311" s="139"/>
      <c r="R311" s="139"/>
      <c r="S311" s="139"/>
      <c r="T311" s="139"/>
      <c r="U311" s="139"/>
      <c r="V311" s="139"/>
      <c r="W311" s="139"/>
      <c r="X311" s="139"/>
      <c r="Y311" s="139"/>
      <c r="Z311" s="139"/>
    </row>
    <row r="312" ht="15.75" customHeight="1">
      <c r="A312" s="139"/>
      <c r="B312" s="139"/>
      <c r="C312" s="183"/>
      <c r="D312" s="183"/>
      <c r="E312" s="183"/>
      <c r="F312" s="183"/>
      <c r="G312" s="183"/>
      <c r="H312" s="184"/>
      <c r="I312" s="139"/>
      <c r="J312" s="139"/>
      <c r="K312" s="139"/>
      <c r="L312" s="139"/>
      <c r="M312" s="139"/>
      <c r="N312" s="139"/>
      <c r="O312" s="139"/>
      <c r="P312" s="139"/>
      <c r="Q312" s="139"/>
      <c r="R312" s="139"/>
      <c r="S312" s="139"/>
      <c r="T312" s="139"/>
      <c r="U312" s="139"/>
      <c r="V312" s="139"/>
      <c r="W312" s="139"/>
      <c r="X312" s="139"/>
      <c r="Y312" s="139"/>
      <c r="Z312" s="139"/>
    </row>
    <row r="313" ht="15.75" customHeight="1">
      <c r="A313" s="139"/>
      <c r="B313" s="139"/>
      <c r="C313" s="183"/>
      <c r="D313" s="183"/>
      <c r="E313" s="183"/>
      <c r="F313" s="183"/>
      <c r="G313" s="183"/>
      <c r="H313" s="184"/>
      <c r="I313" s="139"/>
      <c r="J313" s="139"/>
      <c r="K313" s="139"/>
      <c r="L313" s="139"/>
      <c r="M313" s="139"/>
      <c r="N313" s="139"/>
      <c r="O313" s="139"/>
      <c r="P313" s="139"/>
      <c r="Q313" s="139"/>
      <c r="R313" s="139"/>
      <c r="S313" s="139"/>
      <c r="T313" s="139"/>
      <c r="U313" s="139"/>
      <c r="V313" s="139"/>
      <c r="W313" s="139"/>
      <c r="X313" s="139"/>
      <c r="Y313" s="139"/>
      <c r="Z313" s="139"/>
    </row>
    <row r="314" ht="15.75" customHeight="1">
      <c r="A314" s="139"/>
      <c r="B314" s="139"/>
      <c r="C314" s="183"/>
      <c r="D314" s="183"/>
      <c r="E314" s="183"/>
      <c r="F314" s="183"/>
      <c r="G314" s="183"/>
      <c r="H314" s="184"/>
      <c r="I314" s="139"/>
      <c r="J314" s="139"/>
      <c r="K314" s="139"/>
      <c r="L314" s="139"/>
      <c r="M314" s="139"/>
      <c r="N314" s="139"/>
      <c r="O314" s="139"/>
      <c r="P314" s="139"/>
      <c r="Q314" s="139"/>
      <c r="R314" s="139"/>
      <c r="S314" s="139"/>
      <c r="T314" s="139"/>
      <c r="U314" s="139"/>
      <c r="V314" s="139"/>
      <c r="W314" s="139"/>
      <c r="X314" s="139"/>
      <c r="Y314" s="139"/>
      <c r="Z314" s="139"/>
    </row>
    <row r="315" ht="15.75" customHeight="1">
      <c r="A315" s="139"/>
      <c r="B315" s="139"/>
      <c r="C315" s="183"/>
      <c r="D315" s="183"/>
      <c r="E315" s="183"/>
      <c r="F315" s="183"/>
      <c r="G315" s="183"/>
      <c r="H315" s="184"/>
      <c r="I315" s="139"/>
      <c r="J315" s="139"/>
      <c r="K315" s="139"/>
      <c r="L315" s="139"/>
      <c r="M315" s="139"/>
      <c r="N315" s="139"/>
      <c r="O315" s="139"/>
      <c r="P315" s="139"/>
      <c r="Q315" s="139"/>
      <c r="R315" s="139"/>
      <c r="S315" s="139"/>
      <c r="T315" s="139"/>
      <c r="U315" s="139"/>
      <c r="V315" s="139"/>
      <c r="W315" s="139"/>
      <c r="X315" s="139"/>
      <c r="Y315" s="139"/>
      <c r="Z315" s="139"/>
    </row>
    <row r="316" ht="15.75" customHeight="1">
      <c r="A316" s="139"/>
      <c r="B316" s="139"/>
      <c r="C316" s="183"/>
      <c r="D316" s="183"/>
      <c r="E316" s="183"/>
      <c r="F316" s="183"/>
      <c r="G316" s="183"/>
      <c r="H316" s="184"/>
      <c r="I316" s="139"/>
      <c r="J316" s="139"/>
      <c r="K316" s="139"/>
      <c r="L316" s="139"/>
      <c r="M316" s="139"/>
      <c r="N316" s="139"/>
      <c r="O316" s="139"/>
      <c r="P316" s="139"/>
      <c r="Q316" s="139"/>
      <c r="R316" s="139"/>
      <c r="S316" s="139"/>
      <c r="T316" s="139"/>
      <c r="U316" s="139"/>
      <c r="V316" s="139"/>
      <c r="W316" s="139"/>
      <c r="X316" s="139"/>
      <c r="Y316" s="139"/>
      <c r="Z316" s="139"/>
    </row>
    <row r="317" ht="15.75" customHeight="1">
      <c r="A317" s="139"/>
      <c r="B317" s="139"/>
      <c r="C317" s="183"/>
      <c r="D317" s="183"/>
      <c r="E317" s="183"/>
      <c r="F317" s="183"/>
      <c r="G317" s="183"/>
      <c r="H317" s="184"/>
      <c r="I317" s="139"/>
      <c r="J317" s="139"/>
      <c r="K317" s="139"/>
      <c r="L317" s="139"/>
      <c r="M317" s="139"/>
      <c r="N317" s="139"/>
      <c r="O317" s="139"/>
      <c r="P317" s="139"/>
      <c r="Q317" s="139"/>
      <c r="R317" s="139"/>
      <c r="S317" s="139"/>
      <c r="T317" s="139"/>
      <c r="U317" s="139"/>
      <c r="V317" s="139"/>
      <c r="W317" s="139"/>
      <c r="X317" s="139"/>
      <c r="Y317" s="139"/>
      <c r="Z317" s="139"/>
    </row>
    <row r="318" ht="15.75" customHeight="1">
      <c r="A318" s="139"/>
      <c r="B318" s="139"/>
      <c r="C318" s="183"/>
      <c r="D318" s="183"/>
      <c r="E318" s="183"/>
      <c r="F318" s="183"/>
      <c r="G318" s="183"/>
      <c r="H318" s="184"/>
      <c r="I318" s="139"/>
      <c r="J318" s="139"/>
      <c r="K318" s="139"/>
      <c r="L318" s="139"/>
      <c r="M318" s="139"/>
      <c r="N318" s="139"/>
      <c r="O318" s="139"/>
      <c r="P318" s="139"/>
      <c r="Q318" s="139"/>
      <c r="R318" s="139"/>
      <c r="S318" s="139"/>
      <c r="T318" s="139"/>
      <c r="U318" s="139"/>
      <c r="V318" s="139"/>
      <c r="W318" s="139"/>
      <c r="X318" s="139"/>
      <c r="Y318" s="139"/>
      <c r="Z318" s="139"/>
    </row>
    <row r="319" ht="15.75" customHeight="1">
      <c r="A319" s="139"/>
      <c r="B319" s="139"/>
      <c r="C319" s="183"/>
      <c r="D319" s="183"/>
      <c r="E319" s="183"/>
      <c r="F319" s="183"/>
      <c r="G319" s="183"/>
      <c r="H319" s="184"/>
      <c r="I319" s="139"/>
      <c r="J319" s="139"/>
      <c r="K319" s="139"/>
      <c r="L319" s="139"/>
      <c r="M319" s="139"/>
      <c r="N319" s="139"/>
      <c r="O319" s="139"/>
      <c r="P319" s="139"/>
      <c r="Q319" s="139"/>
      <c r="R319" s="139"/>
      <c r="S319" s="139"/>
      <c r="T319" s="139"/>
      <c r="U319" s="139"/>
      <c r="V319" s="139"/>
      <c r="W319" s="139"/>
      <c r="X319" s="139"/>
      <c r="Y319" s="139"/>
      <c r="Z319" s="139"/>
    </row>
    <row r="320" ht="15.75" customHeight="1">
      <c r="A320" s="139"/>
      <c r="B320" s="139"/>
      <c r="C320" s="183"/>
      <c r="D320" s="183"/>
      <c r="E320" s="183"/>
      <c r="F320" s="183"/>
      <c r="G320" s="183"/>
      <c r="H320" s="184"/>
      <c r="I320" s="139"/>
      <c r="J320" s="139"/>
      <c r="K320" s="139"/>
      <c r="L320" s="139"/>
      <c r="M320" s="139"/>
      <c r="N320" s="139"/>
      <c r="O320" s="139"/>
      <c r="P320" s="139"/>
      <c r="Q320" s="139"/>
      <c r="R320" s="139"/>
      <c r="S320" s="139"/>
      <c r="T320" s="139"/>
      <c r="U320" s="139"/>
      <c r="V320" s="139"/>
      <c r="W320" s="139"/>
      <c r="X320" s="139"/>
      <c r="Y320" s="139"/>
      <c r="Z320" s="139"/>
    </row>
    <row r="321" ht="15.75" customHeight="1">
      <c r="A321" s="139"/>
      <c r="B321" s="139"/>
      <c r="C321" s="183"/>
      <c r="D321" s="183"/>
      <c r="E321" s="183"/>
      <c r="F321" s="183"/>
      <c r="G321" s="183"/>
      <c r="H321" s="184"/>
      <c r="I321" s="139"/>
      <c r="J321" s="139"/>
      <c r="K321" s="139"/>
      <c r="L321" s="139"/>
      <c r="M321" s="139"/>
      <c r="N321" s="139"/>
      <c r="O321" s="139"/>
      <c r="P321" s="139"/>
      <c r="Q321" s="139"/>
      <c r="R321" s="139"/>
      <c r="S321" s="139"/>
      <c r="T321" s="139"/>
      <c r="U321" s="139"/>
      <c r="V321" s="139"/>
      <c r="W321" s="139"/>
      <c r="X321" s="139"/>
      <c r="Y321" s="139"/>
      <c r="Z321" s="139"/>
    </row>
    <row r="322" ht="15.75" customHeight="1">
      <c r="A322" s="139"/>
      <c r="B322" s="139"/>
      <c r="C322" s="183"/>
      <c r="D322" s="183"/>
      <c r="E322" s="183"/>
      <c r="F322" s="183"/>
      <c r="G322" s="183"/>
      <c r="H322" s="184"/>
      <c r="I322" s="139"/>
      <c r="J322" s="139"/>
      <c r="K322" s="139"/>
      <c r="L322" s="139"/>
      <c r="M322" s="139"/>
      <c r="N322" s="139"/>
      <c r="O322" s="139"/>
      <c r="P322" s="139"/>
      <c r="Q322" s="139"/>
      <c r="R322" s="139"/>
      <c r="S322" s="139"/>
      <c r="T322" s="139"/>
      <c r="U322" s="139"/>
      <c r="V322" s="139"/>
      <c r="W322" s="139"/>
      <c r="X322" s="139"/>
      <c r="Y322" s="139"/>
      <c r="Z322" s="139"/>
    </row>
    <row r="323" ht="15.75" customHeight="1">
      <c r="A323" s="139"/>
      <c r="B323" s="139"/>
      <c r="C323" s="183"/>
      <c r="D323" s="183"/>
      <c r="E323" s="183"/>
      <c r="F323" s="183"/>
      <c r="G323" s="183"/>
      <c r="H323" s="184"/>
      <c r="I323" s="139"/>
      <c r="J323" s="139"/>
      <c r="K323" s="139"/>
      <c r="L323" s="139"/>
      <c r="M323" s="139"/>
      <c r="N323" s="139"/>
      <c r="O323" s="139"/>
      <c r="P323" s="139"/>
      <c r="Q323" s="139"/>
      <c r="R323" s="139"/>
      <c r="S323" s="139"/>
      <c r="T323" s="139"/>
      <c r="U323" s="139"/>
      <c r="V323" s="139"/>
      <c r="W323" s="139"/>
      <c r="X323" s="139"/>
      <c r="Y323" s="139"/>
      <c r="Z323" s="139"/>
    </row>
    <row r="324" ht="15.75" customHeight="1">
      <c r="A324" s="139"/>
      <c r="B324" s="139"/>
      <c r="C324" s="183"/>
      <c r="D324" s="183"/>
      <c r="E324" s="183"/>
      <c r="F324" s="183"/>
      <c r="G324" s="183"/>
      <c r="H324" s="184"/>
      <c r="I324" s="139"/>
      <c r="J324" s="139"/>
      <c r="K324" s="139"/>
      <c r="L324" s="139"/>
      <c r="M324" s="139"/>
      <c r="N324" s="139"/>
      <c r="O324" s="139"/>
      <c r="P324" s="139"/>
      <c r="Q324" s="139"/>
      <c r="R324" s="139"/>
      <c r="S324" s="139"/>
      <c r="T324" s="139"/>
      <c r="U324" s="139"/>
      <c r="V324" s="139"/>
      <c r="W324" s="139"/>
      <c r="X324" s="139"/>
      <c r="Y324" s="139"/>
      <c r="Z324" s="139"/>
    </row>
    <row r="325" ht="15.75" customHeight="1">
      <c r="A325" s="139"/>
      <c r="B325" s="139"/>
      <c r="C325" s="183"/>
      <c r="D325" s="183"/>
      <c r="E325" s="183"/>
      <c r="F325" s="183"/>
      <c r="G325" s="183"/>
      <c r="H325" s="184"/>
      <c r="I325" s="139"/>
      <c r="J325" s="139"/>
      <c r="K325" s="139"/>
      <c r="L325" s="139"/>
      <c r="M325" s="139"/>
      <c r="N325" s="139"/>
      <c r="O325" s="139"/>
      <c r="P325" s="139"/>
      <c r="Q325" s="139"/>
      <c r="R325" s="139"/>
      <c r="S325" s="139"/>
      <c r="T325" s="139"/>
      <c r="U325" s="139"/>
      <c r="V325" s="139"/>
      <c r="W325" s="139"/>
      <c r="X325" s="139"/>
      <c r="Y325" s="139"/>
      <c r="Z325" s="139"/>
    </row>
    <row r="326" ht="15.75" customHeight="1">
      <c r="A326" s="139"/>
      <c r="B326" s="139"/>
      <c r="C326" s="183"/>
      <c r="D326" s="183"/>
      <c r="E326" s="183"/>
      <c r="F326" s="183"/>
      <c r="G326" s="183"/>
      <c r="H326" s="184"/>
      <c r="I326" s="139"/>
      <c r="J326" s="139"/>
      <c r="K326" s="139"/>
      <c r="L326" s="139"/>
      <c r="M326" s="139"/>
      <c r="N326" s="139"/>
      <c r="O326" s="139"/>
      <c r="P326" s="139"/>
      <c r="Q326" s="139"/>
      <c r="R326" s="139"/>
      <c r="S326" s="139"/>
      <c r="T326" s="139"/>
      <c r="U326" s="139"/>
      <c r="V326" s="139"/>
      <c r="W326" s="139"/>
      <c r="X326" s="139"/>
      <c r="Y326" s="139"/>
      <c r="Z326" s="139"/>
    </row>
    <row r="327" ht="15.75" customHeight="1">
      <c r="A327" s="139"/>
      <c r="B327" s="139"/>
      <c r="C327" s="183"/>
      <c r="D327" s="183"/>
      <c r="E327" s="183"/>
      <c r="F327" s="183"/>
      <c r="G327" s="183"/>
      <c r="H327" s="184"/>
      <c r="I327" s="139"/>
      <c r="J327" s="139"/>
      <c r="K327" s="139"/>
      <c r="L327" s="139"/>
      <c r="M327" s="139"/>
      <c r="N327" s="139"/>
      <c r="O327" s="139"/>
      <c r="P327" s="139"/>
      <c r="Q327" s="139"/>
      <c r="R327" s="139"/>
      <c r="S327" s="139"/>
      <c r="T327" s="139"/>
      <c r="U327" s="139"/>
      <c r="V327" s="139"/>
      <c r="W327" s="139"/>
      <c r="X327" s="139"/>
      <c r="Y327" s="139"/>
      <c r="Z327" s="139"/>
    </row>
    <row r="328" ht="15.75" customHeight="1">
      <c r="A328" s="139"/>
      <c r="B328" s="139"/>
      <c r="C328" s="183"/>
      <c r="D328" s="183"/>
      <c r="E328" s="183"/>
      <c r="F328" s="183"/>
      <c r="G328" s="183"/>
      <c r="H328" s="184"/>
      <c r="I328" s="139"/>
      <c r="J328" s="139"/>
      <c r="K328" s="139"/>
      <c r="L328" s="139"/>
      <c r="M328" s="139"/>
      <c r="N328" s="139"/>
      <c r="O328" s="139"/>
      <c r="P328" s="139"/>
      <c r="Q328" s="139"/>
      <c r="R328" s="139"/>
      <c r="S328" s="139"/>
      <c r="T328" s="139"/>
      <c r="U328" s="139"/>
      <c r="V328" s="139"/>
      <c r="W328" s="139"/>
      <c r="X328" s="139"/>
      <c r="Y328" s="139"/>
      <c r="Z328" s="139"/>
    </row>
    <row r="329" ht="15.75" customHeight="1">
      <c r="A329" s="139"/>
      <c r="B329" s="139"/>
      <c r="C329" s="183"/>
      <c r="D329" s="183"/>
      <c r="E329" s="183"/>
      <c r="F329" s="183"/>
      <c r="G329" s="183"/>
      <c r="H329" s="184"/>
      <c r="I329" s="139"/>
      <c r="J329" s="139"/>
      <c r="K329" s="139"/>
      <c r="L329" s="139"/>
      <c r="M329" s="139"/>
      <c r="N329" s="139"/>
      <c r="O329" s="139"/>
      <c r="P329" s="139"/>
      <c r="Q329" s="139"/>
      <c r="R329" s="139"/>
      <c r="S329" s="139"/>
      <c r="T329" s="139"/>
      <c r="U329" s="139"/>
      <c r="V329" s="139"/>
      <c r="W329" s="139"/>
      <c r="X329" s="139"/>
      <c r="Y329" s="139"/>
      <c r="Z329" s="139"/>
    </row>
    <row r="330" ht="15.75" customHeight="1">
      <c r="A330" s="139"/>
      <c r="B330" s="139"/>
      <c r="C330" s="183"/>
      <c r="D330" s="183"/>
      <c r="E330" s="183"/>
      <c r="F330" s="183"/>
      <c r="G330" s="183"/>
      <c r="H330" s="184"/>
      <c r="I330" s="139"/>
      <c r="J330" s="139"/>
      <c r="K330" s="139"/>
      <c r="L330" s="139"/>
      <c r="M330" s="139"/>
      <c r="N330" s="139"/>
      <c r="O330" s="139"/>
      <c r="P330" s="139"/>
      <c r="Q330" s="139"/>
      <c r="R330" s="139"/>
      <c r="S330" s="139"/>
      <c r="T330" s="139"/>
      <c r="U330" s="139"/>
      <c r="V330" s="139"/>
      <c r="W330" s="139"/>
      <c r="X330" s="139"/>
      <c r="Y330" s="139"/>
      <c r="Z330" s="139"/>
    </row>
    <row r="331" ht="15.75" customHeight="1">
      <c r="A331" s="139"/>
      <c r="B331" s="139"/>
      <c r="C331" s="183"/>
      <c r="D331" s="183"/>
      <c r="E331" s="183"/>
      <c r="F331" s="183"/>
      <c r="G331" s="183"/>
      <c r="H331" s="184"/>
      <c r="I331" s="139"/>
      <c r="J331" s="139"/>
      <c r="K331" s="139"/>
      <c r="L331" s="139"/>
      <c r="M331" s="139"/>
      <c r="N331" s="139"/>
      <c r="O331" s="139"/>
      <c r="P331" s="139"/>
      <c r="Q331" s="139"/>
      <c r="R331" s="139"/>
      <c r="S331" s="139"/>
      <c r="T331" s="139"/>
      <c r="U331" s="139"/>
      <c r="V331" s="139"/>
      <c r="W331" s="139"/>
      <c r="X331" s="139"/>
      <c r="Y331" s="139"/>
      <c r="Z331" s="139"/>
    </row>
    <row r="332" ht="15.75" customHeight="1">
      <c r="A332" s="139"/>
      <c r="B332" s="139"/>
      <c r="C332" s="183"/>
      <c r="D332" s="183"/>
      <c r="E332" s="183"/>
      <c r="F332" s="183"/>
      <c r="G332" s="183"/>
      <c r="H332" s="184"/>
      <c r="I332" s="139"/>
      <c r="J332" s="139"/>
      <c r="K332" s="139"/>
      <c r="L332" s="139"/>
      <c r="M332" s="139"/>
      <c r="N332" s="139"/>
      <c r="O332" s="139"/>
      <c r="P332" s="139"/>
      <c r="Q332" s="139"/>
      <c r="R332" s="139"/>
      <c r="S332" s="139"/>
      <c r="T332" s="139"/>
      <c r="U332" s="139"/>
      <c r="V332" s="139"/>
      <c r="W332" s="139"/>
      <c r="X332" s="139"/>
      <c r="Y332" s="139"/>
      <c r="Z332" s="139"/>
    </row>
    <row r="333" ht="15.75" customHeight="1">
      <c r="A333" s="139"/>
      <c r="B333" s="139"/>
      <c r="C333" s="183"/>
      <c r="D333" s="183"/>
      <c r="E333" s="183"/>
      <c r="F333" s="183"/>
      <c r="G333" s="183"/>
      <c r="H333" s="184"/>
      <c r="I333" s="139"/>
      <c r="J333" s="139"/>
      <c r="K333" s="139"/>
      <c r="L333" s="139"/>
      <c r="M333" s="139"/>
      <c r="N333" s="139"/>
      <c r="O333" s="139"/>
      <c r="P333" s="139"/>
      <c r="Q333" s="139"/>
      <c r="R333" s="139"/>
      <c r="S333" s="139"/>
      <c r="T333" s="139"/>
      <c r="U333" s="139"/>
      <c r="V333" s="139"/>
      <c r="W333" s="139"/>
      <c r="X333" s="139"/>
      <c r="Y333" s="139"/>
      <c r="Z333" s="139"/>
    </row>
    <row r="334" ht="15.75" customHeight="1">
      <c r="A334" s="139"/>
      <c r="B334" s="139"/>
      <c r="C334" s="183"/>
      <c r="D334" s="183"/>
      <c r="E334" s="183"/>
      <c r="F334" s="183"/>
      <c r="G334" s="183"/>
      <c r="H334" s="184"/>
      <c r="I334" s="139"/>
      <c r="J334" s="139"/>
      <c r="K334" s="139"/>
      <c r="L334" s="139"/>
      <c r="M334" s="139"/>
      <c r="N334" s="139"/>
      <c r="O334" s="139"/>
      <c r="P334" s="139"/>
      <c r="Q334" s="139"/>
      <c r="R334" s="139"/>
      <c r="S334" s="139"/>
      <c r="T334" s="139"/>
      <c r="U334" s="139"/>
      <c r="V334" s="139"/>
      <c r="W334" s="139"/>
      <c r="X334" s="139"/>
      <c r="Y334" s="139"/>
      <c r="Z334" s="139"/>
    </row>
    <row r="335" ht="15.75" customHeight="1">
      <c r="A335" s="139"/>
      <c r="B335" s="139"/>
      <c r="C335" s="183"/>
      <c r="D335" s="183"/>
      <c r="E335" s="183"/>
      <c r="F335" s="183"/>
      <c r="G335" s="183"/>
      <c r="H335" s="184"/>
      <c r="I335" s="139"/>
      <c r="J335" s="139"/>
      <c r="K335" s="139"/>
      <c r="L335" s="139"/>
      <c r="M335" s="139"/>
      <c r="N335" s="139"/>
      <c r="O335" s="139"/>
      <c r="P335" s="139"/>
      <c r="Q335" s="139"/>
      <c r="R335" s="139"/>
      <c r="S335" s="139"/>
      <c r="T335" s="139"/>
      <c r="U335" s="139"/>
      <c r="V335" s="139"/>
      <c r="W335" s="139"/>
      <c r="X335" s="139"/>
      <c r="Y335" s="139"/>
      <c r="Z335" s="139"/>
    </row>
    <row r="336" ht="15.75" customHeight="1">
      <c r="A336" s="139"/>
      <c r="B336" s="139"/>
      <c r="C336" s="183"/>
      <c r="D336" s="183"/>
      <c r="E336" s="183"/>
      <c r="F336" s="183"/>
      <c r="G336" s="183"/>
      <c r="H336" s="184"/>
      <c r="I336" s="139"/>
      <c r="J336" s="139"/>
      <c r="K336" s="139"/>
      <c r="L336" s="139"/>
      <c r="M336" s="139"/>
      <c r="N336" s="139"/>
      <c r="O336" s="139"/>
      <c r="P336" s="139"/>
      <c r="Q336" s="139"/>
      <c r="R336" s="139"/>
      <c r="S336" s="139"/>
      <c r="T336" s="139"/>
      <c r="U336" s="139"/>
      <c r="V336" s="139"/>
      <c r="W336" s="139"/>
      <c r="X336" s="139"/>
      <c r="Y336" s="139"/>
      <c r="Z336" s="139"/>
    </row>
    <row r="337" ht="15.75" customHeight="1">
      <c r="A337" s="139"/>
      <c r="B337" s="139"/>
      <c r="C337" s="183"/>
      <c r="D337" s="183"/>
      <c r="E337" s="183"/>
      <c r="F337" s="183"/>
      <c r="G337" s="183"/>
      <c r="H337" s="184"/>
      <c r="I337" s="139"/>
      <c r="J337" s="139"/>
      <c r="K337" s="139"/>
      <c r="L337" s="139"/>
      <c r="M337" s="139"/>
      <c r="N337" s="139"/>
      <c r="O337" s="139"/>
      <c r="P337" s="139"/>
      <c r="Q337" s="139"/>
      <c r="R337" s="139"/>
      <c r="S337" s="139"/>
      <c r="T337" s="139"/>
      <c r="U337" s="139"/>
      <c r="V337" s="139"/>
      <c r="W337" s="139"/>
      <c r="X337" s="139"/>
      <c r="Y337" s="139"/>
      <c r="Z337" s="139"/>
    </row>
    <row r="338" ht="15.75" customHeight="1">
      <c r="A338" s="139"/>
      <c r="B338" s="139"/>
      <c r="C338" s="183"/>
      <c r="D338" s="183"/>
      <c r="E338" s="183"/>
      <c r="F338" s="183"/>
      <c r="G338" s="183"/>
      <c r="H338" s="184"/>
      <c r="I338" s="139"/>
      <c r="J338" s="139"/>
      <c r="K338" s="139"/>
      <c r="L338" s="139"/>
      <c r="M338" s="139"/>
      <c r="N338" s="139"/>
      <c r="O338" s="139"/>
      <c r="P338" s="139"/>
      <c r="Q338" s="139"/>
      <c r="R338" s="139"/>
      <c r="S338" s="139"/>
      <c r="T338" s="139"/>
      <c r="U338" s="139"/>
      <c r="V338" s="139"/>
      <c r="W338" s="139"/>
      <c r="X338" s="139"/>
      <c r="Y338" s="139"/>
      <c r="Z338" s="139"/>
    </row>
    <row r="339" ht="15.75" customHeight="1">
      <c r="A339" s="139"/>
      <c r="B339" s="139"/>
      <c r="C339" s="183"/>
      <c r="D339" s="183"/>
      <c r="E339" s="183"/>
      <c r="F339" s="183"/>
      <c r="G339" s="183"/>
      <c r="H339" s="184"/>
      <c r="I339" s="139"/>
      <c r="J339" s="139"/>
      <c r="K339" s="139"/>
      <c r="L339" s="139"/>
      <c r="M339" s="139"/>
      <c r="N339" s="139"/>
      <c r="O339" s="139"/>
      <c r="P339" s="139"/>
      <c r="Q339" s="139"/>
      <c r="R339" s="139"/>
      <c r="S339" s="139"/>
      <c r="T339" s="139"/>
      <c r="U339" s="139"/>
      <c r="V339" s="139"/>
      <c r="W339" s="139"/>
      <c r="X339" s="139"/>
      <c r="Y339" s="139"/>
      <c r="Z339" s="139"/>
    </row>
    <row r="340" ht="15.75" customHeight="1">
      <c r="A340" s="139"/>
      <c r="B340" s="139"/>
      <c r="C340" s="183"/>
      <c r="D340" s="183"/>
      <c r="E340" s="183"/>
      <c r="F340" s="183"/>
      <c r="G340" s="183"/>
      <c r="H340" s="184"/>
      <c r="I340" s="139"/>
      <c r="J340" s="139"/>
      <c r="K340" s="139"/>
      <c r="L340" s="139"/>
      <c r="M340" s="139"/>
      <c r="N340" s="139"/>
      <c r="O340" s="139"/>
      <c r="P340" s="139"/>
      <c r="Q340" s="139"/>
      <c r="R340" s="139"/>
      <c r="S340" s="139"/>
      <c r="T340" s="139"/>
      <c r="U340" s="139"/>
      <c r="V340" s="139"/>
      <c r="W340" s="139"/>
      <c r="X340" s="139"/>
      <c r="Y340" s="139"/>
      <c r="Z340" s="139"/>
    </row>
    <row r="341" ht="15.75" customHeight="1">
      <c r="A341" s="139"/>
      <c r="B341" s="139"/>
      <c r="C341" s="183"/>
      <c r="D341" s="183"/>
      <c r="E341" s="183"/>
      <c r="F341" s="183"/>
      <c r="G341" s="183"/>
      <c r="H341" s="184"/>
      <c r="I341" s="139"/>
      <c r="J341" s="139"/>
      <c r="K341" s="139"/>
      <c r="L341" s="139"/>
      <c r="M341" s="139"/>
      <c r="N341" s="139"/>
      <c r="O341" s="139"/>
      <c r="P341" s="139"/>
      <c r="Q341" s="139"/>
      <c r="R341" s="139"/>
      <c r="S341" s="139"/>
      <c r="T341" s="139"/>
      <c r="U341" s="139"/>
      <c r="V341" s="139"/>
      <c r="W341" s="139"/>
      <c r="X341" s="139"/>
      <c r="Y341" s="139"/>
      <c r="Z341" s="139"/>
    </row>
    <row r="342" ht="15.75" customHeight="1">
      <c r="A342" s="139"/>
      <c r="B342" s="139"/>
      <c r="C342" s="183"/>
      <c r="D342" s="183"/>
      <c r="E342" s="183"/>
      <c r="F342" s="183"/>
      <c r="G342" s="183"/>
      <c r="H342" s="184"/>
      <c r="I342" s="139"/>
      <c r="J342" s="139"/>
      <c r="K342" s="139"/>
      <c r="L342" s="139"/>
      <c r="M342" s="139"/>
      <c r="N342" s="139"/>
      <c r="O342" s="139"/>
      <c r="P342" s="139"/>
      <c r="Q342" s="139"/>
      <c r="R342" s="139"/>
      <c r="S342" s="139"/>
      <c r="T342" s="139"/>
      <c r="U342" s="139"/>
      <c r="V342" s="139"/>
      <c r="W342" s="139"/>
      <c r="X342" s="139"/>
      <c r="Y342" s="139"/>
      <c r="Z342" s="139"/>
    </row>
    <row r="343" ht="15.75" customHeight="1">
      <c r="A343" s="139"/>
      <c r="B343" s="139"/>
      <c r="C343" s="183"/>
      <c r="D343" s="183"/>
      <c r="E343" s="183"/>
      <c r="F343" s="183"/>
      <c r="G343" s="183"/>
      <c r="H343" s="184"/>
      <c r="I343" s="139"/>
      <c r="J343" s="139"/>
      <c r="K343" s="139"/>
      <c r="L343" s="139"/>
      <c r="M343" s="139"/>
      <c r="N343" s="139"/>
      <c r="O343" s="139"/>
      <c r="P343" s="139"/>
      <c r="Q343" s="139"/>
      <c r="R343" s="139"/>
      <c r="S343" s="139"/>
      <c r="T343" s="139"/>
      <c r="U343" s="139"/>
      <c r="V343" s="139"/>
      <c r="W343" s="139"/>
      <c r="X343" s="139"/>
      <c r="Y343" s="139"/>
      <c r="Z343" s="139"/>
    </row>
    <row r="344" ht="15.75" customHeight="1">
      <c r="A344" s="139"/>
      <c r="B344" s="139"/>
      <c r="C344" s="183"/>
      <c r="D344" s="183"/>
      <c r="E344" s="183"/>
      <c r="F344" s="183"/>
      <c r="G344" s="183"/>
      <c r="H344" s="184"/>
      <c r="I344" s="139"/>
      <c r="J344" s="139"/>
      <c r="K344" s="139"/>
      <c r="L344" s="139"/>
      <c r="M344" s="139"/>
      <c r="N344" s="139"/>
      <c r="O344" s="139"/>
      <c r="P344" s="139"/>
      <c r="Q344" s="139"/>
      <c r="R344" s="139"/>
      <c r="S344" s="139"/>
      <c r="T344" s="139"/>
      <c r="U344" s="139"/>
      <c r="V344" s="139"/>
      <c r="W344" s="139"/>
      <c r="X344" s="139"/>
      <c r="Y344" s="139"/>
      <c r="Z344" s="139"/>
    </row>
    <row r="345" ht="15.75" customHeight="1">
      <c r="A345" s="139"/>
      <c r="B345" s="139"/>
      <c r="C345" s="183"/>
      <c r="D345" s="183"/>
      <c r="E345" s="183"/>
      <c r="F345" s="183"/>
      <c r="G345" s="183"/>
      <c r="H345" s="184"/>
      <c r="I345" s="139"/>
      <c r="J345" s="139"/>
      <c r="K345" s="139"/>
      <c r="L345" s="139"/>
      <c r="M345" s="139"/>
      <c r="N345" s="139"/>
      <c r="O345" s="139"/>
      <c r="P345" s="139"/>
      <c r="Q345" s="139"/>
      <c r="R345" s="139"/>
      <c r="S345" s="139"/>
      <c r="T345" s="139"/>
      <c r="U345" s="139"/>
      <c r="V345" s="139"/>
      <c r="W345" s="139"/>
      <c r="X345" s="139"/>
      <c r="Y345" s="139"/>
      <c r="Z345" s="139"/>
    </row>
    <row r="346" ht="15.75" customHeight="1">
      <c r="A346" s="139"/>
      <c r="B346" s="139"/>
      <c r="C346" s="183"/>
      <c r="D346" s="183"/>
      <c r="E346" s="183"/>
      <c r="F346" s="183"/>
      <c r="G346" s="183"/>
      <c r="H346" s="184"/>
      <c r="I346" s="139"/>
      <c r="J346" s="139"/>
      <c r="K346" s="139"/>
      <c r="L346" s="139"/>
      <c r="M346" s="139"/>
      <c r="N346" s="139"/>
      <c r="O346" s="139"/>
      <c r="P346" s="139"/>
      <c r="Q346" s="139"/>
      <c r="R346" s="139"/>
      <c r="S346" s="139"/>
      <c r="T346" s="139"/>
      <c r="U346" s="139"/>
      <c r="V346" s="139"/>
      <c r="W346" s="139"/>
      <c r="X346" s="139"/>
      <c r="Y346" s="139"/>
      <c r="Z346" s="139"/>
    </row>
    <row r="347" ht="15.75" customHeight="1">
      <c r="A347" s="139"/>
      <c r="B347" s="139"/>
      <c r="C347" s="183"/>
      <c r="D347" s="183"/>
      <c r="E347" s="183"/>
      <c r="F347" s="183"/>
      <c r="G347" s="183"/>
      <c r="H347" s="184"/>
      <c r="I347" s="139"/>
      <c r="J347" s="139"/>
      <c r="K347" s="139"/>
      <c r="L347" s="139"/>
      <c r="M347" s="139"/>
      <c r="N347" s="139"/>
      <c r="O347" s="139"/>
      <c r="P347" s="139"/>
      <c r="Q347" s="139"/>
      <c r="R347" s="139"/>
      <c r="S347" s="139"/>
      <c r="T347" s="139"/>
      <c r="U347" s="139"/>
      <c r="V347" s="139"/>
      <c r="W347" s="139"/>
      <c r="X347" s="139"/>
      <c r="Y347" s="139"/>
      <c r="Z347" s="139"/>
    </row>
    <row r="348" ht="15.75" customHeight="1">
      <c r="A348" s="139"/>
      <c r="B348" s="139"/>
      <c r="C348" s="183"/>
      <c r="D348" s="183"/>
      <c r="E348" s="183"/>
      <c r="F348" s="183"/>
      <c r="G348" s="183"/>
      <c r="H348" s="184"/>
      <c r="I348" s="139"/>
      <c r="J348" s="139"/>
      <c r="K348" s="139"/>
      <c r="L348" s="139"/>
      <c r="M348" s="139"/>
      <c r="N348" s="139"/>
      <c r="O348" s="139"/>
      <c r="P348" s="139"/>
      <c r="Q348" s="139"/>
      <c r="R348" s="139"/>
      <c r="S348" s="139"/>
      <c r="T348" s="139"/>
      <c r="U348" s="139"/>
      <c r="V348" s="139"/>
      <c r="W348" s="139"/>
      <c r="X348" s="139"/>
      <c r="Y348" s="139"/>
      <c r="Z348" s="139"/>
    </row>
    <row r="349" ht="15.75" customHeight="1">
      <c r="A349" s="139"/>
      <c r="B349" s="139"/>
      <c r="C349" s="183"/>
      <c r="D349" s="183"/>
      <c r="E349" s="183"/>
      <c r="F349" s="183"/>
      <c r="G349" s="183"/>
      <c r="H349" s="184"/>
      <c r="I349" s="139"/>
      <c r="J349" s="139"/>
      <c r="K349" s="139"/>
      <c r="L349" s="139"/>
      <c r="M349" s="139"/>
      <c r="N349" s="139"/>
      <c r="O349" s="139"/>
      <c r="P349" s="139"/>
      <c r="Q349" s="139"/>
      <c r="R349" s="139"/>
      <c r="S349" s="139"/>
      <c r="T349" s="139"/>
      <c r="U349" s="139"/>
      <c r="V349" s="139"/>
      <c r="W349" s="139"/>
      <c r="X349" s="139"/>
      <c r="Y349" s="139"/>
      <c r="Z349" s="139"/>
    </row>
    <row r="350" ht="15.75" customHeight="1">
      <c r="A350" s="139"/>
      <c r="B350" s="139"/>
      <c r="C350" s="183"/>
      <c r="D350" s="183"/>
      <c r="E350" s="183"/>
      <c r="F350" s="183"/>
      <c r="G350" s="183"/>
      <c r="H350" s="184"/>
      <c r="I350" s="139"/>
      <c r="J350" s="139"/>
      <c r="K350" s="139"/>
      <c r="L350" s="139"/>
      <c r="M350" s="139"/>
      <c r="N350" s="139"/>
      <c r="O350" s="139"/>
      <c r="P350" s="139"/>
      <c r="Q350" s="139"/>
      <c r="R350" s="139"/>
      <c r="S350" s="139"/>
      <c r="T350" s="139"/>
      <c r="U350" s="139"/>
      <c r="V350" s="139"/>
      <c r="W350" s="139"/>
      <c r="X350" s="139"/>
      <c r="Y350" s="139"/>
      <c r="Z350" s="139"/>
    </row>
    <row r="351" ht="15.75" customHeight="1">
      <c r="A351" s="139"/>
      <c r="B351" s="139"/>
      <c r="C351" s="183"/>
      <c r="D351" s="183"/>
      <c r="E351" s="183"/>
      <c r="F351" s="183"/>
      <c r="G351" s="183"/>
      <c r="H351" s="184"/>
      <c r="I351" s="139"/>
      <c r="J351" s="139"/>
      <c r="K351" s="139"/>
      <c r="L351" s="139"/>
      <c r="M351" s="139"/>
      <c r="N351" s="139"/>
      <c r="O351" s="139"/>
      <c r="P351" s="139"/>
      <c r="Q351" s="139"/>
      <c r="R351" s="139"/>
      <c r="S351" s="139"/>
      <c r="T351" s="139"/>
      <c r="U351" s="139"/>
      <c r="V351" s="139"/>
      <c r="W351" s="139"/>
      <c r="X351" s="139"/>
      <c r="Y351" s="139"/>
      <c r="Z351" s="139"/>
    </row>
    <row r="352" ht="15.75" customHeight="1">
      <c r="A352" s="139"/>
      <c r="B352" s="139"/>
      <c r="C352" s="183"/>
      <c r="D352" s="183"/>
      <c r="E352" s="183"/>
      <c r="F352" s="183"/>
      <c r="G352" s="183"/>
      <c r="H352" s="184"/>
      <c r="I352" s="139"/>
      <c r="J352" s="139"/>
      <c r="K352" s="139"/>
      <c r="L352" s="139"/>
      <c r="M352" s="139"/>
      <c r="N352" s="139"/>
      <c r="O352" s="139"/>
      <c r="P352" s="139"/>
      <c r="Q352" s="139"/>
      <c r="R352" s="139"/>
      <c r="S352" s="139"/>
      <c r="T352" s="139"/>
      <c r="U352" s="139"/>
      <c r="V352" s="139"/>
      <c r="W352" s="139"/>
      <c r="X352" s="139"/>
      <c r="Y352" s="139"/>
      <c r="Z352" s="139"/>
    </row>
    <row r="353" ht="15.75" customHeight="1">
      <c r="A353" s="139"/>
      <c r="B353" s="139"/>
      <c r="C353" s="183"/>
      <c r="D353" s="183"/>
      <c r="E353" s="183"/>
      <c r="F353" s="183"/>
      <c r="G353" s="183"/>
      <c r="H353" s="184"/>
      <c r="I353" s="139"/>
      <c r="J353" s="139"/>
      <c r="K353" s="139"/>
      <c r="L353" s="139"/>
      <c r="M353" s="139"/>
      <c r="N353" s="139"/>
      <c r="O353" s="139"/>
      <c r="P353" s="139"/>
      <c r="Q353" s="139"/>
      <c r="R353" s="139"/>
      <c r="S353" s="139"/>
      <c r="T353" s="139"/>
      <c r="U353" s="139"/>
      <c r="V353" s="139"/>
      <c r="W353" s="139"/>
      <c r="X353" s="139"/>
      <c r="Y353" s="139"/>
      <c r="Z353" s="139"/>
    </row>
    <row r="354" ht="15.75" customHeight="1">
      <c r="A354" s="139"/>
      <c r="B354" s="139"/>
      <c r="C354" s="183"/>
      <c r="D354" s="183"/>
      <c r="E354" s="183"/>
      <c r="F354" s="183"/>
      <c r="G354" s="183"/>
      <c r="H354" s="184"/>
      <c r="I354" s="139"/>
      <c r="J354" s="139"/>
      <c r="K354" s="139"/>
      <c r="L354" s="139"/>
      <c r="M354" s="139"/>
      <c r="N354" s="139"/>
      <c r="O354" s="139"/>
      <c r="P354" s="139"/>
      <c r="Q354" s="139"/>
      <c r="R354" s="139"/>
      <c r="S354" s="139"/>
      <c r="T354" s="139"/>
      <c r="U354" s="139"/>
      <c r="V354" s="139"/>
      <c r="W354" s="139"/>
      <c r="X354" s="139"/>
      <c r="Y354" s="139"/>
      <c r="Z354" s="139"/>
    </row>
    <row r="355" ht="15.75" customHeight="1">
      <c r="A355" s="139"/>
      <c r="B355" s="139"/>
      <c r="C355" s="183"/>
      <c r="D355" s="183"/>
      <c r="E355" s="183"/>
      <c r="F355" s="183"/>
      <c r="G355" s="183"/>
      <c r="H355" s="184"/>
      <c r="I355" s="139"/>
      <c r="J355" s="139"/>
      <c r="K355" s="139"/>
      <c r="L355" s="139"/>
      <c r="M355" s="139"/>
      <c r="N355" s="139"/>
      <c r="O355" s="139"/>
      <c r="P355" s="139"/>
      <c r="Q355" s="139"/>
      <c r="R355" s="139"/>
      <c r="S355" s="139"/>
      <c r="T355" s="139"/>
      <c r="U355" s="139"/>
      <c r="V355" s="139"/>
      <c r="W355" s="139"/>
      <c r="X355" s="139"/>
      <c r="Y355" s="139"/>
      <c r="Z355" s="139"/>
    </row>
    <row r="356" ht="15.75" customHeight="1">
      <c r="A356" s="139"/>
      <c r="B356" s="139"/>
      <c r="C356" s="183"/>
      <c r="D356" s="183"/>
      <c r="E356" s="183"/>
      <c r="F356" s="183"/>
      <c r="G356" s="183"/>
      <c r="H356" s="184"/>
      <c r="I356" s="139"/>
      <c r="J356" s="139"/>
      <c r="K356" s="139"/>
      <c r="L356" s="139"/>
      <c r="M356" s="139"/>
      <c r="N356" s="139"/>
      <c r="O356" s="139"/>
      <c r="P356" s="139"/>
      <c r="Q356" s="139"/>
      <c r="R356" s="139"/>
      <c r="S356" s="139"/>
      <c r="T356" s="139"/>
      <c r="U356" s="139"/>
      <c r="V356" s="139"/>
      <c r="W356" s="139"/>
      <c r="X356" s="139"/>
      <c r="Y356" s="139"/>
      <c r="Z356" s="139"/>
    </row>
    <row r="357" ht="15.75" customHeight="1">
      <c r="A357" s="139"/>
      <c r="B357" s="139"/>
      <c r="C357" s="183"/>
      <c r="D357" s="183"/>
      <c r="E357" s="183"/>
      <c r="F357" s="183"/>
      <c r="G357" s="183"/>
      <c r="H357" s="184"/>
      <c r="I357" s="139"/>
      <c r="J357" s="139"/>
      <c r="K357" s="139"/>
      <c r="L357" s="139"/>
      <c r="M357" s="139"/>
      <c r="N357" s="139"/>
      <c r="O357" s="139"/>
      <c r="P357" s="139"/>
      <c r="Q357" s="139"/>
      <c r="R357" s="139"/>
      <c r="S357" s="139"/>
      <c r="T357" s="139"/>
      <c r="U357" s="139"/>
      <c r="V357" s="139"/>
      <c r="W357" s="139"/>
      <c r="X357" s="139"/>
      <c r="Y357" s="139"/>
      <c r="Z357" s="139"/>
    </row>
    <row r="358" ht="15.75" customHeight="1">
      <c r="A358" s="139"/>
      <c r="B358" s="139"/>
      <c r="C358" s="183"/>
      <c r="D358" s="183"/>
      <c r="E358" s="183"/>
      <c r="F358" s="183"/>
      <c r="G358" s="183"/>
      <c r="H358" s="184"/>
      <c r="I358" s="139"/>
      <c r="J358" s="139"/>
      <c r="K358" s="139"/>
      <c r="L358" s="139"/>
      <c r="M358" s="139"/>
      <c r="N358" s="139"/>
      <c r="O358" s="139"/>
      <c r="P358" s="139"/>
      <c r="Q358" s="139"/>
      <c r="R358" s="139"/>
      <c r="S358" s="139"/>
      <c r="T358" s="139"/>
      <c r="U358" s="139"/>
      <c r="V358" s="139"/>
      <c r="W358" s="139"/>
      <c r="X358" s="139"/>
      <c r="Y358" s="139"/>
      <c r="Z358" s="139"/>
    </row>
    <row r="359" ht="15.75" customHeight="1">
      <c r="A359" s="139"/>
      <c r="B359" s="139"/>
      <c r="C359" s="183"/>
      <c r="D359" s="183"/>
      <c r="E359" s="183"/>
      <c r="F359" s="183"/>
      <c r="G359" s="183"/>
      <c r="H359" s="184"/>
      <c r="I359" s="139"/>
      <c r="J359" s="139"/>
      <c r="K359" s="139"/>
      <c r="L359" s="139"/>
      <c r="M359" s="139"/>
      <c r="N359" s="139"/>
      <c r="O359" s="139"/>
      <c r="P359" s="139"/>
      <c r="Q359" s="139"/>
      <c r="R359" s="139"/>
      <c r="S359" s="139"/>
      <c r="T359" s="139"/>
      <c r="U359" s="139"/>
      <c r="V359" s="139"/>
      <c r="W359" s="139"/>
      <c r="X359" s="139"/>
      <c r="Y359" s="139"/>
      <c r="Z359" s="139"/>
    </row>
    <row r="360" ht="15.75" customHeight="1">
      <c r="A360" s="139"/>
      <c r="B360" s="139"/>
      <c r="C360" s="183"/>
      <c r="D360" s="183"/>
      <c r="E360" s="183"/>
      <c r="F360" s="183"/>
      <c r="G360" s="183"/>
      <c r="H360" s="184"/>
      <c r="I360" s="139"/>
      <c r="J360" s="139"/>
      <c r="K360" s="139"/>
      <c r="L360" s="139"/>
      <c r="M360" s="139"/>
      <c r="N360" s="139"/>
      <c r="O360" s="139"/>
      <c r="P360" s="139"/>
      <c r="Q360" s="139"/>
      <c r="R360" s="139"/>
      <c r="S360" s="139"/>
      <c r="T360" s="139"/>
      <c r="U360" s="139"/>
      <c r="V360" s="139"/>
      <c r="W360" s="139"/>
      <c r="X360" s="139"/>
      <c r="Y360" s="139"/>
      <c r="Z360" s="139"/>
    </row>
    <row r="361" ht="15.75" customHeight="1">
      <c r="A361" s="139"/>
      <c r="B361" s="139"/>
      <c r="C361" s="183"/>
      <c r="D361" s="183"/>
      <c r="E361" s="183"/>
      <c r="F361" s="183"/>
      <c r="G361" s="183"/>
      <c r="H361" s="184"/>
      <c r="I361" s="139"/>
      <c r="J361" s="139"/>
      <c r="K361" s="139"/>
      <c r="L361" s="139"/>
      <c r="M361" s="139"/>
      <c r="N361" s="139"/>
      <c r="O361" s="139"/>
      <c r="P361" s="139"/>
      <c r="Q361" s="139"/>
      <c r="R361" s="139"/>
      <c r="S361" s="139"/>
      <c r="T361" s="139"/>
      <c r="U361" s="139"/>
      <c r="V361" s="139"/>
      <c r="W361" s="139"/>
      <c r="X361" s="139"/>
      <c r="Y361" s="139"/>
      <c r="Z361" s="139"/>
    </row>
    <row r="362" ht="15.75" customHeight="1">
      <c r="A362" s="139"/>
      <c r="B362" s="139"/>
      <c r="C362" s="183"/>
      <c r="D362" s="183"/>
      <c r="E362" s="183"/>
      <c r="F362" s="183"/>
      <c r="G362" s="183"/>
      <c r="H362" s="184"/>
      <c r="I362" s="139"/>
      <c r="J362" s="139"/>
      <c r="K362" s="139"/>
      <c r="L362" s="139"/>
      <c r="M362" s="139"/>
      <c r="N362" s="139"/>
      <c r="O362" s="139"/>
      <c r="P362" s="139"/>
      <c r="Q362" s="139"/>
      <c r="R362" s="139"/>
      <c r="S362" s="139"/>
      <c r="T362" s="139"/>
      <c r="U362" s="139"/>
      <c r="V362" s="139"/>
      <c r="W362" s="139"/>
      <c r="X362" s="139"/>
      <c r="Y362" s="139"/>
      <c r="Z362" s="139"/>
    </row>
    <row r="363" ht="15.75" customHeight="1">
      <c r="A363" s="139"/>
      <c r="B363" s="139"/>
      <c r="C363" s="183"/>
      <c r="D363" s="183"/>
      <c r="E363" s="183"/>
      <c r="F363" s="183"/>
      <c r="G363" s="183"/>
      <c r="H363" s="184"/>
      <c r="I363" s="139"/>
      <c r="J363" s="139"/>
      <c r="K363" s="139"/>
      <c r="L363" s="139"/>
      <c r="M363" s="139"/>
      <c r="N363" s="139"/>
      <c r="O363" s="139"/>
      <c r="P363" s="139"/>
      <c r="Q363" s="139"/>
      <c r="R363" s="139"/>
      <c r="S363" s="139"/>
      <c r="T363" s="139"/>
      <c r="U363" s="139"/>
      <c r="V363" s="139"/>
      <c r="W363" s="139"/>
      <c r="X363" s="139"/>
      <c r="Y363" s="139"/>
      <c r="Z363" s="139"/>
    </row>
    <row r="364" ht="15.75" customHeight="1">
      <c r="A364" s="139"/>
      <c r="B364" s="139"/>
      <c r="C364" s="183"/>
      <c r="D364" s="183"/>
      <c r="E364" s="183"/>
      <c r="F364" s="183"/>
      <c r="G364" s="183"/>
      <c r="H364" s="184"/>
      <c r="I364" s="139"/>
      <c r="J364" s="139"/>
      <c r="K364" s="139"/>
      <c r="L364" s="139"/>
      <c r="M364" s="139"/>
      <c r="N364" s="139"/>
      <c r="O364" s="139"/>
      <c r="P364" s="139"/>
      <c r="Q364" s="139"/>
      <c r="R364" s="139"/>
      <c r="S364" s="139"/>
      <c r="T364" s="139"/>
      <c r="U364" s="139"/>
      <c r="V364" s="139"/>
      <c r="W364" s="139"/>
      <c r="X364" s="139"/>
      <c r="Y364" s="139"/>
      <c r="Z364" s="139"/>
    </row>
    <row r="365" ht="15.75" customHeight="1">
      <c r="A365" s="139"/>
      <c r="B365" s="139"/>
      <c r="C365" s="183"/>
      <c r="D365" s="183"/>
      <c r="E365" s="183"/>
      <c r="F365" s="183"/>
      <c r="G365" s="183"/>
      <c r="H365" s="184"/>
      <c r="I365" s="139"/>
      <c r="J365" s="139"/>
      <c r="K365" s="139"/>
      <c r="L365" s="139"/>
      <c r="M365" s="139"/>
      <c r="N365" s="139"/>
      <c r="O365" s="139"/>
      <c r="P365" s="139"/>
      <c r="Q365" s="139"/>
      <c r="R365" s="139"/>
      <c r="S365" s="139"/>
      <c r="T365" s="139"/>
      <c r="U365" s="139"/>
      <c r="V365" s="139"/>
      <c r="W365" s="139"/>
      <c r="X365" s="139"/>
      <c r="Y365" s="139"/>
      <c r="Z365" s="139"/>
    </row>
    <row r="366" ht="15.75" customHeight="1">
      <c r="A366" s="139"/>
      <c r="B366" s="139"/>
      <c r="C366" s="183"/>
      <c r="D366" s="183"/>
      <c r="E366" s="183"/>
      <c r="F366" s="183"/>
      <c r="G366" s="183"/>
      <c r="H366" s="184"/>
      <c r="I366" s="139"/>
      <c r="J366" s="139"/>
      <c r="K366" s="139"/>
      <c r="L366" s="139"/>
      <c r="M366" s="139"/>
      <c r="N366" s="139"/>
      <c r="O366" s="139"/>
      <c r="P366" s="139"/>
      <c r="Q366" s="139"/>
      <c r="R366" s="139"/>
      <c r="S366" s="139"/>
      <c r="T366" s="139"/>
      <c r="U366" s="139"/>
      <c r="V366" s="139"/>
      <c r="W366" s="139"/>
      <c r="X366" s="139"/>
      <c r="Y366" s="139"/>
      <c r="Z366" s="139"/>
    </row>
    <row r="367" ht="15.75" customHeight="1">
      <c r="A367" s="139"/>
      <c r="B367" s="139"/>
      <c r="C367" s="183"/>
      <c r="D367" s="183"/>
      <c r="E367" s="183"/>
      <c r="F367" s="183"/>
      <c r="G367" s="183"/>
      <c r="H367" s="184"/>
      <c r="I367" s="139"/>
      <c r="J367" s="139"/>
      <c r="K367" s="139"/>
      <c r="L367" s="139"/>
      <c r="M367" s="139"/>
      <c r="N367" s="139"/>
      <c r="O367" s="139"/>
      <c r="P367" s="139"/>
      <c r="Q367" s="139"/>
      <c r="R367" s="139"/>
      <c r="S367" s="139"/>
      <c r="T367" s="139"/>
      <c r="U367" s="139"/>
      <c r="V367" s="139"/>
      <c r="W367" s="139"/>
      <c r="X367" s="139"/>
      <c r="Y367" s="139"/>
      <c r="Z367" s="139"/>
    </row>
    <row r="368" ht="15.75" customHeight="1">
      <c r="A368" s="139"/>
      <c r="B368" s="139"/>
      <c r="C368" s="183"/>
      <c r="D368" s="183"/>
      <c r="E368" s="183"/>
      <c r="F368" s="183"/>
      <c r="G368" s="183"/>
      <c r="H368" s="184"/>
      <c r="I368" s="139"/>
      <c r="J368" s="139"/>
      <c r="K368" s="139"/>
      <c r="L368" s="139"/>
      <c r="M368" s="139"/>
      <c r="N368" s="139"/>
      <c r="O368" s="139"/>
      <c r="P368" s="139"/>
      <c r="Q368" s="139"/>
      <c r="R368" s="139"/>
      <c r="S368" s="139"/>
      <c r="T368" s="139"/>
      <c r="U368" s="139"/>
      <c r="V368" s="139"/>
      <c r="W368" s="139"/>
      <c r="X368" s="139"/>
      <c r="Y368" s="139"/>
      <c r="Z368" s="139"/>
    </row>
    <row r="369" ht="15.75" customHeight="1">
      <c r="A369" s="139"/>
      <c r="B369" s="139"/>
      <c r="C369" s="183"/>
      <c r="D369" s="183"/>
      <c r="E369" s="183"/>
      <c r="F369" s="183"/>
      <c r="G369" s="183"/>
      <c r="H369" s="184"/>
      <c r="I369" s="139"/>
      <c r="J369" s="139"/>
      <c r="K369" s="139"/>
      <c r="L369" s="139"/>
      <c r="M369" s="139"/>
      <c r="N369" s="139"/>
      <c r="O369" s="139"/>
      <c r="P369" s="139"/>
      <c r="Q369" s="139"/>
      <c r="R369" s="139"/>
      <c r="S369" s="139"/>
      <c r="T369" s="139"/>
      <c r="U369" s="139"/>
      <c r="V369" s="139"/>
      <c r="W369" s="139"/>
      <c r="X369" s="139"/>
      <c r="Y369" s="139"/>
      <c r="Z369" s="139"/>
    </row>
    <row r="370" ht="15.75" customHeight="1">
      <c r="A370" s="139"/>
      <c r="B370" s="139"/>
      <c r="C370" s="183"/>
      <c r="D370" s="183"/>
      <c r="E370" s="183"/>
      <c r="F370" s="183"/>
      <c r="G370" s="183"/>
      <c r="H370" s="184"/>
      <c r="I370" s="139"/>
      <c r="J370" s="139"/>
      <c r="K370" s="139"/>
      <c r="L370" s="139"/>
      <c r="M370" s="139"/>
      <c r="N370" s="139"/>
      <c r="O370" s="139"/>
      <c r="P370" s="139"/>
      <c r="Q370" s="139"/>
      <c r="R370" s="139"/>
      <c r="S370" s="139"/>
      <c r="T370" s="139"/>
      <c r="U370" s="139"/>
      <c r="V370" s="139"/>
      <c r="W370" s="139"/>
      <c r="X370" s="139"/>
      <c r="Y370" s="139"/>
      <c r="Z370" s="139"/>
    </row>
    <row r="371" ht="15.75" customHeight="1">
      <c r="A371" s="139"/>
      <c r="B371" s="139"/>
      <c r="C371" s="183"/>
      <c r="D371" s="183"/>
      <c r="E371" s="183"/>
      <c r="F371" s="183"/>
      <c r="G371" s="183"/>
      <c r="H371" s="184"/>
      <c r="I371" s="139"/>
      <c r="J371" s="139"/>
      <c r="K371" s="139"/>
      <c r="L371" s="139"/>
      <c r="M371" s="139"/>
      <c r="N371" s="139"/>
      <c r="O371" s="139"/>
      <c r="P371" s="139"/>
      <c r="Q371" s="139"/>
      <c r="R371" s="139"/>
      <c r="S371" s="139"/>
      <c r="T371" s="139"/>
      <c r="U371" s="139"/>
      <c r="V371" s="139"/>
      <c r="W371" s="139"/>
      <c r="X371" s="139"/>
      <c r="Y371" s="139"/>
      <c r="Z371" s="139"/>
    </row>
    <row r="372" ht="15.75" customHeight="1">
      <c r="A372" s="139"/>
      <c r="B372" s="139"/>
      <c r="C372" s="183"/>
      <c r="D372" s="183"/>
      <c r="E372" s="183"/>
      <c r="F372" s="183"/>
      <c r="G372" s="183"/>
      <c r="H372" s="184"/>
      <c r="I372" s="139"/>
      <c r="J372" s="139"/>
      <c r="K372" s="139"/>
      <c r="L372" s="139"/>
      <c r="M372" s="139"/>
      <c r="N372" s="139"/>
      <c r="O372" s="139"/>
      <c r="P372" s="139"/>
      <c r="Q372" s="139"/>
      <c r="R372" s="139"/>
      <c r="S372" s="139"/>
      <c r="T372" s="139"/>
      <c r="U372" s="139"/>
      <c r="V372" s="139"/>
      <c r="W372" s="139"/>
      <c r="X372" s="139"/>
      <c r="Y372" s="139"/>
      <c r="Z372" s="139"/>
    </row>
    <row r="373" ht="15.75" customHeight="1">
      <c r="A373" s="139"/>
      <c r="B373" s="139"/>
      <c r="C373" s="183"/>
      <c r="D373" s="183"/>
      <c r="E373" s="183"/>
      <c r="F373" s="183"/>
      <c r="G373" s="183"/>
      <c r="H373" s="184"/>
      <c r="I373" s="139"/>
      <c r="J373" s="139"/>
      <c r="K373" s="139"/>
      <c r="L373" s="139"/>
      <c r="M373" s="139"/>
      <c r="N373" s="139"/>
      <c r="O373" s="139"/>
      <c r="P373" s="139"/>
      <c r="Q373" s="139"/>
      <c r="R373" s="139"/>
      <c r="S373" s="139"/>
      <c r="T373" s="139"/>
      <c r="U373" s="139"/>
      <c r="V373" s="139"/>
      <c r="W373" s="139"/>
      <c r="X373" s="139"/>
      <c r="Y373" s="139"/>
      <c r="Z373" s="139"/>
    </row>
    <row r="374" ht="15.75" customHeight="1">
      <c r="A374" s="139"/>
      <c r="B374" s="139"/>
      <c r="C374" s="183"/>
      <c r="D374" s="183"/>
      <c r="E374" s="183"/>
      <c r="F374" s="183"/>
      <c r="G374" s="183"/>
      <c r="H374" s="184"/>
      <c r="I374" s="139"/>
      <c r="J374" s="139"/>
      <c r="K374" s="139"/>
      <c r="L374" s="139"/>
      <c r="M374" s="139"/>
      <c r="N374" s="139"/>
      <c r="O374" s="139"/>
      <c r="P374" s="139"/>
      <c r="Q374" s="139"/>
      <c r="R374" s="139"/>
      <c r="S374" s="139"/>
      <c r="T374" s="139"/>
      <c r="U374" s="139"/>
      <c r="V374" s="139"/>
      <c r="W374" s="139"/>
      <c r="X374" s="139"/>
      <c r="Y374" s="139"/>
      <c r="Z374" s="139"/>
    </row>
    <row r="375" ht="15.75" customHeight="1">
      <c r="A375" s="139"/>
      <c r="B375" s="139"/>
      <c r="C375" s="183"/>
      <c r="D375" s="183"/>
      <c r="E375" s="183"/>
      <c r="F375" s="183"/>
      <c r="G375" s="183"/>
      <c r="H375" s="184"/>
      <c r="I375" s="139"/>
      <c r="J375" s="139"/>
      <c r="K375" s="139"/>
      <c r="L375" s="139"/>
      <c r="M375" s="139"/>
      <c r="N375" s="139"/>
      <c r="O375" s="139"/>
      <c r="P375" s="139"/>
      <c r="Q375" s="139"/>
      <c r="R375" s="139"/>
      <c r="S375" s="139"/>
      <c r="T375" s="139"/>
      <c r="U375" s="139"/>
      <c r="V375" s="139"/>
      <c r="W375" s="139"/>
      <c r="X375" s="139"/>
      <c r="Y375" s="139"/>
      <c r="Z375" s="139"/>
    </row>
    <row r="376" ht="15.75" customHeight="1">
      <c r="A376" s="139"/>
      <c r="B376" s="139"/>
      <c r="C376" s="183"/>
      <c r="D376" s="183"/>
      <c r="E376" s="183"/>
      <c r="F376" s="183"/>
      <c r="G376" s="183"/>
      <c r="H376" s="184"/>
      <c r="I376" s="139"/>
      <c r="J376" s="139"/>
      <c r="K376" s="139"/>
      <c r="L376" s="139"/>
      <c r="M376" s="139"/>
      <c r="N376" s="139"/>
      <c r="O376" s="139"/>
      <c r="P376" s="139"/>
      <c r="Q376" s="139"/>
      <c r="R376" s="139"/>
      <c r="S376" s="139"/>
      <c r="T376" s="139"/>
      <c r="U376" s="139"/>
      <c r="V376" s="139"/>
      <c r="W376" s="139"/>
      <c r="X376" s="139"/>
      <c r="Y376" s="139"/>
      <c r="Z376" s="139"/>
    </row>
    <row r="377" ht="15.75" customHeight="1">
      <c r="A377" s="139"/>
      <c r="B377" s="139"/>
      <c r="C377" s="183"/>
      <c r="D377" s="183"/>
      <c r="E377" s="183"/>
      <c r="F377" s="183"/>
      <c r="G377" s="183"/>
      <c r="H377" s="184"/>
      <c r="I377" s="139"/>
      <c r="J377" s="139"/>
      <c r="K377" s="139"/>
      <c r="L377" s="139"/>
      <c r="M377" s="139"/>
      <c r="N377" s="139"/>
      <c r="O377" s="139"/>
      <c r="P377" s="139"/>
      <c r="Q377" s="139"/>
      <c r="R377" s="139"/>
      <c r="S377" s="139"/>
      <c r="T377" s="139"/>
      <c r="U377" s="139"/>
      <c r="V377" s="139"/>
      <c r="W377" s="139"/>
      <c r="X377" s="139"/>
      <c r="Y377" s="139"/>
      <c r="Z377" s="139"/>
    </row>
    <row r="378" ht="15.75" customHeight="1">
      <c r="A378" s="139"/>
      <c r="B378" s="139"/>
      <c r="C378" s="183"/>
      <c r="D378" s="183"/>
      <c r="E378" s="183"/>
      <c r="F378" s="183"/>
      <c r="G378" s="183"/>
      <c r="H378" s="184"/>
      <c r="I378" s="139"/>
      <c r="J378" s="139"/>
      <c r="K378" s="139"/>
      <c r="L378" s="139"/>
      <c r="M378" s="139"/>
      <c r="N378" s="139"/>
      <c r="O378" s="139"/>
      <c r="P378" s="139"/>
      <c r="Q378" s="139"/>
      <c r="R378" s="139"/>
      <c r="S378" s="139"/>
      <c r="T378" s="139"/>
      <c r="U378" s="139"/>
      <c r="V378" s="139"/>
      <c r="W378" s="139"/>
      <c r="X378" s="139"/>
      <c r="Y378" s="139"/>
      <c r="Z378" s="139"/>
    </row>
    <row r="379" ht="15.75" customHeight="1">
      <c r="A379" s="139"/>
      <c r="B379" s="139"/>
      <c r="C379" s="183"/>
      <c r="D379" s="183"/>
      <c r="E379" s="183"/>
      <c r="F379" s="183"/>
      <c r="G379" s="183"/>
      <c r="H379" s="184"/>
      <c r="I379" s="139"/>
      <c r="J379" s="139"/>
      <c r="K379" s="139"/>
      <c r="L379" s="139"/>
      <c r="M379" s="139"/>
      <c r="N379" s="139"/>
      <c r="O379" s="139"/>
      <c r="P379" s="139"/>
      <c r="Q379" s="139"/>
      <c r="R379" s="139"/>
      <c r="S379" s="139"/>
      <c r="T379" s="139"/>
      <c r="U379" s="139"/>
      <c r="V379" s="139"/>
      <c r="W379" s="139"/>
      <c r="X379" s="139"/>
      <c r="Y379" s="139"/>
      <c r="Z379" s="139"/>
    </row>
    <row r="380" ht="15.75" customHeight="1">
      <c r="A380" s="139"/>
      <c r="B380" s="139"/>
      <c r="C380" s="183"/>
      <c r="D380" s="183"/>
      <c r="E380" s="183"/>
      <c r="F380" s="183"/>
      <c r="G380" s="183"/>
      <c r="H380" s="184"/>
      <c r="I380" s="139"/>
      <c r="J380" s="139"/>
      <c r="K380" s="139"/>
      <c r="L380" s="139"/>
      <c r="M380" s="139"/>
      <c r="N380" s="139"/>
      <c r="O380" s="139"/>
      <c r="P380" s="139"/>
      <c r="Q380" s="139"/>
      <c r="R380" s="139"/>
      <c r="S380" s="139"/>
      <c r="T380" s="139"/>
      <c r="U380" s="139"/>
      <c r="V380" s="139"/>
      <c r="W380" s="139"/>
      <c r="X380" s="139"/>
      <c r="Y380" s="139"/>
      <c r="Z380" s="139"/>
    </row>
    <row r="381" ht="15.75" customHeight="1">
      <c r="A381" s="139"/>
      <c r="B381" s="139"/>
      <c r="C381" s="183"/>
      <c r="D381" s="183"/>
      <c r="E381" s="183"/>
      <c r="F381" s="183"/>
      <c r="G381" s="183"/>
      <c r="H381" s="184"/>
      <c r="I381" s="139"/>
      <c r="J381" s="139"/>
      <c r="K381" s="139"/>
      <c r="L381" s="139"/>
      <c r="M381" s="139"/>
      <c r="N381" s="139"/>
      <c r="O381" s="139"/>
      <c r="P381" s="139"/>
      <c r="Q381" s="139"/>
      <c r="R381" s="139"/>
      <c r="S381" s="139"/>
      <c r="T381" s="139"/>
      <c r="U381" s="139"/>
      <c r="V381" s="139"/>
      <c r="W381" s="139"/>
      <c r="X381" s="139"/>
      <c r="Y381" s="139"/>
      <c r="Z381" s="139"/>
    </row>
    <row r="382" ht="15.75" customHeight="1">
      <c r="A382" s="139"/>
      <c r="B382" s="139"/>
      <c r="C382" s="183"/>
      <c r="D382" s="183"/>
      <c r="E382" s="183"/>
      <c r="F382" s="183"/>
      <c r="G382" s="183"/>
      <c r="H382" s="184"/>
      <c r="I382" s="139"/>
      <c r="J382" s="139"/>
      <c r="K382" s="139"/>
      <c r="L382" s="139"/>
      <c r="M382" s="139"/>
      <c r="N382" s="139"/>
      <c r="O382" s="139"/>
      <c r="P382" s="139"/>
      <c r="Q382" s="139"/>
      <c r="R382" s="139"/>
      <c r="S382" s="139"/>
      <c r="T382" s="139"/>
      <c r="U382" s="139"/>
      <c r="V382" s="139"/>
      <c r="W382" s="139"/>
      <c r="X382" s="139"/>
      <c r="Y382" s="139"/>
      <c r="Z382" s="139"/>
    </row>
    <row r="383" ht="15.75" customHeight="1">
      <c r="A383" s="139"/>
      <c r="B383" s="139"/>
      <c r="C383" s="183"/>
      <c r="D383" s="183"/>
      <c r="E383" s="183"/>
      <c r="F383" s="183"/>
      <c r="G383" s="183"/>
      <c r="H383" s="184"/>
      <c r="I383" s="139"/>
      <c r="J383" s="139"/>
      <c r="K383" s="139"/>
      <c r="L383" s="139"/>
      <c r="M383" s="139"/>
      <c r="N383" s="139"/>
      <c r="O383" s="139"/>
      <c r="P383" s="139"/>
      <c r="Q383" s="139"/>
      <c r="R383" s="139"/>
      <c r="S383" s="139"/>
      <c r="T383" s="139"/>
      <c r="U383" s="139"/>
      <c r="V383" s="139"/>
      <c r="W383" s="139"/>
      <c r="X383" s="139"/>
      <c r="Y383" s="139"/>
      <c r="Z383" s="139"/>
    </row>
    <row r="384" ht="15.75" customHeight="1">
      <c r="A384" s="139"/>
      <c r="B384" s="139"/>
      <c r="C384" s="183"/>
      <c r="D384" s="183"/>
      <c r="E384" s="183"/>
      <c r="F384" s="183"/>
      <c r="G384" s="183"/>
      <c r="H384" s="184"/>
      <c r="I384" s="139"/>
      <c r="J384" s="139"/>
      <c r="K384" s="139"/>
      <c r="L384" s="139"/>
      <c r="M384" s="139"/>
      <c r="N384" s="139"/>
      <c r="O384" s="139"/>
      <c r="P384" s="139"/>
      <c r="Q384" s="139"/>
      <c r="R384" s="139"/>
      <c r="S384" s="139"/>
      <c r="T384" s="139"/>
      <c r="U384" s="139"/>
      <c r="V384" s="139"/>
      <c r="W384" s="139"/>
      <c r="X384" s="139"/>
      <c r="Y384" s="139"/>
      <c r="Z384" s="139"/>
    </row>
    <row r="385" ht="15.75" customHeight="1">
      <c r="A385" s="139"/>
      <c r="B385" s="139"/>
      <c r="C385" s="183"/>
      <c r="D385" s="183"/>
      <c r="E385" s="183"/>
      <c r="F385" s="183"/>
      <c r="G385" s="183"/>
      <c r="H385" s="184"/>
      <c r="I385" s="139"/>
      <c r="J385" s="139"/>
      <c r="K385" s="139"/>
      <c r="L385" s="139"/>
      <c r="M385" s="139"/>
      <c r="N385" s="139"/>
      <c r="O385" s="139"/>
      <c r="P385" s="139"/>
      <c r="Q385" s="139"/>
      <c r="R385" s="139"/>
      <c r="S385" s="139"/>
      <c r="T385" s="139"/>
      <c r="U385" s="139"/>
      <c r="V385" s="139"/>
      <c r="W385" s="139"/>
      <c r="X385" s="139"/>
      <c r="Y385" s="139"/>
      <c r="Z385" s="139"/>
    </row>
    <row r="386" ht="15.75" customHeight="1">
      <c r="A386" s="139"/>
      <c r="B386" s="139"/>
      <c r="C386" s="183"/>
      <c r="D386" s="183"/>
      <c r="E386" s="183"/>
      <c r="F386" s="183"/>
      <c r="G386" s="183"/>
      <c r="H386" s="184"/>
      <c r="I386" s="139"/>
      <c r="J386" s="139"/>
      <c r="K386" s="139"/>
      <c r="L386" s="139"/>
      <c r="M386" s="139"/>
      <c r="N386" s="139"/>
      <c r="O386" s="139"/>
      <c r="P386" s="139"/>
      <c r="Q386" s="139"/>
      <c r="R386" s="139"/>
      <c r="S386" s="139"/>
      <c r="T386" s="139"/>
      <c r="U386" s="139"/>
      <c r="V386" s="139"/>
      <c r="W386" s="139"/>
      <c r="X386" s="139"/>
      <c r="Y386" s="139"/>
      <c r="Z386" s="139"/>
    </row>
    <row r="387" ht="15.75" customHeight="1">
      <c r="A387" s="139"/>
      <c r="B387" s="139"/>
      <c r="C387" s="183"/>
      <c r="D387" s="183"/>
      <c r="E387" s="183"/>
      <c r="F387" s="183"/>
      <c r="G387" s="183"/>
      <c r="H387" s="184"/>
      <c r="I387" s="139"/>
      <c r="J387" s="139"/>
      <c r="K387" s="139"/>
      <c r="L387" s="139"/>
      <c r="M387" s="139"/>
      <c r="N387" s="139"/>
      <c r="O387" s="139"/>
      <c r="P387" s="139"/>
      <c r="Q387" s="139"/>
      <c r="R387" s="139"/>
      <c r="S387" s="139"/>
      <c r="T387" s="139"/>
      <c r="U387" s="139"/>
      <c r="V387" s="139"/>
      <c r="W387" s="139"/>
      <c r="X387" s="139"/>
      <c r="Y387" s="139"/>
      <c r="Z387" s="139"/>
    </row>
    <row r="388" ht="15.75" customHeight="1">
      <c r="A388" s="139"/>
      <c r="B388" s="139"/>
      <c r="C388" s="183"/>
      <c r="D388" s="183"/>
      <c r="E388" s="183"/>
      <c r="F388" s="183"/>
      <c r="G388" s="183"/>
      <c r="H388" s="184"/>
      <c r="I388" s="139"/>
      <c r="J388" s="139"/>
      <c r="K388" s="139"/>
      <c r="L388" s="139"/>
      <c r="M388" s="139"/>
      <c r="N388" s="139"/>
      <c r="O388" s="139"/>
      <c r="P388" s="139"/>
      <c r="Q388" s="139"/>
      <c r="R388" s="139"/>
      <c r="S388" s="139"/>
      <c r="T388" s="139"/>
      <c r="U388" s="139"/>
      <c r="V388" s="139"/>
      <c r="W388" s="139"/>
      <c r="X388" s="139"/>
      <c r="Y388" s="139"/>
      <c r="Z388" s="139"/>
    </row>
    <row r="389" ht="15.75" customHeight="1">
      <c r="A389" s="139"/>
      <c r="B389" s="139"/>
      <c r="C389" s="183"/>
      <c r="D389" s="183"/>
      <c r="E389" s="183"/>
      <c r="F389" s="183"/>
      <c r="G389" s="183"/>
      <c r="H389" s="184"/>
      <c r="I389" s="139"/>
      <c r="J389" s="139"/>
      <c r="K389" s="139"/>
      <c r="L389" s="139"/>
      <c r="M389" s="139"/>
      <c r="N389" s="139"/>
      <c r="O389" s="139"/>
      <c r="P389" s="139"/>
      <c r="Q389" s="139"/>
      <c r="R389" s="139"/>
      <c r="S389" s="139"/>
      <c r="T389" s="139"/>
      <c r="U389" s="139"/>
      <c r="V389" s="139"/>
      <c r="W389" s="139"/>
      <c r="X389" s="139"/>
      <c r="Y389" s="139"/>
      <c r="Z389" s="139"/>
    </row>
    <row r="390" ht="15.75" customHeight="1">
      <c r="A390" s="139"/>
      <c r="B390" s="139"/>
      <c r="C390" s="183"/>
      <c r="D390" s="183"/>
      <c r="E390" s="183"/>
      <c r="F390" s="183"/>
      <c r="G390" s="183"/>
      <c r="H390" s="184"/>
      <c r="I390" s="139"/>
      <c r="J390" s="139"/>
      <c r="K390" s="139"/>
      <c r="L390" s="139"/>
      <c r="M390" s="139"/>
      <c r="N390" s="139"/>
      <c r="O390" s="139"/>
      <c r="P390" s="139"/>
      <c r="Q390" s="139"/>
      <c r="R390" s="139"/>
      <c r="S390" s="139"/>
      <c r="T390" s="139"/>
      <c r="U390" s="139"/>
      <c r="V390" s="139"/>
      <c r="W390" s="139"/>
      <c r="X390" s="139"/>
      <c r="Y390" s="139"/>
      <c r="Z390" s="139"/>
    </row>
    <row r="391" ht="15.75" customHeight="1">
      <c r="A391" s="139"/>
      <c r="B391" s="139"/>
      <c r="C391" s="183"/>
      <c r="D391" s="183"/>
      <c r="E391" s="183"/>
      <c r="F391" s="183"/>
      <c r="G391" s="183"/>
      <c r="H391" s="184"/>
      <c r="I391" s="139"/>
      <c r="J391" s="139"/>
      <c r="K391" s="139"/>
      <c r="L391" s="139"/>
      <c r="M391" s="139"/>
      <c r="N391" s="139"/>
      <c r="O391" s="139"/>
      <c r="P391" s="139"/>
      <c r="Q391" s="139"/>
      <c r="R391" s="139"/>
      <c r="S391" s="139"/>
      <c r="T391" s="139"/>
      <c r="U391" s="139"/>
      <c r="V391" s="139"/>
      <c r="W391" s="139"/>
      <c r="X391" s="139"/>
      <c r="Y391" s="139"/>
      <c r="Z391" s="139"/>
    </row>
    <row r="392" ht="15.75" customHeight="1">
      <c r="A392" s="139"/>
      <c r="B392" s="139"/>
      <c r="C392" s="183"/>
      <c r="D392" s="183"/>
      <c r="E392" s="183"/>
      <c r="F392" s="183"/>
      <c r="G392" s="183"/>
      <c r="H392" s="184"/>
      <c r="I392" s="139"/>
      <c r="J392" s="139"/>
      <c r="K392" s="139"/>
      <c r="L392" s="139"/>
      <c r="M392" s="139"/>
      <c r="N392" s="139"/>
      <c r="O392" s="139"/>
      <c r="P392" s="139"/>
      <c r="Q392" s="139"/>
      <c r="R392" s="139"/>
      <c r="S392" s="139"/>
      <c r="T392" s="139"/>
      <c r="U392" s="139"/>
      <c r="V392" s="139"/>
      <c r="W392" s="139"/>
      <c r="X392" s="139"/>
      <c r="Y392" s="139"/>
      <c r="Z392" s="139"/>
    </row>
    <row r="393" ht="15.75" customHeight="1">
      <c r="A393" s="139"/>
      <c r="B393" s="139"/>
      <c r="C393" s="183"/>
      <c r="D393" s="183"/>
      <c r="E393" s="183"/>
      <c r="F393" s="183"/>
      <c r="G393" s="183"/>
      <c r="H393" s="184"/>
      <c r="I393" s="139"/>
      <c r="J393" s="139"/>
      <c r="K393" s="139"/>
      <c r="L393" s="139"/>
      <c r="M393" s="139"/>
      <c r="N393" s="139"/>
      <c r="O393" s="139"/>
      <c r="P393" s="139"/>
      <c r="Q393" s="139"/>
      <c r="R393" s="139"/>
      <c r="S393" s="139"/>
      <c r="T393" s="139"/>
      <c r="U393" s="139"/>
      <c r="V393" s="139"/>
      <c r="W393" s="139"/>
      <c r="X393" s="139"/>
      <c r="Y393" s="139"/>
      <c r="Z393" s="139"/>
    </row>
    <row r="394" ht="15.75" customHeight="1">
      <c r="A394" s="139"/>
      <c r="B394" s="139"/>
      <c r="C394" s="183"/>
      <c r="D394" s="183"/>
      <c r="E394" s="183"/>
      <c r="F394" s="183"/>
      <c r="G394" s="183"/>
      <c r="H394" s="184"/>
      <c r="I394" s="139"/>
      <c r="J394" s="139"/>
      <c r="K394" s="139"/>
      <c r="L394" s="139"/>
      <c r="M394" s="139"/>
      <c r="N394" s="139"/>
      <c r="O394" s="139"/>
      <c r="P394" s="139"/>
      <c r="Q394" s="139"/>
      <c r="R394" s="139"/>
      <c r="S394" s="139"/>
      <c r="T394" s="139"/>
      <c r="U394" s="139"/>
      <c r="V394" s="139"/>
      <c r="W394" s="139"/>
      <c r="X394" s="139"/>
      <c r="Y394" s="139"/>
      <c r="Z394" s="139"/>
    </row>
    <row r="395" ht="15.75" customHeight="1">
      <c r="A395" s="139"/>
      <c r="B395" s="139"/>
      <c r="C395" s="183"/>
      <c r="D395" s="183"/>
      <c r="E395" s="183"/>
      <c r="F395" s="183"/>
      <c r="G395" s="183"/>
      <c r="H395" s="184"/>
      <c r="I395" s="139"/>
      <c r="J395" s="139"/>
      <c r="K395" s="139"/>
      <c r="L395" s="139"/>
      <c r="M395" s="139"/>
      <c r="N395" s="139"/>
      <c r="O395" s="139"/>
      <c r="P395" s="139"/>
      <c r="Q395" s="139"/>
      <c r="R395" s="139"/>
      <c r="S395" s="139"/>
      <c r="T395" s="139"/>
      <c r="U395" s="139"/>
      <c r="V395" s="139"/>
      <c r="W395" s="139"/>
      <c r="X395" s="139"/>
      <c r="Y395" s="139"/>
      <c r="Z395" s="139"/>
    </row>
    <row r="396" ht="15.75" customHeight="1">
      <c r="A396" s="139"/>
      <c r="B396" s="139"/>
      <c r="C396" s="183"/>
      <c r="D396" s="183"/>
      <c r="E396" s="183"/>
      <c r="F396" s="183"/>
      <c r="G396" s="183"/>
      <c r="H396" s="184"/>
      <c r="I396" s="139"/>
      <c r="J396" s="139"/>
      <c r="K396" s="139"/>
      <c r="L396" s="139"/>
      <c r="M396" s="139"/>
      <c r="N396" s="139"/>
      <c r="O396" s="139"/>
      <c r="P396" s="139"/>
      <c r="Q396" s="139"/>
      <c r="R396" s="139"/>
      <c r="S396" s="139"/>
      <c r="T396" s="139"/>
      <c r="U396" s="139"/>
      <c r="V396" s="139"/>
      <c r="W396" s="139"/>
      <c r="X396" s="139"/>
      <c r="Y396" s="139"/>
      <c r="Z396" s="139"/>
    </row>
    <row r="397" ht="15.75" customHeight="1">
      <c r="A397" s="139"/>
      <c r="B397" s="139"/>
      <c r="C397" s="183"/>
      <c r="D397" s="183"/>
      <c r="E397" s="183"/>
      <c r="F397" s="183"/>
      <c r="G397" s="183"/>
      <c r="H397" s="184"/>
      <c r="I397" s="139"/>
      <c r="J397" s="139"/>
      <c r="K397" s="139"/>
      <c r="L397" s="139"/>
      <c r="M397" s="139"/>
      <c r="N397" s="139"/>
      <c r="O397" s="139"/>
      <c r="P397" s="139"/>
      <c r="Q397" s="139"/>
      <c r="R397" s="139"/>
      <c r="S397" s="139"/>
      <c r="T397" s="139"/>
      <c r="U397" s="139"/>
      <c r="V397" s="139"/>
      <c r="W397" s="139"/>
      <c r="X397" s="139"/>
      <c r="Y397" s="139"/>
      <c r="Z397" s="139"/>
    </row>
    <row r="398" ht="15.75" customHeight="1">
      <c r="A398" s="139"/>
      <c r="B398" s="139"/>
      <c r="C398" s="183"/>
      <c r="D398" s="183"/>
      <c r="E398" s="183"/>
      <c r="F398" s="183"/>
      <c r="G398" s="183"/>
      <c r="H398" s="184"/>
      <c r="I398" s="139"/>
      <c r="J398" s="139"/>
      <c r="K398" s="139"/>
      <c r="L398" s="139"/>
      <c r="M398" s="139"/>
      <c r="N398" s="139"/>
      <c r="O398" s="139"/>
      <c r="P398" s="139"/>
      <c r="Q398" s="139"/>
      <c r="R398" s="139"/>
      <c r="S398" s="139"/>
      <c r="T398" s="139"/>
      <c r="U398" s="139"/>
      <c r="V398" s="139"/>
      <c r="W398" s="139"/>
      <c r="X398" s="139"/>
      <c r="Y398" s="139"/>
      <c r="Z398" s="139"/>
    </row>
    <row r="399" ht="15.75" customHeight="1">
      <c r="A399" s="139"/>
      <c r="B399" s="139"/>
      <c r="C399" s="183"/>
      <c r="D399" s="183"/>
      <c r="E399" s="183"/>
      <c r="F399" s="183"/>
      <c r="G399" s="183"/>
      <c r="H399" s="184"/>
      <c r="I399" s="139"/>
      <c r="J399" s="139"/>
      <c r="K399" s="139"/>
      <c r="L399" s="139"/>
      <c r="M399" s="139"/>
      <c r="N399" s="139"/>
      <c r="O399" s="139"/>
      <c r="P399" s="139"/>
      <c r="Q399" s="139"/>
      <c r="R399" s="139"/>
      <c r="S399" s="139"/>
      <c r="T399" s="139"/>
      <c r="U399" s="139"/>
      <c r="V399" s="139"/>
      <c r="W399" s="139"/>
      <c r="X399" s="139"/>
      <c r="Y399" s="139"/>
      <c r="Z399" s="139"/>
    </row>
    <row r="400" ht="15.75" customHeight="1">
      <c r="A400" s="139"/>
      <c r="B400" s="139"/>
      <c r="C400" s="183"/>
      <c r="D400" s="183"/>
      <c r="E400" s="183"/>
      <c r="F400" s="183"/>
      <c r="G400" s="183"/>
      <c r="H400" s="184"/>
      <c r="I400" s="139"/>
      <c r="J400" s="139"/>
      <c r="K400" s="139"/>
      <c r="L400" s="139"/>
      <c r="M400" s="139"/>
      <c r="N400" s="139"/>
      <c r="O400" s="139"/>
      <c r="P400" s="139"/>
      <c r="Q400" s="139"/>
      <c r="R400" s="139"/>
      <c r="S400" s="139"/>
      <c r="T400" s="139"/>
      <c r="U400" s="139"/>
      <c r="V400" s="139"/>
      <c r="W400" s="139"/>
      <c r="X400" s="139"/>
      <c r="Y400" s="139"/>
      <c r="Z400" s="139"/>
    </row>
    <row r="401" ht="15.75" customHeight="1">
      <c r="A401" s="139"/>
      <c r="B401" s="139"/>
      <c r="C401" s="183"/>
      <c r="D401" s="183"/>
      <c r="E401" s="183"/>
      <c r="F401" s="183"/>
      <c r="G401" s="183"/>
      <c r="H401" s="184"/>
      <c r="I401" s="139"/>
      <c r="J401" s="139"/>
      <c r="K401" s="139"/>
      <c r="L401" s="139"/>
      <c r="M401" s="139"/>
      <c r="N401" s="139"/>
      <c r="O401" s="139"/>
      <c r="P401" s="139"/>
      <c r="Q401" s="139"/>
      <c r="R401" s="139"/>
      <c r="S401" s="139"/>
      <c r="T401" s="139"/>
      <c r="U401" s="139"/>
      <c r="V401" s="139"/>
      <c r="W401" s="139"/>
      <c r="X401" s="139"/>
      <c r="Y401" s="139"/>
      <c r="Z401" s="139"/>
    </row>
    <row r="402" ht="15.75" customHeight="1">
      <c r="A402" s="139"/>
      <c r="B402" s="139"/>
      <c r="C402" s="183"/>
      <c r="D402" s="183"/>
      <c r="E402" s="183"/>
      <c r="F402" s="183"/>
      <c r="G402" s="183"/>
      <c r="H402" s="184"/>
      <c r="I402" s="139"/>
      <c r="J402" s="139"/>
      <c r="K402" s="139"/>
      <c r="L402" s="139"/>
      <c r="M402" s="139"/>
      <c r="N402" s="139"/>
      <c r="O402" s="139"/>
      <c r="P402" s="139"/>
      <c r="Q402" s="139"/>
      <c r="R402" s="139"/>
      <c r="S402" s="139"/>
      <c r="T402" s="139"/>
      <c r="U402" s="139"/>
      <c r="V402" s="139"/>
      <c r="W402" s="139"/>
      <c r="X402" s="139"/>
      <c r="Y402" s="139"/>
      <c r="Z402" s="139"/>
    </row>
    <row r="403" ht="15.75" customHeight="1">
      <c r="A403" s="139"/>
      <c r="B403" s="139"/>
      <c r="C403" s="183"/>
      <c r="D403" s="183"/>
      <c r="E403" s="183"/>
      <c r="F403" s="183"/>
      <c r="G403" s="183"/>
      <c r="H403" s="184"/>
      <c r="I403" s="139"/>
      <c r="J403" s="139"/>
      <c r="K403" s="139"/>
      <c r="L403" s="139"/>
      <c r="M403" s="139"/>
      <c r="N403" s="139"/>
      <c r="O403" s="139"/>
      <c r="P403" s="139"/>
      <c r="Q403" s="139"/>
      <c r="R403" s="139"/>
      <c r="S403" s="139"/>
      <c r="T403" s="139"/>
      <c r="U403" s="139"/>
      <c r="V403" s="139"/>
      <c r="W403" s="139"/>
      <c r="X403" s="139"/>
      <c r="Y403" s="139"/>
      <c r="Z403" s="139"/>
    </row>
    <row r="404" ht="15.75" customHeight="1">
      <c r="A404" s="139"/>
      <c r="B404" s="139"/>
      <c r="C404" s="183"/>
      <c r="D404" s="183"/>
      <c r="E404" s="183"/>
      <c r="F404" s="183"/>
      <c r="G404" s="183"/>
      <c r="H404" s="184"/>
      <c r="I404" s="139"/>
      <c r="J404" s="139"/>
      <c r="K404" s="139"/>
      <c r="L404" s="139"/>
      <c r="M404" s="139"/>
      <c r="N404" s="139"/>
      <c r="O404" s="139"/>
      <c r="P404" s="139"/>
      <c r="Q404" s="139"/>
      <c r="R404" s="139"/>
      <c r="S404" s="139"/>
      <c r="T404" s="139"/>
      <c r="U404" s="139"/>
      <c r="V404" s="139"/>
      <c r="W404" s="139"/>
      <c r="X404" s="139"/>
      <c r="Y404" s="139"/>
      <c r="Z404" s="139"/>
    </row>
    <row r="405" ht="15.75" customHeight="1">
      <c r="A405" s="139"/>
      <c r="B405" s="139"/>
      <c r="C405" s="183"/>
      <c r="D405" s="183"/>
      <c r="E405" s="183"/>
      <c r="F405" s="183"/>
      <c r="G405" s="183"/>
      <c r="H405" s="184"/>
      <c r="I405" s="139"/>
      <c r="J405" s="139"/>
      <c r="K405" s="139"/>
      <c r="L405" s="139"/>
      <c r="M405" s="139"/>
      <c r="N405" s="139"/>
      <c r="O405" s="139"/>
      <c r="P405" s="139"/>
      <c r="Q405" s="139"/>
      <c r="R405" s="139"/>
      <c r="S405" s="139"/>
      <c r="T405" s="139"/>
      <c r="U405" s="139"/>
      <c r="V405" s="139"/>
      <c r="W405" s="139"/>
      <c r="X405" s="139"/>
      <c r="Y405" s="139"/>
      <c r="Z405" s="139"/>
    </row>
    <row r="406" ht="15.75" customHeight="1">
      <c r="A406" s="139"/>
      <c r="B406" s="139"/>
      <c r="C406" s="183"/>
      <c r="D406" s="183"/>
      <c r="E406" s="183"/>
      <c r="F406" s="183"/>
      <c r="G406" s="183"/>
      <c r="H406" s="184"/>
      <c r="I406" s="139"/>
      <c r="J406" s="139"/>
      <c r="K406" s="139"/>
      <c r="L406" s="139"/>
      <c r="M406" s="139"/>
      <c r="N406" s="139"/>
      <c r="O406" s="139"/>
      <c r="P406" s="139"/>
      <c r="Q406" s="139"/>
      <c r="R406" s="139"/>
      <c r="S406" s="139"/>
      <c r="T406" s="139"/>
      <c r="U406" s="139"/>
      <c r="V406" s="139"/>
      <c r="W406" s="139"/>
      <c r="X406" s="139"/>
      <c r="Y406" s="139"/>
      <c r="Z406" s="139"/>
    </row>
    <row r="407" ht="15.75" customHeight="1">
      <c r="A407" s="139"/>
      <c r="B407" s="139"/>
      <c r="C407" s="183"/>
      <c r="D407" s="183"/>
      <c r="E407" s="183"/>
      <c r="F407" s="183"/>
      <c r="G407" s="183"/>
      <c r="H407" s="184"/>
      <c r="I407" s="139"/>
      <c r="J407" s="139"/>
      <c r="K407" s="139"/>
      <c r="L407" s="139"/>
      <c r="M407" s="139"/>
      <c r="N407" s="139"/>
      <c r="O407" s="139"/>
      <c r="P407" s="139"/>
      <c r="Q407" s="139"/>
      <c r="R407" s="139"/>
      <c r="S407" s="139"/>
      <c r="T407" s="139"/>
      <c r="U407" s="139"/>
      <c r="V407" s="139"/>
      <c r="W407" s="139"/>
      <c r="X407" s="139"/>
      <c r="Y407" s="139"/>
      <c r="Z407" s="139"/>
    </row>
    <row r="408" ht="15.75" customHeight="1">
      <c r="A408" s="139"/>
      <c r="B408" s="139"/>
      <c r="C408" s="183"/>
      <c r="D408" s="183"/>
      <c r="E408" s="183"/>
      <c r="F408" s="183"/>
      <c r="G408" s="183"/>
      <c r="H408" s="184"/>
      <c r="I408" s="139"/>
      <c r="J408" s="139"/>
      <c r="K408" s="139"/>
      <c r="L408" s="139"/>
      <c r="M408" s="139"/>
      <c r="N408" s="139"/>
      <c r="O408" s="139"/>
      <c r="P408" s="139"/>
      <c r="Q408" s="139"/>
      <c r="R408" s="139"/>
      <c r="S408" s="139"/>
      <c r="T408" s="139"/>
      <c r="U408" s="139"/>
      <c r="V408" s="139"/>
      <c r="W408" s="139"/>
      <c r="X408" s="139"/>
      <c r="Y408" s="139"/>
      <c r="Z408" s="139"/>
    </row>
    <row r="409" ht="15.75" customHeight="1">
      <c r="A409" s="139"/>
      <c r="B409" s="139"/>
      <c r="C409" s="183"/>
      <c r="D409" s="183"/>
      <c r="E409" s="183"/>
      <c r="F409" s="183"/>
      <c r="G409" s="183"/>
      <c r="H409" s="184"/>
      <c r="I409" s="139"/>
      <c r="J409" s="139"/>
      <c r="K409" s="139"/>
      <c r="L409" s="139"/>
      <c r="M409" s="139"/>
      <c r="N409" s="139"/>
      <c r="O409" s="139"/>
      <c r="P409" s="139"/>
      <c r="Q409" s="139"/>
      <c r="R409" s="139"/>
      <c r="S409" s="139"/>
      <c r="T409" s="139"/>
      <c r="U409" s="139"/>
      <c r="V409" s="139"/>
      <c r="W409" s="139"/>
      <c r="X409" s="139"/>
      <c r="Y409" s="139"/>
      <c r="Z409" s="139"/>
    </row>
    <row r="410" ht="15.75" customHeight="1">
      <c r="A410" s="139"/>
      <c r="B410" s="139"/>
      <c r="C410" s="183"/>
      <c r="D410" s="183"/>
      <c r="E410" s="183"/>
      <c r="F410" s="183"/>
      <c r="G410" s="183"/>
      <c r="H410" s="184"/>
      <c r="I410" s="139"/>
      <c r="J410" s="139"/>
      <c r="K410" s="139"/>
      <c r="L410" s="139"/>
      <c r="M410" s="139"/>
      <c r="N410" s="139"/>
      <c r="O410" s="139"/>
      <c r="P410" s="139"/>
      <c r="Q410" s="139"/>
      <c r="R410" s="139"/>
      <c r="S410" s="139"/>
      <c r="T410" s="139"/>
      <c r="U410" s="139"/>
      <c r="V410" s="139"/>
      <c r="W410" s="139"/>
      <c r="X410" s="139"/>
      <c r="Y410" s="139"/>
      <c r="Z410" s="139"/>
    </row>
    <row r="411" ht="15.75" customHeight="1">
      <c r="A411" s="139"/>
      <c r="B411" s="139"/>
      <c r="C411" s="183"/>
      <c r="D411" s="183"/>
      <c r="E411" s="183"/>
      <c r="F411" s="183"/>
      <c r="G411" s="183"/>
      <c r="H411" s="184"/>
      <c r="I411" s="139"/>
      <c r="J411" s="139"/>
      <c r="K411" s="139"/>
      <c r="L411" s="139"/>
      <c r="M411" s="139"/>
      <c r="N411" s="139"/>
      <c r="O411" s="139"/>
      <c r="P411" s="139"/>
      <c r="Q411" s="139"/>
      <c r="R411" s="139"/>
      <c r="S411" s="139"/>
      <c r="T411" s="139"/>
      <c r="U411" s="139"/>
      <c r="V411" s="139"/>
      <c r="W411" s="139"/>
      <c r="X411" s="139"/>
      <c r="Y411" s="139"/>
      <c r="Z411" s="139"/>
    </row>
    <row r="412" ht="15.75" customHeight="1">
      <c r="A412" s="139"/>
      <c r="B412" s="139"/>
      <c r="C412" s="183"/>
      <c r="D412" s="183"/>
      <c r="E412" s="183"/>
      <c r="F412" s="183"/>
      <c r="G412" s="183"/>
      <c r="H412" s="184"/>
      <c r="I412" s="139"/>
      <c r="J412" s="139"/>
      <c r="K412" s="139"/>
      <c r="L412" s="139"/>
      <c r="M412" s="139"/>
      <c r="N412" s="139"/>
      <c r="O412" s="139"/>
      <c r="P412" s="139"/>
      <c r="Q412" s="139"/>
      <c r="R412" s="139"/>
      <c r="S412" s="139"/>
      <c r="T412" s="139"/>
      <c r="U412" s="139"/>
      <c r="V412" s="139"/>
      <c r="W412" s="139"/>
      <c r="X412" s="139"/>
      <c r="Y412" s="139"/>
      <c r="Z412" s="139"/>
    </row>
    <row r="413" ht="15.75" customHeight="1">
      <c r="A413" s="139"/>
      <c r="B413" s="139"/>
      <c r="C413" s="183"/>
      <c r="D413" s="183"/>
      <c r="E413" s="183"/>
      <c r="F413" s="183"/>
      <c r="G413" s="183"/>
      <c r="H413" s="184"/>
      <c r="I413" s="139"/>
      <c r="J413" s="139"/>
      <c r="K413" s="139"/>
      <c r="L413" s="139"/>
      <c r="M413" s="139"/>
      <c r="N413" s="139"/>
      <c r="O413" s="139"/>
      <c r="P413" s="139"/>
      <c r="Q413" s="139"/>
      <c r="R413" s="139"/>
      <c r="S413" s="139"/>
      <c r="T413" s="139"/>
      <c r="U413" s="139"/>
      <c r="V413" s="139"/>
      <c r="W413" s="139"/>
      <c r="X413" s="139"/>
      <c r="Y413" s="139"/>
      <c r="Z413" s="139"/>
    </row>
    <row r="414" ht="15.75" customHeight="1">
      <c r="A414" s="139"/>
      <c r="B414" s="139"/>
      <c r="C414" s="183"/>
      <c r="D414" s="183"/>
      <c r="E414" s="183"/>
      <c r="F414" s="183"/>
      <c r="G414" s="183"/>
      <c r="H414" s="184"/>
      <c r="I414" s="139"/>
      <c r="J414" s="139"/>
      <c r="K414" s="139"/>
      <c r="L414" s="139"/>
      <c r="M414" s="139"/>
      <c r="N414" s="139"/>
      <c r="O414" s="139"/>
      <c r="P414" s="139"/>
      <c r="Q414" s="139"/>
      <c r="R414" s="139"/>
      <c r="S414" s="139"/>
      <c r="T414" s="139"/>
      <c r="U414" s="139"/>
      <c r="V414" s="139"/>
      <c r="W414" s="139"/>
      <c r="X414" s="139"/>
      <c r="Y414" s="139"/>
      <c r="Z414" s="139"/>
    </row>
    <row r="415" ht="15.75" customHeight="1">
      <c r="A415" s="139"/>
      <c r="B415" s="139"/>
      <c r="C415" s="183"/>
      <c r="D415" s="183"/>
      <c r="E415" s="183"/>
      <c r="F415" s="183"/>
      <c r="G415" s="183"/>
      <c r="H415" s="184"/>
      <c r="I415" s="139"/>
      <c r="J415" s="139"/>
      <c r="K415" s="139"/>
      <c r="L415" s="139"/>
      <c r="M415" s="139"/>
      <c r="N415" s="139"/>
      <c r="O415" s="139"/>
      <c r="P415" s="139"/>
      <c r="Q415" s="139"/>
      <c r="R415" s="139"/>
      <c r="S415" s="139"/>
      <c r="T415" s="139"/>
      <c r="U415" s="139"/>
      <c r="V415" s="139"/>
      <c r="W415" s="139"/>
      <c r="X415" s="139"/>
      <c r="Y415" s="139"/>
      <c r="Z415" s="139"/>
    </row>
    <row r="416" ht="15.75" customHeight="1">
      <c r="A416" s="139"/>
      <c r="B416" s="139"/>
      <c r="C416" s="183"/>
      <c r="D416" s="183"/>
      <c r="E416" s="183"/>
      <c r="F416" s="183"/>
      <c r="G416" s="183"/>
      <c r="H416" s="184"/>
      <c r="I416" s="139"/>
      <c r="J416" s="139"/>
      <c r="K416" s="139"/>
      <c r="L416" s="139"/>
      <c r="M416" s="139"/>
      <c r="N416" s="139"/>
      <c r="O416" s="139"/>
      <c r="P416" s="139"/>
      <c r="Q416" s="139"/>
      <c r="R416" s="139"/>
      <c r="S416" s="139"/>
      <c r="T416" s="139"/>
      <c r="U416" s="139"/>
      <c r="V416" s="139"/>
      <c r="W416" s="139"/>
      <c r="X416" s="139"/>
      <c r="Y416" s="139"/>
      <c r="Z416" s="139"/>
    </row>
    <row r="417" ht="15.75" customHeight="1">
      <c r="A417" s="139"/>
      <c r="B417" s="139"/>
      <c r="C417" s="183"/>
      <c r="D417" s="183"/>
      <c r="E417" s="183"/>
      <c r="F417" s="183"/>
      <c r="G417" s="183"/>
      <c r="H417" s="184"/>
      <c r="I417" s="139"/>
      <c r="J417" s="139"/>
      <c r="K417" s="139"/>
      <c r="L417" s="139"/>
      <c r="M417" s="139"/>
      <c r="N417" s="139"/>
      <c r="O417" s="139"/>
      <c r="P417" s="139"/>
      <c r="Q417" s="139"/>
      <c r="R417" s="139"/>
      <c r="S417" s="139"/>
      <c r="T417" s="139"/>
      <c r="U417" s="139"/>
      <c r="V417" s="139"/>
      <c r="W417" s="139"/>
      <c r="X417" s="139"/>
      <c r="Y417" s="139"/>
      <c r="Z417" s="139"/>
    </row>
    <row r="418" ht="15.75" customHeight="1">
      <c r="A418" s="139"/>
      <c r="B418" s="139"/>
      <c r="C418" s="183"/>
      <c r="D418" s="183"/>
      <c r="E418" s="183"/>
      <c r="F418" s="183"/>
      <c r="G418" s="183"/>
      <c r="H418" s="184"/>
      <c r="I418" s="139"/>
      <c r="J418" s="139"/>
      <c r="K418" s="139"/>
      <c r="L418" s="139"/>
      <c r="M418" s="139"/>
      <c r="N418" s="139"/>
      <c r="O418" s="139"/>
      <c r="P418" s="139"/>
      <c r="Q418" s="139"/>
      <c r="R418" s="139"/>
      <c r="S418" s="139"/>
      <c r="T418" s="139"/>
      <c r="U418" s="139"/>
      <c r="V418" s="139"/>
      <c r="W418" s="139"/>
      <c r="X418" s="139"/>
      <c r="Y418" s="139"/>
      <c r="Z418" s="139"/>
    </row>
    <row r="419" ht="15.75" customHeight="1">
      <c r="A419" s="139"/>
      <c r="B419" s="139"/>
      <c r="C419" s="183"/>
      <c r="D419" s="183"/>
      <c r="E419" s="183"/>
      <c r="F419" s="183"/>
      <c r="G419" s="183"/>
      <c r="H419" s="184"/>
      <c r="I419" s="139"/>
      <c r="J419" s="139"/>
      <c r="K419" s="139"/>
      <c r="L419" s="139"/>
      <c r="M419" s="139"/>
      <c r="N419" s="139"/>
      <c r="O419" s="139"/>
      <c r="P419" s="139"/>
      <c r="Q419" s="139"/>
      <c r="R419" s="139"/>
      <c r="S419" s="139"/>
      <c r="T419" s="139"/>
      <c r="U419" s="139"/>
      <c r="V419" s="139"/>
      <c r="W419" s="139"/>
      <c r="X419" s="139"/>
      <c r="Y419" s="139"/>
      <c r="Z419" s="139"/>
    </row>
    <row r="420" ht="15.75" customHeight="1">
      <c r="A420" s="139"/>
      <c r="B420" s="139"/>
      <c r="C420" s="183"/>
      <c r="D420" s="183"/>
      <c r="E420" s="183"/>
      <c r="F420" s="183"/>
      <c r="G420" s="183"/>
      <c r="H420" s="184"/>
      <c r="I420" s="139"/>
      <c r="J420" s="139"/>
      <c r="K420" s="139"/>
      <c r="L420" s="139"/>
      <c r="M420" s="139"/>
      <c r="N420" s="139"/>
      <c r="O420" s="139"/>
      <c r="P420" s="139"/>
      <c r="Q420" s="139"/>
      <c r="R420" s="139"/>
      <c r="S420" s="139"/>
      <c r="T420" s="139"/>
      <c r="U420" s="139"/>
      <c r="V420" s="139"/>
      <c r="W420" s="139"/>
      <c r="X420" s="139"/>
      <c r="Y420" s="139"/>
      <c r="Z420" s="139"/>
    </row>
    <row r="421" ht="15.75" customHeight="1">
      <c r="A421" s="139"/>
      <c r="B421" s="139"/>
      <c r="C421" s="183"/>
      <c r="D421" s="183"/>
      <c r="E421" s="183"/>
      <c r="F421" s="183"/>
      <c r="G421" s="183"/>
      <c r="H421" s="184"/>
      <c r="I421" s="139"/>
      <c r="J421" s="139"/>
      <c r="K421" s="139"/>
      <c r="L421" s="139"/>
      <c r="M421" s="139"/>
      <c r="N421" s="139"/>
      <c r="O421" s="139"/>
      <c r="P421" s="139"/>
      <c r="Q421" s="139"/>
      <c r="R421" s="139"/>
      <c r="S421" s="139"/>
      <c r="T421" s="139"/>
      <c r="U421" s="139"/>
      <c r="V421" s="139"/>
      <c r="W421" s="139"/>
      <c r="X421" s="139"/>
      <c r="Y421" s="139"/>
      <c r="Z421" s="139"/>
    </row>
    <row r="422" ht="15.75" customHeight="1">
      <c r="A422" s="139"/>
      <c r="B422" s="139"/>
      <c r="C422" s="183"/>
      <c r="D422" s="183"/>
      <c r="E422" s="183"/>
      <c r="F422" s="183"/>
      <c r="G422" s="183"/>
      <c r="H422" s="184"/>
      <c r="I422" s="139"/>
      <c r="J422" s="139"/>
      <c r="K422" s="139"/>
      <c r="L422" s="139"/>
      <c r="M422" s="139"/>
      <c r="N422" s="139"/>
      <c r="O422" s="139"/>
      <c r="P422" s="139"/>
      <c r="Q422" s="139"/>
      <c r="R422" s="139"/>
      <c r="S422" s="139"/>
      <c r="T422" s="139"/>
      <c r="U422" s="139"/>
      <c r="V422" s="139"/>
      <c r="W422" s="139"/>
      <c r="X422" s="139"/>
      <c r="Y422" s="139"/>
      <c r="Z422" s="139"/>
    </row>
    <row r="423" ht="15.75" customHeight="1">
      <c r="A423" s="139"/>
      <c r="B423" s="139"/>
      <c r="C423" s="183"/>
      <c r="D423" s="183"/>
      <c r="E423" s="183"/>
      <c r="F423" s="183"/>
      <c r="G423" s="183"/>
      <c r="H423" s="184"/>
      <c r="I423" s="139"/>
      <c r="J423" s="139"/>
      <c r="K423" s="139"/>
      <c r="L423" s="139"/>
      <c r="M423" s="139"/>
      <c r="N423" s="139"/>
      <c r="O423" s="139"/>
      <c r="P423" s="139"/>
      <c r="Q423" s="139"/>
      <c r="R423" s="139"/>
      <c r="S423" s="139"/>
      <c r="T423" s="139"/>
      <c r="U423" s="139"/>
      <c r="V423" s="139"/>
      <c r="W423" s="139"/>
      <c r="X423" s="139"/>
      <c r="Y423" s="139"/>
      <c r="Z423" s="139"/>
    </row>
    <row r="424" ht="15.75" customHeight="1">
      <c r="A424" s="139"/>
      <c r="B424" s="139"/>
      <c r="C424" s="183"/>
      <c r="D424" s="183"/>
      <c r="E424" s="183"/>
      <c r="F424" s="183"/>
      <c r="G424" s="183"/>
      <c r="H424" s="184"/>
      <c r="I424" s="139"/>
      <c r="J424" s="139"/>
      <c r="K424" s="139"/>
      <c r="L424" s="139"/>
      <c r="M424" s="139"/>
      <c r="N424" s="139"/>
      <c r="O424" s="139"/>
      <c r="P424" s="139"/>
      <c r="Q424" s="139"/>
      <c r="R424" s="139"/>
      <c r="S424" s="139"/>
      <c r="T424" s="139"/>
      <c r="U424" s="139"/>
      <c r="V424" s="139"/>
      <c r="W424" s="139"/>
      <c r="X424" s="139"/>
      <c r="Y424" s="139"/>
      <c r="Z424" s="139"/>
    </row>
    <row r="425" ht="15.75" customHeight="1">
      <c r="A425" s="139"/>
      <c r="B425" s="139"/>
      <c r="C425" s="183"/>
      <c r="D425" s="183"/>
      <c r="E425" s="183"/>
      <c r="F425" s="183"/>
      <c r="G425" s="183"/>
      <c r="H425" s="184"/>
      <c r="I425" s="139"/>
      <c r="J425" s="139"/>
      <c r="K425" s="139"/>
      <c r="L425" s="139"/>
      <c r="M425" s="139"/>
      <c r="N425" s="139"/>
      <c r="O425" s="139"/>
      <c r="P425" s="139"/>
      <c r="Q425" s="139"/>
      <c r="R425" s="139"/>
      <c r="S425" s="139"/>
      <c r="T425" s="139"/>
      <c r="U425" s="139"/>
      <c r="V425" s="139"/>
      <c r="W425" s="139"/>
      <c r="X425" s="139"/>
      <c r="Y425" s="139"/>
      <c r="Z425" s="139"/>
    </row>
    <row r="426" ht="15.75" customHeight="1">
      <c r="A426" s="139"/>
      <c r="B426" s="139"/>
      <c r="C426" s="183"/>
      <c r="D426" s="183"/>
      <c r="E426" s="183"/>
      <c r="F426" s="183"/>
      <c r="G426" s="183"/>
      <c r="H426" s="184"/>
      <c r="I426" s="139"/>
      <c r="J426" s="139"/>
      <c r="K426" s="139"/>
      <c r="L426" s="139"/>
      <c r="M426" s="139"/>
      <c r="N426" s="139"/>
      <c r="O426" s="139"/>
      <c r="P426" s="139"/>
      <c r="Q426" s="139"/>
      <c r="R426" s="139"/>
      <c r="S426" s="139"/>
      <c r="T426" s="139"/>
      <c r="U426" s="139"/>
      <c r="V426" s="139"/>
      <c r="W426" s="139"/>
      <c r="X426" s="139"/>
      <c r="Y426" s="139"/>
      <c r="Z426" s="139"/>
    </row>
    <row r="427" ht="15.75" customHeight="1">
      <c r="A427" s="139"/>
      <c r="B427" s="139"/>
      <c r="C427" s="183"/>
      <c r="D427" s="183"/>
      <c r="E427" s="183"/>
      <c r="F427" s="183"/>
      <c r="G427" s="183"/>
      <c r="H427" s="184"/>
      <c r="I427" s="139"/>
      <c r="J427" s="139"/>
      <c r="K427" s="139"/>
      <c r="L427" s="139"/>
      <c r="M427" s="139"/>
      <c r="N427" s="139"/>
      <c r="O427" s="139"/>
      <c r="P427" s="139"/>
      <c r="Q427" s="139"/>
      <c r="R427" s="139"/>
      <c r="S427" s="139"/>
      <c r="T427" s="139"/>
      <c r="U427" s="139"/>
      <c r="V427" s="139"/>
      <c r="W427" s="139"/>
      <c r="X427" s="139"/>
      <c r="Y427" s="139"/>
      <c r="Z427" s="139"/>
    </row>
    <row r="428" ht="15.75" customHeight="1">
      <c r="A428" s="139"/>
      <c r="B428" s="139"/>
      <c r="C428" s="183"/>
      <c r="D428" s="183"/>
      <c r="E428" s="183"/>
      <c r="F428" s="183"/>
      <c r="G428" s="183"/>
      <c r="H428" s="184"/>
      <c r="I428" s="139"/>
      <c r="J428" s="139"/>
      <c r="K428" s="139"/>
      <c r="L428" s="139"/>
      <c r="M428" s="139"/>
      <c r="N428" s="139"/>
      <c r="O428" s="139"/>
      <c r="P428" s="139"/>
      <c r="Q428" s="139"/>
      <c r="R428" s="139"/>
      <c r="S428" s="139"/>
      <c r="T428" s="139"/>
      <c r="U428" s="139"/>
      <c r="V428" s="139"/>
      <c r="W428" s="139"/>
      <c r="X428" s="139"/>
      <c r="Y428" s="139"/>
      <c r="Z428" s="139"/>
    </row>
    <row r="429" ht="15.75" customHeight="1">
      <c r="A429" s="139"/>
      <c r="B429" s="139"/>
      <c r="C429" s="183"/>
      <c r="D429" s="183"/>
      <c r="E429" s="183"/>
      <c r="F429" s="183"/>
      <c r="G429" s="183"/>
      <c r="H429" s="184"/>
      <c r="I429" s="139"/>
      <c r="J429" s="139"/>
      <c r="K429" s="139"/>
      <c r="L429" s="139"/>
      <c r="M429" s="139"/>
      <c r="N429" s="139"/>
      <c r="O429" s="139"/>
      <c r="P429" s="139"/>
      <c r="Q429" s="139"/>
      <c r="R429" s="139"/>
      <c r="S429" s="139"/>
      <c r="T429" s="139"/>
      <c r="U429" s="139"/>
      <c r="V429" s="139"/>
      <c r="W429" s="139"/>
      <c r="X429" s="139"/>
      <c r="Y429" s="139"/>
      <c r="Z429" s="139"/>
    </row>
    <row r="430" ht="15.75" customHeight="1">
      <c r="A430" s="139"/>
      <c r="B430" s="139"/>
      <c r="C430" s="183"/>
      <c r="D430" s="183"/>
      <c r="E430" s="183"/>
      <c r="F430" s="183"/>
      <c r="G430" s="183"/>
      <c r="H430" s="184"/>
      <c r="I430" s="139"/>
      <c r="J430" s="139"/>
      <c r="K430" s="139"/>
      <c r="L430" s="139"/>
      <c r="M430" s="139"/>
      <c r="N430" s="139"/>
      <c r="O430" s="139"/>
      <c r="P430" s="139"/>
      <c r="Q430" s="139"/>
      <c r="R430" s="139"/>
      <c r="S430" s="139"/>
      <c r="T430" s="139"/>
      <c r="U430" s="139"/>
      <c r="V430" s="139"/>
      <c r="W430" s="139"/>
      <c r="X430" s="139"/>
      <c r="Y430" s="139"/>
      <c r="Z430" s="139"/>
    </row>
    <row r="431" ht="15.75" customHeight="1">
      <c r="A431" s="139"/>
      <c r="B431" s="139"/>
      <c r="C431" s="183"/>
      <c r="D431" s="183"/>
      <c r="E431" s="183"/>
      <c r="F431" s="183"/>
      <c r="G431" s="183"/>
      <c r="H431" s="184"/>
      <c r="I431" s="139"/>
      <c r="J431" s="139"/>
      <c r="K431" s="139"/>
      <c r="L431" s="139"/>
      <c r="M431" s="139"/>
      <c r="N431" s="139"/>
      <c r="O431" s="139"/>
      <c r="P431" s="139"/>
      <c r="Q431" s="139"/>
      <c r="R431" s="139"/>
      <c r="S431" s="139"/>
      <c r="T431" s="139"/>
      <c r="U431" s="139"/>
      <c r="V431" s="139"/>
      <c r="W431" s="139"/>
      <c r="X431" s="139"/>
      <c r="Y431" s="139"/>
      <c r="Z431" s="139"/>
    </row>
    <row r="432" ht="15.75" customHeight="1">
      <c r="A432" s="139"/>
      <c r="B432" s="139"/>
      <c r="C432" s="183"/>
      <c r="D432" s="183"/>
      <c r="E432" s="183"/>
      <c r="F432" s="183"/>
      <c r="G432" s="183"/>
      <c r="H432" s="184"/>
      <c r="I432" s="139"/>
      <c r="J432" s="139"/>
      <c r="K432" s="139"/>
      <c r="L432" s="139"/>
      <c r="M432" s="139"/>
      <c r="N432" s="139"/>
      <c r="O432" s="139"/>
      <c r="P432" s="139"/>
      <c r="Q432" s="139"/>
      <c r="R432" s="139"/>
      <c r="S432" s="139"/>
      <c r="T432" s="139"/>
      <c r="U432" s="139"/>
      <c r="V432" s="139"/>
      <c r="W432" s="139"/>
      <c r="X432" s="139"/>
      <c r="Y432" s="139"/>
      <c r="Z432" s="139"/>
    </row>
    <row r="433" ht="15.75" customHeight="1">
      <c r="A433" s="139"/>
      <c r="B433" s="139"/>
      <c r="C433" s="183"/>
      <c r="D433" s="183"/>
      <c r="E433" s="183"/>
      <c r="F433" s="183"/>
      <c r="G433" s="183"/>
      <c r="H433" s="184"/>
      <c r="I433" s="139"/>
      <c r="J433" s="139"/>
      <c r="K433" s="139"/>
      <c r="L433" s="139"/>
      <c r="M433" s="139"/>
      <c r="N433" s="139"/>
      <c r="O433" s="139"/>
      <c r="P433" s="139"/>
      <c r="Q433" s="139"/>
      <c r="R433" s="139"/>
      <c r="S433" s="139"/>
      <c r="T433" s="139"/>
      <c r="U433" s="139"/>
      <c r="V433" s="139"/>
      <c r="W433" s="139"/>
      <c r="X433" s="139"/>
      <c r="Y433" s="139"/>
      <c r="Z433" s="139"/>
    </row>
    <row r="434" ht="15.75" customHeight="1">
      <c r="A434" s="139"/>
      <c r="B434" s="139"/>
      <c r="C434" s="183"/>
      <c r="D434" s="183"/>
      <c r="E434" s="183"/>
      <c r="F434" s="183"/>
      <c r="G434" s="183"/>
      <c r="H434" s="184"/>
      <c r="I434" s="139"/>
      <c r="J434" s="139"/>
      <c r="K434" s="139"/>
      <c r="L434" s="139"/>
      <c r="M434" s="139"/>
      <c r="N434" s="139"/>
      <c r="O434" s="139"/>
      <c r="P434" s="139"/>
      <c r="Q434" s="139"/>
      <c r="R434" s="139"/>
      <c r="S434" s="139"/>
      <c r="T434" s="139"/>
      <c r="U434" s="139"/>
      <c r="V434" s="139"/>
      <c r="W434" s="139"/>
      <c r="X434" s="139"/>
      <c r="Y434" s="139"/>
      <c r="Z434" s="139"/>
    </row>
    <row r="435" ht="15.75" customHeight="1">
      <c r="A435" s="139"/>
      <c r="B435" s="139"/>
      <c r="C435" s="183"/>
      <c r="D435" s="183"/>
      <c r="E435" s="183"/>
      <c r="F435" s="183"/>
      <c r="G435" s="183"/>
      <c r="H435" s="184"/>
      <c r="I435" s="139"/>
      <c r="J435" s="139"/>
      <c r="K435" s="139"/>
      <c r="L435" s="139"/>
      <c r="M435" s="139"/>
      <c r="N435" s="139"/>
      <c r="O435" s="139"/>
      <c r="P435" s="139"/>
      <c r="Q435" s="139"/>
      <c r="R435" s="139"/>
      <c r="S435" s="139"/>
      <c r="T435" s="139"/>
      <c r="U435" s="139"/>
      <c r="V435" s="139"/>
      <c r="W435" s="139"/>
      <c r="X435" s="139"/>
      <c r="Y435" s="139"/>
      <c r="Z435" s="139"/>
    </row>
    <row r="436" ht="15.75" customHeight="1">
      <c r="A436" s="139"/>
      <c r="B436" s="139"/>
      <c r="C436" s="183"/>
      <c r="D436" s="183"/>
      <c r="E436" s="183"/>
      <c r="F436" s="183"/>
      <c r="G436" s="183"/>
      <c r="H436" s="184"/>
      <c r="I436" s="139"/>
      <c r="J436" s="139"/>
      <c r="K436" s="139"/>
      <c r="L436" s="139"/>
      <c r="M436" s="139"/>
      <c r="N436" s="139"/>
      <c r="O436" s="139"/>
      <c r="P436" s="139"/>
      <c r="Q436" s="139"/>
      <c r="R436" s="139"/>
      <c r="S436" s="139"/>
      <c r="T436" s="139"/>
      <c r="U436" s="139"/>
      <c r="V436" s="139"/>
      <c r="W436" s="139"/>
      <c r="X436" s="139"/>
      <c r="Y436" s="139"/>
      <c r="Z436" s="139"/>
    </row>
    <row r="437" ht="15.75" customHeight="1">
      <c r="A437" s="139"/>
      <c r="B437" s="139"/>
      <c r="C437" s="183"/>
      <c r="D437" s="183"/>
      <c r="E437" s="183"/>
      <c r="F437" s="183"/>
      <c r="G437" s="183"/>
      <c r="H437" s="184"/>
      <c r="I437" s="139"/>
      <c r="J437" s="139"/>
      <c r="K437" s="139"/>
      <c r="L437" s="139"/>
      <c r="M437" s="139"/>
      <c r="N437" s="139"/>
      <c r="O437" s="139"/>
      <c r="P437" s="139"/>
      <c r="Q437" s="139"/>
      <c r="R437" s="139"/>
      <c r="S437" s="139"/>
      <c r="T437" s="139"/>
      <c r="U437" s="139"/>
      <c r="V437" s="139"/>
      <c r="W437" s="139"/>
      <c r="X437" s="139"/>
      <c r="Y437" s="139"/>
      <c r="Z437" s="139"/>
    </row>
    <row r="438" ht="15.75" customHeight="1">
      <c r="A438" s="139"/>
      <c r="B438" s="139"/>
      <c r="C438" s="183"/>
      <c r="D438" s="183"/>
      <c r="E438" s="183"/>
      <c r="F438" s="183"/>
      <c r="G438" s="183"/>
      <c r="H438" s="184"/>
      <c r="I438" s="139"/>
      <c r="J438" s="139"/>
      <c r="K438" s="139"/>
      <c r="L438" s="139"/>
      <c r="M438" s="139"/>
      <c r="N438" s="139"/>
      <c r="O438" s="139"/>
      <c r="P438" s="139"/>
      <c r="Q438" s="139"/>
      <c r="R438" s="139"/>
      <c r="S438" s="139"/>
      <c r="T438" s="139"/>
      <c r="U438" s="139"/>
      <c r="V438" s="139"/>
      <c r="W438" s="139"/>
      <c r="X438" s="139"/>
      <c r="Y438" s="139"/>
      <c r="Z438" s="139"/>
    </row>
    <row r="439" ht="15.75" customHeight="1">
      <c r="A439" s="139"/>
      <c r="B439" s="139"/>
      <c r="C439" s="183"/>
      <c r="D439" s="183"/>
      <c r="E439" s="183"/>
      <c r="F439" s="183"/>
      <c r="G439" s="183"/>
      <c r="H439" s="184"/>
      <c r="I439" s="139"/>
      <c r="J439" s="139"/>
      <c r="K439" s="139"/>
      <c r="L439" s="139"/>
      <c r="M439" s="139"/>
      <c r="N439" s="139"/>
      <c r="O439" s="139"/>
      <c r="P439" s="139"/>
      <c r="Q439" s="139"/>
      <c r="R439" s="139"/>
      <c r="S439" s="139"/>
      <c r="T439" s="139"/>
      <c r="U439" s="139"/>
      <c r="V439" s="139"/>
      <c r="W439" s="139"/>
      <c r="X439" s="139"/>
      <c r="Y439" s="139"/>
      <c r="Z439" s="139"/>
    </row>
    <row r="440" ht="15.75" customHeight="1">
      <c r="A440" s="139"/>
      <c r="B440" s="139"/>
      <c r="C440" s="183"/>
      <c r="D440" s="183"/>
      <c r="E440" s="183"/>
      <c r="F440" s="183"/>
      <c r="G440" s="183"/>
      <c r="H440" s="184"/>
      <c r="I440" s="139"/>
      <c r="J440" s="139"/>
      <c r="K440" s="139"/>
      <c r="L440" s="139"/>
      <c r="M440" s="139"/>
      <c r="N440" s="139"/>
      <c r="O440" s="139"/>
      <c r="P440" s="139"/>
      <c r="Q440" s="139"/>
      <c r="R440" s="139"/>
      <c r="S440" s="139"/>
      <c r="T440" s="139"/>
      <c r="U440" s="139"/>
      <c r="V440" s="139"/>
      <c r="W440" s="139"/>
      <c r="X440" s="139"/>
      <c r="Y440" s="139"/>
      <c r="Z440" s="139"/>
    </row>
    <row r="441" ht="15.75" customHeight="1">
      <c r="A441" s="139"/>
      <c r="B441" s="139"/>
      <c r="C441" s="183"/>
      <c r="D441" s="183"/>
      <c r="E441" s="183"/>
      <c r="F441" s="183"/>
      <c r="G441" s="183"/>
      <c r="H441" s="184"/>
      <c r="I441" s="139"/>
      <c r="J441" s="139"/>
      <c r="K441" s="139"/>
      <c r="L441" s="139"/>
      <c r="M441" s="139"/>
      <c r="N441" s="139"/>
      <c r="O441" s="139"/>
      <c r="P441" s="139"/>
      <c r="Q441" s="139"/>
      <c r="R441" s="139"/>
      <c r="S441" s="139"/>
      <c r="T441" s="139"/>
      <c r="U441" s="139"/>
      <c r="V441" s="139"/>
      <c r="W441" s="139"/>
      <c r="X441" s="139"/>
      <c r="Y441" s="139"/>
      <c r="Z441" s="139"/>
    </row>
    <row r="442" ht="15.75" customHeight="1">
      <c r="A442" s="139"/>
      <c r="B442" s="139"/>
      <c r="C442" s="183"/>
      <c r="D442" s="183"/>
      <c r="E442" s="183"/>
      <c r="F442" s="183"/>
      <c r="G442" s="183"/>
      <c r="H442" s="184"/>
      <c r="I442" s="139"/>
      <c r="J442" s="139"/>
      <c r="K442" s="139"/>
      <c r="L442" s="139"/>
      <c r="M442" s="139"/>
      <c r="N442" s="139"/>
      <c r="O442" s="139"/>
      <c r="P442" s="139"/>
      <c r="Q442" s="139"/>
      <c r="R442" s="139"/>
      <c r="S442" s="139"/>
      <c r="T442" s="139"/>
      <c r="U442" s="139"/>
      <c r="V442" s="139"/>
      <c r="W442" s="139"/>
      <c r="X442" s="139"/>
      <c r="Y442" s="139"/>
      <c r="Z442" s="139"/>
    </row>
    <row r="443" ht="15.75" customHeight="1">
      <c r="A443" s="139"/>
      <c r="B443" s="139"/>
      <c r="C443" s="183"/>
      <c r="D443" s="183"/>
      <c r="E443" s="183"/>
      <c r="F443" s="183"/>
      <c r="G443" s="183"/>
      <c r="H443" s="184"/>
      <c r="I443" s="139"/>
      <c r="J443" s="139"/>
      <c r="K443" s="139"/>
      <c r="L443" s="139"/>
      <c r="M443" s="139"/>
      <c r="N443" s="139"/>
      <c r="O443" s="139"/>
      <c r="P443" s="139"/>
      <c r="Q443" s="139"/>
      <c r="R443" s="139"/>
      <c r="S443" s="139"/>
      <c r="T443" s="139"/>
      <c r="U443" s="139"/>
      <c r="V443" s="139"/>
      <c r="W443" s="139"/>
      <c r="X443" s="139"/>
      <c r="Y443" s="139"/>
      <c r="Z443" s="139"/>
    </row>
    <row r="444" ht="15.75" customHeight="1">
      <c r="A444" s="139"/>
      <c r="B444" s="139"/>
      <c r="C444" s="183"/>
      <c r="D444" s="183"/>
      <c r="E444" s="183"/>
      <c r="F444" s="183"/>
      <c r="G444" s="183"/>
      <c r="H444" s="184"/>
      <c r="I444" s="139"/>
      <c r="J444" s="139"/>
      <c r="K444" s="139"/>
      <c r="L444" s="139"/>
      <c r="M444" s="139"/>
      <c r="N444" s="139"/>
      <c r="O444" s="139"/>
      <c r="P444" s="139"/>
      <c r="Q444" s="139"/>
      <c r="R444" s="139"/>
      <c r="S444" s="139"/>
      <c r="T444" s="139"/>
      <c r="U444" s="139"/>
      <c r="V444" s="139"/>
      <c r="W444" s="139"/>
      <c r="X444" s="139"/>
      <c r="Y444" s="139"/>
      <c r="Z444" s="139"/>
    </row>
    <row r="445" ht="15.75" customHeight="1">
      <c r="A445" s="139"/>
      <c r="B445" s="139"/>
      <c r="C445" s="183"/>
      <c r="D445" s="183"/>
      <c r="E445" s="183"/>
      <c r="F445" s="183"/>
      <c r="G445" s="183"/>
      <c r="H445" s="184"/>
      <c r="I445" s="139"/>
      <c r="J445" s="139"/>
      <c r="K445" s="139"/>
      <c r="L445" s="139"/>
      <c r="M445" s="139"/>
      <c r="N445" s="139"/>
      <c r="O445" s="139"/>
      <c r="P445" s="139"/>
      <c r="Q445" s="139"/>
      <c r="R445" s="139"/>
      <c r="S445" s="139"/>
      <c r="T445" s="139"/>
      <c r="U445" s="139"/>
      <c r="V445" s="139"/>
      <c r="W445" s="139"/>
      <c r="X445" s="139"/>
      <c r="Y445" s="139"/>
      <c r="Z445" s="139"/>
    </row>
    <row r="446" ht="15.75" customHeight="1">
      <c r="A446" s="139"/>
      <c r="B446" s="139"/>
      <c r="C446" s="183"/>
      <c r="D446" s="183"/>
      <c r="E446" s="183"/>
      <c r="F446" s="183"/>
      <c r="G446" s="183"/>
      <c r="H446" s="184"/>
      <c r="I446" s="139"/>
      <c r="J446" s="139"/>
      <c r="K446" s="139"/>
      <c r="L446" s="139"/>
      <c r="M446" s="139"/>
      <c r="N446" s="139"/>
      <c r="O446" s="139"/>
      <c r="P446" s="139"/>
      <c r="Q446" s="139"/>
      <c r="R446" s="139"/>
      <c r="S446" s="139"/>
      <c r="T446" s="139"/>
      <c r="U446" s="139"/>
      <c r="V446" s="139"/>
      <c r="W446" s="139"/>
      <c r="X446" s="139"/>
      <c r="Y446" s="139"/>
      <c r="Z446" s="139"/>
    </row>
    <row r="447" ht="15.75" customHeight="1">
      <c r="A447" s="139"/>
      <c r="B447" s="139"/>
      <c r="C447" s="183"/>
      <c r="D447" s="183"/>
      <c r="E447" s="183"/>
      <c r="F447" s="183"/>
      <c r="G447" s="183"/>
      <c r="H447" s="184"/>
      <c r="I447" s="139"/>
      <c r="J447" s="139"/>
      <c r="K447" s="139"/>
      <c r="L447" s="139"/>
      <c r="M447" s="139"/>
      <c r="N447" s="139"/>
      <c r="O447" s="139"/>
      <c r="P447" s="139"/>
      <c r="Q447" s="139"/>
      <c r="R447" s="139"/>
      <c r="S447" s="139"/>
      <c r="T447" s="139"/>
      <c r="U447" s="139"/>
      <c r="V447" s="139"/>
      <c r="W447" s="139"/>
      <c r="X447" s="139"/>
      <c r="Y447" s="139"/>
      <c r="Z447" s="139"/>
    </row>
    <row r="448" ht="15.75" customHeight="1">
      <c r="A448" s="139"/>
      <c r="B448" s="139"/>
      <c r="C448" s="183"/>
      <c r="D448" s="183"/>
      <c r="E448" s="183"/>
      <c r="F448" s="183"/>
      <c r="G448" s="183"/>
      <c r="H448" s="184"/>
      <c r="I448" s="139"/>
      <c r="J448" s="139"/>
      <c r="K448" s="139"/>
      <c r="L448" s="139"/>
      <c r="M448" s="139"/>
      <c r="N448" s="139"/>
      <c r="O448" s="139"/>
      <c r="P448" s="139"/>
      <c r="Q448" s="139"/>
      <c r="R448" s="139"/>
      <c r="S448" s="139"/>
      <c r="T448" s="139"/>
      <c r="U448" s="139"/>
      <c r="V448" s="139"/>
      <c r="W448" s="139"/>
      <c r="X448" s="139"/>
      <c r="Y448" s="139"/>
      <c r="Z448" s="139"/>
    </row>
    <row r="449" ht="15.75" customHeight="1">
      <c r="A449" s="139"/>
      <c r="B449" s="139"/>
      <c r="C449" s="183"/>
      <c r="D449" s="183"/>
      <c r="E449" s="183"/>
      <c r="F449" s="183"/>
      <c r="G449" s="183"/>
      <c r="H449" s="184"/>
      <c r="I449" s="139"/>
      <c r="J449" s="139"/>
      <c r="K449" s="139"/>
      <c r="L449" s="139"/>
      <c r="M449" s="139"/>
      <c r="N449" s="139"/>
      <c r="O449" s="139"/>
      <c r="P449" s="139"/>
      <c r="Q449" s="139"/>
      <c r="R449" s="139"/>
      <c r="S449" s="139"/>
      <c r="T449" s="139"/>
      <c r="U449" s="139"/>
      <c r="V449" s="139"/>
      <c r="W449" s="139"/>
      <c r="X449" s="139"/>
      <c r="Y449" s="139"/>
      <c r="Z449" s="139"/>
    </row>
    <row r="450" ht="15.75" customHeight="1">
      <c r="A450" s="139"/>
      <c r="B450" s="139"/>
      <c r="C450" s="183"/>
      <c r="D450" s="183"/>
      <c r="E450" s="183"/>
      <c r="F450" s="183"/>
      <c r="G450" s="183"/>
      <c r="H450" s="184"/>
      <c r="I450" s="139"/>
      <c r="J450" s="139"/>
      <c r="K450" s="139"/>
      <c r="L450" s="139"/>
      <c r="M450" s="139"/>
      <c r="N450" s="139"/>
      <c r="O450" s="139"/>
      <c r="P450" s="139"/>
      <c r="Q450" s="139"/>
      <c r="R450" s="139"/>
      <c r="S450" s="139"/>
      <c r="T450" s="139"/>
      <c r="U450" s="139"/>
      <c r="V450" s="139"/>
      <c r="W450" s="139"/>
      <c r="X450" s="139"/>
      <c r="Y450" s="139"/>
      <c r="Z450" s="139"/>
    </row>
    <row r="451" ht="15.75" customHeight="1">
      <c r="A451" s="139"/>
      <c r="B451" s="139"/>
      <c r="C451" s="183"/>
      <c r="D451" s="183"/>
      <c r="E451" s="183"/>
      <c r="F451" s="183"/>
      <c r="G451" s="183"/>
      <c r="H451" s="184"/>
      <c r="I451" s="139"/>
      <c r="J451" s="139"/>
      <c r="K451" s="139"/>
      <c r="L451" s="139"/>
      <c r="M451" s="139"/>
      <c r="N451" s="139"/>
      <c r="O451" s="139"/>
      <c r="P451" s="139"/>
      <c r="Q451" s="139"/>
      <c r="R451" s="139"/>
      <c r="S451" s="139"/>
      <c r="T451" s="139"/>
      <c r="U451" s="139"/>
      <c r="V451" s="139"/>
      <c r="W451" s="139"/>
      <c r="X451" s="139"/>
      <c r="Y451" s="139"/>
      <c r="Z451" s="139"/>
    </row>
    <row r="452" ht="15.75" customHeight="1">
      <c r="A452" s="139"/>
      <c r="B452" s="139"/>
      <c r="C452" s="183"/>
      <c r="D452" s="183"/>
      <c r="E452" s="183"/>
      <c r="F452" s="183"/>
      <c r="G452" s="183"/>
      <c r="H452" s="184"/>
      <c r="I452" s="139"/>
      <c r="J452" s="139"/>
      <c r="K452" s="139"/>
      <c r="L452" s="139"/>
      <c r="M452" s="139"/>
      <c r="N452" s="139"/>
      <c r="O452" s="139"/>
      <c r="P452" s="139"/>
      <c r="Q452" s="139"/>
      <c r="R452" s="139"/>
      <c r="S452" s="139"/>
      <c r="T452" s="139"/>
      <c r="U452" s="139"/>
      <c r="V452" s="139"/>
      <c r="W452" s="139"/>
      <c r="X452" s="139"/>
      <c r="Y452" s="139"/>
      <c r="Z452" s="139"/>
    </row>
    <row r="453" ht="15.75" customHeight="1">
      <c r="A453" s="139"/>
      <c r="B453" s="139"/>
      <c r="C453" s="183"/>
      <c r="D453" s="183"/>
      <c r="E453" s="183"/>
      <c r="F453" s="183"/>
      <c r="G453" s="183"/>
      <c r="H453" s="184"/>
      <c r="I453" s="139"/>
      <c r="J453" s="139"/>
      <c r="K453" s="139"/>
      <c r="L453" s="139"/>
      <c r="M453" s="139"/>
      <c r="N453" s="139"/>
      <c r="O453" s="139"/>
      <c r="P453" s="139"/>
      <c r="Q453" s="139"/>
      <c r="R453" s="139"/>
      <c r="S453" s="139"/>
      <c r="T453" s="139"/>
      <c r="U453" s="139"/>
      <c r="V453" s="139"/>
      <c r="W453" s="139"/>
      <c r="X453" s="139"/>
      <c r="Y453" s="139"/>
      <c r="Z453" s="139"/>
    </row>
    <row r="454" ht="15.75" customHeight="1">
      <c r="A454" s="139"/>
      <c r="B454" s="139"/>
      <c r="C454" s="183"/>
      <c r="D454" s="183"/>
      <c r="E454" s="183"/>
      <c r="F454" s="183"/>
      <c r="G454" s="183"/>
      <c r="H454" s="184"/>
      <c r="I454" s="139"/>
      <c r="J454" s="139"/>
      <c r="K454" s="139"/>
      <c r="L454" s="139"/>
      <c r="M454" s="139"/>
      <c r="N454" s="139"/>
      <c r="O454" s="139"/>
      <c r="P454" s="139"/>
      <c r="Q454" s="139"/>
      <c r="R454" s="139"/>
      <c r="S454" s="139"/>
      <c r="T454" s="139"/>
      <c r="U454" s="139"/>
      <c r="V454" s="139"/>
      <c r="W454" s="139"/>
      <c r="X454" s="139"/>
      <c r="Y454" s="139"/>
      <c r="Z454" s="139"/>
    </row>
    <row r="455" ht="15.75" customHeight="1">
      <c r="A455" s="139"/>
      <c r="B455" s="139"/>
      <c r="C455" s="183"/>
      <c r="D455" s="183"/>
      <c r="E455" s="183"/>
      <c r="F455" s="183"/>
      <c r="G455" s="183"/>
      <c r="H455" s="184"/>
      <c r="I455" s="139"/>
      <c r="J455" s="139"/>
      <c r="K455" s="139"/>
      <c r="L455" s="139"/>
      <c r="M455" s="139"/>
      <c r="N455" s="139"/>
      <c r="O455" s="139"/>
      <c r="P455" s="139"/>
      <c r="Q455" s="139"/>
      <c r="R455" s="139"/>
      <c r="S455" s="139"/>
      <c r="T455" s="139"/>
      <c r="U455" s="139"/>
      <c r="V455" s="139"/>
      <c r="W455" s="139"/>
      <c r="X455" s="139"/>
      <c r="Y455" s="139"/>
      <c r="Z455" s="139"/>
    </row>
    <row r="456" ht="15.75" customHeight="1">
      <c r="A456" s="139"/>
      <c r="B456" s="139"/>
      <c r="C456" s="183"/>
      <c r="D456" s="183"/>
      <c r="E456" s="183"/>
      <c r="F456" s="183"/>
      <c r="G456" s="183"/>
      <c r="H456" s="184"/>
      <c r="I456" s="139"/>
      <c r="J456" s="139"/>
      <c r="K456" s="139"/>
      <c r="L456" s="139"/>
      <c r="M456" s="139"/>
      <c r="N456" s="139"/>
      <c r="O456" s="139"/>
      <c r="P456" s="139"/>
      <c r="Q456" s="139"/>
      <c r="R456" s="139"/>
      <c r="S456" s="139"/>
      <c r="T456" s="139"/>
      <c r="U456" s="139"/>
      <c r="V456" s="139"/>
      <c r="W456" s="139"/>
      <c r="X456" s="139"/>
      <c r="Y456" s="139"/>
      <c r="Z456" s="139"/>
    </row>
    <row r="457" ht="15.75" customHeight="1">
      <c r="A457" s="139"/>
      <c r="B457" s="139"/>
      <c r="C457" s="183"/>
      <c r="D457" s="183"/>
      <c r="E457" s="183"/>
      <c r="F457" s="183"/>
      <c r="G457" s="183"/>
      <c r="H457" s="184"/>
      <c r="I457" s="139"/>
      <c r="J457" s="139"/>
      <c r="K457" s="139"/>
      <c r="L457" s="139"/>
      <c r="M457" s="139"/>
      <c r="N457" s="139"/>
      <c r="O457" s="139"/>
      <c r="P457" s="139"/>
      <c r="Q457" s="139"/>
      <c r="R457" s="139"/>
      <c r="S457" s="139"/>
      <c r="T457" s="139"/>
      <c r="U457" s="139"/>
      <c r="V457" s="139"/>
      <c r="W457" s="139"/>
      <c r="X457" s="139"/>
      <c r="Y457" s="139"/>
      <c r="Z457" s="139"/>
    </row>
    <row r="458" ht="15.75" customHeight="1">
      <c r="A458" s="139"/>
      <c r="B458" s="139"/>
      <c r="C458" s="183"/>
      <c r="D458" s="183"/>
      <c r="E458" s="183"/>
      <c r="F458" s="183"/>
      <c r="G458" s="183"/>
      <c r="H458" s="184"/>
      <c r="I458" s="139"/>
      <c r="J458" s="139"/>
      <c r="K458" s="139"/>
      <c r="L458" s="139"/>
      <c r="M458" s="139"/>
      <c r="N458" s="139"/>
      <c r="O458" s="139"/>
      <c r="P458" s="139"/>
      <c r="Q458" s="139"/>
      <c r="R458" s="139"/>
      <c r="S458" s="139"/>
      <c r="T458" s="139"/>
      <c r="U458" s="139"/>
      <c r="V458" s="139"/>
      <c r="W458" s="139"/>
      <c r="X458" s="139"/>
      <c r="Y458" s="139"/>
      <c r="Z458" s="139"/>
    </row>
    <row r="459" ht="15.75" customHeight="1">
      <c r="A459" s="139"/>
      <c r="B459" s="139"/>
      <c r="C459" s="183"/>
      <c r="D459" s="183"/>
      <c r="E459" s="183"/>
      <c r="F459" s="183"/>
      <c r="G459" s="183"/>
      <c r="H459" s="184"/>
      <c r="I459" s="139"/>
      <c r="J459" s="139"/>
      <c r="K459" s="139"/>
      <c r="L459" s="139"/>
      <c r="M459" s="139"/>
      <c r="N459" s="139"/>
      <c r="O459" s="139"/>
      <c r="P459" s="139"/>
      <c r="Q459" s="139"/>
      <c r="R459" s="139"/>
      <c r="S459" s="139"/>
      <c r="T459" s="139"/>
      <c r="U459" s="139"/>
      <c r="V459" s="139"/>
      <c r="W459" s="139"/>
      <c r="X459" s="139"/>
      <c r="Y459" s="139"/>
      <c r="Z459" s="139"/>
    </row>
    <row r="460" ht="15.75" customHeight="1">
      <c r="A460" s="139"/>
      <c r="B460" s="139"/>
      <c r="C460" s="183"/>
      <c r="D460" s="183"/>
      <c r="E460" s="183"/>
      <c r="F460" s="183"/>
      <c r="G460" s="183"/>
      <c r="H460" s="184"/>
      <c r="I460" s="139"/>
      <c r="J460" s="139"/>
      <c r="K460" s="139"/>
      <c r="L460" s="139"/>
      <c r="M460" s="139"/>
      <c r="N460" s="139"/>
      <c r="O460" s="139"/>
      <c r="P460" s="139"/>
      <c r="Q460" s="139"/>
      <c r="R460" s="139"/>
      <c r="S460" s="139"/>
      <c r="T460" s="139"/>
      <c r="U460" s="139"/>
      <c r="V460" s="139"/>
      <c r="W460" s="139"/>
      <c r="X460" s="139"/>
      <c r="Y460" s="139"/>
      <c r="Z460" s="139"/>
    </row>
    <row r="461" ht="15.75" customHeight="1">
      <c r="A461" s="139"/>
      <c r="B461" s="139"/>
      <c r="C461" s="183"/>
      <c r="D461" s="183"/>
      <c r="E461" s="183"/>
      <c r="F461" s="183"/>
      <c r="G461" s="183"/>
      <c r="H461" s="184"/>
      <c r="I461" s="139"/>
      <c r="J461" s="139"/>
      <c r="K461" s="139"/>
      <c r="L461" s="139"/>
      <c r="M461" s="139"/>
      <c r="N461" s="139"/>
      <c r="O461" s="139"/>
      <c r="P461" s="139"/>
      <c r="Q461" s="139"/>
      <c r="R461" s="139"/>
      <c r="S461" s="139"/>
      <c r="T461" s="139"/>
      <c r="U461" s="139"/>
      <c r="V461" s="139"/>
      <c r="W461" s="139"/>
      <c r="X461" s="139"/>
      <c r="Y461" s="139"/>
      <c r="Z461" s="139"/>
    </row>
    <row r="462" ht="15.75" customHeight="1">
      <c r="A462" s="139"/>
      <c r="B462" s="139"/>
      <c r="C462" s="183"/>
      <c r="D462" s="183"/>
      <c r="E462" s="183"/>
      <c r="F462" s="183"/>
      <c r="G462" s="183"/>
      <c r="H462" s="184"/>
      <c r="I462" s="139"/>
      <c r="J462" s="139"/>
      <c r="K462" s="139"/>
      <c r="L462" s="139"/>
      <c r="M462" s="139"/>
      <c r="N462" s="139"/>
      <c r="O462" s="139"/>
      <c r="P462" s="139"/>
      <c r="Q462" s="139"/>
      <c r="R462" s="139"/>
      <c r="S462" s="139"/>
      <c r="T462" s="139"/>
      <c r="U462" s="139"/>
      <c r="V462" s="139"/>
      <c r="W462" s="139"/>
      <c r="X462" s="139"/>
      <c r="Y462" s="139"/>
      <c r="Z462" s="139"/>
    </row>
    <row r="463" ht="15.75" customHeight="1">
      <c r="A463" s="139"/>
      <c r="B463" s="139"/>
      <c r="C463" s="183"/>
      <c r="D463" s="183"/>
      <c r="E463" s="183"/>
      <c r="F463" s="183"/>
      <c r="G463" s="183"/>
      <c r="H463" s="184"/>
      <c r="I463" s="139"/>
      <c r="J463" s="139"/>
      <c r="K463" s="139"/>
      <c r="L463" s="139"/>
      <c r="M463" s="139"/>
      <c r="N463" s="139"/>
      <c r="O463" s="139"/>
      <c r="P463" s="139"/>
      <c r="Q463" s="139"/>
      <c r="R463" s="139"/>
      <c r="S463" s="139"/>
      <c r="T463" s="139"/>
      <c r="U463" s="139"/>
      <c r="V463" s="139"/>
      <c r="W463" s="139"/>
      <c r="X463" s="139"/>
      <c r="Y463" s="139"/>
      <c r="Z463" s="139"/>
    </row>
    <row r="464" ht="15.75" customHeight="1">
      <c r="A464" s="139"/>
      <c r="B464" s="139"/>
      <c r="C464" s="183"/>
      <c r="D464" s="183"/>
      <c r="E464" s="183"/>
      <c r="F464" s="183"/>
      <c r="G464" s="183"/>
      <c r="H464" s="184"/>
      <c r="I464" s="139"/>
      <c r="J464" s="139"/>
      <c r="K464" s="139"/>
      <c r="L464" s="139"/>
      <c r="M464" s="139"/>
      <c r="N464" s="139"/>
      <c r="O464" s="139"/>
      <c r="P464" s="139"/>
      <c r="Q464" s="139"/>
      <c r="R464" s="139"/>
      <c r="S464" s="139"/>
      <c r="T464" s="139"/>
      <c r="U464" s="139"/>
      <c r="V464" s="139"/>
      <c r="W464" s="139"/>
      <c r="X464" s="139"/>
      <c r="Y464" s="139"/>
      <c r="Z464" s="139"/>
    </row>
    <row r="465" ht="15.75" customHeight="1">
      <c r="A465" s="139"/>
      <c r="B465" s="139"/>
      <c r="C465" s="183"/>
      <c r="D465" s="183"/>
      <c r="E465" s="183"/>
      <c r="F465" s="183"/>
      <c r="G465" s="183"/>
      <c r="H465" s="184"/>
      <c r="I465" s="139"/>
      <c r="J465" s="139"/>
      <c r="K465" s="139"/>
      <c r="L465" s="139"/>
      <c r="M465" s="139"/>
      <c r="N465" s="139"/>
      <c r="O465" s="139"/>
      <c r="P465" s="139"/>
      <c r="Q465" s="139"/>
      <c r="R465" s="139"/>
      <c r="S465" s="139"/>
      <c r="T465" s="139"/>
      <c r="U465" s="139"/>
      <c r="V465" s="139"/>
      <c r="W465" s="139"/>
      <c r="X465" s="139"/>
      <c r="Y465" s="139"/>
      <c r="Z465" s="139"/>
    </row>
    <row r="466" ht="15.75" customHeight="1">
      <c r="A466" s="139"/>
      <c r="B466" s="139"/>
      <c r="C466" s="183"/>
      <c r="D466" s="183"/>
      <c r="E466" s="183"/>
      <c r="F466" s="183"/>
      <c r="G466" s="183"/>
      <c r="H466" s="184"/>
      <c r="I466" s="139"/>
      <c r="J466" s="139"/>
      <c r="K466" s="139"/>
      <c r="L466" s="139"/>
      <c r="M466" s="139"/>
      <c r="N466" s="139"/>
      <c r="O466" s="139"/>
      <c r="P466" s="139"/>
      <c r="Q466" s="139"/>
      <c r="R466" s="139"/>
      <c r="S466" s="139"/>
      <c r="T466" s="139"/>
      <c r="U466" s="139"/>
      <c r="V466" s="139"/>
      <c r="W466" s="139"/>
      <c r="X466" s="139"/>
      <c r="Y466" s="139"/>
      <c r="Z466" s="139"/>
    </row>
    <row r="467" ht="15.75" customHeight="1">
      <c r="A467" s="139"/>
      <c r="B467" s="139"/>
      <c r="C467" s="183"/>
      <c r="D467" s="183"/>
      <c r="E467" s="183"/>
      <c r="F467" s="183"/>
      <c r="G467" s="183"/>
      <c r="H467" s="184"/>
      <c r="I467" s="139"/>
      <c r="J467" s="139"/>
      <c r="K467" s="139"/>
      <c r="L467" s="139"/>
      <c r="M467" s="139"/>
      <c r="N467" s="139"/>
      <c r="O467" s="139"/>
      <c r="P467" s="139"/>
      <c r="Q467" s="139"/>
      <c r="R467" s="139"/>
      <c r="S467" s="139"/>
      <c r="T467" s="139"/>
      <c r="U467" s="139"/>
      <c r="V467" s="139"/>
      <c r="W467" s="139"/>
      <c r="X467" s="139"/>
      <c r="Y467" s="139"/>
      <c r="Z467" s="139"/>
    </row>
    <row r="468" ht="15.75" customHeight="1">
      <c r="A468" s="139"/>
      <c r="B468" s="139"/>
      <c r="C468" s="183"/>
      <c r="D468" s="183"/>
      <c r="E468" s="183"/>
      <c r="F468" s="183"/>
      <c r="G468" s="183"/>
      <c r="H468" s="184"/>
      <c r="I468" s="139"/>
      <c r="J468" s="139"/>
      <c r="K468" s="139"/>
      <c r="L468" s="139"/>
      <c r="M468" s="139"/>
      <c r="N468" s="139"/>
      <c r="O468" s="139"/>
      <c r="P468" s="139"/>
      <c r="Q468" s="139"/>
      <c r="R468" s="139"/>
      <c r="S468" s="139"/>
      <c r="T468" s="139"/>
      <c r="U468" s="139"/>
      <c r="V468" s="139"/>
      <c r="W468" s="139"/>
      <c r="X468" s="139"/>
      <c r="Y468" s="139"/>
      <c r="Z468" s="139"/>
    </row>
    <row r="469" ht="15.75" customHeight="1">
      <c r="A469" s="139"/>
      <c r="B469" s="139"/>
      <c r="C469" s="183"/>
      <c r="D469" s="183"/>
      <c r="E469" s="183"/>
      <c r="F469" s="183"/>
      <c r="G469" s="183"/>
      <c r="H469" s="184"/>
      <c r="I469" s="139"/>
      <c r="J469" s="139"/>
      <c r="K469" s="139"/>
      <c r="L469" s="139"/>
      <c r="M469" s="139"/>
      <c r="N469" s="139"/>
      <c r="O469" s="139"/>
      <c r="P469" s="139"/>
      <c r="Q469" s="139"/>
      <c r="R469" s="139"/>
      <c r="S469" s="139"/>
      <c r="T469" s="139"/>
      <c r="U469" s="139"/>
      <c r="V469" s="139"/>
      <c r="W469" s="139"/>
      <c r="X469" s="139"/>
      <c r="Y469" s="139"/>
      <c r="Z469" s="139"/>
    </row>
    <row r="470" ht="15.75" customHeight="1">
      <c r="A470" s="139"/>
      <c r="B470" s="139"/>
      <c r="C470" s="183"/>
      <c r="D470" s="183"/>
      <c r="E470" s="183"/>
      <c r="F470" s="183"/>
      <c r="G470" s="183"/>
      <c r="H470" s="184"/>
      <c r="I470" s="139"/>
      <c r="J470" s="139"/>
      <c r="K470" s="139"/>
      <c r="L470" s="139"/>
      <c r="M470" s="139"/>
      <c r="N470" s="139"/>
      <c r="O470" s="139"/>
      <c r="P470" s="139"/>
      <c r="Q470" s="139"/>
      <c r="R470" s="139"/>
      <c r="S470" s="139"/>
      <c r="T470" s="139"/>
      <c r="U470" s="139"/>
      <c r="V470" s="139"/>
      <c r="W470" s="139"/>
      <c r="X470" s="139"/>
      <c r="Y470" s="139"/>
      <c r="Z470" s="139"/>
    </row>
    <row r="471" ht="15.75" customHeight="1">
      <c r="A471" s="139"/>
      <c r="B471" s="139"/>
      <c r="C471" s="183"/>
      <c r="D471" s="183"/>
      <c r="E471" s="183"/>
      <c r="F471" s="183"/>
      <c r="G471" s="183"/>
      <c r="H471" s="184"/>
      <c r="I471" s="139"/>
      <c r="J471" s="139"/>
      <c r="K471" s="139"/>
      <c r="L471" s="139"/>
      <c r="M471" s="139"/>
      <c r="N471" s="139"/>
      <c r="O471" s="139"/>
      <c r="P471" s="139"/>
      <c r="Q471" s="139"/>
      <c r="R471" s="139"/>
      <c r="S471" s="139"/>
      <c r="T471" s="139"/>
      <c r="U471" s="139"/>
      <c r="V471" s="139"/>
      <c r="W471" s="139"/>
      <c r="X471" s="139"/>
      <c r="Y471" s="139"/>
      <c r="Z471" s="139"/>
    </row>
    <row r="472" ht="15.75" customHeight="1">
      <c r="A472" s="139"/>
      <c r="B472" s="139"/>
      <c r="C472" s="183"/>
      <c r="D472" s="183"/>
      <c r="E472" s="183"/>
      <c r="F472" s="183"/>
      <c r="G472" s="183"/>
      <c r="H472" s="184"/>
      <c r="I472" s="139"/>
      <c r="J472" s="139"/>
      <c r="K472" s="139"/>
      <c r="L472" s="139"/>
      <c r="M472" s="139"/>
      <c r="N472" s="139"/>
      <c r="O472" s="139"/>
      <c r="P472" s="139"/>
      <c r="Q472" s="139"/>
      <c r="R472" s="139"/>
      <c r="S472" s="139"/>
      <c r="T472" s="139"/>
      <c r="U472" s="139"/>
      <c r="V472" s="139"/>
      <c r="W472" s="139"/>
      <c r="X472" s="139"/>
      <c r="Y472" s="139"/>
      <c r="Z472" s="139"/>
    </row>
    <row r="473" ht="15.75" customHeight="1">
      <c r="A473" s="139"/>
      <c r="B473" s="139"/>
      <c r="C473" s="183"/>
      <c r="D473" s="183"/>
      <c r="E473" s="183"/>
      <c r="F473" s="183"/>
      <c r="G473" s="183"/>
      <c r="H473" s="184"/>
      <c r="I473" s="139"/>
      <c r="J473" s="139"/>
      <c r="K473" s="139"/>
      <c r="L473" s="139"/>
      <c r="M473" s="139"/>
      <c r="N473" s="139"/>
      <c r="O473" s="139"/>
      <c r="P473" s="139"/>
      <c r="Q473" s="139"/>
      <c r="R473" s="139"/>
      <c r="S473" s="139"/>
      <c r="T473" s="139"/>
      <c r="U473" s="139"/>
      <c r="V473" s="139"/>
      <c r="W473" s="139"/>
      <c r="X473" s="139"/>
      <c r="Y473" s="139"/>
      <c r="Z473" s="139"/>
    </row>
    <row r="474" ht="15.75" customHeight="1">
      <c r="A474" s="139"/>
      <c r="B474" s="139"/>
      <c r="C474" s="183"/>
      <c r="D474" s="183"/>
      <c r="E474" s="183"/>
      <c r="F474" s="183"/>
      <c r="G474" s="183"/>
      <c r="H474" s="184"/>
      <c r="I474" s="139"/>
      <c r="J474" s="139"/>
      <c r="K474" s="139"/>
      <c r="L474" s="139"/>
      <c r="M474" s="139"/>
      <c r="N474" s="139"/>
      <c r="O474" s="139"/>
      <c r="P474" s="139"/>
      <c r="Q474" s="139"/>
      <c r="R474" s="139"/>
      <c r="S474" s="139"/>
      <c r="T474" s="139"/>
      <c r="U474" s="139"/>
      <c r="V474" s="139"/>
      <c r="W474" s="139"/>
      <c r="X474" s="139"/>
      <c r="Y474" s="139"/>
      <c r="Z474" s="139"/>
    </row>
    <row r="475" ht="15.75" customHeight="1">
      <c r="A475" s="139"/>
      <c r="B475" s="139"/>
      <c r="C475" s="183"/>
      <c r="D475" s="183"/>
      <c r="E475" s="183"/>
      <c r="F475" s="183"/>
      <c r="G475" s="183"/>
      <c r="H475" s="184"/>
      <c r="I475" s="139"/>
      <c r="J475" s="139"/>
      <c r="K475" s="139"/>
      <c r="L475" s="139"/>
      <c r="M475" s="139"/>
      <c r="N475" s="139"/>
      <c r="O475" s="139"/>
      <c r="P475" s="139"/>
      <c r="Q475" s="139"/>
      <c r="R475" s="139"/>
      <c r="S475" s="139"/>
      <c r="T475" s="139"/>
      <c r="U475" s="139"/>
      <c r="V475" s="139"/>
      <c r="W475" s="139"/>
      <c r="X475" s="139"/>
      <c r="Y475" s="139"/>
      <c r="Z475" s="139"/>
    </row>
    <row r="476" ht="15.75" customHeight="1">
      <c r="A476" s="139"/>
      <c r="B476" s="139"/>
      <c r="C476" s="183"/>
      <c r="D476" s="183"/>
      <c r="E476" s="183"/>
      <c r="F476" s="183"/>
      <c r="G476" s="183"/>
      <c r="H476" s="184"/>
      <c r="I476" s="139"/>
      <c r="J476" s="139"/>
      <c r="K476" s="139"/>
      <c r="L476" s="139"/>
      <c r="M476" s="139"/>
      <c r="N476" s="139"/>
      <c r="O476" s="139"/>
      <c r="P476" s="139"/>
      <c r="Q476" s="139"/>
      <c r="R476" s="139"/>
      <c r="S476" s="139"/>
      <c r="T476" s="139"/>
      <c r="U476" s="139"/>
      <c r="V476" s="139"/>
      <c r="W476" s="139"/>
      <c r="X476" s="139"/>
      <c r="Y476" s="139"/>
      <c r="Z476" s="139"/>
    </row>
    <row r="477" ht="15.75" customHeight="1">
      <c r="A477" s="139"/>
      <c r="B477" s="139"/>
      <c r="C477" s="183"/>
      <c r="D477" s="183"/>
      <c r="E477" s="183"/>
      <c r="F477" s="183"/>
      <c r="G477" s="183"/>
      <c r="H477" s="184"/>
      <c r="I477" s="139"/>
      <c r="J477" s="139"/>
      <c r="K477" s="139"/>
      <c r="L477" s="139"/>
      <c r="M477" s="139"/>
      <c r="N477" s="139"/>
      <c r="O477" s="139"/>
      <c r="P477" s="139"/>
      <c r="Q477" s="139"/>
      <c r="R477" s="139"/>
      <c r="S477" s="139"/>
      <c r="T477" s="139"/>
      <c r="U477" s="139"/>
      <c r="V477" s="139"/>
      <c r="W477" s="139"/>
      <c r="X477" s="139"/>
      <c r="Y477" s="139"/>
      <c r="Z477" s="139"/>
    </row>
    <row r="478" ht="15.75" customHeight="1">
      <c r="A478" s="139"/>
      <c r="B478" s="139"/>
      <c r="C478" s="183"/>
      <c r="D478" s="183"/>
      <c r="E478" s="183"/>
      <c r="F478" s="183"/>
      <c r="G478" s="183"/>
      <c r="H478" s="184"/>
      <c r="I478" s="139"/>
      <c r="J478" s="139"/>
      <c r="K478" s="139"/>
      <c r="L478" s="139"/>
      <c r="M478" s="139"/>
      <c r="N478" s="139"/>
      <c r="O478" s="139"/>
      <c r="P478" s="139"/>
      <c r="Q478" s="139"/>
      <c r="R478" s="139"/>
      <c r="S478" s="139"/>
      <c r="T478" s="139"/>
      <c r="U478" s="139"/>
      <c r="V478" s="139"/>
      <c r="W478" s="139"/>
      <c r="X478" s="139"/>
      <c r="Y478" s="139"/>
      <c r="Z478" s="139"/>
    </row>
    <row r="479" ht="15.75" customHeight="1">
      <c r="A479" s="139"/>
      <c r="B479" s="139"/>
      <c r="C479" s="183"/>
      <c r="D479" s="183"/>
      <c r="E479" s="183"/>
      <c r="F479" s="183"/>
      <c r="G479" s="183"/>
      <c r="H479" s="184"/>
      <c r="I479" s="139"/>
      <c r="J479" s="139"/>
      <c r="K479" s="139"/>
      <c r="L479" s="139"/>
      <c r="M479" s="139"/>
      <c r="N479" s="139"/>
      <c r="O479" s="139"/>
      <c r="P479" s="139"/>
      <c r="Q479" s="139"/>
      <c r="R479" s="139"/>
      <c r="S479" s="139"/>
      <c r="T479" s="139"/>
      <c r="U479" s="139"/>
      <c r="V479" s="139"/>
      <c r="W479" s="139"/>
      <c r="X479" s="139"/>
      <c r="Y479" s="139"/>
      <c r="Z479" s="139"/>
    </row>
    <row r="480" ht="15.75" customHeight="1">
      <c r="A480" s="139"/>
      <c r="B480" s="139"/>
      <c r="C480" s="183"/>
      <c r="D480" s="183"/>
      <c r="E480" s="183"/>
      <c r="F480" s="183"/>
      <c r="G480" s="183"/>
      <c r="H480" s="184"/>
      <c r="I480" s="139"/>
      <c r="J480" s="139"/>
      <c r="K480" s="139"/>
      <c r="L480" s="139"/>
      <c r="M480" s="139"/>
      <c r="N480" s="139"/>
      <c r="O480" s="139"/>
      <c r="P480" s="139"/>
      <c r="Q480" s="139"/>
      <c r="R480" s="139"/>
      <c r="S480" s="139"/>
      <c r="T480" s="139"/>
      <c r="U480" s="139"/>
      <c r="V480" s="139"/>
      <c r="W480" s="139"/>
      <c r="X480" s="139"/>
      <c r="Y480" s="139"/>
      <c r="Z480" s="139"/>
    </row>
    <row r="481" ht="15.75" customHeight="1">
      <c r="A481" s="139"/>
      <c r="B481" s="139"/>
      <c r="C481" s="183"/>
      <c r="D481" s="183"/>
      <c r="E481" s="183"/>
      <c r="F481" s="183"/>
      <c r="G481" s="183"/>
      <c r="H481" s="184"/>
      <c r="I481" s="139"/>
      <c r="J481" s="139"/>
      <c r="K481" s="139"/>
      <c r="L481" s="139"/>
      <c r="M481" s="139"/>
      <c r="N481" s="139"/>
      <c r="O481" s="139"/>
      <c r="P481" s="139"/>
      <c r="Q481" s="139"/>
      <c r="R481" s="139"/>
      <c r="S481" s="139"/>
      <c r="T481" s="139"/>
      <c r="U481" s="139"/>
      <c r="V481" s="139"/>
      <c r="W481" s="139"/>
      <c r="X481" s="139"/>
      <c r="Y481" s="139"/>
      <c r="Z481" s="139"/>
    </row>
    <row r="482" ht="15.75" customHeight="1">
      <c r="A482" s="139"/>
      <c r="B482" s="139"/>
      <c r="C482" s="183"/>
      <c r="D482" s="183"/>
      <c r="E482" s="183"/>
      <c r="F482" s="183"/>
      <c r="G482" s="183"/>
      <c r="H482" s="184"/>
      <c r="I482" s="139"/>
      <c r="J482" s="139"/>
      <c r="K482" s="139"/>
      <c r="L482" s="139"/>
      <c r="M482" s="139"/>
      <c r="N482" s="139"/>
      <c r="O482" s="139"/>
      <c r="P482" s="139"/>
      <c r="Q482" s="139"/>
      <c r="R482" s="139"/>
      <c r="S482" s="139"/>
      <c r="T482" s="139"/>
      <c r="U482" s="139"/>
      <c r="V482" s="139"/>
      <c r="W482" s="139"/>
      <c r="X482" s="139"/>
      <c r="Y482" s="139"/>
      <c r="Z482" s="139"/>
    </row>
    <row r="483" ht="15.75" customHeight="1">
      <c r="A483" s="139"/>
      <c r="B483" s="139"/>
      <c r="C483" s="183"/>
      <c r="D483" s="183"/>
      <c r="E483" s="183"/>
      <c r="F483" s="183"/>
      <c r="G483" s="183"/>
      <c r="H483" s="184"/>
      <c r="I483" s="139"/>
      <c r="J483" s="139"/>
      <c r="K483" s="139"/>
      <c r="L483" s="139"/>
      <c r="M483" s="139"/>
      <c r="N483" s="139"/>
      <c r="O483" s="139"/>
      <c r="P483" s="139"/>
      <c r="Q483" s="139"/>
      <c r="R483" s="139"/>
      <c r="S483" s="139"/>
      <c r="T483" s="139"/>
      <c r="U483" s="139"/>
      <c r="V483" s="139"/>
      <c r="W483" s="139"/>
      <c r="X483" s="139"/>
      <c r="Y483" s="139"/>
      <c r="Z483" s="139"/>
    </row>
    <row r="484" ht="15.75" customHeight="1">
      <c r="A484" s="139"/>
      <c r="B484" s="139"/>
      <c r="C484" s="183"/>
      <c r="D484" s="183"/>
      <c r="E484" s="183"/>
      <c r="F484" s="183"/>
      <c r="G484" s="183"/>
      <c r="H484" s="184"/>
      <c r="I484" s="139"/>
      <c r="J484" s="139"/>
      <c r="K484" s="139"/>
      <c r="L484" s="139"/>
      <c r="M484" s="139"/>
      <c r="N484" s="139"/>
      <c r="O484" s="139"/>
      <c r="P484" s="139"/>
      <c r="Q484" s="139"/>
      <c r="R484" s="139"/>
      <c r="S484" s="139"/>
      <c r="T484" s="139"/>
      <c r="U484" s="139"/>
      <c r="V484" s="139"/>
      <c r="W484" s="139"/>
      <c r="X484" s="139"/>
      <c r="Y484" s="139"/>
      <c r="Z484" s="139"/>
    </row>
    <row r="485" ht="15.75" customHeight="1">
      <c r="A485" s="139"/>
      <c r="B485" s="139"/>
      <c r="C485" s="183"/>
      <c r="D485" s="183"/>
      <c r="E485" s="183"/>
      <c r="F485" s="183"/>
      <c r="G485" s="183"/>
      <c r="H485" s="184"/>
      <c r="I485" s="139"/>
      <c r="J485" s="139"/>
      <c r="K485" s="139"/>
      <c r="L485" s="139"/>
      <c r="M485" s="139"/>
      <c r="N485" s="139"/>
      <c r="O485" s="139"/>
      <c r="P485" s="139"/>
      <c r="Q485" s="139"/>
      <c r="R485" s="139"/>
      <c r="S485" s="139"/>
      <c r="T485" s="139"/>
      <c r="U485" s="139"/>
      <c r="V485" s="139"/>
      <c r="W485" s="139"/>
      <c r="X485" s="139"/>
      <c r="Y485" s="139"/>
      <c r="Z485" s="139"/>
    </row>
    <row r="486" ht="15.75" customHeight="1">
      <c r="A486" s="139"/>
      <c r="B486" s="139"/>
      <c r="C486" s="183"/>
      <c r="D486" s="183"/>
      <c r="E486" s="183"/>
      <c r="F486" s="183"/>
      <c r="G486" s="183"/>
      <c r="H486" s="184"/>
      <c r="I486" s="139"/>
      <c r="J486" s="139"/>
      <c r="K486" s="139"/>
      <c r="L486" s="139"/>
      <c r="M486" s="139"/>
      <c r="N486" s="139"/>
      <c r="O486" s="139"/>
      <c r="P486" s="139"/>
      <c r="Q486" s="139"/>
      <c r="R486" s="139"/>
      <c r="S486" s="139"/>
      <c r="T486" s="139"/>
      <c r="U486" s="139"/>
      <c r="V486" s="139"/>
      <c r="W486" s="139"/>
      <c r="X486" s="139"/>
      <c r="Y486" s="139"/>
      <c r="Z486" s="139"/>
    </row>
    <row r="487" ht="15.75" customHeight="1">
      <c r="A487" s="139"/>
      <c r="B487" s="139"/>
      <c r="C487" s="183"/>
      <c r="D487" s="183"/>
      <c r="E487" s="183"/>
      <c r="F487" s="183"/>
      <c r="G487" s="183"/>
      <c r="H487" s="184"/>
      <c r="I487" s="139"/>
      <c r="J487" s="139"/>
      <c r="K487" s="139"/>
      <c r="L487" s="139"/>
      <c r="M487" s="139"/>
      <c r="N487" s="139"/>
      <c r="O487" s="139"/>
      <c r="P487" s="139"/>
      <c r="Q487" s="139"/>
      <c r="R487" s="139"/>
      <c r="S487" s="139"/>
      <c r="T487" s="139"/>
      <c r="U487" s="139"/>
      <c r="V487" s="139"/>
      <c r="W487" s="139"/>
      <c r="X487" s="139"/>
      <c r="Y487" s="139"/>
      <c r="Z487" s="139"/>
    </row>
    <row r="488" ht="15.75" customHeight="1">
      <c r="A488" s="139"/>
      <c r="B488" s="139"/>
      <c r="C488" s="183"/>
      <c r="D488" s="183"/>
      <c r="E488" s="183"/>
      <c r="F488" s="183"/>
      <c r="G488" s="183"/>
      <c r="H488" s="184"/>
      <c r="I488" s="139"/>
      <c r="J488" s="139"/>
      <c r="K488" s="139"/>
      <c r="L488" s="139"/>
      <c r="M488" s="139"/>
      <c r="N488" s="139"/>
      <c r="O488" s="139"/>
      <c r="P488" s="139"/>
      <c r="Q488" s="139"/>
      <c r="R488" s="139"/>
      <c r="S488" s="139"/>
      <c r="T488" s="139"/>
      <c r="U488" s="139"/>
      <c r="V488" s="139"/>
      <c r="W488" s="139"/>
      <c r="X488" s="139"/>
      <c r="Y488" s="139"/>
      <c r="Z488" s="139"/>
    </row>
    <row r="489" ht="15.75" customHeight="1">
      <c r="A489" s="139"/>
      <c r="B489" s="139"/>
      <c r="C489" s="183"/>
      <c r="D489" s="183"/>
      <c r="E489" s="183"/>
      <c r="F489" s="183"/>
      <c r="G489" s="183"/>
      <c r="H489" s="184"/>
      <c r="I489" s="139"/>
      <c r="J489" s="139"/>
      <c r="K489" s="139"/>
      <c r="L489" s="139"/>
      <c r="M489" s="139"/>
      <c r="N489" s="139"/>
      <c r="O489" s="139"/>
      <c r="P489" s="139"/>
      <c r="Q489" s="139"/>
      <c r="R489" s="139"/>
      <c r="S489" s="139"/>
      <c r="T489" s="139"/>
      <c r="U489" s="139"/>
      <c r="V489" s="139"/>
      <c r="W489" s="139"/>
      <c r="X489" s="139"/>
      <c r="Y489" s="139"/>
      <c r="Z489" s="139"/>
    </row>
    <row r="490" ht="15.75" customHeight="1">
      <c r="A490" s="139"/>
      <c r="B490" s="139"/>
      <c r="C490" s="183"/>
      <c r="D490" s="183"/>
      <c r="E490" s="183"/>
      <c r="F490" s="183"/>
      <c r="G490" s="183"/>
      <c r="H490" s="184"/>
      <c r="I490" s="139"/>
      <c r="J490" s="139"/>
      <c r="K490" s="139"/>
      <c r="L490" s="139"/>
      <c r="M490" s="139"/>
      <c r="N490" s="139"/>
      <c r="O490" s="139"/>
      <c r="P490" s="139"/>
      <c r="Q490" s="139"/>
      <c r="R490" s="139"/>
      <c r="S490" s="139"/>
      <c r="T490" s="139"/>
      <c r="U490" s="139"/>
      <c r="V490" s="139"/>
      <c r="W490" s="139"/>
      <c r="X490" s="139"/>
      <c r="Y490" s="139"/>
      <c r="Z490" s="139"/>
    </row>
    <row r="491" ht="15.75" customHeight="1">
      <c r="A491" s="139"/>
      <c r="B491" s="139"/>
      <c r="C491" s="183"/>
      <c r="D491" s="183"/>
      <c r="E491" s="183"/>
      <c r="F491" s="183"/>
      <c r="G491" s="183"/>
      <c r="H491" s="184"/>
      <c r="I491" s="139"/>
      <c r="J491" s="139"/>
      <c r="K491" s="139"/>
      <c r="L491" s="139"/>
      <c r="M491" s="139"/>
      <c r="N491" s="139"/>
      <c r="O491" s="139"/>
      <c r="P491" s="139"/>
      <c r="Q491" s="139"/>
      <c r="R491" s="139"/>
      <c r="S491" s="139"/>
      <c r="T491" s="139"/>
      <c r="U491" s="139"/>
      <c r="V491" s="139"/>
      <c r="W491" s="139"/>
      <c r="X491" s="139"/>
      <c r="Y491" s="139"/>
      <c r="Z491" s="139"/>
    </row>
    <row r="492" ht="15.75" customHeight="1">
      <c r="A492" s="139"/>
      <c r="B492" s="139"/>
      <c r="C492" s="183"/>
      <c r="D492" s="183"/>
      <c r="E492" s="183"/>
      <c r="F492" s="183"/>
      <c r="G492" s="183"/>
      <c r="H492" s="184"/>
      <c r="I492" s="139"/>
      <c r="J492" s="139"/>
      <c r="K492" s="139"/>
      <c r="L492" s="139"/>
      <c r="M492" s="139"/>
      <c r="N492" s="139"/>
      <c r="O492" s="139"/>
      <c r="P492" s="139"/>
      <c r="Q492" s="139"/>
      <c r="R492" s="139"/>
      <c r="S492" s="139"/>
      <c r="T492" s="139"/>
      <c r="U492" s="139"/>
      <c r="V492" s="139"/>
      <c r="W492" s="139"/>
      <c r="X492" s="139"/>
      <c r="Y492" s="139"/>
      <c r="Z492" s="139"/>
    </row>
    <row r="493" ht="15.75" customHeight="1">
      <c r="A493" s="139"/>
      <c r="B493" s="139"/>
      <c r="C493" s="183"/>
      <c r="D493" s="183"/>
      <c r="E493" s="183"/>
      <c r="F493" s="183"/>
      <c r="G493" s="183"/>
      <c r="H493" s="184"/>
      <c r="I493" s="139"/>
      <c r="J493" s="139"/>
      <c r="K493" s="139"/>
      <c r="L493" s="139"/>
      <c r="M493" s="139"/>
      <c r="N493" s="139"/>
      <c r="O493" s="139"/>
      <c r="P493" s="139"/>
      <c r="Q493" s="139"/>
      <c r="R493" s="139"/>
      <c r="S493" s="139"/>
      <c r="T493" s="139"/>
      <c r="U493" s="139"/>
      <c r="V493" s="139"/>
      <c r="W493" s="139"/>
      <c r="X493" s="139"/>
      <c r="Y493" s="139"/>
      <c r="Z493" s="139"/>
    </row>
    <row r="494" ht="15.75" customHeight="1">
      <c r="A494" s="139"/>
      <c r="B494" s="139"/>
      <c r="C494" s="183"/>
      <c r="D494" s="183"/>
      <c r="E494" s="183"/>
      <c r="F494" s="183"/>
      <c r="G494" s="183"/>
      <c r="H494" s="184"/>
      <c r="I494" s="139"/>
      <c r="J494" s="139"/>
      <c r="K494" s="139"/>
      <c r="L494" s="139"/>
      <c r="M494" s="139"/>
      <c r="N494" s="139"/>
      <c r="O494" s="139"/>
      <c r="P494" s="139"/>
      <c r="Q494" s="139"/>
      <c r="R494" s="139"/>
      <c r="S494" s="139"/>
      <c r="T494" s="139"/>
      <c r="U494" s="139"/>
      <c r="V494" s="139"/>
      <c r="W494" s="139"/>
      <c r="X494" s="139"/>
      <c r="Y494" s="139"/>
      <c r="Z494" s="139"/>
    </row>
    <row r="495" ht="15.75" customHeight="1">
      <c r="A495" s="139"/>
      <c r="B495" s="139"/>
      <c r="C495" s="183"/>
      <c r="D495" s="183"/>
      <c r="E495" s="183"/>
      <c r="F495" s="183"/>
      <c r="G495" s="183"/>
      <c r="H495" s="184"/>
      <c r="I495" s="139"/>
      <c r="J495" s="139"/>
      <c r="K495" s="139"/>
      <c r="L495" s="139"/>
      <c r="M495" s="139"/>
      <c r="N495" s="139"/>
      <c r="O495" s="139"/>
      <c r="P495" s="139"/>
      <c r="Q495" s="139"/>
      <c r="R495" s="139"/>
      <c r="S495" s="139"/>
      <c r="T495" s="139"/>
      <c r="U495" s="139"/>
      <c r="V495" s="139"/>
      <c r="W495" s="139"/>
      <c r="X495" s="139"/>
      <c r="Y495" s="139"/>
      <c r="Z495" s="139"/>
    </row>
    <row r="496" ht="15.75" customHeight="1">
      <c r="A496" s="139"/>
      <c r="B496" s="139"/>
      <c r="C496" s="183"/>
      <c r="D496" s="183"/>
      <c r="E496" s="183"/>
      <c r="F496" s="183"/>
      <c r="G496" s="183"/>
      <c r="H496" s="184"/>
      <c r="I496" s="139"/>
      <c r="J496" s="139"/>
      <c r="K496" s="139"/>
      <c r="L496" s="139"/>
      <c r="M496" s="139"/>
      <c r="N496" s="139"/>
      <c r="O496" s="139"/>
      <c r="P496" s="139"/>
      <c r="Q496" s="139"/>
      <c r="R496" s="139"/>
      <c r="S496" s="139"/>
      <c r="T496" s="139"/>
      <c r="U496" s="139"/>
      <c r="V496" s="139"/>
      <c r="W496" s="139"/>
      <c r="X496" s="139"/>
      <c r="Y496" s="139"/>
      <c r="Z496" s="139"/>
    </row>
    <row r="497" ht="15.75" customHeight="1">
      <c r="A497" s="139"/>
      <c r="B497" s="139"/>
      <c r="C497" s="183"/>
      <c r="D497" s="183"/>
      <c r="E497" s="183"/>
      <c r="F497" s="183"/>
      <c r="G497" s="183"/>
      <c r="H497" s="184"/>
      <c r="I497" s="139"/>
      <c r="J497" s="139"/>
      <c r="K497" s="139"/>
      <c r="L497" s="139"/>
      <c r="M497" s="139"/>
      <c r="N497" s="139"/>
      <c r="O497" s="139"/>
      <c r="P497" s="139"/>
      <c r="Q497" s="139"/>
      <c r="R497" s="139"/>
      <c r="S497" s="139"/>
      <c r="T497" s="139"/>
      <c r="U497" s="139"/>
      <c r="V497" s="139"/>
      <c r="W497" s="139"/>
      <c r="X497" s="139"/>
      <c r="Y497" s="139"/>
      <c r="Z497" s="139"/>
    </row>
    <row r="498" ht="15.75" customHeight="1">
      <c r="A498" s="139"/>
      <c r="B498" s="139"/>
      <c r="C498" s="183"/>
      <c r="D498" s="183"/>
      <c r="E498" s="183"/>
      <c r="F498" s="183"/>
      <c r="G498" s="183"/>
      <c r="H498" s="184"/>
      <c r="I498" s="139"/>
      <c r="J498" s="139"/>
      <c r="K498" s="139"/>
      <c r="L498" s="139"/>
      <c r="M498" s="139"/>
      <c r="N498" s="139"/>
      <c r="O498" s="139"/>
      <c r="P498" s="139"/>
      <c r="Q498" s="139"/>
      <c r="R498" s="139"/>
      <c r="S498" s="139"/>
      <c r="T498" s="139"/>
      <c r="U498" s="139"/>
      <c r="V498" s="139"/>
      <c r="W498" s="139"/>
      <c r="X498" s="139"/>
      <c r="Y498" s="139"/>
      <c r="Z498" s="139"/>
    </row>
    <row r="499" ht="15.75" customHeight="1">
      <c r="A499" s="139"/>
      <c r="B499" s="139"/>
      <c r="C499" s="183"/>
      <c r="D499" s="183"/>
      <c r="E499" s="183"/>
      <c r="F499" s="183"/>
      <c r="G499" s="183"/>
      <c r="H499" s="184"/>
      <c r="I499" s="139"/>
      <c r="J499" s="139"/>
      <c r="K499" s="139"/>
      <c r="L499" s="139"/>
      <c r="M499" s="139"/>
      <c r="N499" s="139"/>
      <c r="O499" s="139"/>
      <c r="P499" s="139"/>
      <c r="Q499" s="139"/>
      <c r="R499" s="139"/>
      <c r="S499" s="139"/>
      <c r="T499" s="139"/>
      <c r="U499" s="139"/>
      <c r="V499" s="139"/>
      <c r="W499" s="139"/>
      <c r="X499" s="139"/>
      <c r="Y499" s="139"/>
      <c r="Z499" s="139"/>
    </row>
    <row r="500" ht="15.75" customHeight="1">
      <c r="A500" s="139"/>
      <c r="B500" s="139"/>
      <c r="C500" s="183"/>
      <c r="D500" s="183"/>
      <c r="E500" s="183"/>
      <c r="F500" s="183"/>
      <c r="G500" s="183"/>
      <c r="H500" s="184"/>
      <c r="I500" s="139"/>
      <c r="J500" s="139"/>
      <c r="K500" s="139"/>
      <c r="L500" s="139"/>
      <c r="M500" s="139"/>
      <c r="N500" s="139"/>
      <c r="O500" s="139"/>
      <c r="P500" s="139"/>
      <c r="Q500" s="139"/>
      <c r="R500" s="139"/>
      <c r="S500" s="139"/>
      <c r="T500" s="139"/>
      <c r="U500" s="139"/>
      <c r="V500" s="139"/>
      <c r="W500" s="139"/>
      <c r="X500" s="139"/>
      <c r="Y500" s="139"/>
      <c r="Z500" s="139"/>
    </row>
    <row r="501" ht="15.75" customHeight="1">
      <c r="A501" s="139"/>
      <c r="B501" s="139"/>
      <c r="C501" s="183"/>
      <c r="D501" s="183"/>
      <c r="E501" s="183"/>
      <c r="F501" s="183"/>
      <c r="G501" s="183"/>
      <c r="H501" s="184"/>
      <c r="I501" s="139"/>
      <c r="J501" s="139"/>
      <c r="K501" s="139"/>
      <c r="L501" s="139"/>
      <c r="M501" s="139"/>
      <c r="N501" s="139"/>
      <c r="O501" s="139"/>
      <c r="P501" s="139"/>
      <c r="Q501" s="139"/>
      <c r="R501" s="139"/>
      <c r="S501" s="139"/>
      <c r="T501" s="139"/>
      <c r="U501" s="139"/>
      <c r="V501" s="139"/>
      <c r="W501" s="139"/>
      <c r="X501" s="139"/>
      <c r="Y501" s="139"/>
      <c r="Z501" s="139"/>
    </row>
    <row r="502" ht="15.75" customHeight="1">
      <c r="A502" s="139"/>
      <c r="B502" s="139"/>
      <c r="C502" s="183"/>
      <c r="D502" s="183"/>
      <c r="E502" s="183"/>
      <c r="F502" s="183"/>
      <c r="G502" s="183"/>
      <c r="H502" s="184"/>
      <c r="I502" s="139"/>
      <c r="J502" s="139"/>
      <c r="K502" s="139"/>
      <c r="L502" s="139"/>
      <c r="M502" s="139"/>
      <c r="N502" s="139"/>
      <c r="O502" s="139"/>
      <c r="P502" s="139"/>
      <c r="Q502" s="139"/>
      <c r="R502" s="139"/>
      <c r="S502" s="139"/>
      <c r="T502" s="139"/>
      <c r="U502" s="139"/>
      <c r="V502" s="139"/>
      <c r="W502" s="139"/>
      <c r="X502" s="139"/>
      <c r="Y502" s="139"/>
      <c r="Z502" s="139"/>
    </row>
    <row r="503" ht="15.75" customHeight="1">
      <c r="A503" s="139"/>
      <c r="B503" s="139"/>
      <c r="C503" s="183"/>
      <c r="D503" s="183"/>
      <c r="E503" s="183"/>
      <c r="F503" s="183"/>
      <c r="G503" s="183"/>
      <c r="H503" s="184"/>
      <c r="I503" s="139"/>
      <c r="J503" s="139"/>
      <c r="K503" s="139"/>
      <c r="L503" s="139"/>
      <c r="M503" s="139"/>
      <c r="N503" s="139"/>
      <c r="O503" s="139"/>
      <c r="P503" s="139"/>
      <c r="Q503" s="139"/>
      <c r="R503" s="139"/>
      <c r="S503" s="139"/>
      <c r="T503" s="139"/>
      <c r="U503" s="139"/>
      <c r="V503" s="139"/>
      <c r="W503" s="139"/>
      <c r="X503" s="139"/>
      <c r="Y503" s="139"/>
      <c r="Z503" s="139"/>
    </row>
    <row r="504" ht="15.75" customHeight="1">
      <c r="A504" s="139"/>
      <c r="B504" s="139"/>
      <c r="C504" s="183"/>
      <c r="D504" s="183"/>
      <c r="E504" s="183"/>
      <c r="F504" s="183"/>
      <c r="G504" s="183"/>
      <c r="H504" s="184"/>
      <c r="I504" s="139"/>
      <c r="J504" s="139"/>
      <c r="K504" s="139"/>
      <c r="L504" s="139"/>
      <c r="M504" s="139"/>
      <c r="N504" s="139"/>
      <c r="O504" s="139"/>
      <c r="P504" s="139"/>
      <c r="Q504" s="139"/>
      <c r="R504" s="139"/>
      <c r="S504" s="139"/>
      <c r="T504" s="139"/>
      <c r="U504" s="139"/>
      <c r="V504" s="139"/>
      <c r="W504" s="139"/>
      <c r="X504" s="139"/>
      <c r="Y504" s="139"/>
      <c r="Z504" s="139"/>
    </row>
    <row r="505" ht="15.75" customHeight="1">
      <c r="A505" s="139"/>
      <c r="B505" s="139"/>
      <c r="C505" s="183"/>
      <c r="D505" s="183"/>
      <c r="E505" s="183"/>
      <c r="F505" s="183"/>
      <c r="G505" s="183"/>
      <c r="H505" s="184"/>
      <c r="I505" s="139"/>
      <c r="J505" s="139"/>
      <c r="K505" s="139"/>
      <c r="L505" s="139"/>
      <c r="M505" s="139"/>
      <c r="N505" s="139"/>
      <c r="O505" s="139"/>
      <c r="P505" s="139"/>
      <c r="Q505" s="139"/>
      <c r="R505" s="139"/>
      <c r="S505" s="139"/>
      <c r="T505" s="139"/>
      <c r="U505" s="139"/>
      <c r="V505" s="139"/>
      <c r="W505" s="139"/>
      <c r="X505" s="139"/>
      <c r="Y505" s="139"/>
      <c r="Z505" s="139"/>
    </row>
    <row r="506" ht="15.75" customHeight="1">
      <c r="A506" s="139"/>
      <c r="B506" s="139"/>
      <c r="C506" s="183"/>
      <c r="D506" s="183"/>
      <c r="E506" s="183"/>
      <c r="F506" s="183"/>
      <c r="G506" s="183"/>
      <c r="H506" s="184"/>
      <c r="I506" s="139"/>
      <c r="J506" s="139"/>
      <c r="K506" s="139"/>
      <c r="L506" s="139"/>
      <c r="M506" s="139"/>
      <c r="N506" s="139"/>
      <c r="O506" s="139"/>
      <c r="P506" s="139"/>
      <c r="Q506" s="139"/>
      <c r="R506" s="139"/>
      <c r="S506" s="139"/>
      <c r="T506" s="139"/>
      <c r="U506" s="139"/>
      <c r="V506" s="139"/>
      <c r="W506" s="139"/>
      <c r="X506" s="139"/>
      <c r="Y506" s="139"/>
      <c r="Z506" s="139"/>
    </row>
    <row r="507" ht="15.75" customHeight="1">
      <c r="A507" s="139"/>
      <c r="B507" s="139"/>
      <c r="C507" s="183"/>
      <c r="D507" s="183"/>
      <c r="E507" s="183"/>
      <c r="F507" s="183"/>
      <c r="G507" s="183"/>
      <c r="H507" s="184"/>
      <c r="I507" s="139"/>
      <c r="J507" s="139"/>
      <c r="K507" s="139"/>
      <c r="L507" s="139"/>
      <c r="M507" s="139"/>
      <c r="N507" s="139"/>
      <c r="O507" s="139"/>
      <c r="P507" s="139"/>
      <c r="Q507" s="139"/>
      <c r="R507" s="139"/>
      <c r="S507" s="139"/>
      <c r="T507" s="139"/>
      <c r="U507" s="139"/>
      <c r="V507" s="139"/>
      <c r="W507" s="139"/>
      <c r="X507" s="139"/>
      <c r="Y507" s="139"/>
      <c r="Z507" s="139"/>
    </row>
    <row r="508" ht="15.75" customHeight="1">
      <c r="A508" s="139"/>
      <c r="B508" s="139"/>
      <c r="C508" s="183"/>
      <c r="D508" s="183"/>
      <c r="E508" s="183"/>
      <c r="F508" s="183"/>
      <c r="G508" s="183"/>
      <c r="H508" s="184"/>
      <c r="I508" s="139"/>
      <c r="J508" s="139"/>
      <c r="K508" s="139"/>
      <c r="L508" s="139"/>
      <c r="M508" s="139"/>
      <c r="N508" s="139"/>
      <c r="O508" s="139"/>
      <c r="P508" s="139"/>
      <c r="Q508" s="139"/>
      <c r="R508" s="139"/>
      <c r="S508" s="139"/>
      <c r="T508" s="139"/>
      <c r="U508" s="139"/>
      <c r="V508" s="139"/>
      <c r="W508" s="139"/>
      <c r="X508" s="139"/>
      <c r="Y508" s="139"/>
      <c r="Z508" s="139"/>
    </row>
    <row r="509" ht="15.75" customHeight="1">
      <c r="A509" s="139"/>
      <c r="B509" s="139"/>
      <c r="C509" s="183"/>
      <c r="D509" s="183"/>
      <c r="E509" s="183"/>
      <c r="F509" s="183"/>
      <c r="G509" s="183"/>
      <c r="H509" s="184"/>
      <c r="I509" s="139"/>
      <c r="J509" s="139"/>
      <c r="K509" s="139"/>
      <c r="L509" s="139"/>
      <c r="M509" s="139"/>
      <c r="N509" s="139"/>
      <c r="O509" s="139"/>
      <c r="P509" s="139"/>
      <c r="Q509" s="139"/>
      <c r="R509" s="139"/>
      <c r="S509" s="139"/>
      <c r="T509" s="139"/>
      <c r="U509" s="139"/>
      <c r="V509" s="139"/>
      <c r="W509" s="139"/>
      <c r="X509" s="139"/>
      <c r="Y509" s="139"/>
      <c r="Z509" s="139"/>
    </row>
    <row r="510" ht="15.75" customHeight="1">
      <c r="A510" s="139"/>
      <c r="B510" s="139"/>
      <c r="C510" s="183"/>
      <c r="D510" s="183"/>
      <c r="E510" s="183"/>
      <c r="F510" s="183"/>
      <c r="G510" s="183"/>
      <c r="H510" s="184"/>
      <c r="I510" s="139"/>
      <c r="J510" s="139"/>
      <c r="K510" s="139"/>
      <c r="L510" s="139"/>
      <c r="M510" s="139"/>
      <c r="N510" s="139"/>
      <c r="O510" s="139"/>
      <c r="P510" s="139"/>
      <c r="Q510" s="139"/>
      <c r="R510" s="139"/>
      <c r="S510" s="139"/>
      <c r="T510" s="139"/>
      <c r="U510" s="139"/>
      <c r="V510" s="139"/>
      <c r="W510" s="139"/>
      <c r="X510" s="139"/>
      <c r="Y510" s="139"/>
      <c r="Z510" s="139"/>
    </row>
    <row r="511" ht="15.75" customHeight="1">
      <c r="A511" s="139"/>
      <c r="B511" s="139"/>
      <c r="C511" s="183"/>
      <c r="D511" s="183"/>
      <c r="E511" s="183"/>
      <c r="F511" s="183"/>
      <c r="G511" s="183"/>
      <c r="H511" s="184"/>
      <c r="I511" s="139"/>
      <c r="J511" s="139"/>
      <c r="K511" s="139"/>
      <c r="L511" s="139"/>
      <c r="M511" s="139"/>
      <c r="N511" s="139"/>
      <c r="O511" s="139"/>
      <c r="P511" s="139"/>
      <c r="Q511" s="139"/>
      <c r="R511" s="139"/>
      <c r="S511" s="139"/>
      <c r="T511" s="139"/>
      <c r="U511" s="139"/>
      <c r="V511" s="139"/>
      <c r="W511" s="139"/>
      <c r="X511" s="139"/>
      <c r="Y511" s="139"/>
      <c r="Z511" s="139"/>
    </row>
    <row r="512" ht="15.75" customHeight="1">
      <c r="A512" s="139"/>
      <c r="B512" s="139"/>
      <c r="C512" s="183"/>
      <c r="D512" s="183"/>
      <c r="E512" s="183"/>
      <c r="F512" s="183"/>
      <c r="G512" s="183"/>
      <c r="H512" s="184"/>
      <c r="I512" s="139"/>
      <c r="J512" s="139"/>
      <c r="K512" s="139"/>
      <c r="L512" s="139"/>
      <c r="M512" s="139"/>
      <c r="N512" s="139"/>
      <c r="O512" s="139"/>
      <c r="P512" s="139"/>
      <c r="Q512" s="139"/>
      <c r="R512" s="139"/>
      <c r="S512" s="139"/>
      <c r="T512" s="139"/>
      <c r="U512" s="139"/>
      <c r="V512" s="139"/>
      <c r="W512" s="139"/>
      <c r="X512" s="139"/>
      <c r="Y512" s="139"/>
      <c r="Z512" s="139"/>
    </row>
    <row r="513" ht="15.75" customHeight="1">
      <c r="A513" s="139"/>
      <c r="B513" s="139"/>
      <c r="C513" s="183"/>
      <c r="D513" s="183"/>
      <c r="E513" s="183"/>
      <c r="F513" s="183"/>
      <c r="G513" s="183"/>
      <c r="H513" s="184"/>
      <c r="I513" s="139"/>
      <c r="J513" s="139"/>
      <c r="K513" s="139"/>
      <c r="L513" s="139"/>
      <c r="M513" s="139"/>
      <c r="N513" s="139"/>
      <c r="O513" s="139"/>
      <c r="P513" s="139"/>
      <c r="Q513" s="139"/>
      <c r="R513" s="139"/>
      <c r="S513" s="139"/>
      <c r="T513" s="139"/>
      <c r="U513" s="139"/>
      <c r="V513" s="139"/>
      <c r="W513" s="139"/>
      <c r="X513" s="139"/>
      <c r="Y513" s="139"/>
      <c r="Z513" s="139"/>
    </row>
    <row r="514" ht="15.75" customHeight="1">
      <c r="A514" s="139"/>
      <c r="B514" s="139"/>
      <c r="C514" s="183"/>
      <c r="D514" s="183"/>
      <c r="E514" s="183"/>
      <c r="F514" s="183"/>
      <c r="G514" s="183"/>
      <c r="H514" s="184"/>
      <c r="I514" s="139"/>
      <c r="J514" s="139"/>
      <c r="K514" s="139"/>
      <c r="L514" s="139"/>
      <c r="M514" s="139"/>
      <c r="N514" s="139"/>
      <c r="O514" s="139"/>
      <c r="P514" s="139"/>
      <c r="Q514" s="139"/>
      <c r="R514" s="139"/>
      <c r="S514" s="139"/>
      <c r="T514" s="139"/>
      <c r="U514" s="139"/>
      <c r="V514" s="139"/>
      <c r="W514" s="139"/>
      <c r="X514" s="139"/>
      <c r="Y514" s="139"/>
      <c r="Z514" s="139"/>
    </row>
    <row r="515" ht="15.75" customHeight="1">
      <c r="A515" s="139"/>
      <c r="B515" s="139"/>
      <c r="C515" s="183"/>
      <c r="D515" s="183"/>
      <c r="E515" s="183"/>
      <c r="F515" s="183"/>
      <c r="G515" s="183"/>
      <c r="H515" s="184"/>
      <c r="I515" s="139"/>
      <c r="J515" s="139"/>
      <c r="K515" s="139"/>
      <c r="L515" s="139"/>
      <c r="M515" s="139"/>
      <c r="N515" s="139"/>
      <c r="O515" s="139"/>
      <c r="P515" s="139"/>
      <c r="Q515" s="139"/>
      <c r="R515" s="139"/>
      <c r="S515" s="139"/>
      <c r="T515" s="139"/>
      <c r="U515" s="139"/>
      <c r="V515" s="139"/>
      <c r="W515" s="139"/>
      <c r="X515" s="139"/>
      <c r="Y515" s="139"/>
      <c r="Z515" s="139"/>
    </row>
    <row r="516" ht="15.75" customHeight="1">
      <c r="A516" s="139"/>
      <c r="B516" s="139"/>
      <c r="C516" s="183"/>
      <c r="D516" s="183"/>
      <c r="E516" s="183"/>
      <c r="F516" s="183"/>
      <c r="G516" s="183"/>
      <c r="H516" s="184"/>
      <c r="I516" s="139"/>
      <c r="J516" s="139"/>
      <c r="K516" s="139"/>
      <c r="L516" s="139"/>
      <c r="M516" s="139"/>
      <c r="N516" s="139"/>
      <c r="O516" s="139"/>
      <c r="P516" s="139"/>
      <c r="Q516" s="139"/>
      <c r="R516" s="139"/>
      <c r="S516" s="139"/>
      <c r="T516" s="139"/>
      <c r="U516" s="139"/>
      <c r="V516" s="139"/>
      <c r="W516" s="139"/>
      <c r="X516" s="139"/>
      <c r="Y516" s="139"/>
      <c r="Z516" s="139"/>
    </row>
    <row r="517" ht="15.75" customHeight="1">
      <c r="A517" s="139"/>
      <c r="B517" s="139"/>
      <c r="C517" s="183"/>
      <c r="D517" s="183"/>
      <c r="E517" s="183"/>
      <c r="F517" s="183"/>
      <c r="G517" s="183"/>
      <c r="H517" s="184"/>
      <c r="I517" s="139"/>
      <c r="J517" s="139"/>
      <c r="K517" s="139"/>
      <c r="L517" s="139"/>
      <c r="M517" s="139"/>
      <c r="N517" s="139"/>
      <c r="O517" s="139"/>
      <c r="P517" s="139"/>
      <c r="Q517" s="139"/>
      <c r="R517" s="139"/>
      <c r="S517" s="139"/>
      <c r="T517" s="139"/>
      <c r="U517" s="139"/>
      <c r="V517" s="139"/>
      <c r="W517" s="139"/>
      <c r="X517" s="139"/>
      <c r="Y517" s="139"/>
      <c r="Z517" s="139"/>
    </row>
    <row r="518" ht="15.75" customHeight="1">
      <c r="A518" s="139"/>
      <c r="B518" s="139"/>
      <c r="C518" s="183"/>
      <c r="D518" s="183"/>
      <c r="E518" s="183"/>
      <c r="F518" s="183"/>
      <c r="G518" s="183"/>
      <c r="H518" s="184"/>
      <c r="I518" s="139"/>
      <c r="J518" s="139"/>
      <c r="K518" s="139"/>
      <c r="L518" s="139"/>
      <c r="M518" s="139"/>
      <c r="N518" s="139"/>
      <c r="O518" s="139"/>
      <c r="P518" s="139"/>
      <c r="Q518" s="139"/>
      <c r="R518" s="139"/>
      <c r="S518" s="139"/>
      <c r="T518" s="139"/>
      <c r="U518" s="139"/>
      <c r="V518" s="139"/>
      <c r="W518" s="139"/>
      <c r="X518" s="139"/>
      <c r="Y518" s="139"/>
      <c r="Z518" s="139"/>
    </row>
    <row r="519" ht="15.75" customHeight="1">
      <c r="A519" s="139"/>
      <c r="B519" s="139"/>
      <c r="C519" s="183"/>
      <c r="D519" s="183"/>
      <c r="E519" s="183"/>
      <c r="F519" s="183"/>
      <c r="G519" s="183"/>
      <c r="H519" s="184"/>
      <c r="I519" s="139"/>
      <c r="J519" s="139"/>
      <c r="K519" s="139"/>
      <c r="L519" s="139"/>
      <c r="M519" s="139"/>
      <c r="N519" s="139"/>
      <c r="O519" s="139"/>
      <c r="P519" s="139"/>
      <c r="Q519" s="139"/>
      <c r="R519" s="139"/>
      <c r="S519" s="139"/>
      <c r="T519" s="139"/>
      <c r="U519" s="139"/>
      <c r="V519" s="139"/>
      <c r="W519" s="139"/>
      <c r="X519" s="139"/>
      <c r="Y519" s="139"/>
      <c r="Z519" s="139"/>
    </row>
    <row r="520" ht="15.75" customHeight="1">
      <c r="A520" s="139"/>
      <c r="B520" s="139"/>
      <c r="C520" s="183"/>
      <c r="D520" s="183"/>
      <c r="E520" s="183"/>
      <c r="F520" s="183"/>
      <c r="G520" s="183"/>
      <c r="H520" s="184"/>
      <c r="I520" s="139"/>
      <c r="J520" s="139"/>
      <c r="K520" s="139"/>
      <c r="L520" s="139"/>
      <c r="M520" s="139"/>
      <c r="N520" s="139"/>
      <c r="O520" s="139"/>
      <c r="P520" s="139"/>
      <c r="Q520" s="139"/>
      <c r="R520" s="139"/>
      <c r="S520" s="139"/>
      <c r="T520" s="139"/>
      <c r="U520" s="139"/>
      <c r="V520" s="139"/>
      <c r="W520" s="139"/>
      <c r="X520" s="139"/>
      <c r="Y520" s="139"/>
      <c r="Z520" s="139"/>
    </row>
    <row r="521" ht="15.75" customHeight="1">
      <c r="A521" s="139"/>
      <c r="B521" s="139"/>
      <c r="C521" s="183"/>
      <c r="D521" s="183"/>
      <c r="E521" s="183"/>
      <c r="F521" s="183"/>
      <c r="G521" s="183"/>
      <c r="H521" s="184"/>
      <c r="I521" s="139"/>
      <c r="J521" s="139"/>
      <c r="K521" s="139"/>
      <c r="L521" s="139"/>
      <c r="M521" s="139"/>
      <c r="N521" s="139"/>
      <c r="O521" s="139"/>
      <c r="P521" s="139"/>
      <c r="Q521" s="139"/>
      <c r="R521" s="139"/>
      <c r="S521" s="139"/>
      <c r="T521" s="139"/>
      <c r="U521" s="139"/>
      <c r="V521" s="139"/>
      <c r="W521" s="139"/>
      <c r="X521" s="139"/>
      <c r="Y521" s="139"/>
      <c r="Z521" s="139"/>
    </row>
    <row r="522" ht="15.75" customHeight="1">
      <c r="A522" s="139"/>
      <c r="B522" s="139"/>
      <c r="C522" s="183"/>
      <c r="D522" s="183"/>
      <c r="E522" s="183"/>
      <c r="F522" s="183"/>
      <c r="G522" s="183"/>
      <c r="H522" s="184"/>
      <c r="I522" s="139"/>
      <c r="J522" s="139"/>
      <c r="K522" s="139"/>
      <c r="L522" s="139"/>
      <c r="M522" s="139"/>
      <c r="N522" s="139"/>
      <c r="O522" s="139"/>
      <c r="P522" s="139"/>
      <c r="Q522" s="139"/>
      <c r="R522" s="139"/>
      <c r="S522" s="139"/>
      <c r="T522" s="139"/>
      <c r="U522" s="139"/>
      <c r="V522" s="139"/>
      <c r="W522" s="139"/>
      <c r="X522" s="139"/>
      <c r="Y522" s="139"/>
      <c r="Z522" s="139"/>
    </row>
    <row r="523" ht="15.75" customHeight="1">
      <c r="A523" s="139"/>
      <c r="B523" s="139"/>
      <c r="C523" s="183"/>
      <c r="D523" s="183"/>
      <c r="E523" s="183"/>
      <c r="F523" s="183"/>
      <c r="G523" s="183"/>
      <c r="H523" s="184"/>
      <c r="I523" s="139"/>
      <c r="J523" s="139"/>
      <c r="K523" s="139"/>
      <c r="L523" s="139"/>
      <c r="M523" s="139"/>
      <c r="N523" s="139"/>
      <c r="O523" s="139"/>
      <c r="P523" s="139"/>
      <c r="Q523" s="139"/>
      <c r="R523" s="139"/>
      <c r="S523" s="139"/>
      <c r="T523" s="139"/>
      <c r="U523" s="139"/>
      <c r="V523" s="139"/>
      <c r="W523" s="139"/>
      <c r="X523" s="139"/>
      <c r="Y523" s="139"/>
      <c r="Z523" s="139"/>
    </row>
    <row r="524" ht="15.75" customHeight="1">
      <c r="A524" s="139"/>
      <c r="B524" s="139"/>
      <c r="C524" s="183"/>
      <c r="D524" s="183"/>
      <c r="E524" s="183"/>
      <c r="F524" s="183"/>
      <c r="G524" s="183"/>
      <c r="H524" s="184"/>
      <c r="I524" s="139"/>
      <c r="J524" s="139"/>
      <c r="K524" s="139"/>
      <c r="L524" s="139"/>
      <c r="M524" s="139"/>
      <c r="N524" s="139"/>
      <c r="O524" s="139"/>
      <c r="P524" s="139"/>
      <c r="Q524" s="139"/>
      <c r="R524" s="139"/>
      <c r="S524" s="139"/>
      <c r="T524" s="139"/>
      <c r="U524" s="139"/>
      <c r="V524" s="139"/>
      <c r="W524" s="139"/>
      <c r="X524" s="139"/>
      <c r="Y524" s="139"/>
      <c r="Z524" s="139"/>
    </row>
    <row r="525" ht="15.75" customHeight="1">
      <c r="A525" s="139"/>
      <c r="B525" s="139"/>
      <c r="C525" s="183"/>
      <c r="D525" s="183"/>
      <c r="E525" s="183"/>
      <c r="F525" s="183"/>
      <c r="G525" s="183"/>
      <c r="H525" s="184"/>
      <c r="I525" s="139"/>
      <c r="J525" s="139"/>
      <c r="K525" s="139"/>
      <c r="L525" s="139"/>
      <c r="M525" s="139"/>
      <c r="N525" s="139"/>
      <c r="O525" s="139"/>
      <c r="P525" s="139"/>
      <c r="Q525" s="139"/>
      <c r="R525" s="139"/>
      <c r="S525" s="139"/>
      <c r="T525" s="139"/>
      <c r="U525" s="139"/>
      <c r="V525" s="139"/>
      <c r="W525" s="139"/>
      <c r="X525" s="139"/>
      <c r="Y525" s="139"/>
      <c r="Z525" s="139"/>
    </row>
    <row r="526" ht="15.75" customHeight="1">
      <c r="A526" s="139"/>
      <c r="B526" s="139"/>
      <c r="C526" s="183"/>
      <c r="D526" s="183"/>
      <c r="E526" s="183"/>
      <c r="F526" s="183"/>
      <c r="G526" s="183"/>
      <c r="H526" s="184"/>
      <c r="I526" s="139"/>
      <c r="J526" s="139"/>
      <c r="K526" s="139"/>
      <c r="L526" s="139"/>
      <c r="M526" s="139"/>
      <c r="N526" s="139"/>
      <c r="O526" s="139"/>
      <c r="P526" s="139"/>
      <c r="Q526" s="139"/>
      <c r="R526" s="139"/>
      <c r="S526" s="139"/>
      <c r="T526" s="139"/>
      <c r="U526" s="139"/>
      <c r="V526" s="139"/>
      <c r="W526" s="139"/>
      <c r="X526" s="139"/>
      <c r="Y526" s="139"/>
      <c r="Z526" s="139"/>
    </row>
    <row r="527" ht="15.75" customHeight="1">
      <c r="A527" s="139"/>
      <c r="B527" s="139"/>
      <c r="C527" s="183"/>
      <c r="D527" s="183"/>
      <c r="E527" s="183"/>
      <c r="F527" s="183"/>
      <c r="G527" s="183"/>
      <c r="H527" s="184"/>
      <c r="I527" s="139"/>
      <c r="J527" s="139"/>
      <c r="K527" s="139"/>
      <c r="L527" s="139"/>
      <c r="M527" s="139"/>
      <c r="N527" s="139"/>
      <c r="O527" s="139"/>
      <c r="P527" s="139"/>
      <c r="Q527" s="139"/>
      <c r="R527" s="139"/>
      <c r="S527" s="139"/>
      <c r="T527" s="139"/>
      <c r="U527" s="139"/>
      <c r="V527" s="139"/>
      <c r="W527" s="139"/>
      <c r="X527" s="139"/>
      <c r="Y527" s="139"/>
      <c r="Z527" s="139"/>
    </row>
    <row r="528" ht="15.75" customHeight="1">
      <c r="A528" s="139"/>
      <c r="B528" s="139"/>
      <c r="C528" s="183"/>
      <c r="D528" s="183"/>
      <c r="E528" s="183"/>
      <c r="F528" s="183"/>
      <c r="G528" s="183"/>
      <c r="H528" s="184"/>
      <c r="I528" s="139"/>
      <c r="J528" s="139"/>
      <c r="K528" s="139"/>
      <c r="L528" s="139"/>
      <c r="M528" s="139"/>
      <c r="N528" s="139"/>
      <c r="O528" s="139"/>
      <c r="P528" s="139"/>
      <c r="Q528" s="139"/>
      <c r="R528" s="139"/>
      <c r="S528" s="139"/>
      <c r="T528" s="139"/>
      <c r="U528" s="139"/>
      <c r="V528" s="139"/>
      <c r="W528" s="139"/>
      <c r="X528" s="139"/>
      <c r="Y528" s="139"/>
      <c r="Z528" s="139"/>
    </row>
    <row r="529" ht="15.75" customHeight="1">
      <c r="A529" s="139"/>
      <c r="B529" s="139"/>
      <c r="C529" s="183"/>
      <c r="D529" s="183"/>
      <c r="E529" s="183"/>
      <c r="F529" s="183"/>
      <c r="G529" s="183"/>
      <c r="H529" s="184"/>
      <c r="I529" s="139"/>
      <c r="J529" s="139"/>
      <c r="K529" s="139"/>
      <c r="L529" s="139"/>
      <c r="M529" s="139"/>
      <c r="N529" s="139"/>
      <c r="O529" s="139"/>
      <c r="P529" s="139"/>
      <c r="Q529" s="139"/>
      <c r="R529" s="139"/>
      <c r="S529" s="139"/>
      <c r="T529" s="139"/>
      <c r="U529" s="139"/>
      <c r="V529" s="139"/>
      <c r="W529" s="139"/>
      <c r="X529" s="139"/>
      <c r="Y529" s="139"/>
      <c r="Z529" s="139"/>
    </row>
    <row r="530" ht="15.75" customHeight="1">
      <c r="A530" s="139"/>
      <c r="B530" s="139"/>
      <c r="C530" s="183"/>
      <c r="D530" s="183"/>
      <c r="E530" s="183"/>
      <c r="F530" s="183"/>
      <c r="G530" s="183"/>
      <c r="H530" s="184"/>
      <c r="I530" s="139"/>
      <c r="J530" s="139"/>
      <c r="K530" s="139"/>
      <c r="L530" s="139"/>
      <c r="M530" s="139"/>
      <c r="N530" s="139"/>
      <c r="O530" s="139"/>
      <c r="P530" s="139"/>
      <c r="Q530" s="139"/>
      <c r="R530" s="139"/>
      <c r="S530" s="139"/>
      <c r="T530" s="139"/>
      <c r="U530" s="139"/>
      <c r="V530" s="139"/>
      <c r="W530" s="139"/>
      <c r="X530" s="139"/>
      <c r="Y530" s="139"/>
      <c r="Z530" s="139"/>
    </row>
    <row r="531" ht="15.75" customHeight="1">
      <c r="A531" s="139"/>
      <c r="B531" s="139"/>
      <c r="C531" s="183"/>
      <c r="D531" s="183"/>
      <c r="E531" s="183"/>
      <c r="F531" s="183"/>
      <c r="G531" s="183"/>
      <c r="H531" s="184"/>
      <c r="I531" s="139"/>
      <c r="J531" s="139"/>
      <c r="K531" s="139"/>
      <c r="L531" s="139"/>
      <c r="M531" s="139"/>
      <c r="N531" s="139"/>
      <c r="O531" s="139"/>
      <c r="P531" s="139"/>
      <c r="Q531" s="139"/>
      <c r="R531" s="139"/>
      <c r="S531" s="139"/>
      <c r="T531" s="139"/>
      <c r="U531" s="139"/>
      <c r="V531" s="139"/>
      <c r="W531" s="139"/>
      <c r="X531" s="139"/>
      <c r="Y531" s="139"/>
      <c r="Z531" s="139"/>
    </row>
    <row r="532" ht="15.75" customHeight="1">
      <c r="A532" s="139"/>
      <c r="B532" s="139"/>
      <c r="C532" s="183"/>
      <c r="D532" s="183"/>
      <c r="E532" s="183"/>
      <c r="F532" s="183"/>
      <c r="G532" s="183"/>
      <c r="H532" s="184"/>
      <c r="I532" s="139"/>
      <c r="J532" s="139"/>
      <c r="K532" s="139"/>
      <c r="L532" s="139"/>
      <c r="M532" s="139"/>
      <c r="N532" s="139"/>
      <c r="O532" s="139"/>
      <c r="P532" s="139"/>
      <c r="Q532" s="139"/>
      <c r="R532" s="139"/>
      <c r="S532" s="139"/>
      <c r="T532" s="139"/>
      <c r="U532" s="139"/>
      <c r="V532" s="139"/>
      <c r="W532" s="139"/>
      <c r="X532" s="139"/>
      <c r="Y532" s="139"/>
      <c r="Z532" s="139"/>
    </row>
    <row r="533" ht="15.75" customHeight="1">
      <c r="A533" s="139"/>
      <c r="B533" s="139"/>
      <c r="C533" s="183"/>
      <c r="D533" s="183"/>
      <c r="E533" s="183"/>
      <c r="F533" s="183"/>
      <c r="G533" s="183"/>
      <c r="H533" s="184"/>
      <c r="I533" s="139"/>
      <c r="J533" s="139"/>
      <c r="K533" s="139"/>
      <c r="L533" s="139"/>
      <c r="M533" s="139"/>
      <c r="N533" s="139"/>
      <c r="O533" s="139"/>
      <c r="P533" s="139"/>
      <c r="Q533" s="139"/>
      <c r="R533" s="139"/>
      <c r="S533" s="139"/>
      <c r="T533" s="139"/>
      <c r="U533" s="139"/>
      <c r="V533" s="139"/>
      <c r="W533" s="139"/>
      <c r="X533" s="139"/>
      <c r="Y533" s="139"/>
      <c r="Z533" s="139"/>
    </row>
    <row r="534" ht="15.75" customHeight="1">
      <c r="A534" s="139"/>
      <c r="B534" s="139"/>
      <c r="C534" s="183"/>
      <c r="D534" s="183"/>
      <c r="E534" s="183"/>
      <c r="F534" s="183"/>
      <c r="G534" s="183"/>
      <c r="H534" s="184"/>
      <c r="I534" s="139"/>
      <c r="J534" s="139"/>
      <c r="K534" s="139"/>
      <c r="L534" s="139"/>
      <c r="M534" s="139"/>
      <c r="N534" s="139"/>
      <c r="O534" s="139"/>
      <c r="P534" s="139"/>
      <c r="Q534" s="139"/>
      <c r="R534" s="139"/>
      <c r="S534" s="139"/>
      <c r="T534" s="139"/>
      <c r="U534" s="139"/>
      <c r="V534" s="139"/>
      <c r="W534" s="139"/>
      <c r="X534" s="139"/>
      <c r="Y534" s="139"/>
      <c r="Z534" s="139"/>
    </row>
    <row r="535" ht="15.75" customHeight="1">
      <c r="A535" s="139"/>
      <c r="B535" s="139"/>
      <c r="C535" s="183"/>
      <c r="D535" s="183"/>
      <c r="E535" s="183"/>
      <c r="F535" s="183"/>
      <c r="G535" s="183"/>
      <c r="H535" s="184"/>
      <c r="I535" s="139"/>
      <c r="J535" s="139"/>
      <c r="K535" s="139"/>
      <c r="L535" s="139"/>
      <c r="M535" s="139"/>
      <c r="N535" s="139"/>
      <c r="O535" s="139"/>
      <c r="P535" s="139"/>
      <c r="Q535" s="139"/>
      <c r="R535" s="139"/>
      <c r="S535" s="139"/>
      <c r="T535" s="139"/>
      <c r="U535" s="139"/>
      <c r="V535" s="139"/>
      <c r="W535" s="139"/>
      <c r="X535" s="139"/>
      <c r="Y535" s="139"/>
      <c r="Z535" s="139"/>
    </row>
    <row r="536" ht="15.75" customHeight="1">
      <c r="A536" s="139"/>
      <c r="B536" s="139"/>
      <c r="C536" s="183"/>
      <c r="D536" s="183"/>
      <c r="E536" s="183"/>
      <c r="F536" s="183"/>
      <c r="G536" s="183"/>
      <c r="H536" s="184"/>
      <c r="I536" s="139"/>
      <c r="J536" s="139"/>
      <c r="K536" s="139"/>
      <c r="L536" s="139"/>
      <c r="M536" s="139"/>
      <c r="N536" s="139"/>
      <c r="O536" s="139"/>
      <c r="P536" s="139"/>
      <c r="Q536" s="139"/>
      <c r="R536" s="139"/>
      <c r="S536" s="139"/>
      <c r="T536" s="139"/>
      <c r="U536" s="139"/>
      <c r="V536" s="139"/>
      <c r="W536" s="139"/>
      <c r="X536" s="139"/>
      <c r="Y536" s="139"/>
      <c r="Z536" s="139"/>
    </row>
    <row r="537" ht="15.75" customHeight="1">
      <c r="A537" s="139"/>
      <c r="B537" s="139"/>
      <c r="C537" s="183"/>
      <c r="D537" s="183"/>
      <c r="E537" s="183"/>
      <c r="F537" s="183"/>
      <c r="G537" s="183"/>
      <c r="H537" s="184"/>
      <c r="I537" s="139"/>
      <c r="J537" s="139"/>
      <c r="K537" s="139"/>
      <c r="L537" s="139"/>
      <c r="M537" s="139"/>
      <c r="N537" s="139"/>
      <c r="O537" s="139"/>
      <c r="P537" s="139"/>
      <c r="Q537" s="139"/>
      <c r="R537" s="139"/>
      <c r="S537" s="139"/>
      <c r="T537" s="139"/>
      <c r="U537" s="139"/>
      <c r="V537" s="139"/>
      <c r="W537" s="139"/>
      <c r="X537" s="139"/>
      <c r="Y537" s="139"/>
      <c r="Z537" s="139"/>
    </row>
    <row r="538" ht="15.75" customHeight="1">
      <c r="A538" s="139"/>
      <c r="B538" s="139"/>
      <c r="C538" s="183"/>
      <c r="D538" s="183"/>
      <c r="E538" s="183"/>
      <c r="F538" s="183"/>
      <c r="G538" s="183"/>
      <c r="H538" s="184"/>
      <c r="I538" s="139"/>
      <c r="J538" s="139"/>
      <c r="K538" s="139"/>
      <c r="L538" s="139"/>
      <c r="M538" s="139"/>
      <c r="N538" s="139"/>
      <c r="O538" s="139"/>
      <c r="P538" s="139"/>
      <c r="Q538" s="139"/>
      <c r="R538" s="139"/>
      <c r="S538" s="139"/>
      <c r="T538" s="139"/>
      <c r="U538" s="139"/>
      <c r="V538" s="139"/>
      <c r="W538" s="139"/>
      <c r="X538" s="139"/>
      <c r="Y538" s="139"/>
      <c r="Z538" s="139"/>
    </row>
    <row r="539" ht="15.75" customHeight="1">
      <c r="A539" s="139"/>
      <c r="B539" s="139"/>
      <c r="C539" s="183"/>
      <c r="D539" s="183"/>
      <c r="E539" s="183"/>
      <c r="F539" s="183"/>
      <c r="G539" s="183"/>
      <c r="H539" s="184"/>
      <c r="I539" s="139"/>
      <c r="J539" s="139"/>
      <c r="K539" s="139"/>
      <c r="L539" s="139"/>
      <c r="M539" s="139"/>
      <c r="N539" s="139"/>
      <c r="O539" s="139"/>
      <c r="P539" s="139"/>
      <c r="Q539" s="139"/>
      <c r="R539" s="139"/>
      <c r="S539" s="139"/>
      <c r="T539" s="139"/>
      <c r="U539" s="139"/>
      <c r="V539" s="139"/>
      <c r="W539" s="139"/>
      <c r="X539" s="139"/>
      <c r="Y539" s="139"/>
      <c r="Z539" s="139"/>
    </row>
    <row r="540" ht="15.75" customHeight="1">
      <c r="A540" s="139"/>
      <c r="B540" s="139"/>
      <c r="C540" s="183"/>
      <c r="D540" s="183"/>
      <c r="E540" s="183"/>
      <c r="F540" s="183"/>
      <c r="G540" s="183"/>
      <c r="H540" s="184"/>
      <c r="I540" s="139"/>
      <c r="J540" s="139"/>
      <c r="K540" s="139"/>
      <c r="L540" s="139"/>
      <c r="M540" s="139"/>
      <c r="N540" s="139"/>
      <c r="O540" s="139"/>
      <c r="P540" s="139"/>
      <c r="Q540" s="139"/>
      <c r="R540" s="139"/>
      <c r="S540" s="139"/>
      <c r="T540" s="139"/>
      <c r="U540" s="139"/>
      <c r="V540" s="139"/>
      <c r="W540" s="139"/>
      <c r="X540" s="139"/>
      <c r="Y540" s="139"/>
      <c r="Z540" s="139"/>
    </row>
    <row r="541" ht="15.75" customHeight="1">
      <c r="A541" s="139"/>
      <c r="B541" s="139"/>
      <c r="C541" s="183"/>
      <c r="D541" s="183"/>
      <c r="E541" s="183"/>
      <c r="F541" s="183"/>
      <c r="G541" s="183"/>
      <c r="H541" s="184"/>
      <c r="I541" s="139"/>
      <c r="J541" s="139"/>
      <c r="K541" s="139"/>
      <c r="L541" s="139"/>
      <c r="M541" s="139"/>
      <c r="N541" s="139"/>
      <c r="O541" s="139"/>
      <c r="P541" s="139"/>
      <c r="Q541" s="139"/>
      <c r="R541" s="139"/>
      <c r="S541" s="139"/>
      <c r="T541" s="139"/>
      <c r="U541" s="139"/>
      <c r="V541" s="139"/>
      <c r="W541" s="139"/>
      <c r="X541" s="139"/>
      <c r="Y541" s="139"/>
      <c r="Z541" s="139"/>
    </row>
    <row r="542" ht="15.75" customHeight="1">
      <c r="A542" s="139"/>
      <c r="B542" s="139"/>
      <c r="C542" s="183"/>
      <c r="D542" s="183"/>
      <c r="E542" s="183"/>
      <c r="F542" s="183"/>
      <c r="G542" s="183"/>
      <c r="H542" s="184"/>
      <c r="I542" s="139"/>
      <c r="J542" s="139"/>
      <c r="K542" s="139"/>
      <c r="L542" s="139"/>
      <c r="M542" s="139"/>
      <c r="N542" s="139"/>
      <c r="O542" s="139"/>
      <c r="P542" s="139"/>
      <c r="Q542" s="139"/>
      <c r="R542" s="139"/>
      <c r="S542" s="139"/>
      <c r="T542" s="139"/>
      <c r="U542" s="139"/>
      <c r="V542" s="139"/>
      <c r="W542" s="139"/>
      <c r="X542" s="139"/>
      <c r="Y542" s="139"/>
      <c r="Z542" s="139"/>
    </row>
    <row r="543" ht="15.75" customHeight="1">
      <c r="A543" s="139"/>
      <c r="B543" s="139"/>
      <c r="C543" s="183"/>
      <c r="D543" s="183"/>
      <c r="E543" s="183"/>
      <c r="F543" s="183"/>
      <c r="G543" s="183"/>
      <c r="H543" s="184"/>
      <c r="I543" s="139"/>
      <c r="J543" s="139"/>
      <c r="K543" s="139"/>
      <c r="L543" s="139"/>
      <c r="M543" s="139"/>
      <c r="N543" s="139"/>
      <c r="O543" s="139"/>
      <c r="P543" s="139"/>
      <c r="Q543" s="139"/>
      <c r="R543" s="139"/>
      <c r="S543" s="139"/>
      <c r="T543" s="139"/>
      <c r="U543" s="139"/>
      <c r="V543" s="139"/>
      <c r="W543" s="139"/>
      <c r="X543" s="139"/>
      <c r="Y543" s="139"/>
      <c r="Z543" s="139"/>
    </row>
    <row r="544" ht="15.75" customHeight="1">
      <c r="A544" s="139"/>
      <c r="B544" s="139"/>
      <c r="C544" s="183"/>
      <c r="D544" s="183"/>
      <c r="E544" s="183"/>
      <c r="F544" s="183"/>
      <c r="G544" s="183"/>
      <c r="H544" s="184"/>
      <c r="I544" s="139"/>
      <c r="J544" s="139"/>
      <c r="K544" s="139"/>
      <c r="L544" s="139"/>
      <c r="M544" s="139"/>
      <c r="N544" s="139"/>
      <c r="O544" s="139"/>
      <c r="P544" s="139"/>
      <c r="Q544" s="139"/>
      <c r="R544" s="139"/>
      <c r="S544" s="139"/>
      <c r="T544" s="139"/>
      <c r="U544" s="139"/>
      <c r="V544" s="139"/>
      <c r="W544" s="139"/>
      <c r="X544" s="139"/>
      <c r="Y544" s="139"/>
      <c r="Z544" s="139"/>
    </row>
    <row r="545" ht="15.75" customHeight="1">
      <c r="A545" s="139"/>
      <c r="B545" s="139"/>
      <c r="C545" s="183"/>
      <c r="D545" s="183"/>
      <c r="E545" s="183"/>
      <c r="F545" s="183"/>
      <c r="G545" s="183"/>
      <c r="H545" s="184"/>
      <c r="I545" s="139"/>
      <c r="J545" s="139"/>
      <c r="K545" s="139"/>
      <c r="L545" s="139"/>
      <c r="M545" s="139"/>
      <c r="N545" s="139"/>
      <c r="O545" s="139"/>
      <c r="P545" s="139"/>
      <c r="Q545" s="139"/>
      <c r="R545" s="139"/>
      <c r="S545" s="139"/>
      <c r="T545" s="139"/>
      <c r="U545" s="139"/>
      <c r="V545" s="139"/>
      <c r="W545" s="139"/>
      <c r="X545" s="139"/>
      <c r="Y545" s="139"/>
      <c r="Z545" s="139"/>
    </row>
    <row r="546" ht="15.75" customHeight="1">
      <c r="A546" s="139"/>
      <c r="B546" s="139"/>
      <c r="C546" s="183"/>
      <c r="D546" s="183"/>
      <c r="E546" s="183"/>
      <c r="F546" s="183"/>
      <c r="G546" s="183"/>
      <c r="H546" s="184"/>
      <c r="I546" s="139"/>
      <c r="J546" s="139"/>
      <c r="K546" s="139"/>
      <c r="L546" s="139"/>
      <c r="M546" s="139"/>
      <c r="N546" s="139"/>
      <c r="O546" s="139"/>
      <c r="P546" s="139"/>
      <c r="Q546" s="139"/>
      <c r="R546" s="139"/>
      <c r="S546" s="139"/>
      <c r="T546" s="139"/>
      <c r="U546" s="139"/>
      <c r="V546" s="139"/>
      <c r="W546" s="139"/>
      <c r="X546" s="139"/>
      <c r="Y546" s="139"/>
      <c r="Z546" s="139"/>
    </row>
    <row r="547" ht="15.75" customHeight="1">
      <c r="A547" s="139"/>
      <c r="B547" s="139"/>
      <c r="C547" s="183"/>
      <c r="D547" s="183"/>
      <c r="E547" s="183"/>
      <c r="F547" s="183"/>
      <c r="G547" s="183"/>
      <c r="H547" s="184"/>
      <c r="I547" s="139"/>
      <c r="J547" s="139"/>
      <c r="K547" s="139"/>
      <c r="L547" s="139"/>
      <c r="M547" s="139"/>
      <c r="N547" s="139"/>
      <c r="O547" s="139"/>
      <c r="P547" s="139"/>
      <c r="Q547" s="139"/>
      <c r="R547" s="139"/>
      <c r="S547" s="139"/>
      <c r="T547" s="139"/>
      <c r="U547" s="139"/>
      <c r="V547" s="139"/>
      <c r="W547" s="139"/>
      <c r="X547" s="139"/>
      <c r="Y547" s="139"/>
      <c r="Z547" s="139"/>
    </row>
    <row r="548" ht="15.75" customHeight="1">
      <c r="A548" s="139"/>
      <c r="B548" s="139"/>
      <c r="C548" s="183"/>
      <c r="D548" s="183"/>
      <c r="E548" s="183"/>
      <c r="F548" s="183"/>
      <c r="G548" s="183"/>
      <c r="H548" s="184"/>
      <c r="I548" s="139"/>
      <c r="J548" s="139"/>
      <c r="K548" s="139"/>
      <c r="L548" s="139"/>
      <c r="M548" s="139"/>
      <c r="N548" s="139"/>
      <c r="O548" s="139"/>
      <c r="P548" s="139"/>
      <c r="Q548" s="139"/>
      <c r="R548" s="139"/>
      <c r="S548" s="139"/>
      <c r="T548" s="139"/>
      <c r="U548" s="139"/>
      <c r="V548" s="139"/>
      <c r="W548" s="139"/>
      <c r="X548" s="139"/>
      <c r="Y548" s="139"/>
      <c r="Z548" s="139"/>
    </row>
    <row r="549" ht="15.75" customHeight="1">
      <c r="A549" s="139"/>
      <c r="B549" s="139"/>
      <c r="C549" s="183"/>
      <c r="D549" s="183"/>
      <c r="E549" s="183"/>
      <c r="F549" s="183"/>
      <c r="G549" s="183"/>
      <c r="H549" s="184"/>
      <c r="I549" s="139"/>
      <c r="J549" s="139"/>
      <c r="K549" s="139"/>
      <c r="L549" s="139"/>
      <c r="M549" s="139"/>
      <c r="N549" s="139"/>
      <c r="O549" s="139"/>
      <c r="P549" s="139"/>
      <c r="Q549" s="139"/>
      <c r="R549" s="139"/>
      <c r="S549" s="139"/>
      <c r="T549" s="139"/>
      <c r="U549" s="139"/>
      <c r="V549" s="139"/>
      <c r="W549" s="139"/>
      <c r="X549" s="139"/>
      <c r="Y549" s="139"/>
      <c r="Z549" s="139"/>
    </row>
    <row r="550" ht="15.75" customHeight="1">
      <c r="A550" s="139"/>
      <c r="B550" s="139"/>
      <c r="C550" s="183"/>
      <c r="D550" s="183"/>
      <c r="E550" s="183"/>
      <c r="F550" s="183"/>
      <c r="G550" s="183"/>
      <c r="H550" s="184"/>
      <c r="I550" s="139"/>
      <c r="J550" s="139"/>
      <c r="K550" s="139"/>
      <c r="L550" s="139"/>
      <c r="M550" s="139"/>
      <c r="N550" s="139"/>
      <c r="O550" s="139"/>
      <c r="P550" s="139"/>
      <c r="Q550" s="139"/>
      <c r="R550" s="139"/>
      <c r="S550" s="139"/>
      <c r="T550" s="139"/>
      <c r="U550" s="139"/>
      <c r="V550" s="139"/>
      <c r="W550" s="139"/>
      <c r="X550" s="139"/>
      <c r="Y550" s="139"/>
      <c r="Z550" s="139"/>
    </row>
    <row r="551" ht="15.75" customHeight="1">
      <c r="A551" s="139"/>
      <c r="B551" s="139"/>
      <c r="C551" s="183"/>
      <c r="D551" s="183"/>
      <c r="E551" s="183"/>
      <c r="F551" s="183"/>
      <c r="G551" s="183"/>
      <c r="H551" s="184"/>
      <c r="I551" s="139"/>
      <c r="J551" s="139"/>
      <c r="K551" s="139"/>
      <c r="L551" s="139"/>
      <c r="M551" s="139"/>
      <c r="N551" s="139"/>
      <c r="O551" s="139"/>
      <c r="P551" s="139"/>
      <c r="Q551" s="139"/>
      <c r="R551" s="139"/>
      <c r="S551" s="139"/>
      <c r="T551" s="139"/>
      <c r="U551" s="139"/>
      <c r="V551" s="139"/>
      <c r="W551" s="139"/>
      <c r="X551" s="139"/>
      <c r="Y551" s="139"/>
      <c r="Z551" s="139"/>
    </row>
    <row r="552" ht="15.75" customHeight="1">
      <c r="A552" s="139"/>
      <c r="B552" s="139"/>
      <c r="C552" s="183"/>
      <c r="D552" s="183"/>
      <c r="E552" s="183"/>
      <c r="F552" s="183"/>
      <c r="G552" s="183"/>
      <c r="H552" s="184"/>
      <c r="I552" s="139"/>
      <c r="J552" s="139"/>
      <c r="K552" s="139"/>
      <c r="L552" s="139"/>
      <c r="M552" s="139"/>
      <c r="N552" s="139"/>
      <c r="O552" s="139"/>
      <c r="P552" s="139"/>
      <c r="Q552" s="139"/>
      <c r="R552" s="139"/>
      <c r="S552" s="139"/>
      <c r="T552" s="139"/>
      <c r="U552" s="139"/>
      <c r="V552" s="139"/>
      <c r="W552" s="139"/>
      <c r="X552" s="139"/>
      <c r="Y552" s="139"/>
      <c r="Z552" s="139"/>
    </row>
    <row r="553" ht="15.75" customHeight="1">
      <c r="A553" s="139"/>
      <c r="B553" s="139"/>
      <c r="C553" s="183"/>
      <c r="D553" s="183"/>
      <c r="E553" s="183"/>
      <c r="F553" s="183"/>
      <c r="G553" s="183"/>
      <c r="H553" s="184"/>
      <c r="I553" s="139"/>
      <c r="J553" s="139"/>
      <c r="K553" s="139"/>
      <c r="L553" s="139"/>
      <c r="M553" s="139"/>
      <c r="N553" s="139"/>
      <c r="O553" s="139"/>
      <c r="P553" s="139"/>
      <c r="Q553" s="139"/>
      <c r="R553" s="139"/>
      <c r="S553" s="139"/>
      <c r="T553" s="139"/>
      <c r="U553" s="139"/>
      <c r="V553" s="139"/>
      <c r="W553" s="139"/>
      <c r="X553" s="139"/>
      <c r="Y553" s="139"/>
      <c r="Z553" s="139"/>
    </row>
    <row r="554" ht="15.75" customHeight="1">
      <c r="A554" s="139"/>
      <c r="B554" s="139"/>
      <c r="C554" s="183"/>
      <c r="D554" s="183"/>
      <c r="E554" s="183"/>
      <c r="F554" s="183"/>
      <c r="G554" s="183"/>
      <c r="H554" s="184"/>
      <c r="I554" s="139"/>
      <c r="J554" s="139"/>
      <c r="K554" s="139"/>
      <c r="L554" s="139"/>
      <c r="M554" s="139"/>
      <c r="N554" s="139"/>
      <c r="O554" s="139"/>
      <c r="P554" s="139"/>
      <c r="Q554" s="139"/>
      <c r="R554" s="139"/>
      <c r="S554" s="139"/>
      <c r="T554" s="139"/>
      <c r="U554" s="139"/>
      <c r="V554" s="139"/>
      <c r="W554" s="139"/>
      <c r="X554" s="139"/>
      <c r="Y554" s="139"/>
      <c r="Z554" s="139"/>
    </row>
    <row r="555" ht="15.75" customHeight="1">
      <c r="A555" s="139"/>
      <c r="B555" s="139"/>
      <c r="C555" s="183"/>
      <c r="D555" s="183"/>
      <c r="E555" s="183"/>
      <c r="F555" s="183"/>
      <c r="G555" s="183"/>
      <c r="H555" s="184"/>
      <c r="I555" s="139"/>
      <c r="J555" s="139"/>
      <c r="K555" s="139"/>
      <c r="L555" s="139"/>
      <c r="M555" s="139"/>
      <c r="N555" s="139"/>
      <c r="O555" s="139"/>
      <c r="P555" s="139"/>
      <c r="Q555" s="139"/>
      <c r="R555" s="139"/>
      <c r="S555" s="139"/>
      <c r="T555" s="139"/>
      <c r="U555" s="139"/>
      <c r="V555" s="139"/>
      <c r="W555" s="139"/>
      <c r="X555" s="139"/>
      <c r="Y555" s="139"/>
      <c r="Z555" s="139"/>
    </row>
    <row r="556" ht="15.75" customHeight="1">
      <c r="A556" s="139"/>
      <c r="B556" s="139"/>
      <c r="C556" s="183"/>
      <c r="D556" s="183"/>
      <c r="E556" s="183"/>
      <c r="F556" s="183"/>
      <c r="G556" s="183"/>
      <c r="H556" s="184"/>
      <c r="I556" s="139"/>
      <c r="J556" s="139"/>
      <c r="K556" s="139"/>
      <c r="L556" s="139"/>
      <c r="M556" s="139"/>
      <c r="N556" s="139"/>
      <c r="O556" s="139"/>
      <c r="P556" s="139"/>
      <c r="Q556" s="139"/>
      <c r="R556" s="139"/>
      <c r="S556" s="139"/>
      <c r="T556" s="139"/>
      <c r="U556" s="139"/>
      <c r="V556" s="139"/>
      <c r="W556" s="139"/>
      <c r="X556" s="139"/>
      <c r="Y556" s="139"/>
      <c r="Z556" s="139"/>
    </row>
    <row r="557" ht="15.75" customHeight="1">
      <c r="A557" s="139"/>
      <c r="B557" s="139"/>
      <c r="C557" s="183"/>
      <c r="D557" s="183"/>
      <c r="E557" s="183"/>
      <c r="F557" s="183"/>
      <c r="G557" s="183"/>
      <c r="H557" s="184"/>
      <c r="I557" s="139"/>
      <c r="J557" s="139"/>
      <c r="K557" s="139"/>
      <c r="L557" s="139"/>
      <c r="M557" s="139"/>
      <c r="N557" s="139"/>
      <c r="O557" s="139"/>
      <c r="P557" s="139"/>
      <c r="Q557" s="139"/>
      <c r="R557" s="139"/>
      <c r="S557" s="139"/>
      <c r="T557" s="139"/>
      <c r="U557" s="139"/>
      <c r="V557" s="139"/>
      <c r="W557" s="139"/>
      <c r="X557" s="139"/>
      <c r="Y557" s="139"/>
      <c r="Z557" s="139"/>
    </row>
    <row r="558" ht="15.75" customHeight="1">
      <c r="A558" s="139"/>
      <c r="B558" s="139"/>
      <c r="C558" s="183"/>
      <c r="D558" s="183"/>
      <c r="E558" s="183"/>
      <c r="F558" s="183"/>
      <c r="G558" s="183"/>
      <c r="H558" s="184"/>
      <c r="I558" s="139"/>
      <c r="J558" s="139"/>
      <c r="K558" s="139"/>
      <c r="L558" s="139"/>
      <c r="M558" s="139"/>
      <c r="N558" s="139"/>
      <c r="O558" s="139"/>
      <c r="P558" s="139"/>
      <c r="Q558" s="139"/>
      <c r="R558" s="139"/>
      <c r="S558" s="139"/>
      <c r="T558" s="139"/>
      <c r="U558" s="139"/>
      <c r="V558" s="139"/>
      <c r="W558" s="139"/>
      <c r="X558" s="139"/>
      <c r="Y558" s="139"/>
      <c r="Z558" s="139"/>
    </row>
    <row r="559" ht="15.75" customHeight="1">
      <c r="A559" s="139"/>
      <c r="B559" s="139"/>
      <c r="C559" s="183"/>
      <c r="D559" s="183"/>
      <c r="E559" s="183"/>
      <c r="F559" s="183"/>
      <c r="G559" s="183"/>
      <c r="H559" s="184"/>
      <c r="I559" s="139"/>
      <c r="J559" s="139"/>
      <c r="K559" s="139"/>
      <c r="L559" s="139"/>
      <c r="M559" s="139"/>
      <c r="N559" s="139"/>
      <c r="O559" s="139"/>
      <c r="P559" s="139"/>
      <c r="Q559" s="139"/>
      <c r="R559" s="139"/>
      <c r="S559" s="139"/>
      <c r="T559" s="139"/>
      <c r="U559" s="139"/>
      <c r="V559" s="139"/>
      <c r="W559" s="139"/>
      <c r="X559" s="139"/>
      <c r="Y559" s="139"/>
      <c r="Z559" s="139"/>
    </row>
    <row r="560" ht="15.75" customHeight="1">
      <c r="A560" s="139"/>
      <c r="B560" s="139"/>
      <c r="C560" s="183"/>
      <c r="D560" s="183"/>
      <c r="E560" s="183"/>
      <c r="F560" s="183"/>
      <c r="G560" s="183"/>
      <c r="H560" s="184"/>
      <c r="I560" s="139"/>
      <c r="J560" s="139"/>
      <c r="K560" s="139"/>
      <c r="L560" s="139"/>
      <c r="M560" s="139"/>
      <c r="N560" s="139"/>
      <c r="O560" s="139"/>
      <c r="P560" s="139"/>
      <c r="Q560" s="139"/>
      <c r="R560" s="139"/>
      <c r="S560" s="139"/>
      <c r="T560" s="139"/>
      <c r="U560" s="139"/>
      <c r="V560" s="139"/>
      <c r="W560" s="139"/>
      <c r="X560" s="139"/>
      <c r="Y560" s="139"/>
      <c r="Z560" s="139"/>
    </row>
    <row r="561" ht="15.75" customHeight="1">
      <c r="A561" s="139"/>
      <c r="B561" s="139"/>
      <c r="C561" s="183"/>
      <c r="D561" s="183"/>
      <c r="E561" s="183"/>
      <c r="F561" s="183"/>
      <c r="G561" s="183"/>
      <c r="H561" s="184"/>
      <c r="I561" s="139"/>
      <c r="J561" s="139"/>
      <c r="K561" s="139"/>
      <c r="L561" s="139"/>
      <c r="M561" s="139"/>
      <c r="N561" s="139"/>
      <c r="O561" s="139"/>
      <c r="P561" s="139"/>
      <c r="Q561" s="139"/>
      <c r="R561" s="139"/>
      <c r="S561" s="139"/>
      <c r="T561" s="139"/>
      <c r="U561" s="139"/>
      <c r="V561" s="139"/>
      <c r="W561" s="139"/>
      <c r="X561" s="139"/>
      <c r="Y561" s="139"/>
      <c r="Z561" s="139"/>
    </row>
    <row r="562" ht="15.75" customHeight="1">
      <c r="A562" s="139"/>
      <c r="B562" s="139"/>
      <c r="C562" s="183"/>
      <c r="D562" s="183"/>
      <c r="E562" s="183"/>
      <c r="F562" s="183"/>
      <c r="G562" s="183"/>
      <c r="H562" s="184"/>
      <c r="I562" s="139"/>
      <c r="J562" s="139"/>
      <c r="K562" s="139"/>
      <c r="L562" s="139"/>
      <c r="M562" s="139"/>
      <c r="N562" s="139"/>
      <c r="O562" s="139"/>
      <c r="P562" s="139"/>
      <c r="Q562" s="139"/>
      <c r="R562" s="139"/>
      <c r="S562" s="139"/>
      <c r="T562" s="139"/>
      <c r="U562" s="139"/>
      <c r="V562" s="139"/>
      <c r="W562" s="139"/>
      <c r="X562" s="139"/>
      <c r="Y562" s="139"/>
      <c r="Z562" s="139"/>
    </row>
    <row r="563" ht="15.75" customHeight="1">
      <c r="A563" s="139"/>
      <c r="B563" s="139"/>
      <c r="C563" s="183"/>
      <c r="D563" s="183"/>
      <c r="E563" s="183"/>
      <c r="F563" s="183"/>
      <c r="G563" s="183"/>
      <c r="H563" s="184"/>
      <c r="I563" s="139"/>
      <c r="J563" s="139"/>
      <c r="K563" s="139"/>
      <c r="L563" s="139"/>
      <c r="M563" s="139"/>
      <c r="N563" s="139"/>
      <c r="O563" s="139"/>
      <c r="P563" s="139"/>
      <c r="Q563" s="139"/>
      <c r="R563" s="139"/>
      <c r="S563" s="139"/>
      <c r="T563" s="139"/>
      <c r="U563" s="139"/>
      <c r="V563" s="139"/>
      <c r="W563" s="139"/>
      <c r="X563" s="139"/>
      <c r="Y563" s="139"/>
      <c r="Z563" s="139"/>
    </row>
    <row r="564" ht="15.75" customHeight="1">
      <c r="A564" s="139"/>
      <c r="B564" s="139"/>
      <c r="C564" s="183"/>
      <c r="D564" s="183"/>
      <c r="E564" s="183"/>
      <c r="F564" s="183"/>
      <c r="G564" s="183"/>
      <c r="H564" s="184"/>
      <c r="I564" s="139"/>
      <c r="J564" s="139"/>
      <c r="K564" s="139"/>
      <c r="L564" s="139"/>
      <c r="M564" s="139"/>
      <c r="N564" s="139"/>
      <c r="O564" s="139"/>
      <c r="P564" s="139"/>
      <c r="Q564" s="139"/>
      <c r="R564" s="139"/>
      <c r="S564" s="139"/>
      <c r="T564" s="139"/>
      <c r="U564" s="139"/>
      <c r="V564" s="139"/>
      <c r="W564" s="139"/>
      <c r="X564" s="139"/>
      <c r="Y564" s="139"/>
      <c r="Z564" s="139"/>
    </row>
    <row r="565" ht="15.75" customHeight="1">
      <c r="A565" s="139"/>
      <c r="B565" s="139"/>
      <c r="C565" s="183"/>
      <c r="D565" s="183"/>
      <c r="E565" s="183"/>
      <c r="F565" s="183"/>
      <c r="G565" s="183"/>
      <c r="H565" s="184"/>
      <c r="I565" s="139"/>
      <c r="J565" s="139"/>
      <c r="K565" s="139"/>
      <c r="L565" s="139"/>
      <c r="M565" s="139"/>
      <c r="N565" s="139"/>
      <c r="O565" s="139"/>
      <c r="P565" s="139"/>
      <c r="Q565" s="139"/>
      <c r="R565" s="139"/>
      <c r="S565" s="139"/>
      <c r="T565" s="139"/>
      <c r="U565" s="139"/>
      <c r="V565" s="139"/>
      <c r="W565" s="139"/>
      <c r="X565" s="139"/>
      <c r="Y565" s="139"/>
      <c r="Z565" s="139"/>
    </row>
    <row r="566" ht="15.75" customHeight="1">
      <c r="A566" s="139"/>
      <c r="B566" s="139"/>
      <c r="C566" s="183"/>
      <c r="D566" s="183"/>
      <c r="E566" s="183"/>
      <c r="F566" s="183"/>
      <c r="G566" s="183"/>
      <c r="H566" s="184"/>
      <c r="I566" s="139"/>
      <c r="J566" s="139"/>
      <c r="K566" s="139"/>
      <c r="L566" s="139"/>
      <c r="M566" s="139"/>
      <c r="N566" s="139"/>
      <c r="O566" s="139"/>
      <c r="P566" s="139"/>
      <c r="Q566" s="139"/>
      <c r="R566" s="139"/>
      <c r="S566" s="139"/>
      <c r="T566" s="139"/>
      <c r="U566" s="139"/>
      <c r="V566" s="139"/>
      <c r="W566" s="139"/>
      <c r="X566" s="139"/>
      <c r="Y566" s="139"/>
      <c r="Z566" s="139"/>
    </row>
    <row r="567" ht="15.75" customHeight="1">
      <c r="A567" s="139"/>
      <c r="B567" s="139"/>
      <c r="C567" s="183"/>
      <c r="D567" s="183"/>
      <c r="E567" s="183"/>
      <c r="F567" s="183"/>
      <c r="G567" s="183"/>
      <c r="H567" s="184"/>
      <c r="I567" s="139"/>
      <c r="J567" s="139"/>
      <c r="K567" s="139"/>
      <c r="L567" s="139"/>
      <c r="M567" s="139"/>
      <c r="N567" s="139"/>
      <c r="O567" s="139"/>
      <c r="P567" s="139"/>
      <c r="Q567" s="139"/>
      <c r="R567" s="139"/>
      <c r="S567" s="139"/>
      <c r="T567" s="139"/>
      <c r="U567" s="139"/>
      <c r="V567" s="139"/>
      <c r="W567" s="139"/>
      <c r="X567" s="139"/>
      <c r="Y567" s="139"/>
      <c r="Z567" s="139"/>
    </row>
    <row r="568" ht="15.75" customHeight="1">
      <c r="A568" s="139"/>
      <c r="B568" s="139"/>
      <c r="C568" s="183"/>
      <c r="D568" s="183"/>
      <c r="E568" s="183"/>
      <c r="F568" s="183"/>
      <c r="G568" s="183"/>
      <c r="H568" s="184"/>
      <c r="I568" s="139"/>
      <c r="J568" s="139"/>
      <c r="K568" s="139"/>
      <c r="L568" s="139"/>
      <c r="M568" s="139"/>
      <c r="N568" s="139"/>
      <c r="O568" s="139"/>
      <c r="P568" s="139"/>
      <c r="Q568" s="139"/>
      <c r="R568" s="139"/>
      <c r="S568" s="139"/>
      <c r="T568" s="139"/>
      <c r="U568" s="139"/>
      <c r="V568" s="139"/>
      <c r="W568" s="139"/>
      <c r="X568" s="139"/>
      <c r="Y568" s="139"/>
      <c r="Z568" s="139"/>
    </row>
    <row r="569" ht="15.75" customHeight="1">
      <c r="A569" s="139"/>
      <c r="B569" s="139"/>
      <c r="C569" s="183"/>
      <c r="D569" s="183"/>
      <c r="E569" s="183"/>
      <c r="F569" s="183"/>
      <c r="G569" s="183"/>
      <c r="H569" s="184"/>
      <c r="I569" s="139"/>
      <c r="J569" s="139"/>
      <c r="K569" s="139"/>
      <c r="L569" s="139"/>
      <c r="M569" s="139"/>
      <c r="N569" s="139"/>
      <c r="O569" s="139"/>
      <c r="P569" s="139"/>
      <c r="Q569" s="139"/>
      <c r="R569" s="139"/>
      <c r="S569" s="139"/>
      <c r="T569" s="139"/>
      <c r="U569" s="139"/>
      <c r="V569" s="139"/>
      <c r="W569" s="139"/>
      <c r="X569" s="139"/>
      <c r="Y569" s="139"/>
      <c r="Z569" s="139"/>
    </row>
    <row r="570" ht="15.75" customHeight="1">
      <c r="A570" s="139"/>
      <c r="B570" s="139"/>
      <c r="C570" s="183"/>
      <c r="D570" s="183"/>
      <c r="E570" s="183"/>
      <c r="F570" s="183"/>
      <c r="G570" s="183"/>
      <c r="H570" s="184"/>
      <c r="I570" s="139"/>
      <c r="J570" s="139"/>
      <c r="K570" s="139"/>
      <c r="L570" s="139"/>
      <c r="M570" s="139"/>
      <c r="N570" s="139"/>
      <c r="O570" s="139"/>
      <c r="P570" s="139"/>
      <c r="Q570" s="139"/>
      <c r="R570" s="139"/>
      <c r="S570" s="139"/>
      <c r="T570" s="139"/>
      <c r="U570" s="139"/>
      <c r="V570" s="139"/>
      <c r="W570" s="139"/>
      <c r="X570" s="139"/>
      <c r="Y570" s="139"/>
      <c r="Z570" s="139"/>
    </row>
    <row r="571" ht="15.75" customHeight="1">
      <c r="A571" s="139"/>
      <c r="B571" s="139"/>
      <c r="C571" s="183"/>
      <c r="D571" s="183"/>
      <c r="E571" s="183"/>
      <c r="F571" s="183"/>
      <c r="G571" s="183"/>
      <c r="H571" s="184"/>
      <c r="I571" s="139"/>
      <c r="J571" s="139"/>
      <c r="K571" s="139"/>
      <c r="L571" s="139"/>
      <c r="M571" s="139"/>
      <c r="N571" s="139"/>
      <c r="O571" s="139"/>
      <c r="P571" s="139"/>
      <c r="Q571" s="139"/>
      <c r="R571" s="139"/>
      <c r="S571" s="139"/>
      <c r="T571" s="139"/>
      <c r="U571" s="139"/>
      <c r="V571" s="139"/>
      <c r="W571" s="139"/>
      <c r="X571" s="139"/>
      <c r="Y571" s="139"/>
      <c r="Z571" s="139"/>
    </row>
    <row r="572" ht="15.75" customHeight="1">
      <c r="A572" s="139"/>
      <c r="B572" s="139"/>
      <c r="C572" s="183"/>
      <c r="D572" s="183"/>
      <c r="E572" s="183"/>
      <c r="F572" s="183"/>
      <c r="G572" s="183"/>
      <c r="H572" s="184"/>
      <c r="I572" s="139"/>
      <c r="J572" s="139"/>
      <c r="K572" s="139"/>
      <c r="L572" s="139"/>
      <c r="M572" s="139"/>
      <c r="N572" s="139"/>
      <c r="O572" s="139"/>
      <c r="P572" s="139"/>
      <c r="Q572" s="139"/>
      <c r="R572" s="139"/>
      <c r="S572" s="139"/>
      <c r="T572" s="139"/>
      <c r="U572" s="139"/>
      <c r="V572" s="139"/>
      <c r="W572" s="139"/>
      <c r="X572" s="139"/>
      <c r="Y572" s="139"/>
      <c r="Z572" s="139"/>
    </row>
    <row r="573" ht="15.75" customHeight="1">
      <c r="A573" s="139"/>
      <c r="B573" s="139"/>
      <c r="C573" s="183"/>
      <c r="D573" s="183"/>
      <c r="E573" s="183"/>
      <c r="F573" s="183"/>
      <c r="G573" s="183"/>
      <c r="H573" s="184"/>
      <c r="I573" s="139"/>
      <c r="J573" s="139"/>
      <c r="K573" s="139"/>
      <c r="L573" s="139"/>
      <c r="M573" s="139"/>
      <c r="N573" s="139"/>
      <c r="O573" s="139"/>
      <c r="P573" s="139"/>
      <c r="Q573" s="139"/>
      <c r="R573" s="139"/>
      <c r="S573" s="139"/>
      <c r="T573" s="139"/>
      <c r="U573" s="139"/>
      <c r="V573" s="139"/>
      <c r="W573" s="139"/>
      <c r="X573" s="139"/>
      <c r="Y573" s="139"/>
      <c r="Z573" s="139"/>
    </row>
    <row r="574" ht="15.75" customHeight="1">
      <c r="A574" s="139"/>
      <c r="B574" s="139"/>
      <c r="C574" s="183"/>
      <c r="D574" s="183"/>
      <c r="E574" s="183"/>
      <c r="F574" s="183"/>
      <c r="G574" s="183"/>
      <c r="H574" s="184"/>
      <c r="I574" s="139"/>
      <c r="J574" s="139"/>
      <c r="K574" s="139"/>
      <c r="L574" s="139"/>
      <c r="M574" s="139"/>
      <c r="N574" s="139"/>
      <c r="O574" s="139"/>
      <c r="P574" s="139"/>
      <c r="Q574" s="139"/>
      <c r="R574" s="139"/>
      <c r="S574" s="139"/>
      <c r="T574" s="139"/>
      <c r="U574" s="139"/>
      <c r="V574" s="139"/>
      <c r="W574" s="139"/>
      <c r="X574" s="139"/>
      <c r="Y574" s="139"/>
      <c r="Z574" s="139"/>
    </row>
    <row r="575" ht="15.75" customHeight="1">
      <c r="A575" s="139"/>
      <c r="B575" s="139"/>
      <c r="C575" s="183"/>
      <c r="D575" s="183"/>
      <c r="E575" s="183"/>
      <c r="F575" s="183"/>
      <c r="G575" s="183"/>
      <c r="H575" s="184"/>
      <c r="I575" s="139"/>
      <c r="J575" s="139"/>
      <c r="K575" s="139"/>
      <c r="L575" s="139"/>
      <c r="M575" s="139"/>
      <c r="N575" s="139"/>
      <c r="O575" s="139"/>
      <c r="P575" s="139"/>
      <c r="Q575" s="139"/>
      <c r="R575" s="139"/>
      <c r="S575" s="139"/>
      <c r="T575" s="139"/>
      <c r="U575" s="139"/>
      <c r="V575" s="139"/>
      <c r="W575" s="139"/>
      <c r="X575" s="139"/>
      <c r="Y575" s="139"/>
      <c r="Z575" s="139"/>
    </row>
    <row r="576" ht="15.75" customHeight="1">
      <c r="A576" s="139"/>
      <c r="B576" s="139"/>
      <c r="C576" s="183"/>
      <c r="D576" s="183"/>
      <c r="E576" s="183"/>
      <c r="F576" s="183"/>
      <c r="G576" s="183"/>
      <c r="H576" s="184"/>
      <c r="I576" s="139"/>
      <c r="J576" s="139"/>
      <c r="K576" s="139"/>
      <c r="L576" s="139"/>
      <c r="M576" s="139"/>
      <c r="N576" s="139"/>
      <c r="O576" s="139"/>
      <c r="P576" s="139"/>
      <c r="Q576" s="139"/>
      <c r="R576" s="139"/>
      <c r="S576" s="139"/>
      <c r="T576" s="139"/>
      <c r="U576" s="139"/>
      <c r="V576" s="139"/>
      <c r="W576" s="139"/>
      <c r="X576" s="139"/>
      <c r="Y576" s="139"/>
      <c r="Z576" s="139"/>
    </row>
    <row r="577" ht="15.75" customHeight="1">
      <c r="A577" s="139"/>
      <c r="B577" s="139"/>
      <c r="C577" s="183"/>
      <c r="D577" s="183"/>
      <c r="E577" s="183"/>
      <c r="F577" s="183"/>
      <c r="G577" s="183"/>
      <c r="H577" s="184"/>
      <c r="I577" s="139"/>
      <c r="J577" s="139"/>
      <c r="K577" s="139"/>
      <c r="L577" s="139"/>
      <c r="M577" s="139"/>
      <c r="N577" s="139"/>
      <c r="O577" s="139"/>
      <c r="P577" s="139"/>
      <c r="Q577" s="139"/>
      <c r="R577" s="139"/>
      <c r="S577" s="139"/>
      <c r="T577" s="139"/>
      <c r="U577" s="139"/>
      <c r="V577" s="139"/>
      <c r="W577" s="139"/>
      <c r="X577" s="139"/>
      <c r="Y577" s="139"/>
      <c r="Z577" s="139"/>
    </row>
    <row r="578" ht="15.75" customHeight="1">
      <c r="A578" s="139"/>
      <c r="B578" s="139"/>
      <c r="C578" s="183"/>
      <c r="D578" s="183"/>
      <c r="E578" s="183"/>
      <c r="F578" s="183"/>
      <c r="G578" s="183"/>
      <c r="H578" s="184"/>
      <c r="I578" s="139"/>
      <c r="J578" s="139"/>
      <c r="K578" s="139"/>
      <c r="L578" s="139"/>
      <c r="M578" s="139"/>
      <c r="N578" s="139"/>
      <c r="O578" s="139"/>
      <c r="P578" s="139"/>
      <c r="Q578" s="139"/>
      <c r="R578" s="139"/>
      <c r="S578" s="139"/>
      <c r="T578" s="139"/>
      <c r="U578" s="139"/>
      <c r="V578" s="139"/>
      <c r="W578" s="139"/>
      <c r="X578" s="139"/>
      <c r="Y578" s="139"/>
      <c r="Z578" s="139"/>
    </row>
    <row r="579" ht="15.75" customHeight="1">
      <c r="A579" s="139"/>
      <c r="B579" s="139"/>
      <c r="C579" s="183"/>
      <c r="D579" s="183"/>
      <c r="E579" s="183"/>
      <c r="F579" s="183"/>
      <c r="G579" s="183"/>
      <c r="H579" s="184"/>
      <c r="I579" s="139"/>
      <c r="J579" s="139"/>
      <c r="K579" s="139"/>
      <c r="L579" s="139"/>
      <c r="M579" s="139"/>
      <c r="N579" s="139"/>
      <c r="O579" s="139"/>
      <c r="P579" s="139"/>
      <c r="Q579" s="139"/>
      <c r="R579" s="139"/>
      <c r="S579" s="139"/>
      <c r="T579" s="139"/>
      <c r="U579" s="139"/>
      <c r="V579" s="139"/>
      <c r="W579" s="139"/>
      <c r="X579" s="139"/>
      <c r="Y579" s="139"/>
      <c r="Z579" s="139"/>
    </row>
    <row r="580" ht="15.75" customHeight="1">
      <c r="A580" s="139"/>
      <c r="B580" s="139"/>
      <c r="C580" s="183"/>
      <c r="D580" s="183"/>
      <c r="E580" s="183"/>
      <c r="F580" s="183"/>
      <c r="G580" s="183"/>
      <c r="H580" s="184"/>
      <c r="I580" s="139"/>
      <c r="J580" s="139"/>
      <c r="K580" s="139"/>
      <c r="L580" s="139"/>
      <c r="M580" s="139"/>
      <c r="N580" s="139"/>
      <c r="O580" s="139"/>
      <c r="P580" s="139"/>
      <c r="Q580" s="139"/>
      <c r="R580" s="139"/>
      <c r="S580" s="139"/>
      <c r="T580" s="139"/>
      <c r="U580" s="139"/>
      <c r="V580" s="139"/>
      <c r="W580" s="139"/>
      <c r="X580" s="139"/>
      <c r="Y580" s="139"/>
      <c r="Z580" s="139"/>
    </row>
    <row r="581" ht="15.75" customHeight="1">
      <c r="A581" s="139"/>
      <c r="B581" s="139"/>
      <c r="C581" s="183"/>
      <c r="D581" s="183"/>
      <c r="E581" s="183"/>
      <c r="F581" s="183"/>
      <c r="G581" s="183"/>
      <c r="H581" s="184"/>
      <c r="I581" s="139"/>
      <c r="J581" s="139"/>
      <c r="K581" s="139"/>
      <c r="L581" s="139"/>
      <c r="M581" s="139"/>
      <c r="N581" s="139"/>
      <c r="O581" s="139"/>
      <c r="P581" s="139"/>
      <c r="Q581" s="139"/>
      <c r="R581" s="139"/>
      <c r="S581" s="139"/>
      <c r="T581" s="139"/>
      <c r="U581" s="139"/>
      <c r="V581" s="139"/>
      <c r="W581" s="139"/>
      <c r="X581" s="139"/>
      <c r="Y581" s="139"/>
      <c r="Z581" s="139"/>
    </row>
    <row r="582" ht="15.75" customHeight="1">
      <c r="A582" s="139"/>
      <c r="B582" s="139"/>
      <c r="C582" s="183"/>
      <c r="D582" s="183"/>
      <c r="E582" s="183"/>
      <c r="F582" s="183"/>
      <c r="G582" s="183"/>
      <c r="H582" s="184"/>
      <c r="I582" s="139"/>
      <c r="J582" s="139"/>
      <c r="K582" s="139"/>
      <c r="L582" s="139"/>
      <c r="M582" s="139"/>
      <c r="N582" s="139"/>
      <c r="O582" s="139"/>
      <c r="P582" s="139"/>
      <c r="Q582" s="139"/>
      <c r="R582" s="139"/>
      <c r="S582" s="139"/>
      <c r="T582" s="139"/>
      <c r="U582" s="139"/>
      <c r="V582" s="139"/>
      <c r="W582" s="139"/>
      <c r="X582" s="139"/>
      <c r="Y582" s="139"/>
      <c r="Z582" s="139"/>
    </row>
    <row r="583" ht="15.75" customHeight="1">
      <c r="A583" s="139"/>
      <c r="B583" s="139"/>
      <c r="C583" s="183"/>
      <c r="D583" s="183"/>
      <c r="E583" s="183"/>
      <c r="F583" s="183"/>
      <c r="G583" s="183"/>
      <c r="H583" s="184"/>
      <c r="I583" s="139"/>
      <c r="J583" s="139"/>
      <c r="K583" s="139"/>
      <c r="L583" s="139"/>
      <c r="M583" s="139"/>
      <c r="N583" s="139"/>
      <c r="O583" s="139"/>
      <c r="P583" s="139"/>
      <c r="Q583" s="139"/>
      <c r="R583" s="139"/>
      <c r="S583" s="139"/>
      <c r="T583" s="139"/>
      <c r="U583" s="139"/>
      <c r="V583" s="139"/>
      <c r="W583" s="139"/>
      <c r="X583" s="139"/>
      <c r="Y583" s="139"/>
      <c r="Z583" s="139"/>
    </row>
    <row r="584" ht="15.75" customHeight="1">
      <c r="A584" s="139"/>
      <c r="B584" s="139"/>
      <c r="C584" s="183"/>
      <c r="D584" s="183"/>
      <c r="E584" s="183"/>
      <c r="F584" s="183"/>
      <c r="G584" s="183"/>
      <c r="H584" s="184"/>
      <c r="I584" s="139"/>
      <c r="J584" s="139"/>
      <c r="K584" s="139"/>
      <c r="L584" s="139"/>
      <c r="M584" s="139"/>
      <c r="N584" s="139"/>
      <c r="O584" s="139"/>
      <c r="P584" s="139"/>
      <c r="Q584" s="139"/>
      <c r="R584" s="139"/>
      <c r="S584" s="139"/>
      <c r="T584" s="139"/>
      <c r="U584" s="139"/>
      <c r="V584" s="139"/>
      <c r="W584" s="139"/>
      <c r="X584" s="139"/>
      <c r="Y584" s="139"/>
      <c r="Z584" s="139"/>
    </row>
    <row r="585" ht="15.75" customHeight="1">
      <c r="A585" s="139"/>
      <c r="B585" s="139"/>
      <c r="C585" s="183"/>
      <c r="D585" s="183"/>
      <c r="E585" s="183"/>
      <c r="F585" s="183"/>
      <c r="G585" s="183"/>
      <c r="H585" s="184"/>
      <c r="I585" s="139"/>
      <c r="J585" s="139"/>
      <c r="K585" s="139"/>
      <c r="L585" s="139"/>
      <c r="M585" s="139"/>
      <c r="N585" s="139"/>
      <c r="O585" s="139"/>
      <c r="P585" s="139"/>
      <c r="Q585" s="139"/>
      <c r="R585" s="139"/>
      <c r="S585" s="139"/>
      <c r="T585" s="139"/>
      <c r="U585" s="139"/>
      <c r="V585" s="139"/>
      <c r="W585" s="139"/>
      <c r="X585" s="139"/>
      <c r="Y585" s="139"/>
      <c r="Z585" s="139"/>
    </row>
    <row r="586" ht="15.75" customHeight="1">
      <c r="A586" s="139"/>
      <c r="B586" s="139"/>
      <c r="C586" s="183"/>
      <c r="D586" s="183"/>
      <c r="E586" s="183"/>
      <c r="F586" s="183"/>
      <c r="G586" s="183"/>
      <c r="H586" s="184"/>
      <c r="I586" s="139"/>
      <c r="J586" s="139"/>
      <c r="K586" s="139"/>
      <c r="L586" s="139"/>
      <c r="M586" s="139"/>
      <c r="N586" s="139"/>
      <c r="O586" s="139"/>
      <c r="P586" s="139"/>
      <c r="Q586" s="139"/>
      <c r="R586" s="139"/>
      <c r="S586" s="139"/>
      <c r="T586" s="139"/>
      <c r="U586" s="139"/>
      <c r="V586" s="139"/>
      <c r="W586" s="139"/>
      <c r="X586" s="139"/>
      <c r="Y586" s="139"/>
      <c r="Z586" s="139"/>
    </row>
    <row r="587" ht="15.75" customHeight="1">
      <c r="A587" s="139"/>
      <c r="B587" s="139"/>
      <c r="C587" s="183"/>
      <c r="D587" s="183"/>
      <c r="E587" s="183"/>
      <c r="F587" s="183"/>
      <c r="G587" s="183"/>
      <c r="H587" s="184"/>
      <c r="I587" s="139"/>
      <c r="J587" s="139"/>
      <c r="K587" s="139"/>
      <c r="L587" s="139"/>
      <c r="M587" s="139"/>
      <c r="N587" s="139"/>
      <c r="O587" s="139"/>
      <c r="P587" s="139"/>
      <c r="Q587" s="139"/>
      <c r="R587" s="139"/>
      <c r="S587" s="139"/>
      <c r="T587" s="139"/>
      <c r="U587" s="139"/>
      <c r="V587" s="139"/>
      <c r="W587" s="139"/>
      <c r="X587" s="139"/>
      <c r="Y587" s="139"/>
      <c r="Z587" s="139"/>
    </row>
    <row r="588" ht="15.75" customHeight="1">
      <c r="A588" s="139"/>
      <c r="B588" s="139"/>
      <c r="C588" s="183"/>
      <c r="D588" s="183"/>
      <c r="E588" s="183"/>
      <c r="F588" s="183"/>
      <c r="G588" s="183"/>
      <c r="H588" s="184"/>
      <c r="I588" s="139"/>
      <c r="J588" s="139"/>
      <c r="K588" s="139"/>
      <c r="L588" s="139"/>
      <c r="M588" s="139"/>
      <c r="N588" s="139"/>
      <c r="O588" s="139"/>
      <c r="P588" s="139"/>
      <c r="Q588" s="139"/>
      <c r="R588" s="139"/>
      <c r="S588" s="139"/>
      <c r="T588" s="139"/>
      <c r="U588" s="139"/>
      <c r="V588" s="139"/>
      <c r="W588" s="139"/>
      <c r="X588" s="139"/>
      <c r="Y588" s="139"/>
      <c r="Z588" s="139"/>
    </row>
    <row r="589" ht="15.75" customHeight="1">
      <c r="A589" s="139"/>
      <c r="B589" s="139"/>
      <c r="C589" s="183"/>
      <c r="D589" s="183"/>
      <c r="E589" s="183"/>
      <c r="F589" s="183"/>
      <c r="G589" s="183"/>
      <c r="H589" s="184"/>
      <c r="I589" s="139"/>
      <c r="J589" s="139"/>
      <c r="K589" s="139"/>
      <c r="L589" s="139"/>
      <c r="M589" s="139"/>
      <c r="N589" s="139"/>
      <c r="O589" s="139"/>
      <c r="P589" s="139"/>
      <c r="Q589" s="139"/>
      <c r="R589" s="139"/>
      <c r="S589" s="139"/>
      <c r="T589" s="139"/>
      <c r="U589" s="139"/>
      <c r="V589" s="139"/>
      <c r="W589" s="139"/>
      <c r="X589" s="139"/>
      <c r="Y589" s="139"/>
      <c r="Z589" s="139"/>
    </row>
    <row r="590" ht="15.75" customHeight="1">
      <c r="A590" s="139"/>
      <c r="B590" s="139"/>
      <c r="C590" s="183"/>
      <c r="D590" s="183"/>
      <c r="E590" s="183"/>
      <c r="F590" s="183"/>
      <c r="G590" s="183"/>
      <c r="H590" s="184"/>
      <c r="I590" s="139"/>
      <c r="J590" s="139"/>
      <c r="K590" s="139"/>
      <c r="L590" s="139"/>
      <c r="M590" s="139"/>
      <c r="N590" s="139"/>
      <c r="O590" s="139"/>
      <c r="P590" s="139"/>
      <c r="Q590" s="139"/>
      <c r="R590" s="139"/>
      <c r="S590" s="139"/>
      <c r="T590" s="139"/>
      <c r="U590" s="139"/>
      <c r="V590" s="139"/>
      <c r="W590" s="139"/>
      <c r="X590" s="139"/>
      <c r="Y590" s="139"/>
      <c r="Z590" s="139"/>
    </row>
    <row r="591" ht="15.75" customHeight="1">
      <c r="A591" s="139"/>
      <c r="B591" s="139"/>
      <c r="C591" s="183"/>
      <c r="D591" s="183"/>
      <c r="E591" s="183"/>
      <c r="F591" s="183"/>
      <c r="G591" s="183"/>
      <c r="H591" s="184"/>
      <c r="I591" s="139"/>
      <c r="J591" s="139"/>
      <c r="K591" s="139"/>
      <c r="L591" s="139"/>
      <c r="M591" s="139"/>
      <c r="N591" s="139"/>
      <c r="O591" s="139"/>
      <c r="P591" s="139"/>
      <c r="Q591" s="139"/>
      <c r="R591" s="139"/>
      <c r="S591" s="139"/>
      <c r="T591" s="139"/>
      <c r="U591" s="139"/>
      <c r="V591" s="139"/>
      <c r="W591" s="139"/>
      <c r="X591" s="139"/>
      <c r="Y591" s="139"/>
      <c r="Z591" s="139"/>
    </row>
    <row r="592" ht="15.75" customHeight="1">
      <c r="A592" s="139"/>
      <c r="B592" s="139"/>
      <c r="C592" s="183"/>
      <c r="D592" s="183"/>
      <c r="E592" s="183"/>
      <c r="F592" s="183"/>
      <c r="G592" s="183"/>
      <c r="H592" s="184"/>
      <c r="I592" s="139"/>
      <c r="J592" s="139"/>
      <c r="K592" s="139"/>
      <c r="L592" s="139"/>
      <c r="M592" s="139"/>
      <c r="N592" s="139"/>
      <c r="O592" s="139"/>
      <c r="P592" s="139"/>
      <c r="Q592" s="139"/>
      <c r="R592" s="139"/>
      <c r="S592" s="139"/>
      <c r="T592" s="139"/>
      <c r="U592" s="139"/>
      <c r="V592" s="139"/>
      <c r="W592" s="139"/>
      <c r="X592" s="139"/>
      <c r="Y592" s="139"/>
      <c r="Z592" s="139"/>
    </row>
    <row r="593" ht="15.75" customHeight="1">
      <c r="A593" s="139"/>
      <c r="B593" s="139"/>
      <c r="C593" s="183"/>
      <c r="D593" s="183"/>
      <c r="E593" s="183"/>
      <c r="F593" s="183"/>
      <c r="G593" s="183"/>
      <c r="H593" s="184"/>
      <c r="I593" s="139"/>
      <c r="J593" s="139"/>
      <c r="K593" s="139"/>
      <c r="L593" s="139"/>
      <c r="M593" s="139"/>
      <c r="N593" s="139"/>
      <c r="O593" s="139"/>
      <c r="P593" s="139"/>
      <c r="Q593" s="139"/>
      <c r="R593" s="139"/>
      <c r="S593" s="139"/>
      <c r="T593" s="139"/>
      <c r="U593" s="139"/>
      <c r="V593" s="139"/>
      <c r="W593" s="139"/>
      <c r="X593" s="139"/>
      <c r="Y593" s="139"/>
      <c r="Z593" s="139"/>
    </row>
    <row r="594" ht="15.75" customHeight="1">
      <c r="A594" s="139"/>
      <c r="B594" s="139"/>
      <c r="C594" s="183"/>
      <c r="D594" s="183"/>
      <c r="E594" s="183"/>
      <c r="F594" s="183"/>
      <c r="G594" s="183"/>
      <c r="H594" s="184"/>
      <c r="I594" s="139"/>
      <c r="J594" s="139"/>
      <c r="K594" s="139"/>
      <c r="L594" s="139"/>
      <c r="M594" s="139"/>
      <c r="N594" s="139"/>
      <c r="O594" s="139"/>
      <c r="P594" s="139"/>
      <c r="Q594" s="139"/>
      <c r="R594" s="139"/>
      <c r="S594" s="139"/>
      <c r="T594" s="139"/>
      <c r="U594" s="139"/>
      <c r="V594" s="139"/>
      <c r="W594" s="139"/>
      <c r="X594" s="139"/>
      <c r="Y594" s="139"/>
      <c r="Z594" s="139"/>
    </row>
    <row r="595" ht="15.75" customHeight="1">
      <c r="A595" s="139"/>
      <c r="B595" s="139"/>
      <c r="C595" s="183"/>
      <c r="D595" s="183"/>
      <c r="E595" s="183"/>
      <c r="F595" s="183"/>
      <c r="G595" s="183"/>
      <c r="H595" s="184"/>
      <c r="I595" s="139"/>
      <c r="J595" s="139"/>
      <c r="K595" s="139"/>
      <c r="L595" s="139"/>
      <c r="M595" s="139"/>
      <c r="N595" s="139"/>
      <c r="O595" s="139"/>
      <c r="P595" s="139"/>
      <c r="Q595" s="139"/>
      <c r="R595" s="139"/>
      <c r="S595" s="139"/>
      <c r="T595" s="139"/>
      <c r="U595" s="139"/>
      <c r="V595" s="139"/>
      <c r="W595" s="139"/>
      <c r="X595" s="139"/>
      <c r="Y595" s="139"/>
      <c r="Z595" s="139"/>
    </row>
    <row r="596" ht="15.75" customHeight="1">
      <c r="A596" s="139"/>
      <c r="B596" s="139"/>
      <c r="C596" s="183"/>
      <c r="D596" s="183"/>
      <c r="E596" s="183"/>
      <c r="F596" s="183"/>
      <c r="G596" s="183"/>
      <c r="H596" s="184"/>
      <c r="I596" s="139"/>
      <c r="J596" s="139"/>
      <c r="K596" s="139"/>
      <c r="L596" s="139"/>
      <c r="M596" s="139"/>
      <c r="N596" s="139"/>
      <c r="O596" s="139"/>
      <c r="P596" s="139"/>
      <c r="Q596" s="139"/>
      <c r="R596" s="139"/>
      <c r="S596" s="139"/>
      <c r="T596" s="139"/>
      <c r="U596" s="139"/>
      <c r="V596" s="139"/>
      <c r="W596" s="139"/>
      <c r="X596" s="139"/>
      <c r="Y596" s="139"/>
      <c r="Z596" s="139"/>
    </row>
    <row r="597" ht="15.75" customHeight="1">
      <c r="A597" s="139"/>
      <c r="B597" s="139"/>
      <c r="C597" s="183"/>
      <c r="D597" s="183"/>
      <c r="E597" s="183"/>
      <c r="F597" s="183"/>
      <c r="G597" s="183"/>
      <c r="H597" s="184"/>
      <c r="I597" s="139"/>
      <c r="J597" s="139"/>
      <c r="K597" s="139"/>
      <c r="L597" s="139"/>
      <c r="M597" s="139"/>
      <c r="N597" s="139"/>
      <c r="O597" s="139"/>
      <c r="P597" s="139"/>
      <c r="Q597" s="139"/>
      <c r="R597" s="139"/>
      <c r="S597" s="139"/>
      <c r="T597" s="139"/>
      <c r="U597" s="139"/>
      <c r="V597" s="139"/>
      <c r="W597" s="139"/>
      <c r="X597" s="139"/>
      <c r="Y597" s="139"/>
      <c r="Z597" s="139"/>
    </row>
    <row r="598" ht="15.75" customHeight="1">
      <c r="A598" s="139"/>
      <c r="B598" s="139"/>
      <c r="C598" s="183"/>
      <c r="D598" s="183"/>
      <c r="E598" s="183"/>
      <c r="F598" s="183"/>
      <c r="G598" s="183"/>
      <c r="H598" s="184"/>
      <c r="I598" s="139"/>
      <c r="J598" s="139"/>
      <c r="K598" s="139"/>
      <c r="L598" s="139"/>
      <c r="M598" s="139"/>
      <c r="N598" s="139"/>
      <c r="O598" s="139"/>
      <c r="P598" s="139"/>
      <c r="Q598" s="139"/>
      <c r="R598" s="139"/>
      <c r="S598" s="139"/>
      <c r="T598" s="139"/>
      <c r="U598" s="139"/>
      <c r="V598" s="139"/>
      <c r="W598" s="139"/>
      <c r="X598" s="139"/>
      <c r="Y598" s="139"/>
      <c r="Z598" s="139"/>
    </row>
    <row r="599" ht="15.75" customHeight="1">
      <c r="A599" s="139"/>
      <c r="B599" s="139"/>
      <c r="C599" s="183"/>
      <c r="D599" s="183"/>
      <c r="E599" s="183"/>
      <c r="F599" s="183"/>
      <c r="G599" s="183"/>
      <c r="H599" s="184"/>
      <c r="I599" s="139"/>
      <c r="J599" s="139"/>
      <c r="K599" s="139"/>
      <c r="L599" s="139"/>
      <c r="M599" s="139"/>
      <c r="N599" s="139"/>
      <c r="O599" s="139"/>
      <c r="P599" s="139"/>
      <c r="Q599" s="139"/>
      <c r="R599" s="139"/>
      <c r="S599" s="139"/>
      <c r="T599" s="139"/>
      <c r="U599" s="139"/>
      <c r="V599" s="139"/>
      <c r="W599" s="139"/>
      <c r="X599" s="139"/>
      <c r="Y599" s="139"/>
      <c r="Z599" s="139"/>
    </row>
    <row r="600" ht="15.75" customHeight="1">
      <c r="A600" s="139"/>
      <c r="B600" s="139"/>
      <c r="C600" s="183"/>
      <c r="D600" s="183"/>
      <c r="E600" s="183"/>
      <c r="F600" s="183"/>
      <c r="G600" s="183"/>
      <c r="H600" s="184"/>
      <c r="I600" s="139"/>
      <c r="J600" s="139"/>
      <c r="K600" s="139"/>
      <c r="L600" s="139"/>
      <c r="M600" s="139"/>
      <c r="N600" s="139"/>
      <c r="O600" s="139"/>
      <c r="P600" s="139"/>
      <c r="Q600" s="139"/>
      <c r="R600" s="139"/>
      <c r="S600" s="139"/>
      <c r="T600" s="139"/>
      <c r="U600" s="139"/>
      <c r="V600" s="139"/>
      <c r="W600" s="139"/>
      <c r="X600" s="139"/>
      <c r="Y600" s="139"/>
      <c r="Z600" s="139"/>
    </row>
    <row r="601" ht="15.75" customHeight="1">
      <c r="A601" s="139"/>
      <c r="B601" s="139"/>
      <c r="C601" s="183"/>
      <c r="D601" s="183"/>
      <c r="E601" s="183"/>
      <c r="F601" s="183"/>
      <c r="G601" s="183"/>
      <c r="H601" s="184"/>
      <c r="I601" s="139"/>
      <c r="J601" s="139"/>
      <c r="K601" s="139"/>
      <c r="L601" s="139"/>
      <c r="M601" s="139"/>
      <c r="N601" s="139"/>
      <c r="O601" s="139"/>
      <c r="P601" s="139"/>
      <c r="Q601" s="139"/>
      <c r="R601" s="139"/>
      <c r="S601" s="139"/>
      <c r="T601" s="139"/>
      <c r="U601" s="139"/>
      <c r="V601" s="139"/>
      <c r="W601" s="139"/>
      <c r="X601" s="139"/>
      <c r="Y601" s="139"/>
      <c r="Z601" s="139"/>
    </row>
    <row r="602" ht="15.75" customHeight="1">
      <c r="A602" s="139"/>
      <c r="B602" s="139"/>
      <c r="C602" s="183"/>
      <c r="D602" s="183"/>
      <c r="E602" s="183"/>
      <c r="F602" s="183"/>
      <c r="G602" s="183"/>
      <c r="H602" s="184"/>
      <c r="I602" s="139"/>
      <c r="J602" s="139"/>
      <c r="K602" s="139"/>
      <c r="L602" s="139"/>
      <c r="M602" s="139"/>
      <c r="N602" s="139"/>
      <c r="O602" s="139"/>
      <c r="P602" s="139"/>
      <c r="Q602" s="139"/>
      <c r="R602" s="139"/>
      <c r="S602" s="139"/>
      <c r="T602" s="139"/>
      <c r="U602" s="139"/>
      <c r="V602" s="139"/>
      <c r="W602" s="139"/>
      <c r="X602" s="139"/>
      <c r="Y602" s="139"/>
      <c r="Z602" s="139"/>
    </row>
    <row r="603" ht="15.75" customHeight="1">
      <c r="A603" s="139"/>
      <c r="B603" s="139"/>
      <c r="C603" s="183"/>
      <c r="D603" s="183"/>
      <c r="E603" s="183"/>
      <c r="F603" s="183"/>
      <c r="G603" s="183"/>
      <c r="H603" s="184"/>
      <c r="I603" s="139"/>
      <c r="J603" s="139"/>
      <c r="K603" s="139"/>
      <c r="L603" s="139"/>
      <c r="M603" s="139"/>
      <c r="N603" s="139"/>
      <c r="O603" s="139"/>
      <c r="P603" s="139"/>
      <c r="Q603" s="139"/>
      <c r="R603" s="139"/>
      <c r="S603" s="139"/>
      <c r="T603" s="139"/>
      <c r="U603" s="139"/>
      <c r="V603" s="139"/>
      <c r="W603" s="139"/>
      <c r="X603" s="139"/>
      <c r="Y603" s="139"/>
      <c r="Z603" s="139"/>
    </row>
    <row r="604" ht="15.75" customHeight="1">
      <c r="A604" s="139"/>
      <c r="B604" s="139"/>
      <c r="C604" s="183"/>
      <c r="D604" s="183"/>
      <c r="E604" s="183"/>
      <c r="F604" s="183"/>
      <c r="G604" s="183"/>
      <c r="H604" s="184"/>
      <c r="I604" s="139"/>
      <c r="J604" s="139"/>
      <c r="K604" s="139"/>
      <c r="L604" s="139"/>
      <c r="M604" s="139"/>
      <c r="N604" s="139"/>
      <c r="O604" s="139"/>
      <c r="P604" s="139"/>
      <c r="Q604" s="139"/>
      <c r="R604" s="139"/>
      <c r="S604" s="139"/>
      <c r="T604" s="139"/>
      <c r="U604" s="139"/>
      <c r="V604" s="139"/>
      <c r="W604" s="139"/>
      <c r="X604" s="139"/>
      <c r="Y604" s="139"/>
      <c r="Z604" s="139"/>
    </row>
    <row r="605" ht="15.75" customHeight="1">
      <c r="A605" s="139"/>
      <c r="B605" s="139"/>
      <c r="C605" s="183"/>
      <c r="D605" s="183"/>
      <c r="E605" s="183"/>
      <c r="F605" s="183"/>
      <c r="G605" s="183"/>
      <c r="H605" s="184"/>
      <c r="I605" s="139"/>
      <c r="J605" s="139"/>
      <c r="K605" s="139"/>
      <c r="L605" s="139"/>
      <c r="M605" s="139"/>
      <c r="N605" s="139"/>
      <c r="O605" s="139"/>
      <c r="P605" s="139"/>
      <c r="Q605" s="139"/>
      <c r="R605" s="139"/>
      <c r="S605" s="139"/>
      <c r="T605" s="139"/>
      <c r="U605" s="139"/>
      <c r="V605" s="139"/>
      <c r="W605" s="139"/>
      <c r="X605" s="139"/>
      <c r="Y605" s="139"/>
      <c r="Z605" s="139"/>
    </row>
    <row r="606" ht="15.75" customHeight="1">
      <c r="A606" s="139"/>
      <c r="B606" s="139"/>
      <c r="C606" s="183"/>
      <c r="D606" s="183"/>
      <c r="E606" s="183"/>
      <c r="F606" s="183"/>
      <c r="G606" s="183"/>
      <c r="H606" s="184"/>
      <c r="I606" s="139"/>
      <c r="J606" s="139"/>
      <c r="K606" s="139"/>
      <c r="L606" s="139"/>
      <c r="M606" s="139"/>
      <c r="N606" s="139"/>
      <c r="O606" s="139"/>
      <c r="P606" s="139"/>
      <c r="Q606" s="139"/>
      <c r="R606" s="139"/>
      <c r="S606" s="139"/>
      <c r="T606" s="139"/>
      <c r="U606" s="139"/>
      <c r="V606" s="139"/>
      <c r="W606" s="139"/>
      <c r="X606" s="139"/>
      <c r="Y606" s="139"/>
      <c r="Z606" s="139"/>
    </row>
    <row r="607" ht="15.75" customHeight="1">
      <c r="A607" s="139"/>
      <c r="B607" s="139"/>
      <c r="C607" s="183"/>
      <c r="D607" s="183"/>
      <c r="E607" s="183"/>
      <c r="F607" s="183"/>
      <c r="G607" s="183"/>
      <c r="H607" s="184"/>
      <c r="I607" s="139"/>
      <c r="J607" s="139"/>
      <c r="K607" s="139"/>
      <c r="L607" s="139"/>
      <c r="M607" s="139"/>
      <c r="N607" s="139"/>
      <c r="O607" s="139"/>
      <c r="P607" s="139"/>
      <c r="Q607" s="139"/>
      <c r="R607" s="139"/>
      <c r="S607" s="139"/>
      <c r="T607" s="139"/>
      <c r="U607" s="139"/>
      <c r="V607" s="139"/>
      <c r="W607" s="139"/>
      <c r="X607" s="139"/>
      <c r="Y607" s="139"/>
      <c r="Z607" s="139"/>
    </row>
    <row r="608" ht="15.75" customHeight="1">
      <c r="A608" s="139"/>
      <c r="B608" s="139"/>
      <c r="C608" s="183"/>
      <c r="D608" s="183"/>
      <c r="E608" s="183"/>
      <c r="F608" s="183"/>
      <c r="G608" s="183"/>
      <c r="H608" s="184"/>
      <c r="I608" s="139"/>
      <c r="J608" s="139"/>
      <c r="K608" s="139"/>
      <c r="L608" s="139"/>
      <c r="M608" s="139"/>
      <c r="N608" s="139"/>
      <c r="O608" s="139"/>
      <c r="P608" s="139"/>
      <c r="Q608" s="139"/>
      <c r="R608" s="139"/>
      <c r="S608" s="139"/>
      <c r="T608" s="139"/>
      <c r="U608" s="139"/>
      <c r="V608" s="139"/>
      <c r="W608" s="139"/>
      <c r="X608" s="139"/>
      <c r="Y608" s="139"/>
      <c r="Z608" s="139"/>
    </row>
    <row r="609" ht="15.75" customHeight="1">
      <c r="A609" s="139"/>
      <c r="B609" s="139"/>
      <c r="C609" s="183"/>
      <c r="D609" s="183"/>
      <c r="E609" s="183"/>
      <c r="F609" s="183"/>
      <c r="G609" s="183"/>
      <c r="H609" s="184"/>
      <c r="I609" s="139"/>
      <c r="J609" s="139"/>
      <c r="K609" s="139"/>
      <c r="L609" s="139"/>
      <c r="M609" s="139"/>
      <c r="N609" s="139"/>
      <c r="O609" s="139"/>
      <c r="P609" s="139"/>
      <c r="Q609" s="139"/>
      <c r="R609" s="139"/>
      <c r="S609" s="139"/>
      <c r="T609" s="139"/>
      <c r="U609" s="139"/>
      <c r="V609" s="139"/>
      <c r="W609" s="139"/>
      <c r="X609" s="139"/>
      <c r="Y609" s="139"/>
      <c r="Z609" s="139"/>
    </row>
    <row r="610" ht="15.75" customHeight="1">
      <c r="A610" s="139"/>
      <c r="B610" s="139"/>
      <c r="C610" s="183"/>
      <c r="D610" s="183"/>
      <c r="E610" s="183"/>
      <c r="F610" s="183"/>
      <c r="G610" s="183"/>
      <c r="H610" s="184"/>
      <c r="I610" s="139"/>
      <c r="J610" s="139"/>
      <c r="K610" s="139"/>
      <c r="L610" s="139"/>
      <c r="M610" s="139"/>
      <c r="N610" s="139"/>
      <c r="O610" s="139"/>
      <c r="P610" s="139"/>
      <c r="Q610" s="139"/>
      <c r="R610" s="139"/>
      <c r="S610" s="139"/>
      <c r="T610" s="139"/>
      <c r="U610" s="139"/>
      <c r="V610" s="139"/>
      <c r="W610" s="139"/>
      <c r="X610" s="139"/>
      <c r="Y610" s="139"/>
      <c r="Z610" s="139"/>
    </row>
    <row r="611" ht="15.75" customHeight="1">
      <c r="A611" s="139"/>
      <c r="B611" s="139"/>
      <c r="C611" s="183"/>
      <c r="D611" s="183"/>
      <c r="E611" s="183"/>
      <c r="F611" s="183"/>
      <c r="G611" s="183"/>
      <c r="H611" s="184"/>
      <c r="I611" s="139"/>
      <c r="J611" s="139"/>
      <c r="K611" s="139"/>
      <c r="L611" s="139"/>
      <c r="M611" s="139"/>
      <c r="N611" s="139"/>
      <c r="O611" s="139"/>
      <c r="P611" s="139"/>
      <c r="Q611" s="139"/>
      <c r="R611" s="139"/>
      <c r="S611" s="139"/>
      <c r="T611" s="139"/>
      <c r="U611" s="139"/>
      <c r="V611" s="139"/>
      <c r="W611" s="139"/>
      <c r="X611" s="139"/>
      <c r="Y611" s="139"/>
      <c r="Z611" s="139"/>
    </row>
    <row r="612" ht="15.75" customHeight="1">
      <c r="A612" s="139"/>
      <c r="B612" s="139"/>
      <c r="C612" s="183"/>
      <c r="D612" s="183"/>
      <c r="E612" s="183"/>
      <c r="F612" s="183"/>
      <c r="G612" s="183"/>
      <c r="H612" s="184"/>
      <c r="I612" s="139"/>
      <c r="J612" s="139"/>
      <c r="K612" s="139"/>
      <c r="L612" s="139"/>
      <c r="M612" s="139"/>
      <c r="N612" s="139"/>
      <c r="O612" s="139"/>
      <c r="P612" s="139"/>
      <c r="Q612" s="139"/>
      <c r="R612" s="139"/>
      <c r="S612" s="139"/>
      <c r="T612" s="139"/>
      <c r="U612" s="139"/>
      <c r="V612" s="139"/>
      <c r="W612" s="139"/>
      <c r="X612" s="139"/>
      <c r="Y612" s="139"/>
      <c r="Z612" s="139"/>
    </row>
    <row r="613" ht="15.75" customHeight="1">
      <c r="A613" s="139"/>
      <c r="B613" s="139"/>
      <c r="C613" s="183"/>
      <c r="D613" s="183"/>
      <c r="E613" s="183"/>
      <c r="F613" s="183"/>
      <c r="G613" s="183"/>
      <c r="H613" s="184"/>
      <c r="I613" s="139"/>
      <c r="J613" s="139"/>
      <c r="K613" s="139"/>
      <c r="L613" s="139"/>
      <c r="M613" s="139"/>
      <c r="N613" s="139"/>
      <c r="O613" s="139"/>
      <c r="P613" s="139"/>
      <c r="Q613" s="139"/>
      <c r="R613" s="139"/>
      <c r="S613" s="139"/>
      <c r="T613" s="139"/>
      <c r="U613" s="139"/>
      <c r="V613" s="139"/>
      <c r="W613" s="139"/>
      <c r="X613" s="139"/>
      <c r="Y613" s="139"/>
      <c r="Z613" s="139"/>
    </row>
    <row r="614" ht="15.75" customHeight="1">
      <c r="A614" s="139"/>
      <c r="B614" s="139"/>
      <c r="C614" s="183"/>
      <c r="D614" s="183"/>
      <c r="E614" s="183"/>
      <c r="F614" s="183"/>
      <c r="G614" s="183"/>
      <c r="H614" s="184"/>
      <c r="I614" s="139"/>
      <c r="J614" s="139"/>
      <c r="K614" s="139"/>
      <c r="L614" s="139"/>
      <c r="M614" s="139"/>
      <c r="N614" s="139"/>
      <c r="O614" s="139"/>
      <c r="P614" s="139"/>
      <c r="Q614" s="139"/>
      <c r="R614" s="139"/>
      <c r="S614" s="139"/>
      <c r="T614" s="139"/>
      <c r="U614" s="139"/>
      <c r="V614" s="139"/>
      <c r="W614" s="139"/>
      <c r="X614" s="139"/>
      <c r="Y614" s="139"/>
      <c r="Z614" s="139"/>
    </row>
    <row r="615" ht="15.75" customHeight="1">
      <c r="A615" s="139"/>
      <c r="B615" s="139"/>
      <c r="C615" s="183"/>
      <c r="D615" s="183"/>
      <c r="E615" s="183"/>
      <c r="F615" s="183"/>
      <c r="G615" s="183"/>
      <c r="H615" s="184"/>
      <c r="I615" s="139"/>
      <c r="J615" s="139"/>
      <c r="K615" s="139"/>
      <c r="L615" s="139"/>
      <c r="M615" s="139"/>
      <c r="N615" s="139"/>
      <c r="O615" s="139"/>
      <c r="P615" s="139"/>
      <c r="Q615" s="139"/>
      <c r="R615" s="139"/>
      <c r="S615" s="139"/>
      <c r="T615" s="139"/>
      <c r="U615" s="139"/>
      <c r="V615" s="139"/>
      <c r="W615" s="139"/>
      <c r="X615" s="139"/>
      <c r="Y615" s="139"/>
      <c r="Z615" s="139"/>
    </row>
    <row r="616" ht="15.75" customHeight="1">
      <c r="A616" s="139"/>
      <c r="B616" s="139"/>
      <c r="C616" s="183"/>
      <c r="D616" s="183"/>
      <c r="E616" s="183"/>
      <c r="F616" s="183"/>
      <c r="G616" s="183"/>
      <c r="H616" s="184"/>
      <c r="I616" s="139"/>
      <c r="J616" s="139"/>
      <c r="K616" s="139"/>
      <c r="L616" s="139"/>
      <c r="M616" s="139"/>
      <c r="N616" s="139"/>
      <c r="O616" s="139"/>
      <c r="P616" s="139"/>
      <c r="Q616" s="139"/>
      <c r="R616" s="139"/>
      <c r="S616" s="139"/>
      <c r="T616" s="139"/>
      <c r="U616" s="139"/>
      <c r="V616" s="139"/>
      <c r="W616" s="139"/>
      <c r="X616" s="139"/>
      <c r="Y616" s="139"/>
      <c r="Z616" s="139"/>
    </row>
    <row r="617" ht="15.75" customHeight="1">
      <c r="A617" s="139"/>
      <c r="B617" s="139"/>
      <c r="C617" s="183"/>
      <c r="D617" s="183"/>
      <c r="E617" s="183"/>
      <c r="F617" s="183"/>
      <c r="G617" s="183"/>
      <c r="H617" s="184"/>
      <c r="I617" s="139"/>
      <c r="J617" s="139"/>
      <c r="K617" s="139"/>
      <c r="L617" s="139"/>
      <c r="M617" s="139"/>
      <c r="N617" s="139"/>
      <c r="O617" s="139"/>
      <c r="P617" s="139"/>
      <c r="Q617" s="139"/>
      <c r="R617" s="139"/>
      <c r="S617" s="139"/>
      <c r="T617" s="139"/>
      <c r="U617" s="139"/>
      <c r="V617" s="139"/>
      <c r="W617" s="139"/>
      <c r="X617" s="139"/>
      <c r="Y617" s="139"/>
      <c r="Z617" s="139"/>
    </row>
    <row r="618" ht="15.75" customHeight="1">
      <c r="A618" s="139"/>
      <c r="B618" s="139"/>
      <c r="C618" s="183"/>
      <c r="D618" s="183"/>
      <c r="E618" s="183"/>
      <c r="F618" s="183"/>
      <c r="G618" s="183"/>
      <c r="H618" s="184"/>
      <c r="I618" s="139"/>
      <c r="J618" s="139"/>
      <c r="K618" s="139"/>
      <c r="L618" s="139"/>
      <c r="M618" s="139"/>
      <c r="N618" s="139"/>
      <c r="O618" s="139"/>
      <c r="P618" s="139"/>
      <c r="Q618" s="139"/>
      <c r="R618" s="139"/>
      <c r="S618" s="139"/>
      <c r="T618" s="139"/>
      <c r="U618" s="139"/>
      <c r="V618" s="139"/>
      <c r="W618" s="139"/>
      <c r="X618" s="139"/>
      <c r="Y618" s="139"/>
      <c r="Z618" s="139"/>
    </row>
    <row r="619" ht="15.75" customHeight="1">
      <c r="A619" s="139"/>
      <c r="B619" s="139"/>
      <c r="C619" s="183"/>
      <c r="D619" s="183"/>
      <c r="E619" s="183"/>
      <c r="F619" s="183"/>
      <c r="G619" s="183"/>
      <c r="H619" s="184"/>
      <c r="I619" s="139"/>
      <c r="J619" s="139"/>
      <c r="K619" s="139"/>
      <c r="L619" s="139"/>
      <c r="M619" s="139"/>
      <c r="N619" s="139"/>
      <c r="O619" s="139"/>
      <c r="P619" s="139"/>
      <c r="Q619" s="139"/>
      <c r="R619" s="139"/>
      <c r="S619" s="139"/>
      <c r="T619" s="139"/>
      <c r="U619" s="139"/>
      <c r="V619" s="139"/>
      <c r="W619" s="139"/>
      <c r="X619" s="139"/>
      <c r="Y619" s="139"/>
      <c r="Z619" s="139"/>
    </row>
    <row r="620" ht="15.75" customHeight="1">
      <c r="A620" s="139"/>
      <c r="B620" s="139"/>
      <c r="C620" s="183"/>
      <c r="D620" s="183"/>
      <c r="E620" s="183"/>
      <c r="F620" s="183"/>
      <c r="G620" s="183"/>
      <c r="H620" s="184"/>
      <c r="I620" s="139"/>
      <c r="J620" s="139"/>
      <c r="K620" s="139"/>
      <c r="L620" s="139"/>
      <c r="M620" s="139"/>
      <c r="N620" s="139"/>
      <c r="O620" s="139"/>
      <c r="P620" s="139"/>
      <c r="Q620" s="139"/>
      <c r="R620" s="139"/>
      <c r="S620" s="139"/>
      <c r="T620" s="139"/>
      <c r="U620" s="139"/>
      <c r="V620" s="139"/>
      <c r="W620" s="139"/>
      <c r="X620" s="139"/>
      <c r="Y620" s="139"/>
      <c r="Z620" s="139"/>
    </row>
    <row r="621" ht="15.75" customHeight="1">
      <c r="A621" s="139"/>
      <c r="B621" s="139"/>
      <c r="C621" s="183"/>
      <c r="D621" s="183"/>
      <c r="E621" s="183"/>
      <c r="F621" s="183"/>
      <c r="G621" s="183"/>
      <c r="H621" s="184"/>
      <c r="I621" s="139"/>
      <c r="J621" s="139"/>
      <c r="K621" s="139"/>
      <c r="L621" s="139"/>
      <c r="M621" s="139"/>
      <c r="N621" s="139"/>
      <c r="O621" s="139"/>
      <c r="P621" s="139"/>
      <c r="Q621" s="139"/>
      <c r="R621" s="139"/>
      <c r="S621" s="139"/>
      <c r="T621" s="139"/>
      <c r="U621" s="139"/>
      <c r="V621" s="139"/>
      <c r="W621" s="139"/>
      <c r="X621" s="139"/>
      <c r="Y621" s="139"/>
      <c r="Z621" s="139"/>
    </row>
    <row r="622" ht="15.75" customHeight="1">
      <c r="A622" s="139"/>
      <c r="B622" s="139"/>
      <c r="C622" s="183"/>
      <c r="D622" s="183"/>
      <c r="E622" s="183"/>
      <c r="F622" s="183"/>
      <c r="G622" s="183"/>
      <c r="H622" s="184"/>
      <c r="I622" s="139"/>
      <c r="J622" s="139"/>
      <c r="K622" s="139"/>
      <c r="L622" s="139"/>
      <c r="M622" s="139"/>
      <c r="N622" s="139"/>
      <c r="O622" s="139"/>
      <c r="P622" s="139"/>
      <c r="Q622" s="139"/>
      <c r="R622" s="139"/>
      <c r="S622" s="139"/>
      <c r="T622" s="139"/>
      <c r="U622" s="139"/>
      <c r="V622" s="139"/>
      <c r="W622" s="139"/>
      <c r="X622" s="139"/>
      <c r="Y622" s="139"/>
      <c r="Z622" s="139"/>
    </row>
    <row r="623" ht="15.75" customHeight="1">
      <c r="A623" s="139"/>
      <c r="B623" s="139"/>
      <c r="C623" s="183"/>
      <c r="D623" s="183"/>
      <c r="E623" s="183"/>
      <c r="F623" s="183"/>
      <c r="G623" s="183"/>
      <c r="H623" s="184"/>
      <c r="I623" s="139"/>
      <c r="J623" s="139"/>
      <c r="K623" s="139"/>
      <c r="L623" s="139"/>
      <c r="M623" s="139"/>
      <c r="N623" s="139"/>
      <c r="O623" s="139"/>
      <c r="P623" s="139"/>
      <c r="Q623" s="139"/>
      <c r="R623" s="139"/>
      <c r="S623" s="139"/>
      <c r="T623" s="139"/>
      <c r="U623" s="139"/>
      <c r="V623" s="139"/>
      <c r="W623" s="139"/>
      <c r="X623" s="139"/>
      <c r="Y623" s="139"/>
      <c r="Z623" s="139"/>
    </row>
    <row r="624" ht="15.75" customHeight="1">
      <c r="A624" s="139"/>
      <c r="B624" s="139"/>
      <c r="C624" s="183"/>
      <c r="D624" s="183"/>
      <c r="E624" s="183"/>
      <c r="F624" s="183"/>
      <c r="G624" s="183"/>
      <c r="H624" s="184"/>
      <c r="I624" s="139"/>
      <c r="J624" s="139"/>
      <c r="K624" s="139"/>
      <c r="L624" s="139"/>
      <c r="M624" s="139"/>
      <c r="N624" s="139"/>
      <c r="O624" s="139"/>
      <c r="P624" s="139"/>
      <c r="Q624" s="139"/>
      <c r="R624" s="139"/>
      <c r="S624" s="139"/>
      <c r="T624" s="139"/>
      <c r="U624" s="139"/>
      <c r="V624" s="139"/>
      <c r="W624" s="139"/>
      <c r="X624" s="139"/>
      <c r="Y624" s="139"/>
      <c r="Z624" s="139"/>
    </row>
    <row r="625" ht="15.75" customHeight="1">
      <c r="A625" s="139"/>
      <c r="B625" s="139"/>
      <c r="C625" s="183"/>
      <c r="D625" s="183"/>
      <c r="E625" s="183"/>
      <c r="F625" s="183"/>
      <c r="G625" s="183"/>
      <c r="H625" s="184"/>
      <c r="I625" s="139"/>
      <c r="J625" s="139"/>
      <c r="K625" s="139"/>
      <c r="L625" s="139"/>
      <c r="M625" s="139"/>
      <c r="N625" s="139"/>
      <c r="O625" s="139"/>
      <c r="P625" s="139"/>
      <c r="Q625" s="139"/>
      <c r="R625" s="139"/>
      <c r="S625" s="139"/>
      <c r="T625" s="139"/>
      <c r="U625" s="139"/>
      <c r="V625" s="139"/>
      <c r="W625" s="139"/>
      <c r="X625" s="139"/>
      <c r="Y625" s="139"/>
      <c r="Z625" s="139"/>
    </row>
    <row r="626" ht="15.75" customHeight="1">
      <c r="A626" s="139"/>
      <c r="B626" s="139"/>
      <c r="C626" s="183"/>
      <c r="D626" s="183"/>
      <c r="E626" s="183"/>
      <c r="F626" s="183"/>
      <c r="G626" s="183"/>
      <c r="H626" s="184"/>
      <c r="I626" s="139"/>
      <c r="J626" s="139"/>
      <c r="K626" s="139"/>
      <c r="L626" s="139"/>
      <c r="M626" s="139"/>
      <c r="N626" s="139"/>
      <c r="O626" s="139"/>
      <c r="P626" s="139"/>
      <c r="Q626" s="139"/>
      <c r="R626" s="139"/>
      <c r="S626" s="139"/>
      <c r="T626" s="139"/>
      <c r="U626" s="139"/>
      <c r="V626" s="139"/>
      <c r="W626" s="139"/>
      <c r="X626" s="139"/>
      <c r="Y626" s="139"/>
      <c r="Z626" s="139"/>
    </row>
    <row r="627" ht="15.75" customHeight="1">
      <c r="A627" s="139"/>
      <c r="B627" s="139"/>
      <c r="C627" s="183"/>
      <c r="D627" s="183"/>
      <c r="E627" s="183"/>
      <c r="F627" s="183"/>
      <c r="G627" s="183"/>
      <c r="H627" s="184"/>
      <c r="I627" s="139"/>
      <c r="J627" s="139"/>
      <c r="K627" s="139"/>
      <c r="L627" s="139"/>
      <c r="M627" s="139"/>
      <c r="N627" s="139"/>
      <c r="O627" s="139"/>
      <c r="P627" s="139"/>
      <c r="Q627" s="139"/>
      <c r="R627" s="139"/>
      <c r="S627" s="139"/>
      <c r="T627" s="139"/>
      <c r="U627" s="139"/>
      <c r="V627" s="139"/>
      <c r="W627" s="139"/>
      <c r="X627" s="139"/>
      <c r="Y627" s="139"/>
      <c r="Z627" s="139"/>
    </row>
    <row r="628" ht="15.75" customHeight="1">
      <c r="A628" s="139"/>
      <c r="B628" s="139"/>
      <c r="C628" s="183"/>
      <c r="D628" s="183"/>
      <c r="E628" s="183"/>
      <c r="F628" s="183"/>
      <c r="G628" s="183"/>
      <c r="H628" s="184"/>
      <c r="I628" s="139"/>
      <c r="J628" s="139"/>
      <c r="K628" s="139"/>
      <c r="L628" s="139"/>
      <c r="M628" s="139"/>
      <c r="N628" s="139"/>
      <c r="O628" s="139"/>
      <c r="P628" s="139"/>
      <c r="Q628" s="139"/>
      <c r="R628" s="139"/>
      <c r="S628" s="139"/>
      <c r="T628" s="139"/>
      <c r="U628" s="139"/>
      <c r="V628" s="139"/>
      <c r="W628" s="139"/>
      <c r="X628" s="139"/>
      <c r="Y628" s="139"/>
      <c r="Z628" s="139"/>
    </row>
    <row r="629" ht="15.75" customHeight="1">
      <c r="A629" s="139"/>
      <c r="B629" s="139"/>
      <c r="C629" s="183"/>
      <c r="D629" s="183"/>
      <c r="E629" s="183"/>
      <c r="F629" s="183"/>
      <c r="G629" s="183"/>
      <c r="H629" s="184"/>
      <c r="I629" s="139"/>
      <c r="J629" s="139"/>
      <c r="K629" s="139"/>
      <c r="L629" s="139"/>
      <c r="M629" s="139"/>
      <c r="N629" s="139"/>
      <c r="O629" s="139"/>
      <c r="P629" s="139"/>
      <c r="Q629" s="139"/>
      <c r="R629" s="139"/>
      <c r="S629" s="139"/>
      <c r="T629" s="139"/>
      <c r="U629" s="139"/>
      <c r="V629" s="139"/>
      <c r="W629" s="139"/>
      <c r="X629" s="139"/>
      <c r="Y629" s="139"/>
      <c r="Z629" s="139"/>
    </row>
    <row r="630" ht="15.75" customHeight="1">
      <c r="A630" s="139"/>
      <c r="B630" s="139"/>
      <c r="C630" s="183"/>
      <c r="D630" s="183"/>
      <c r="E630" s="183"/>
      <c r="F630" s="183"/>
      <c r="G630" s="183"/>
      <c r="H630" s="184"/>
      <c r="I630" s="139"/>
      <c r="J630" s="139"/>
      <c r="K630" s="139"/>
      <c r="L630" s="139"/>
      <c r="M630" s="139"/>
      <c r="N630" s="139"/>
      <c r="O630" s="139"/>
      <c r="P630" s="139"/>
      <c r="Q630" s="139"/>
      <c r="R630" s="139"/>
      <c r="S630" s="139"/>
      <c r="T630" s="139"/>
      <c r="U630" s="139"/>
      <c r="V630" s="139"/>
      <c r="W630" s="139"/>
      <c r="X630" s="139"/>
      <c r="Y630" s="139"/>
      <c r="Z630" s="139"/>
    </row>
    <row r="631" ht="15.75" customHeight="1">
      <c r="A631" s="139"/>
      <c r="B631" s="139"/>
      <c r="C631" s="183"/>
      <c r="D631" s="183"/>
      <c r="E631" s="183"/>
      <c r="F631" s="183"/>
      <c r="G631" s="183"/>
      <c r="H631" s="184"/>
      <c r="I631" s="139"/>
      <c r="J631" s="139"/>
      <c r="K631" s="139"/>
      <c r="L631" s="139"/>
      <c r="M631" s="139"/>
      <c r="N631" s="139"/>
      <c r="O631" s="139"/>
      <c r="P631" s="139"/>
      <c r="Q631" s="139"/>
      <c r="R631" s="139"/>
      <c r="S631" s="139"/>
      <c r="T631" s="139"/>
      <c r="U631" s="139"/>
      <c r="V631" s="139"/>
      <c r="W631" s="139"/>
      <c r="X631" s="139"/>
      <c r="Y631" s="139"/>
      <c r="Z631" s="139"/>
    </row>
    <row r="632" ht="15.75" customHeight="1">
      <c r="A632" s="139"/>
      <c r="B632" s="139"/>
      <c r="C632" s="183"/>
      <c r="D632" s="183"/>
      <c r="E632" s="183"/>
      <c r="F632" s="183"/>
      <c r="G632" s="183"/>
      <c r="H632" s="184"/>
      <c r="I632" s="139"/>
      <c r="J632" s="139"/>
      <c r="K632" s="139"/>
      <c r="L632" s="139"/>
      <c r="M632" s="139"/>
      <c r="N632" s="139"/>
      <c r="O632" s="139"/>
      <c r="P632" s="139"/>
      <c r="Q632" s="139"/>
      <c r="R632" s="139"/>
      <c r="S632" s="139"/>
      <c r="T632" s="139"/>
      <c r="U632" s="139"/>
      <c r="V632" s="139"/>
      <c r="W632" s="139"/>
      <c r="X632" s="139"/>
      <c r="Y632" s="139"/>
      <c r="Z632" s="139"/>
    </row>
    <row r="633" ht="15.75" customHeight="1">
      <c r="A633" s="139"/>
      <c r="B633" s="139"/>
      <c r="C633" s="183"/>
      <c r="D633" s="183"/>
      <c r="E633" s="183"/>
      <c r="F633" s="183"/>
      <c r="G633" s="183"/>
      <c r="H633" s="184"/>
      <c r="I633" s="139"/>
      <c r="J633" s="139"/>
      <c r="K633" s="139"/>
      <c r="L633" s="139"/>
      <c r="M633" s="139"/>
      <c r="N633" s="139"/>
      <c r="O633" s="139"/>
      <c r="P633" s="139"/>
      <c r="Q633" s="139"/>
      <c r="R633" s="139"/>
      <c r="S633" s="139"/>
      <c r="T633" s="139"/>
      <c r="U633" s="139"/>
      <c r="V633" s="139"/>
      <c r="W633" s="139"/>
      <c r="X633" s="139"/>
      <c r="Y633" s="139"/>
      <c r="Z633" s="139"/>
    </row>
    <row r="634" ht="15.75" customHeight="1">
      <c r="A634" s="139"/>
      <c r="B634" s="139"/>
      <c r="C634" s="183"/>
      <c r="D634" s="183"/>
      <c r="E634" s="183"/>
      <c r="F634" s="183"/>
      <c r="G634" s="183"/>
      <c r="H634" s="184"/>
      <c r="I634" s="139"/>
      <c r="J634" s="139"/>
      <c r="K634" s="139"/>
      <c r="L634" s="139"/>
      <c r="M634" s="139"/>
      <c r="N634" s="139"/>
      <c r="O634" s="139"/>
      <c r="P634" s="139"/>
      <c r="Q634" s="139"/>
      <c r="R634" s="139"/>
      <c r="S634" s="139"/>
      <c r="T634" s="139"/>
      <c r="U634" s="139"/>
      <c r="V634" s="139"/>
      <c r="W634" s="139"/>
      <c r="X634" s="139"/>
      <c r="Y634" s="139"/>
      <c r="Z634" s="139"/>
    </row>
    <row r="635" ht="15.75" customHeight="1">
      <c r="A635" s="139"/>
      <c r="B635" s="139"/>
      <c r="C635" s="183"/>
      <c r="D635" s="183"/>
      <c r="E635" s="183"/>
      <c r="F635" s="183"/>
      <c r="G635" s="183"/>
      <c r="H635" s="184"/>
      <c r="I635" s="139"/>
      <c r="J635" s="139"/>
      <c r="K635" s="139"/>
      <c r="L635" s="139"/>
      <c r="M635" s="139"/>
      <c r="N635" s="139"/>
      <c r="O635" s="139"/>
      <c r="P635" s="139"/>
      <c r="Q635" s="139"/>
      <c r="R635" s="139"/>
      <c r="S635" s="139"/>
      <c r="T635" s="139"/>
      <c r="U635" s="139"/>
      <c r="V635" s="139"/>
      <c r="W635" s="139"/>
      <c r="X635" s="139"/>
      <c r="Y635" s="139"/>
      <c r="Z635" s="139"/>
    </row>
    <row r="636" ht="15.75" customHeight="1">
      <c r="A636" s="139"/>
      <c r="B636" s="139"/>
      <c r="C636" s="183"/>
      <c r="D636" s="183"/>
      <c r="E636" s="183"/>
      <c r="F636" s="183"/>
      <c r="G636" s="183"/>
      <c r="H636" s="184"/>
      <c r="I636" s="139"/>
      <c r="J636" s="139"/>
      <c r="K636" s="139"/>
      <c r="L636" s="139"/>
      <c r="M636" s="139"/>
      <c r="N636" s="139"/>
      <c r="O636" s="139"/>
      <c r="P636" s="139"/>
      <c r="Q636" s="139"/>
      <c r="R636" s="139"/>
      <c r="S636" s="139"/>
      <c r="T636" s="139"/>
      <c r="U636" s="139"/>
      <c r="V636" s="139"/>
      <c r="W636" s="139"/>
      <c r="X636" s="139"/>
      <c r="Y636" s="139"/>
      <c r="Z636" s="139"/>
    </row>
    <row r="637" ht="15.75" customHeight="1">
      <c r="A637" s="139"/>
      <c r="B637" s="139"/>
      <c r="C637" s="183"/>
      <c r="D637" s="183"/>
      <c r="E637" s="183"/>
      <c r="F637" s="183"/>
      <c r="G637" s="183"/>
      <c r="H637" s="184"/>
      <c r="I637" s="139"/>
      <c r="J637" s="139"/>
      <c r="K637" s="139"/>
      <c r="L637" s="139"/>
      <c r="M637" s="139"/>
      <c r="N637" s="139"/>
      <c r="O637" s="139"/>
      <c r="P637" s="139"/>
      <c r="Q637" s="139"/>
      <c r="R637" s="139"/>
      <c r="S637" s="139"/>
      <c r="T637" s="139"/>
      <c r="U637" s="139"/>
      <c r="V637" s="139"/>
      <c r="W637" s="139"/>
      <c r="X637" s="139"/>
      <c r="Y637" s="139"/>
      <c r="Z637" s="139"/>
    </row>
    <row r="638" ht="15.75" customHeight="1">
      <c r="A638" s="139"/>
      <c r="B638" s="139"/>
      <c r="C638" s="183"/>
      <c r="D638" s="183"/>
      <c r="E638" s="183"/>
      <c r="F638" s="183"/>
      <c r="G638" s="183"/>
      <c r="H638" s="184"/>
      <c r="I638" s="139"/>
      <c r="J638" s="139"/>
      <c r="K638" s="139"/>
      <c r="L638" s="139"/>
      <c r="M638" s="139"/>
      <c r="N638" s="139"/>
      <c r="O638" s="139"/>
      <c r="P638" s="139"/>
      <c r="Q638" s="139"/>
      <c r="R638" s="139"/>
      <c r="S638" s="139"/>
      <c r="T638" s="139"/>
      <c r="U638" s="139"/>
      <c r="V638" s="139"/>
      <c r="W638" s="139"/>
      <c r="X638" s="139"/>
      <c r="Y638" s="139"/>
      <c r="Z638" s="139"/>
    </row>
    <row r="639" ht="15.75" customHeight="1">
      <c r="A639" s="139"/>
      <c r="B639" s="139"/>
      <c r="C639" s="183"/>
      <c r="D639" s="183"/>
      <c r="E639" s="183"/>
      <c r="F639" s="183"/>
      <c r="G639" s="183"/>
      <c r="H639" s="184"/>
      <c r="I639" s="139"/>
      <c r="J639" s="139"/>
      <c r="K639" s="139"/>
      <c r="L639" s="139"/>
      <c r="M639" s="139"/>
      <c r="N639" s="139"/>
      <c r="O639" s="139"/>
      <c r="P639" s="139"/>
      <c r="Q639" s="139"/>
      <c r="R639" s="139"/>
      <c r="S639" s="139"/>
      <c r="T639" s="139"/>
      <c r="U639" s="139"/>
      <c r="V639" s="139"/>
      <c r="W639" s="139"/>
      <c r="X639" s="139"/>
      <c r="Y639" s="139"/>
      <c r="Z639" s="139"/>
    </row>
    <row r="640" ht="15.75" customHeight="1">
      <c r="A640" s="139"/>
      <c r="B640" s="139"/>
      <c r="C640" s="183"/>
      <c r="D640" s="183"/>
      <c r="E640" s="183"/>
      <c r="F640" s="183"/>
      <c r="G640" s="183"/>
      <c r="H640" s="184"/>
      <c r="I640" s="139"/>
      <c r="J640" s="139"/>
      <c r="K640" s="139"/>
      <c r="L640" s="139"/>
      <c r="M640" s="139"/>
      <c r="N640" s="139"/>
      <c r="O640" s="139"/>
      <c r="P640" s="139"/>
      <c r="Q640" s="139"/>
      <c r="R640" s="139"/>
      <c r="S640" s="139"/>
      <c r="T640" s="139"/>
      <c r="U640" s="139"/>
      <c r="V640" s="139"/>
      <c r="W640" s="139"/>
      <c r="X640" s="139"/>
      <c r="Y640" s="139"/>
      <c r="Z640" s="139"/>
    </row>
    <row r="641" ht="15.75" customHeight="1">
      <c r="A641" s="139"/>
      <c r="B641" s="139"/>
      <c r="C641" s="183"/>
      <c r="D641" s="183"/>
      <c r="E641" s="183"/>
      <c r="F641" s="183"/>
      <c r="G641" s="183"/>
      <c r="H641" s="184"/>
      <c r="I641" s="139"/>
      <c r="J641" s="139"/>
      <c r="K641" s="139"/>
      <c r="L641" s="139"/>
      <c r="M641" s="139"/>
      <c r="N641" s="139"/>
      <c r="O641" s="139"/>
      <c r="P641" s="139"/>
      <c r="Q641" s="139"/>
      <c r="R641" s="139"/>
      <c r="S641" s="139"/>
      <c r="T641" s="139"/>
      <c r="U641" s="139"/>
      <c r="V641" s="139"/>
      <c r="W641" s="139"/>
      <c r="X641" s="139"/>
      <c r="Y641" s="139"/>
      <c r="Z641" s="139"/>
    </row>
    <row r="642" ht="15.75" customHeight="1">
      <c r="A642" s="139"/>
      <c r="B642" s="139"/>
      <c r="C642" s="183"/>
      <c r="D642" s="183"/>
      <c r="E642" s="183"/>
      <c r="F642" s="183"/>
      <c r="G642" s="183"/>
      <c r="H642" s="184"/>
      <c r="I642" s="139"/>
      <c r="J642" s="139"/>
      <c r="K642" s="139"/>
      <c r="L642" s="139"/>
      <c r="M642" s="139"/>
      <c r="N642" s="139"/>
      <c r="O642" s="139"/>
      <c r="P642" s="139"/>
      <c r="Q642" s="139"/>
      <c r="R642" s="139"/>
      <c r="S642" s="139"/>
      <c r="T642" s="139"/>
      <c r="U642" s="139"/>
      <c r="V642" s="139"/>
      <c r="W642" s="139"/>
      <c r="X642" s="139"/>
      <c r="Y642" s="139"/>
      <c r="Z642" s="139"/>
    </row>
    <row r="643" ht="15.75" customHeight="1">
      <c r="A643" s="139"/>
      <c r="B643" s="139"/>
      <c r="C643" s="183"/>
      <c r="D643" s="183"/>
      <c r="E643" s="183"/>
      <c r="F643" s="183"/>
      <c r="G643" s="183"/>
      <c r="H643" s="184"/>
      <c r="I643" s="139"/>
      <c r="J643" s="139"/>
      <c r="K643" s="139"/>
      <c r="L643" s="139"/>
      <c r="M643" s="139"/>
      <c r="N643" s="139"/>
      <c r="O643" s="139"/>
      <c r="P643" s="139"/>
      <c r="Q643" s="139"/>
      <c r="R643" s="139"/>
      <c r="S643" s="139"/>
      <c r="T643" s="139"/>
      <c r="U643" s="139"/>
      <c r="V643" s="139"/>
      <c r="W643" s="139"/>
      <c r="X643" s="139"/>
      <c r="Y643" s="139"/>
      <c r="Z643" s="139"/>
    </row>
    <row r="644" ht="15.75" customHeight="1">
      <c r="A644" s="139"/>
      <c r="B644" s="139"/>
      <c r="C644" s="183"/>
      <c r="D644" s="183"/>
      <c r="E644" s="183"/>
      <c r="F644" s="183"/>
      <c r="G644" s="183"/>
      <c r="H644" s="184"/>
      <c r="I644" s="139"/>
      <c r="J644" s="139"/>
      <c r="K644" s="139"/>
      <c r="L644" s="139"/>
      <c r="M644" s="139"/>
      <c r="N644" s="139"/>
      <c r="O644" s="139"/>
      <c r="P644" s="139"/>
      <c r="Q644" s="139"/>
      <c r="R644" s="139"/>
      <c r="S644" s="139"/>
      <c r="T644" s="139"/>
      <c r="U644" s="139"/>
      <c r="V644" s="139"/>
      <c r="W644" s="139"/>
      <c r="X644" s="139"/>
      <c r="Y644" s="139"/>
      <c r="Z644" s="139"/>
    </row>
    <row r="645" ht="15.75" customHeight="1">
      <c r="A645" s="139"/>
      <c r="B645" s="139"/>
      <c r="C645" s="183"/>
      <c r="D645" s="183"/>
      <c r="E645" s="183"/>
      <c r="F645" s="183"/>
      <c r="G645" s="183"/>
      <c r="H645" s="184"/>
      <c r="I645" s="139"/>
      <c r="J645" s="139"/>
      <c r="K645" s="139"/>
      <c r="L645" s="139"/>
      <c r="M645" s="139"/>
      <c r="N645" s="139"/>
      <c r="O645" s="139"/>
      <c r="P645" s="139"/>
      <c r="Q645" s="139"/>
      <c r="R645" s="139"/>
      <c r="S645" s="139"/>
      <c r="T645" s="139"/>
      <c r="U645" s="139"/>
      <c r="V645" s="139"/>
      <c r="W645" s="139"/>
      <c r="X645" s="139"/>
      <c r="Y645" s="139"/>
      <c r="Z645" s="139"/>
    </row>
    <row r="646" ht="15.75" customHeight="1">
      <c r="A646" s="139"/>
      <c r="B646" s="139"/>
      <c r="C646" s="183"/>
      <c r="D646" s="183"/>
      <c r="E646" s="183"/>
      <c r="F646" s="183"/>
      <c r="G646" s="183"/>
      <c r="H646" s="184"/>
      <c r="I646" s="139"/>
      <c r="J646" s="139"/>
      <c r="K646" s="139"/>
      <c r="L646" s="139"/>
      <c r="M646" s="139"/>
      <c r="N646" s="139"/>
      <c r="O646" s="139"/>
      <c r="P646" s="139"/>
      <c r="Q646" s="139"/>
      <c r="R646" s="139"/>
      <c r="S646" s="139"/>
      <c r="T646" s="139"/>
      <c r="U646" s="139"/>
      <c r="V646" s="139"/>
      <c r="W646" s="139"/>
      <c r="X646" s="139"/>
      <c r="Y646" s="139"/>
      <c r="Z646" s="139"/>
    </row>
    <row r="647" ht="15.75" customHeight="1">
      <c r="A647" s="139"/>
      <c r="B647" s="139"/>
      <c r="C647" s="183"/>
      <c r="D647" s="183"/>
      <c r="E647" s="183"/>
      <c r="F647" s="183"/>
      <c r="G647" s="183"/>
      <c r="H647" s="184"/>
      <c r="I647" s="139"/>
      <c r="J647" s="139"/>
      <c r="K647" s="139"/>
      <c r="L647" s="139"/>
      <c r="M647" s="139"/>
      <c r="N647" s="139"/>
      <c r="O647" s="139"/>
      <c r="P647" s="139"/>
      <c r="Q647" s="139"/>
      <c r="R647" s="139"/>
      <c r="S647" s="139"/>
      <c r="T647" s="139"/>
      <c r="U647" s="139"/>
      <c r="V647" s="139"/>
      <c r="W647" s="139"/>
      <c r="X647" s="139"/>
      <c r="Y647" s="139"/>
      <c r="Z647" s="139"/>
    </row>
    <row r="648" ht="15.75" customHeight="1">
      <c r="A648" s="139"/>
      <c r="B648" s="139"/>
      <c r="C648" s="183"/>
      <c r="D648" s="183"/>
      <c r="E648" s="183"/>
      <c r="F648" s="183"/>
      <c r="G648" s="183"/>
      <c r="H648" s="184"/>
      <c r="I648" s="139"/>
      <c r="J648" s="139"/>
      <c r="K648" s="139"/>
      <c r="L648" s="139"/>
      <c r="M648" s="139"/>
      <c r="N648" s="139"/>
      <c r="O648" s="139"/>
      <c r="P648" s="139"/>
      <c r="Q648" s="139"/>
      <c r="R648" s="139"/>
      <c r="S648" s="139"/>
      <c r="T648" s="139"/>
      <c r="U648" s="139"/>
      <c r="V648" s="139"/>
      <c r="W648" s="139"/>
      <c r="X648" s="139"/>
      <c r="Y648" s="139"/>
      <c r="Z648" s="139"/>
    </row>
    <row r="649" ht="15.75" customHeight="1">
      <c r="A649" s="139"/>
      <c r="B649" s="139"/>
      <c r="C649" s="183"/>
      <c r="D649" s="183"/>
      <c r="E649" s="183"/>
      <c r="F649" s="183"/>
      <c r="G649" s="183"/>
      <c r="H649" s="184"/>
      <c r="I649" s="139"/>
      <c r="J649" s="139"/>
      <c r="K649" s="139"/>
      <c r="L649" s="139"/>
      <c r="M649" s="139"/>
      <c r="N649" s="139"/>
      <c r="O649" s="139"/>
      <c r="P649" s="139"/>
      <c r="Q649" s="139"/>
      <c r="R649" s="139"/>
      <c r="S649" s="139"/>
      <c r="T649" s="139"/>
      <c r="U649" s="139"/>
      <c r="V649" s="139"/>
      <c r="W649" s="139"/>
      <c r="X649" s="139"/>
      <c r="Y649" s="139"/>
      <c r="Z649" s="139"/>
    </row>
    <row r="650" ht="15.75" customHeight="1">
      <c r="A650" s="139"/>
      <c r="B650" s="139"/>
      <c r="C650" s="183"/>
      <c r="D650" s="183"/>
      <c r="E650" s="183"/>
      <c r="F650" s="183"/>
      <c r="G650" s="183"/>
      <c r="H650" s="184"/>
      <c r="I650" s="139"/>
      <c r="J650" s="139"/>
      <c r="K650" s="139"/>
      <c r="L650" s="139"/>
      <c r="M650" s="139"/>
      <c r="N650" s="139"/>
      <c r="O650" s="139"/>
      <c r="P650" s="139"/>
      <c r="Q650" s="139"/>
      <c r="R650" s="139"/>
      <c r="S650" s="139"/>
      <c r="T650" s="139"/>
      <c r="U650" s="139"/>
      <c r="V650" s="139"/>
      <c r="W650" s="139"/>
      <c r="X650" s="139"/>
      <c r="Y650" s="139"/>
      <c r="Z650" s="139"/>
    </row>
    <row r="651" ht="15.75" customHeight="1">
      <c r="A651" s="139"/>
      <c r="B651" s="139"/>
      <c r="C651" s="183"/>
      <c r="D651" s="183"/>
      <c r="E651" s="183"/>
      <c r="F651" s="183"/>
      <c r="G651" s="183"/>
      <c r="H651" s="184"/>
      <c r="I651" s="139"/>
      <c r="J651" s="139"/>
      <c r="K651" s="139"/>
      <c r="L651" s="139"/>
      <c r="M651" s="139"/>
      <c r="N651" s="139"/>
      <c r="O651" s="139"/>
      <c r="P651" s="139"/>
      <c r="Q651" s="139"/>
      <c r="R651" s="139"/>
      <c r="S651" s="139"/>
      <c r="T651" s="139"/>
      <c r="U651" s="139"/>
      <c r="V651" s="139"/>
      <c r="W651" s="139"/>
      <c r="X651" s="139"/>
      <c r="Y651" s="139"/>
      <c r="Z651" s="139"/>
    </row>
    <row r="652" ht="15.75" customHeight="1">
      <c r="A652" s="139"/>
      <c r="B652" s="139"/>
      <c r="C652" s="183"/>
      <c r="D652" s="183"/>
      <c r="E652" s="183"/>
      <c r="F652" s="183"/>
      <c r="G652" s="183"/>
      <c r="H652" s="184"/>
      <c r="I652" s="139"/>
      <c r="J652" s="139"/>
      <c r="K652" s="139"/>
      <c r="L652" s="139"/>
      <c r="M652" s="139"/>
      <c r="N652" s="139"/>
      <c r="O652" s="139"/>
      <c r="P652" s="139"/>
      <c r="Q652" s="139"/>
      <c r="R652" s="139"/>
      <c r="S652" s="139"/>
      <c r="T652" s="139"/>
      <c r="U652" s="139"/>
      <c r="V652" s="139"/>
      <c r="W652" s="139"/>
      <c r="X652" s="139"/>
      <c r="Y652" s="139"/>
      <c r="Z652" s="139"/>
    </row>
    <row r="653" ht="15.75" customHeight="1">
      <c r="A653" s="139"/>
      <c r="B653" s="139"/>
      <c r="C653" s="183"/>
      <c r="D653" s="183"/>
      <c r="E653" s="183"/>
      <c r="F653" s="183"/>
      <c r="G653" s="183"/>
      <c r="H653" s="184"/>
      <c r="I653" s="139"/>
      <c r="J653" s="139"/>
      <c r="K653" s="139"/>
      <c r="L653" s="139"/>
      <c r="M653" s="139"/>
      <c r="N653" s="139"/>
      <c r="O653" s="139"/>
      <c r="P653" s="139"/>
      <c r="Q653" s="139"/>
      <c r="R653" s="139"/>
      <c r="S653" s="139"/>
      <c r="T653" s="139"/>
      <c r="U653" s="139"/>
      <c r="V653" s="139"/>
      <c r="W653" s="139"/>
      <c r="X653" s="139"/>
      <c r="Y653" s="139"/>
      <c r="Z653" s="139"/>
    </row>
    <row r="654" ht="15.75" customHeight="1">
      <c r="A654" s="139"/>
      <c r="B654" s="139"/>
      <c r="C654" s="183"/>
      <c r="D654" s="183"/>
      <c r="E654" s="183"/>
      <c r="F654" s="183"/>
      <c r="G654" s="183"/>
      <c r="H654" s="184"/>
      <c r="I654" s="139"/>
      <c r="J654" s="139"/>
      <c r="K654" s="139"/>
      <c r="L654" s="139"/>
      <c r="M654" s="139"/>
      <c r="N654" s="139"/>
      <c r="O654" s="139"/>
      <c r="P654" s="139"/>
      <c r="Q654" s="139"/>
      <c r="R654" s="139"/>
      <c r="S654" s="139"/>
      <c r="T654" s="139"/>
      <c r="U654" s="139"/>
      <c r="V654" s="139"/>
      <c r="W654" s="139"/>
      <c r="X654" s="139"/>
      <c r="Y654" s="139"/>
      <c r="Z654" s="139"/>
    </row>
    <row r="655" ht="15.75" customHeight="1">
      <c r="A655" s="139"/>
      <c r="B655" s="139"/>
      <c r="C655" s="183"/>
      <c r="D655" s="183"/>
      <c r="E655" s="183"/>
      <c r="F655" s="183"/>
      <c r="G655" s="183"/>
      <c r="H655" s="184"/>
      <c r="I655" s="139"/>
      <c r="J655" s="139"/>
      <c r="K655" s="139"/>
      <c r="L655" s="139"/>
      <c r="M655" s="139"/>
      <c r="N655" s="139"/>
      <c r="O655" s="139"/>
      <c r="P655" s="139"/>
      <c r="Q655" s="139"/>
      <c r="R655" s="139"/>
      <c r="S655" s="139"/>
      <c r="T655" s="139"/>
      <c r="U655" s="139"/>
      <c r="V655" s="139"/>
      <c r="W655" s="139"/>
      <c r="X655" s="139"/>
      <c r="Y655" s="139"/>
      <c r="Z655" s="139"/>
    </row>
    <row r="656" ht="15.75" customHeight="1">
      <c r="A656" s="139"/>
      <c r="B656" s="139"/>
      <c r="C656" s="183"/>
      <c r="D656" s="183"/>
      <c r="E656" s="183"/>
      <c r="F656" s="183"/>
      <c r="G656" s="183"/>
      <c r="H656" s="184"/>
      <c r="I656" s="139"/>
      <c r="J656" s="139"/>
      <c r="K656" s="139"/>
      <c r="L656" s="139"/>
      <c r="M656" s="139"/>
      <c r="N656" s="139"/>
      <c r="O656" s="139"/>
      <c r="P656" s="139"/>
      <c r="Q656" s="139"/>
      <c r="R656" s="139"/>
      <c r="S656" s="139"/>
      <c r="T656" s="139"/>
      <c r="U656" s="139"/>
      <c r="V656" s="139"/>
      <c r="W656" s="139"/>
      <c r="X656" s="139"/>
      <c r="Y656" s="139"/>
      <c r="Z656" s="139"/>
    </row>
    <row r="657" ht="15.75" customHeight="1">
      <c r="A657" s="139"/>
      <c r="B657" s="139"/>
      <c r="C657" s="183"/>
      <c r="D657" s="183"/>
      <c r="E657" s="183"/>
      <c r="F657" s="183"/>
      <c r="G657" s="183"/>
      <c r="H657" s="184"/>
      <c r="I657" s="139"/>
      <c r="J657" s="139"/>
      <c r="K657" s="139"/>
      <c r="L657" s="139"/>
      <c r="M657" s="139"/>
      <c r="N657" s="139"/>
      <c r="O657" s="139"/>
      <c r="P657" s="139"/>
      <c r="Q657" s="139"/>
      <c r="R657" s="139"/>
      <c r="S657" s="139"/>
      <c r="T657" s="139"/>
      <c r="U657" s="139"/>
      <c r="V657" s="139"/>
      <c r="W657" s="139"/>
      <c r="X657" s="139"/>
      <c r="Y657" s="139"/>
      <c r="Z657" s="139"/>
    </row>
    <row r="658" ht="15.75" customHeight="1">
      <c r="A658" s="139"/>
      <c r="B658" s="139"/>
      <c r="C658" s="183"/>
      <c r="D658" s="183"/>
      <c r="E658" s="183"/>
      <c r="F658" s="183"/>
      <c r="G658" s="183"/>
      <c r="H658" s="184"/>
      <c r="I658" s="139"/>
      <c r="J658" s="139"/>
      <c r="K658" s="139"/>
      <c r="L658" s="139"/>
      <c r="M658" s="139"/>
      <c r="N658" s="139"/>
      <c r="O658" s="139"/>
      <c r="P658" s="139"/>
      <c r="Q658" s="139"/>
      <c r="R658" s="139"/>
      <c r="S658" s="139"/>
      <c r="T658" s="139"/>
      <c r="U658" s="139"/>
      <c r="V658" s="139"/>
      <c r="W658" s="139"/>
      <c r="X658" s="139"/>
      <c r="Y658" s="139"/>
      <c r="Z658" s="139"/>
    </row>
    <row r="659" ht="15.75" customHeight="1">
      <c r="A659" s="139"/>
      <c r="B659" s="139"/>
      <c r="C659" s="183"/>
      <c r="D659" s="183"/>
      <c r="E659" s="183"/>
      <c r="F659" s="183"/>
      <c r="G659" s="183"/>
      <c r="H659" s="184"/>
      <c r="I659" s="139"/>
      <c r="J659" s="139"/>
      <c r="K659" s="139"/>
      <c r="L659" s="139"/>
      <c r="M659" s="139"/>
      <c r="N659" s="139"/>
      <c r="O659" s="139"/>
      <c r="P659" s="139"/>
      <c r="Q659" s="139"/>
      <c r="R659" s="139"/>
      <c r="S659" s="139"/>
      <c r="T659" s="139"/>
      <c r="U659" s="139"/>
      <c r="V659" s="139"/>
      <c r="W659" s="139"/>
      <c r="X659" s="139"/>
      <c r="Y659" s="139"/>
      <c r="Z659" s="139"/>
    </row>
    <row r="660" ht="15.75" customHeight="1">
      <c r="A660" s="139"/>
      <c r="B660" s="139"/>
      <c r="C660" s="183"/>
      <c r="D660" s="183"/>
      <c r="E660" s="183"/>
      <c r="F660" s="183"/>
      <c r="G660" s="183"/>
      <c r="H660" s="184"/>
      <c r="I660" s="139"/>
      <c r="J660" s="139"/>
      <c r="K660" s="139"/>
      <c r="L660" s="139"/>
      <c r="M660" s="139"/>
      <c r="N660" s="139"/>
      <c r="O660" s="139"/>
      <c r="P660" s="139"/>
      <c r="Q660" s="139"/>
      <c r="R660" s="139"/>
      <c r="S660" s="139"/>
      <c r="T660" s="139"/>
      <c r="U660" s="139"/>
      <c r="V660" s="139"/>
      <c r="W660" s="139"/>
      <c r="X660" s="139"/>
      <c r="Y660" s="139"/>
      <c r="Z660" s="139"/>
    </row>
    <row r="661" ht="15.75" customHeight="1">
      <c r="A661" s="139"/>
      <c r="B661" s="139"/>
      <c r="C661" s="183"/>
      <c r="D661" s="183"/>
      <c r="E661" s="183"/>
      <c r="F661" s="183"/>
      <c r="G661" s="183"/>
      <c r="H661" s="184"/>
      <c r="I661" s="139"/>
      <c r="J661" s="139"/>
      <c r="K661" s="139"/>
      <c r="L661" s="139"/>
      <c r="M661" s="139"/>
      <c r="N661" s="139"/>
      <c r="O661" s="139"/>
      <c r="P661" s="139"/>
      <c r="Q661" s="139"/>
      <c r="R661" s="139"/>
      <c r="S661" s="139"/>
      <c r="T661" s="139"/>
      <c r="U661" s="139"/>
      <c r="V661" s="139"/>
      <c r="W661" s="139"/>
      <c r="X661" s="139"/>
      <c r="Y661" s="139"/>
      <c r="Z661" s="139"/>
    </row>
    <row r="662" ht="15.75" customHeight="1">
      <c r="A662" s="139"/>
      <c r="B662" s="139"/>
      <c r="C662" s="183"/>
      <c r="D662" s="183"/>
      <c r="E662" s="183"/>
      <c r="F662" s="183"/>
      <c r="G662" s="183"/>
      <c r="H662" s="184"/>
      <c r="I662" s="139"/>
      <c r="J662" s="139"/>
      <c r="K662" s="139"/>
      <c r="L662" s="139"/>
      <c r="M662" s="139"/>
      <c r="N662" s="139"/>
      <c r="O662" s="139"/>
      <c r="P662" s="139"/>
      <c r="Q662" s="139"/>
      <c r="R662" s="139"/>
      <c r="S662" s="139"/>
      <c r="T662" s="139"/>
      <c r="U662" s="139"/>
      <c r="V662" s="139"/>
      <c r="W662" s="139"/>
      <c r="X662" s="139"/>
      <c r="Y662" s="139"/>
      <c r="Z662" s="139"/>
    </row>
    <row r="663" ht="15.75" customHeight="1">
      <c r="A663" s="139"/>
      <c r="B663" s="139"/>
      <c r="C663" s="183"/>
      <c r="D663" s="183"/>
      <c r="E663" s="183"/>
      <c r="F663" s="183"/>
      <c r="G663" s="183"/>
      <c r="H663" s="184"/>
      <c r="I663" s="139"/>
      <c r="J663" s="139"/>
      <c r="K663" s="139"/>
      <c r="L663" s="139"/>
      <c r="M663" s="139"/>
      <c r="N663" s="139"/>
      <c r="O663" s="139"/>
      <c r="P663" s="139"/>
      <c r="Q663" s="139"/>
      <c r="R663" s="139"/>
      <c r="S663" s="139"/>
      <c r="T663" s="139"/>
      <c r="U663" s="139"/>
      <c r="V663" s="139"/>
      <c r="W663" s="139"/>
      <c r="X663" s="139"/>
      <c r="Y663" s="139"/>
      <c r="Z663" s="139"/>
    </row>
    <row r="664" ht="15.75" customHeight="1">
      <c r="A664" s="139"/>
      <c r="B664" s="139"/>
      <c r="C664" s="183"/>
      <c r="D664" s="183"/>
      <c r="E664" s="183"/>
      <c r="F664" s="183"/>
      <c r="G664" s="183"/>
      <c r="H664" s="184"/>
      <c r="I664" s="139"/>
      <c r="J664" s="139"/>
      <c r="K664" s="139"/>
      <c r="L664" s="139"/>
      <c r="M664" s="139"/>
      <c r="N664" s="139"/>
      <c r="O664" s="139"/>
      <c r="P664" s="139"/>
      <c r="Q664" s="139"/>
      <c r="R664" s="139"/>
      <c r="S664" s="139"/>
      <c r="T664" s="139"/>
      <c r="U664" s="139"/>
      <c r="V664" s="139"/>
      <c r="W664" s="139"/>
      <c r="X664" s="139"/>
      <c r="Y664" s="139"/>
      <c r="Z664" s="139"/>
    </row>
    <row r="665" ht="15.75" customHeight="1">
      <c r="A665" s="139"/>
      <c r="B665" s="139"/>
      <c r="C665" s="183"/>
      <c r="D665" s="183"/>
      <c r="E665" s="183"/>
      <c r="F665" s="183"/>
      <c r="G665" s="183"/>
      <c r="H665" s="184"/>
      <c r="I665" s="139"/>
      <c r="J665" s="139"/>
      <c r="K665" s="139"/>
      <c r="L665" s="139"/>
      <c r="M665" s="139"/>
      <c r="N665" s="139"/>
      <c r="O665" s="139"/>
      <c r="P665" s="139"/>
      <c r="Q665" s="139"/>
      <c r="R665" s="139"/>
      <c r="S665" s="139"/>
      <c r="T665" s="139"/>
      <c r="U665" s="139"/>
      <c r="V665" s="139"/>
      <c r="W665" s="139"/>
      <c r="X665" s="139"/>
      <c r="Y665" s="139"/>
      <c r="Z665" s="139"/>
    </row>
    <row r="666" ht="15.75" customHeight="1">
      <c r="A666" s="139"/>
      <c r="B666" s="139"/>
      <c r="C666" s="183"/>
      <c r="D666" s="183"/>
      <c r="E666" s="183"/>
      <c r="F666" s="183"/>
      <c r="G666" s="183"/>
      <c r="H666" s="184"/>
      <c r="I666" s="139"/>
      <c r="J666" s="139"/>
      <c r="K666" s="139"/>
      <c r="L666" s="139"/>
      <c r="M666" s="139"/>
      <c r="N666" s="139"/>
      <c r="O666" s="139"/>
      <c r="P666" s="139"/>
      <c r="Q666" s="139"/>
      <c r="R666" s="139"/>
      <c r="S666" s="139"/>
      <c r="T666" s="139"/>
      <c r="U666" s="139"/>
      <c r="V666" s="139"/>
      <c r="W666" s="139"/>
      <c r="X666" s="139"/>
      <c r="Y666" s="139"/>
      <c r="Z666" s="139"/>
    </row>
    <row r="667" ht="15.75" customHeight="1">
      <c r="A667" s="139"/>
      <c r="B667" s="139"/>
      <c r="C667" s="183"/>
      <c r="D667" s="183"/>
      <c r="E667" s="183"/>
      <c r="F667" s="183"/>
      <c r="G667" s="183"/>
      <c r="H667" s="184"/>
      <c r="I667" s="139"/>
      <c r="J667" s="139"/>
      <c r="K667" s="139"/>
      <c r="L667" s="139"/>
      <c r="M667" s="139"/>
      <c r="N667" s="139"/>
      <c r="O667" s="139"/>
      <c r="P667" s="139"/>
      <c r="Q667" s="139"/>
      <c r="R667" s="139"/>
      <c r="S667" s="139"/>
      <c r="T667" s="139"/>
      <c r="U667" s="139"/>
      <c r="V667" s="139"/>
      <c r="W667" s="139"/>
      <c r="X667" s="139"/>
      <c r="Y667" s="139"/>
      <c r="Z667" s="139"/>
    </row>
    <row r="668" ht="15.75" customHeight="1">
      <c r="A668" s="139"/>
      <c r="B668" s="139"/>
      <c r="C668" s="183"/>
      <c r="D668" s="183"/>
      <c r="E668" s="183"/>
      <c r="F668" s="183"/>
      <c r="G668" s="183"/>
      <c r="H668" s="184"/>
      <c r="I668" s="139"/>
      <c r="J668" s="139"/>
      <c r="K668" s="139"/>
      <c r="L668" s="139"/>
      <c r="M668" s="139"/>
      <c r="N668" s="139"/>
      <c r="O668" s="139"/>
      <c r="P668" s="139"/>
      <c r="Q668" s="139"/>
      <c r="R668" s="139"/>
      <c r="S668" s="139"/>
      <c r="T668" s="139"/>
      <c r="U668" s="139"/>
      <c r="V668" s="139"/>
      <c r="W668" s="139"/>
      <c r="X668" s="139"/>
      <c r="Y668" s="139"/>
      <c r="Z668" s="139"/>
    </row>
    <row r="669" ht="15.75" customHeight="1">
      <c r="A669" s="139"/>
      <c r="B669" s="139"/>
      <c r="C669" s="183"/>
      <c r="D669" s="183"/>
      <c r="E669" s="183"/>
      <c r="F669" s="183"/>
      <c r="G669" s="183"/>
      <c r="H669" s="184"/>
      <c r="I669" s="139"/>
      <c r="J669" s="139"/>
      <c r="K669" s="139"/>
      <c r="L669" s="139"/>
      <c r="M669" s="139"/>
      <c r="N669" s="139"/>
      <c r="O669" s="139"/>
      <c r="P669" s="139"/>
      <c r="Q669" s="139"/>
      <c r="R669" s="139"/>
      <c r="S669" s="139"/>
      <c r="T669" s="139"/>
      <c r="U669" s="139"/>
      <c r="V669" s="139"/>
      <c r="W669" s="139"/>
      <c r="X669" s="139"/>
      <c r="Y669" s="139"/>
      <c r="Z669" s="139"/>
    </row>
    <row r="670" ht="15.75" customHeight="1">
      <c r="A670" s="139"/>
      <c r="B670" s="139"/>
      <c r="C670" s="183"/>
      <c r="D670" s="183"/>
      <c r="E670" s="183"/>
      <c r="F670" s="183"/>
      <c r="G670" s="183"/>
      <c r="H670" s="184"/>
      <c r="I670" s="139"/>
      <c r="J670" s="139"/>
      <c r="K670" s="139"/>
      <c r="L670" s="139"/>
      <c r="M670" s="139"/>
      <c r="N670" s="139"/>
      <c r="O670" s="139"/>
      <c r="P670" s="139"/>
      <c r="Q670" s="139"/>
      <c r="R670" s="139"/>
      <c r="S670" s="139"/>
      <c r="T670" s="139"/>
      <c r="U670" s="139"/>
      <c r="V670" s="139"/>
      <c r="W670" s="139"/>
      <c r="X670" s="139"/>
      <c r="Y670" s="139"/>
      <c r="Z670" s="139"/>
    </row>
    <row r="671" ht="15.75" customHeight="1">
      <c r="A671" s="139"/>
      <c r="B671" s="139"/>
      <c r="C671" s="183"/>
      <c r="D671" s="183"/>
      <c r="E671" s="183"/>
      <c r="F671" s="183"/>
      <c r="G671" s="183"/>
      <c r="H671" s="184"/>
      <c r="I671" s="139"/>
      <c r="J671" s="139"/>
      <c r="K671" s="139"/>
      <c r="L671" s="139"/>
      <c r="M671" s="139"/>
      <c r="N671" s="139"/>
      <c r="O671" s="139"/>
      <c r="P671" s="139"/>
      <c r="Q671" s="139"/>
      <c r="R671" s="139"/>
      <c r="S671" s="139"/>
      <c r="T671" s="139"/>
      <c r="U671" s="139"/>
      <c r="V671" s="139"/>
      <c r="W671" s="139"/>
      <c r="X671" s="139"/>
      <c r="Y671" s="139"/>
      <c r="Z671" s="139"/>
    </row>
    <row r="672" ht="15.75" customHeight="1">
      <c r="A672" s="139"/>
      <c r="B672" s="139"/>
      <c r="C672" s="183"/>
      <c r="D672" s="183"/>
      <c r="E672" s="183"/>
      <c r="F672" s="183"/>
      <c r="G672" s="183"/>
      <c r="H672" s="184"/>
      <c r="I672" s="139"/>
      <c r="J672" s="139"/>
      <c r="K672" s="139"/>
      <c r="L672" s="139"/>
      <c r="M672" s="139"/>
      <c r="N672" s="139"/>
      <c r="O672" s="139"/>
      <c r="P672" s="139"/>
      <c r="Q672" s="139"/>
      <c r="R672" s="139"/>
      <c r="S672" s="139"/>
      <c r="T672" s="139"/>
      <c r="U672" s="139"/>
      <c r="V672" s="139"/>
      <c r="W672" s="139"/>
      <c r="X672" s="139"/>
      <c r="Y672" s="139"/>
      <c r="Z672" s="139"/>
    </row>
    <row r="673" ht="15.75" customHeight="1">
      <c r="A673" s="139"/>
      <c r="B673" s="139"/>
      <c r="C673" s="183"/>
      <c r="D673" s="183"/>
      <c r="E673" s="183"/>
      <c r="F673" s="183"/>
      <c r="G673" s="183"/>
      <c r="H673" s="184"/>
      <c r="I673" s="139"/>
      <c r="J673" s="139"/>
      <c r="K673" s="139"/>
      <c r="L673" s="139"/>
      <c r="M673" s="139"/>
      <c r="N673" s="139"/>
      <c r="O673" s="139"/>
      <c r="P673" s="139"/>
      <c r="Q673" s="139"/>
      <c r="R673" s="139"/>
      <c r="S673" s="139"/>
      <c r="T673" s="139"/>
      <c r="U673" s="139"/>
      <c r="V673" s="139"/>
      <c r="W673" s="139"/>
      <c r="X673" s="139"/>
      <c r="Y673" s="139"/>
      <c r="Z673" s="139"/>
    </row>
    <row r="674" ht="15.75" customHeight="1">
      <c r="A674" s="139"/>
      <c r="B674" s="139"/>
      <c r="C674" s="183"/>
      <c r="D674" s="183"/>
      <c r="E674" s="183"/>
      <c r="F674" s="183"/>
      <c r="G674" s="183"/>
      <c r="H674" s="184"/>
      <c r="I674" s="139"/>
      <c r="J674" s="139"/>
      <c r="K674" s="139"/>
      <c r="L674" s="139"/>
      <c r="M674" s="139"/>
      <c r="N674" s="139"/>
      <c r="O674" s="139"/>
      <c r="P674" s="139"/>
      <c r="Q674" s="139"/>
      <c r="R674" s="139"/>
      <c r="S674" s="139"/>
      <c r="T674" s="139"/>
      <c r="U674" s="139"/>
      <c r="V674" s="139"/>
      <c r="W674" s="139"/>
      <c r="X674" s="139"/>
      <c r="Y674" s="139"/>
      <c r="Z674" s="139"/>
    </row>
    <row r="675" ht="15.75" customHeight="1">
      <c r="A675" s="139"/>
      <c r="B675" s="139"/>
      <c r="C675" s="183"/>
      <c r="D675" s="183"/>
      <c r="E675" s="183"/>
      <c r="F675" s="183"/>
      <c r="G675" s="183"/>
      <c r="H675" s="184"/>
      <c r="I675" s="139"/>
      <c r="J675" s="139"/>
      <c r="K675" s="139"/>
      <c r="L675" s="139"/>
      <c r="M675" s="139"/>
      <c r="N675" s="139"/>
      <c r="O675" s="139"/>
      <c r="P675" s="139"/>
      <c r="Q675" s="139"/>
      <c r="R675" s="139"/>
      <c r="S675" s="139"/>
      <c r="T675" s="139"/>
      <c r="U675" s="139"/>
      <c r="V675" s="139"/>
      <c r="W675" s="139"/>
      <c r="X675" s="139"/>
      <c r="Y675" s="139"/>
      <c r="Z675" s="139"/>
    </row>
    <row r="676" ht="15.75" customHeight="1">
      <c r="A676" s="139"/>
      <c r="B676" s="139"/>
      <c r="C676" s="183"/>
      <c r="D676" s="183"/>
      <c r="E676" s="183"/>
      <c r="F676" s="183"/>
      <c r="G676" s="183"/>
      <c r="H676" s="184"/>
      <c r="I676" s="139"/>
      <c r="J676" s="139"/>
      <c r="K676" s="139"/>
      <c r="L676" s="139"/>
      <c r="M676" s="139"/>
      <c r="N676" s="139"/>
      <c r="O676" s="139"/>
      <c r="P676" s="139"/>
      <c r="Q676" s="139"/>
      <c r="R676" s="139"/>
      <c r="S676" s="139"/>
      <c r="T676" s="139"/>
      <c r="U676" s="139"/>
      <c r="V676" s="139"/>
      <c r="W676" s="139"/>
      <c r="X676" s="139"/>
      <c r="Y676" s="139"/>
      <c r="Z676" s="139"/>
    </row>
    <row r="677" ht="15.75" customHeight="1">
      <c r="A677" s="139"/>
      <c r="B677" s="139"/>
      <c r="C677" s="183"/>
      <c r="D677" s="183"/>
      <c r="E677" s="183"/>
      <c r="F677" s="183"/>
      <c r="G677" s="183"/>
      <c r="H677" s="184"/>
      <c r="I677" s="139"/>
      <c r="J677" s="139"/>
      <c r="K677" s="139"/>
      <c r="L677" s="139"/>
      <c r="M677" s="139"/>
      <c r="N677" s="139"/>
      <c r="O677" s="139"/>
      <c r="P677" s="139"/>
      <c r="Q677" s="139"/>
      <c r="R677" s="139"/>
      <c r="S677" s="139"/>
      <c r="T677" s="139"/>
      <c r="U677" s="139"/>
      <c r="V677" s="139"/>
      <c r="W677" s="139"/>
      <c r="X677" s="139"/>
      <c r="Y677" s="139"/>
      <c r="Z677" s="139"/>
    </row>
    <row r="678" ht="15.75" customHeight="1">
      <c r="A678" s="139"/>
      <c r="B678" s="139"/>
      <c r="C678" s="183"/>
      <c r="D678" s="183"/>
      <c r="E678" s="183"/>
      <c r="F678" s="183"/>
      <c r="G678" s="183"/>
      <c r="H678" s="184"/>
      <c r="I678" s="139"/>
      <c r="J678" s="139"/>
      <c r="K678" s="139"/>
      <c r="L678" s="139"/>
      <c r="M678" s="139"/>
      <c r="N678" s="139"/>
      <c r="O678" s="139"/>
      <c r="P678" s="139"/>
      <c r="Q678" s="139"/>
      <c r="R678" s="139"/>
      <c r="S678" s="139"/>
      <c r="T678" s="139"/>
      <c r="U678" s="139"/>
      <c r="V678" s="139"/>
      <c r="W678" s="139"/>
      <c r="X678" s="139"/>
      <c r="Y678" s="139"/>
      <c r="Z678" s="139"/>
    </row>
    <row r="679" ht="15.75" customHeight="1">
      <c r="A679" s="139"/>
      <c r="B679" s="139"/>
      <c r="C679" s="183"/>
      <c r="D679" s="183"/>
      <c r="E679" s="183"/>
      <c r="F679" s="183"/>
      <c r="G679" s="183"/>
      <c r="H679" s="184"/>
      <c r="I679" s="139"/>
      <c r="J679" s="139"/>
      <c r="K679" s="139"/>
      <c r="L679" s="139"/>
      <c r="M679" s="139"/>
      <c r="N679" s="139"/>
      <c r="O679" s="139"/>
      <c r="P679" s="139"/>
      <c r="Q679" s="139"/>
      <c r="R679" s="139"/>
      <c r="S679" s="139"/>
      <c r="T679" s="139"/>
      <c r="U679" s="139"/>
      <c r="V679" s="139"/>
      <c r="W679" s="139"/>
      <c r="X679" s="139"/>
      <c r="Y679" s="139"/>
      <c r="Z679" s="139"/>
    </row>
    <row r="680" ht="15.75" customHeight="1">
      <c r="A680" s="139"/>
      <c r="B680" s="139"/>
      <c r="C680" s="183"/>
      <c r="D680" s="183"/>
      <c r="E680" s="183"/>
      <c r="F680" s="183"/>
      <c r="G680" s="183"/>
      <c r="H680" s="184"/>
      <c r="I680" s="139"/>
      <c r="J680" s="139"/>
      <c r="K680" s="139"/>
      <c r="L680" s="139"/>
      <c r="M680" s="139"/>
      <c r="N680" s="139"/>
      <c r="O680" s="139"/>
      <c r="P680" s="139"/>
      <c r="Q680" s="139"/>
      <c r="R680" s="139"/>
      <c r="S680" s="139"/>
      <c r="T680" s="139"/>
      <c r="U680" s="139"/>
      <c r="V680" s="139"/>
      <c r="W680" s="139"/>
      <c r="X680" s="139"/>
      <c r="Y680" s="139"/>
      <c r="Z680" s="139"/>
    </row>
    <row r="681" ht="15.75" customHeight="1">
      <c r="A681" s="139"/>
      <c r="B681" s="139"/>
      <c r="C681" s="183"/>
      <c r="D681" s="183"/>
      <c r="E681" s="183"/>
      <c r="F681" s="183"/>
      <c r="G681" s="183"/>
      <c r="H681" s="184"/>
      <c r="I681" s="139"/>
      <c r="J681" s="139"/>
      <c r="K681" s="139"/>
      <c r="L681" s="139"/>
      <c r="M681" s="139"/>
      <c r="N681" s="139"/>
      <c r="O681" s="139"/>
      <c r="P681" s="139"/>
      <c r="Q681" s="139"/>
      <c r="R681" s="139"/>
      <c r="S681" s="139"/>
      <c r="T681" s="139"/>
      <c r="U681" s="139"/>
      <c r="V681" s="139"/>
      <c r="W681" s="139"/>
      <c r="X681" s="139"/>
      <c r="Y681" s="139"/>
      <c r="Z681" s="139"/>
    </row>
    <row r="682" ht="15.75" customHeight="1">
      <c r="A682" s="139"/>
      <c r="B682" s="139"/>
      <c r="C682" s="183"/>
      <c r="D682" s="183"/>
      <c r="E682" s="183"/>
      <c r="F682" s="183"/>
      <c r="G682" s="183"/>
      <c r="H682" s="184"/>
      <c r="I682" s="139"/>
      <c r="J682" s="139"/>
      <c r="K682" s="139"/>
      <c r="L682" s="139"/>
      <c r="M682" s="139"/>
      <c r="N682" s="139"/>
      <c r="O682" s="139"/>
      <c r="P682" s="139"/>
      <c r="Q682" s="139"/>
      <c r="R682" s="139"/>
      <c r="S682" s="139"/>
      <c r="T682" s="139"/>
      <c r="U682" s="139"/>
      <c r="V682" s="139"/>
      <c r="W682" s="139"/>
      <c r="X682" s="139"/>
      <c r="Y682" s="139"/>
      <c r="Z682" s="139"/>
    </row>
    <row r="683" ht="15.75" customHeight="1">
      <c r="A683" s="139"/>
      <c r="B683" s="139"/>
      <c r="C683" s="183"/>
      <c r="D683" s="183"/>
      <c r="E683" s="183"/>
      <c r="F683" s="183"/>
      <c r="G683" s="183"/>
      <c r="H683" s="184"/>
      <c r="I683" s="139"/>
      <c r="J683" s="139"/>
      <c r="K683" s="139"/>
      <c r="L683" s="139"/>
      <c r="M683" s="139"/>
      <c r="N683" s="139"/>
      <c r="O683" s="139"/>
      <c r="P683" s="139"/>
      <c r="Q683" s="139"/>
      <c r="R683" s="139"/>
      <c r="S683" s="139"/>
      <c r="T683" s="139"/>
      <c r="U683" s="139"/>
      <c r="V683" s="139"/>
      <c r="W683" s="139"/>
      <c r="X683" s="139"/>
      <c r="Y683" s="139"/>
      <c r="Z683" s="139"/>
    </row>
    <row r="684" ht="15.75" customHeight="1">
      <c r="A684" s="139"/>
      <c r="B684" s="139"/>
      <c r="C684" s="183"/>
      <c r="D684" s="183"/>
      <c r="E684" s="183"/>
      <c r="F684" s="183"/>
      <c r="G684" s="183"/>
      <c r="H684" s="184"/>
      <c r="I684" s="139"/>
      <c r="J684" s="139"/>
      <c r="K684" s="139"/>
      <c r="L684" s="139"/>
      <c r="M684" s="139"/>
      <c r="N684" s="139"/>
      <c r="O684" s="139"/>
      <c r="P684" s="139"/>
      <c r="Q684" s="139"/>
      <c r="R684" s="139"/>
      <c r="S684" s="139"/>
      <c r="T684" s="139"/>
      <c r="U684" s="139"/>
      <c r="V684" s="139"/>
      <c r="W684" s="139"/>
      <c r="X684" s="139"/>
      <c r="Y684" s="139"/>
      <c r="Z684" s="139"/>
    </row>
    <row r="685" ht="15.75" customHeight="1">
      <c r="A685" s="139"/>
      <c r="B685" s="139"/>
      <c r="C685" s="183"/>
      <c r="D685" s="183"/>
      <c r="E685" s="183"/>
      <c r="F685" s="183"/>
      <c r="G685" s="183"/>
      <c r="H685" s="184"/>
      <c r="I685" s="139"/>
      <c r="J685" s="139"/>
      <c r="K685" s="139"/>
      <c r="L685" s="139"/>
      <c r="M685" s="139"/>
      <c r="N685" s="139"/>
      <c r="O685" s="139"/>
      <c r="P685" s="139"/>
      <c r="Q685" s="139"/>
      <c r="R685" s="139"/>
      <c r="S685" s="139"/>
      <c r="T685" s="139"/>
      <c r="U685" s="139"/>
      <c r="V685" s="139"/>
      <c r="W685" s="139"/>
      <c r="X685" s="139"/>
      <c r="Y685" s="139"/>
      <c r="Z685" s="139"/>
    </row>
    <row r="686" ht="15.75" customHeight="1">
      <c r="A686" s="139"/>
      <c r="B686" s="139"/>
      <c r="C686" s="183"/>
      <c r="D686" s="183"/>
      <c r="E686" s="183"/>
      <c r="F686" s="183"/>
      <c r="G686" s="183"/>
      <c r="H686" s="184"/>
      <c r="I686" s="139"/>
      <c r="J686" s="139"/>
      <c r="K686" s="139"/>
      <c r="L686" s="139"/>
      <c r="M686" s="139"/>
      <c r="N686" s="139"/>
      <c r="O686" s="139"/>
      <c r="P686" s="139"/>
      <c r="Q686" s="139"/>
      <c r="R686" s="139"/>
      <c r="S686" s="139"/>
      <c r="T686" s="139"/>
      <c r="U686" s="139"/>
      <c r="V686" s="139"/>
      <c r="W686" s="139"/>
      <c r="X686" s="139"/>
      <c r="Y686" s="139"/>
      <c r="Z686" s="139"/>
    </row>
    <row r="687" ht="15.75" customHeight="1">
      <c r="A687" s="139"/>
      <c r="B687" s="139"/>
      <c r="C687" s="183"/>
      <c r="D687" s="183"/>
      <c r="E687" s="183"/>
      <c r="F687" s="183"/>
      <c r="G687" s="183"/>
      <c r="H687" s="184"/>
      <c r="I687" s="139"/>
      <c r="J687" s="139"/>
      <c r="K687" s="139"/>
      <c r="L687" s="139"/>
      <c r="M687" s="139"/>
      <c r="N687" s="139"/>
      <c r="O687" s="139"/>
      <c r="P687" s="139"/>
      <c r="Q687" s="139"/>
      <c r="R687" s="139"/>
      <c r="S687" s="139"/>
      <c r="T687" s="139"/>
      <c r="U687" s="139"/>
      <c r="V687" s="139"/>
      <c r="W687" s="139"/>
      <c r="X687" s="139"/>
      <c r="Y687" s="139"/>
      <c r="Z687" s="139"/>
    </row>
    <row r="688" ht="15.75" customHeight="1">
      <c r="A688" s="139"/>
      <c r="B688" s="139"/>
      <c r="C688" s="183"/>
      <c r="D688" s="183"/>
      <c r="E688" s="183"/>
      <c r="F688" s="183"/>
      <c r="G688" s="183"/>
      <c r="H688" s="184"/>
      <c r="I688" s="139"/>
      <c r="J688" s="139"/>
      <c r="K688" s="139"/>
      <c r="L688" s="139"/>
      <c r="M688" s="139"/>
      <c r="N688" s="139"/>
      <c r="O688" s="139"/>
      <c r="P688" s="139"/>
      <c r="Q688" s="139"/>
      <c r="R688" s="139"/>
      <c r="S688" s="139"/>
      <c r="T688" s="139"/>
      <c r="U688" s="139"/>
      <c r="V688" s="139"/>
      <c r="W688" s="139"/>
      <c r="X688" s="139"/>
      <c r="Y688" s="139"/>
      <c r="Z688" s="139"/>
    </row>
    <row r="689" ht="15.75" customHeight="1">
      <c r="A689" s="139"/>
      <c r="B689" s="139"/>
      <c r="C689" s="183"/>
      <c r="D689" s="183"/>
      <c r="E689" s="183"/>
      <c r="F689" s="183"/>
      <c r="G689" s="183"/>
      <c r="H689" s="184"/>
      <c r="I689" s="139"/>
      <c r="J689" s="139"/>
      <c r="K689" s="139"/>
      <c r="L689" s="139"/>
      <c r="M689" s="139"/>
      <c r="N689" s="139"/>
      <c r="O689" s="139"/>
      <c r="P689" s="139"/>
      <c r="Q689" s="139"/>
      <c r="R689" s="139"/>
      <c r="S689" s="139"/>
      <c r="T689" s="139"/>
      <c r="U689" s="139"/>
      <c r="V689" s="139"/>
      <c r="W689" s="139"/>
      <c r="X689" s="139"/>
      <c r="Y689" s="139"/>
      <c r="Z689" s="139"/>
    </row>
    <row r="690" ht="15.75" customHeight="1">
      <c r="A690" s="139"/>
      <c r="B690" s="139"/>
      <c r="C690" s="183"/>
      <c r="D690" s="183"/>
      <c r="E690" s="183"/>
      <c r="F690" s="183"/>
      <c r="G690" s="183"/>
      <c r="H690" s="184"/>
      <c r="I690" s="139"/>
      <c r="J690" s="139"/>
      <c r="K690" s="139"/>
      <c r="L690" s="139"/>
      <c r="M690" s="139"/>
      <c r="N690" s="139"/>
      <c r="O690" s="139"/>
      <c r="P690" s="139"/>
      <c r="Q690" s="139"/>
      <c r="R690" s="139"/>
      <c r="S690" s="139"/>
      <c r="T690" s="139"/>
      <c r="U690" s="139"/>
      <c r="V690" s="139"/>
      <c r="W690" s="139"/>
      <c r="X690" s="139"/>
      <c r="Y690" s="139"/>
      <c r="Z690" s="139"/>
    </row>
    <row r="691" ht="15.75" customHeight="1">
      <c r="A691" s="139"/>
      <c r="B691" s="139"/>
      <c r="C691" s="183"/>
      <c r="D691" s="183"/>
      <c r="E691" s="183"/>
      <c r="F691" s="183"/>
      <c r="G691" s="183"/>
      <c r="H691" s="184"/>
      <c r="I691" s="139"/>
      <c r="J691" s="139"/>
      <c r="K691" s="139"/>
      <c r="L691" s="139"/>
      <c r="M691" s="139"/>
      <c r="N691" s="139"/>
      <c r="O691" s="139"/>
      <c r="P691" s="139"/>
      <c r="Q691" s="139"/>
      <c r="R691" s="139"/>
      <c r="S691" s="139"/>
      <c r="T691" s="139"/>
      <c r="U691" s="139"/>
      <c r="V691" s="139"/>
      <c r="W691" s="139"/>
      <c r="X691" s="139"/>
      <c r="Y691" s="139"/>
      <c r="Z691" s="139"/>
    </row>
    <row r="692" ht="15.75" customHeight="1">
      <c r="A692" s="139"/>
      <c r="B692" s="139"/>
      <c r="C692" s="183"/>
      <c r="D692" s="183"/>
      <c r="E692" s="183"/>
      <c r="F692" s="183"/>
      <c r="G692" s="183"/>
      <c r="H692" s="184"/>
      <c r="I692" s="139"/>
      <c r="J692" s="139"/>
      <c r="K692" s="139"/>
      <c r="L692" s="139"/>
      <c r="M692" s="139"/>
      <c r="N692" s="139"/>
      <c r="O692" s="139"/>
      <c r="P692" s="139"/>
      <c r="Q692" s="139"/>
      <c r="R692" s="139"/>
      <c r="S692" s="139"/>
      <c r="T692" s="139"/>
      <c r="U692" s="139"/>
      <c r="V692" s="139"/>
      <c r="W692" s="139"/>
      <c r="X692" s="139"/>
      <c r="Y692" s="139"/>
      <c r="Z692" s="139"/>
    </row>
    <row r="693" ht="15.75" customHeight="1">
      <c r="A693" s="139"/>
      <c r="B693" s="139"/>
      <c r="C693" s="183"/>
      <c r="D693" s="183"/>
      <c r="E693" s="183"/>
      <c r="F693" s="183"/>
      <c r="G693" s="183"/>
      <c r="H693" s="184"/>
      <c r="I693" s="139"/>
      <c r="J693" s="139"/>
      <c r="K693" s="139"/>
      <c r="L693" s="139"/>
      <c r="M693" s="139"/>
      <c r="N693" s="139"/>
      <c r="O693" s="139"/>
      <c r="P693" s="139"/>
      <c r="Q693" s="139"/>
      <c r="R693" s="139"/>
      <c r="S693" s="139"/>
      <c r="T693" s="139"/>
      <c r="U693" s="139"/>
      <c r="V693" s="139"/>
      <c r="W693" s="139"/>
      <c r="X693" s="139"/>
      <c r="Y693" s="139"/>
      <c r="Z693" s="139"/>
    </row>
    <row r="694" ht="15.75" customHeight="1">
      <c r="A694" s="139"/>
      <c r="B694" s="139"/>
      <c r="C694" s="183"/>
      <c r="D694" s="183"/>
      <c r="E694" s="183"/>
      <c r="F694" s="183"/>
      <c r="G694" s="183"/>
      <c r="H694" s="184"/>
      <c r="I694" s="139"/>
      <c r="J694" s="139"/>
      <c r="K694" s="139"/>
      <c r="L694" s="139"/>
      <c r="M694" s="139"/>
      <c r="N694" s="139"/>
      <c r="O694" s="139"/>
      <c r="P694" s="139"/>
      <c r="Q694" s="139"/>
      <c r="R694" s="139"/>
      <c r="S694" s="139"/>
      <c r="T694" s="139"/>
      <c r="U694" s="139"/>
      <c r="V694" s="139"/>
      <c r="W694" s="139"/>
      <c r="X694" s="139"/>
      <c r="Y694" s="139"/>
      <c r="Z694" s="139"/>
    </row>
    <row r="695" ht="15.75" customHeight="1">
      <c r="A695" s="139"/>
      <c r="B695" s="139"/>
      <c r="C695" s="183"/>
      <c r="D695" s="183"/>
      <c r="E695" s="183"/>
      <c r="F695" s="183"/>
      <c r="G695" s="183"/>
      <c r="H695" s="184"/>
      <c r="I695" s="139"/>
      <c r="J695" s="139"/>
      <c r="K695" s="139"/>
      <c r="L695" s="139"/>
      <c r="M695" s="139"/>
      <c r="N695" s="139"/>
      <c r="O695" s="139"/>
      <c r="P695" s="139"/>
      <c r="Q695" s="139"/>
      <c r="R695" s="139"/>
      <c r="S695" s="139"/>
      <c r="T695" s="139"/>
      <c r="U695" s="139"/>
      <c r="V695" s="139"/>
      <c r="W695" s="139"/>
      <c r="X695" s="139"/>
      <c r="Y695" s="139"/>
      <c r="Z695" s="139"/>
    </row>
    <row r="696" ht="15.75" customHeight="1">
      <c r="A696" s="139"/>
      <c r="B696" s="139"/>
      <c r="C696" s="183"/>
      <c r="D696" s="183"/>
      <c r="E696" s="183"/>
      <c r="F696" s="183"/>
      <c r="G696" s="183"/>
      <c r="H696" s="184"/>
      <c r="I696" s="139"/>
      <c r="J696" s="139"/>
      <c r="K696" s="139"/>
      <c r="L696" s="139"/>
      <c r="M696" s="139"/>
      <c r="N696" s="139"/>
      <c r="O696" s="139"/>
      <c r="P696" s="139"/>
      <c r="Q696" s="139"/>
      <c r="R696" s="139"/>
      <c r="S696" s="139"/>
      <c r="T696" s="139"/>
      <c r="U696" s="139"/>
      <c r="V696" s="139"/>
      <c r="W696" s="139"/>
      <c r="X696" s="139"/>
      <c r="Y696" s="139"/>
      <c r="Z696" s="139"/>
    </row>
    <row r="697" ht="15.75" customHeight="1">
      <c r="A697" s="139"/>
      <c r="B697" s="139"/>
      <c r="C697" s="183"/>
      <c r="D697" s="183"/>
      <c r="E697" s="183"/>
      <c r="F697" s="183"/>
      <c r="G697" s="183"/>
      <c r="H697" s="184"/>
      <c r="I697" s="139"/>
      <c r="J697" s="139"/>
      <c r="K697" s="139"/>
      <c r="L697" s="139"/>
      <c r="M697" s="139"/>
      <c r="N697" s="139"/>
      <c r="O697" s="139"/>
      <c r="P697" s="139"/>
      <c r="Q697" s="139"/>
      <c r="R697" s="139"/>
      <c r="S697" s="139"/>
      <c r="T697" s="139"/>
      <c r="U697" s="139"/>
      <c r="V697" s="139"/>
      <c r="W697" s="139"/>
      <c r="X697" s="139"/>
      <c r="Y697" s="139"/>
      <c r="Z697" s="139"/>
    </row>
    <row r="698" ht="15.75" customHeight="1">
      <c r="A698" s="139"/>
      <c r="B698" s="139"/>
      <c r="C698" s="183"/>
      <c r="D698" s="183"/>
      <c r="E698" s="183"/>
      <c r="F698" s="183"/>
      <c r="G698" s="183"/>
      <c r="H698" s="184"/>
      <c r="I698" s="139"/>
      <c r="J698" s="139"/>
      <c r="K698" s="139"/>
      <c r="L698" s="139"/>
      <c r="M698" s="139"/>
      <c r="N698" s="139"/>
      <c r="O698" s="139"/>
      <c r="P698" s="139"/>
      <c r="Q698" s="139"/>
      <c r="R698" s="139"/>
      <c r="S698" s="139"/>
      <c r="T698" s="139"/>
      <c r="U698" s="139"/>
      <c r="V698" s="139"/>
      <c r="W698" s="139"/>
      <c r="X698" s="139"/>
      <c r="Y698" s="139"/>
      <c r="Z698" s="139"/>
    </row>
    <row r="699" ht="15.75" customHeight="1">
      <c r="A699" s="139"/>
      <c r="B699" s="139"/>
      <c r="C699" s="183"/>
      <c r="D699" s="183"/>
      <c r="E699" s="183"/>
      <c r="F699" s="183"/>
      <c r="G699" s="183"/>
      <c r="H699" s="184"/>
      <c r="I699" s="139"/>
      <c r="J699" s="139"/>
      <c r="K699" s="139"/>
      <c r="L699" s="139"/>
      <c r="M699" s="139"/>
      <c r="N699" s="139"/>
      <c r="O699" s="139"/>
      <c r="P699" s="139"/>
      <c r="Q699" s="139"/>
      <c r="R699" s="139"/>
      <c r="S699" s="139"/>
      <c r="T699" s="139"/>
      <c r="U699" s="139"/>
      <c r="V699" s="139"/>
      <c r="W699" s="139"/>
      <c r="X699" s="139"/>
      <c r="Y699" s="139"/>
      <c r="Z699" s="139"/>
    </row>
    <row r="700" ht="15.75" customHeight="1">
      <c r="A700" s="139"/>
      <c r="B700" s="139"/>
      <c r="C700" s="183"/>
      <c r="D700" s="183"/>
      <c r="E700" s="183"/>
      <c r="F700" s="183"/>
      <c r="G700" s="183"/>
      <c r="H700" s="184"/>
      <c r="I700" s="139"/>
      <c r="J700" s="139"/>
      <c r="K700" s="139"/>
      <c r="L700" s="139"/>
      <c r="M700" s="139"/>
      <c r="N700" s="139"/>
      <c r="O700" s="139"/>
      <c r="P700" s="139"/>
      <c r="Q700" s="139"/>
      <c r="R700" s="139"/>
      <c r="S700" s="139"/>
      <c r="T700" s="139"/>
      <c r="U700" s="139"/>
      <c r="V700" s="139"/>
      <c r="W700" s="139"/>
      <c r="X700" s="139"/>
      <c r="Y700" s="139"/>
      <c r="Z700" s="139"/>
    </row>
    <row r="701" ht="15.75" customHeight="1">
      <c r="A701" s="139"/>
      <c r="B701" s="139"/>
      <c r="C701" s="183"/>
      <c r="D701" s="183"/>
      <c r="E701" s="183"/>
      <c r="F701" s="183"/>
      <c r="G701" s="183"/>
      <c r="H701" s="184"/>
      <c r="I701" s="139"/>
      <c r="J701" s="139"/>
      <c r="K701" s="139"/>
      <c r="L701" s="139"/>
      <c r="M701" s="139"/>
      <c r="N701" s="139"/>
      <c r="O701" s="139"/>
      <c r="P701" s="139"/>
      <c r="Q701" s="139"/>
      <c r="R701" s="139"/>
      <c r="S701" s="139"/>
      <c r="T701" s="139"/>
      <c r="U701" s="139"/>
      <c r="V701" s="139"/>
      <c r="W701" s="139"/>
      <c r="X701" s="139"/>
      <c r="Y701" s="139"/>
      <c r="Z701" s="139"/>
    </row>
    <row r="702" ht="15.75" customHeight="1">
      <c r="A702" s="139"/>
      <c r="B702" s="139"/>
      <c r="C702" s="183"/>
      <c r="D702" s="183"/>
      <c r="E702" s="183"/>
      <c r="F702" s="183"/>
      <c r="G702" s="183"/>
      <c r="H702" s="184"/>
      <c r="I702" s="139"/>
      <c r="J702" s="139"/>
      <c r="K702" s="139"/>
      <c r="L702" s="139"/>
      <c r="M702" s="139"/>
      <c r="N702" s="139"/>
      <c r="O702" s="139"/>
      <c r="P702" s="139"/>
      <c r="Q702" s="139"/>
      <c r="R702" s="139"/>
      <c r="S702" s="139"/>
      <c r="T702" s="139"/>
      <c r="U702" s="139"/>
      <c r="V702" s="139"/>
      <c r="W702" s="139"/>
      <c r="X702" s="139"/>
      <c r="Y702" s="139"/>
      <c r="Z702" s="139"/>
    </row>
    <row r="703" ht="15.75" customHeight="1">
      <c r="A703" s="139"/>
      <c r="B703" s="139"/>
      <c r="C703" s="183"/>
      <c r="D703" s="183"/>
      <c r="E703" s="183"/>
      <c r="F703" s="183"/>
      <c r="G703" s="183"/>
      <c r="H703" s="184"/>
      <c r="I703" s="139"/>
      <c r="J703" s="139"/>
      <c r="K703" s="139"/>
      <c r="L703" s="139"/>
      <c r="M703" s="139"/>
      <c r="N703" s="139"/>
      <c r="O703" s="139"/>
      <c r="P703" s="139"/>
      <c r="Q703" s="139"/>
      <c r="R703" s="139"/>
      <c r="S703" s="139"/>
      <c r="T703" s="139"/>
      <c r="U703" s="139"/>
      <c r="V703" s="139"/>
      <c r="W703" s="139"/>
      <c r="X703" s="139"/>
      <c r="Y703" s="139"/>
      <c r="Z703" s="139"/>
    </row>
    <row r="704" ht="15.75" customHeight="1">
      <c r="A704" s="139"/>
      <c r="B704" s="139"/>
      <c r="C704" s="183"/>
      <c r="D704" s="183"/>
      <c r="E704" s="183"/>
      <c r="F704" s="183"/>
      <c r="G704" s="183"/>
      <c r="H704" s="184"/>
      <c r="I704" s="139"/>
      <c r="J704" s="139"/>
      <c r="K704" s="139"/>
      <c r="L704" s="139"/>
      <c r="M704" s="139"/>
      <c r="N704" s="139"/>
      <c r="O704" s="139"/>
      <c r="P704" s="139"/>
      <c r="Q704" s="139"/>
      <c r="R704" s="139"/>
      <c r="S704" s="139"/>
      <c r="T704" s="139"/>
      <c r="U704" s="139"/>
      <c r="V704" s="139"/>
      <c r="W704" s="139"/>
      <c r="X704" s="139"/>
      <c r="Y704" s="139"/>
      <c r="Z704" s="139"/>
    </row>
    <row r="705" ht="15.75" customHeight="1">
      <c r="A705" s="139"/>
      <c r="B705" s="139"/>
      <c r="C705" s="183"/>
      <c r="D705" s="183"/>
      <c r="E705" s="183"/>
      <c r="F705" s="183"/>
      <c r="G705" s="183"/>
      <c r="H705" s="184"/>
      <c r="I705" s="139"/>
      <c r="J705" s="139"/>
      <c r="K705" s="139"/>
      <c r="L705" s="139"/>
      <c r="M705" s="139"/>
      <c r="N705" s="139"/>
      <c r="O705" s="139"/>
      <c r="P705" s="139"/>
      <c r="Q705" s="139"/>
      <c r="R705" s="139"/>
      <c r="S705" s="139"/>
      <c r="T705" s="139"/>
      <c r="U705" s="139"/>
      <c r="V705" s="139"/>
      <c r="W705" s="139"/>
      <c r="X705" s="139"/>
      <c r="Y705" s="139"/>
      <c r="Z705" s="139"/>
    </row>
    <row r="706" ht="15.75" customHeight="1">
      <c r="A706" s="139"/>
      <c r="B706" s="139"/>
      <c r="C706" s="183"/>
      <c r="D706" s="183"/>
      <c r="E706" s="183"/>
      <c r="F706" s="183"/>
      <c r="G706" s="183"/>
      <c r="H706" s="184"/>
      <c r="I706" s="139"/>
      <c r="J706" s="139"/>
      <c r="K706" s="139"/>
      <c r="L706" s="139"/>
      <c r="M706" s="139"/>
      <c r="N706" s="139"/>
      <c r="O706" s="139"/>
      <c r="P706" s="139"/>
      <c r="Q706" s="139"/>
      <c r="R706" s="139"/>
      <c r="S706" s="139"/>
      <c r="T706" s="139"/>
      <c r="U706" s="139"/>
      <c r="V706" s="139"/>
      <c r="W706" s="139"/>
      <c r="X706" s="139"/>
      <c r="Y706" s="139"/>
      <c r="Z706" s="139"/>
    </row>
    <row r="707" ht="15.75" customHeight="1">
      <c r="A707" s="139"/>
      <c r="B707" s="139"/>
      <c r="C707" s="183"/>
      <c r="D707" s="183"/>
      <c r="E707" s="183"/>
      <c r="F707" s="183"/>
      <c r="G707" s="183"/>
      <c r="H707" s="184"/>
      <c r="I707" s="139"/>
      <c r="J707" s="139"/>
      <c r="K707" s="139"/>
      <c r="L707" s="139"/>
      <c r="M707" s="139"/>
      <c r="N707" s="139"/>
      <c r="O707" s="139"/>
      <c r="P707" s="139"/>
      <c r="Q707" s="139"/>
      <c r="R707" s="139"/>
      <c r="S707" s="139"/>
      <c r="T707" s="139"/>
      <c r="U707" s="139"/>
      <c r="V707" s="139"/>
      <c r="W707" s="139"/>
      <c r="X707" s="139"/>
      <c r="Y707" s="139"/>
      <c r="Z707" s="139"/>
    </row>
    <row r="708" ht="15.75" customHeight="1">
      <c r="A708" s="139"/>
      <c r="B708" s="139"/>
      <c r="C708" s="183"/>
      <c r="D708" s="183"/>
      <c r="E708" s="183"/>
      <c r="F708" s="183"/>
      <c r="G708" s="183"/>
      <c r="H708" s="184"/>
      <c r="I708" s="139"/>
      <c r="J708" s="139"/>
      <c r="K708" s="139"/>
      <c r="L708" s="139"/>
      <c r="M708" s="139"/>
      <c r="N708" s="139"/>
      <c r="O708" s="139"/>
      <c r="P708" s="139"/>
      <c r="Q708" s="139"/>
      <c r="R708" s="139"/>
      <c r="S708" s="139"/>
      <c r="T708" s="139"/>
      <c r="U708" s="139"/>
      <c r="V708" s="139"/>
      <c r="W708" s="139"/>
      <c r="X708" s="139"/>
      <c r="Y708" s="139"/>
      <c r="Z708" s="139"/>
    </row>
    <row r="709" ht="15.75" customHeight="1">
      <c r="A709" s="139"/>
      <c r="B709" s="139"/>
      <c r="C709" s="183"/>
      <c r="D709" s="183"/>
      <c r="E709" s="183"/>
      <c r="F709" s="183"/>
      <c r="G709" s="183"/>
      <c r="H709" s="184"/>
      <c r="I709" s="139"/>
      <c r="J709" s="139"/>
      <c r="K709" s="139"/>
      <c r="L709" s="139"/>
      <c r="M709" s="139"/>
      <c r="N709" s="139"/>
      <c r="O709" s="139"/>
      <c r="P709" s="139"/>
      <c r="Q709" s="139"/>
      <c r="R709" s="139"/>
      <c r="S709" s="139"/>
      <c r="T709" s="139"/>
      <c r="U709" s="139"/>
      <c r="V709" s="139"/>
      <c r="W709" s="139"/>
      <c r="X709" s="139"/>
      <c r="Y709" s="139"/>
      <c r="Z709" s="139"/>
    </row>
    <row r="710" ht="15.75" customHeight="1">
      <c r="A710" s="139"/>
      <c r="B710" s="139"/>
      <c r="C710" s="183"/>
      <c r="D710" s="183"/>
      <c r="E710" s="183"/>
      <c r="F710" s="183"/>
      <c r="G710" s="183"/>
      <c r="H710" s="184"/>
      <c r="I710" s="139"/>
      <c r="J710" s="139"/>
      <c r="K710" s="139"/>
      <c r="L710" s="139"/>
      <c r="M710" s="139"/>
      <c r="N710" s="139"/>
      <c r="O710" s="139"/>
      <c r="P710" s="139"/>
      <c r="Q710" s="139"/>
      <c r="R710" s="139"/>
      <c r="S710" s="139"/>
      <c r="T710" s="139"/>
      <c r="U710" s="139"/>
      <c r="V710" s="139"/>
      <c r="W710" s="139"/>
      <c r="X710" s="139"/>
      <c r="Y710" s="139"/>
      <c r="Z710" s="139"/>
    </row>
    <row r="711" ht="15.75" customHeight="1">
      <c r="A711" s="139"/>
      <c r="B711" s="139"/>
      <c r="C711" s="183"/>
      <c r="D711" s="183"/>
      <c r="E711" s="183"/>
      <c r="F711" s="183"/>
      <c r="G711" s="183"/>
      <c r="H711" s="184"/>
      <c r="I711" s="139"/>
      <c r="J711" s="139"/>
      <c r="K711" s="139"/>
      <c r="L711" s="139"/>
      <c r="M711" s="139"/>
      <c r="N711" s="139"/>
      <c r="O711" s="139"/>
      <c r="P711" s="139"/>
      <c r="Q711" s="139"/>
      <c r="R711" s="139"/>
      <c r="S711" s="139"/>
      <c r="T711" s="139"/>
      <c r="U711" s="139"/>
      <c r="V711" s="139"/>
      <c r="W711" s="139"/>
      <c r="X711" s="139"/>
      <c r="Y711" s="139"/>
      <c r="Z711" s="139"/>
    </row>
    <row r="712" ht="15.75" customHeight="1">
      <c r="A712" s="139"/>
      <c r="B712" s="139"/>
      <c r="C712" s="183"/>
      <c r="D712" s="183"/>
      <c r="E712" s="183"/>
      <c r="F712" s="183"/>
      <c r="G712" s="183"/>
      <c r="H712" s="184"/>
      <c r="I712" s="139"/>
      <c r="J712" s="139"/>
      <c r="K712" s="139"/>
      <c r="L712" s="139"/>
      <c r="M712" s="139"/>
      <c r="N712" s="139"/>
      <c r="O712" s="139"/>
      <c r="P712" s="139"/>
      <c r="Q712" s="139"/>
      <c r="R712" s="139"/>
      <c r="S712" s="139"/>
      <c r="T712" s="139"/>
      <c r="U712" s="139"/>
      <c r="V712" s="139"/>
      <c r="W712" s="139"/>
      <c r="X712" s="139"/>
      <c r="Y712" s="139"/>
      <c r="Z712" s="139"/>
    </row>
    <row r="713" ht="15.75" customHeight="1">
      <c r="A713" s="139"/>
      <c r="B713" s="139"/>
      <c r="C713" s="183"/>
      <c r="D713" s="183"/>
      <c r="E713" s="183"/>
      <c r="F713" s="183"/>
      <c r="G713" s="183"/>
      <c r="H713" s="184"/>
      <c r="I713" s="139"/>
      <c r="J713" s="139"/>
      <c r="K713" s="139"/>
      <c r="L713" s="139"/>
      <c r="M713" s="139"/>
      <c r="N713" s="139"/>
      <c r="O713" s="139"/>
      <c r="P713" s="139"/>
      <c r="Q713" s="139"/>
      <c r="R713" s="139"/>
      <c r="S713" s="139"/>
      <c r="T713" s="139"/>
      <c r="U713" s="139"/>
      <c r="V713" s="139"/>
      <c r="W713" s="139"/>
      <c r="X713" s="139"/>
      <c r="Y713" s="139"/>
      <c r="Z713" s="139"/>
    </row>
    <row r="714" ht="15.75" customHeight="1">
      <c r="A714" s="139"/>
      <c r="B714" s="139"/>
      <c r="C714" s="183"/>
      <c r="D714" s="183"/>
      <c r="E714" s="183"/>
      <c r="F714" s="183"/>
      <c r="G714" s="183"/>
      <c r="H714" s="184"/>
      <c r="I714" s="139"/>
      <c r="J714" s="139"/>
      <c r="K714" s="139"/>
      <c r="L714" s="139"/>
      <c r="M714" s="139"/>
      <c r="N714" s="139"/>
      <c r="O714" s="139"/>
      <c r="P714" s="139"/>
      <c r="Q714" s="139"/>
      <c r="R714" s="139"/>
      <c r="S714" s="139"/>
      <c r="T714" s="139"/>
      <c r="U714" s="139"/>
      <c r="V714" s="139"/>
      <c r="W714" s="139"/>
      <c r="X714" s="139"/>
      <c r="Y714" s="139"/>
      <c r="Z714" s="139"/>
    </row>
    <row r="715" ht="15.75" customHeight="1">
      <c r="A715" s="139"/>
      <c r="B715" s="139"/>
      <c r="C715" s="183"/>
      <c r="D715" s="183"/>
      <c r="E715" s="183"/>
      <c r="F715" s="183"/>
      <c r="G715" s="183"/>
      <c r="H715" s="184"/>
      <c r="I715" s="139"/>
      <c r="J715" s="139"/>
      <c r="K715" s="139"/>
      <c r="L715" s="139"/>
      <c r="M715" s="139"/>
      <c r="N715" s="139"/>
      <c r="O715" s="139"/>
      <c r="P715" s="139"/>
      <c r="Q715" s="139"/>
      <c r="R715" s="139"/>
      <c r="S715" s="139"/>
      <c r="T715" s="139"/>
      <c r="U715" s="139"/>
      <c r="V715" s="139"/>
      <c r="W715" s="139"/>
      <c r="X715" s="139"/>
      <c r="Y715" s="139"/>
      <c r="Z715" s="139"/>
    </row>
    <row r="716" ht="15.75" customHeight="1">
      <c r="A716" s="139"/>
      <c r="B716" s="139"/>
      <c r="C716" s="183"/>
      <c r="D716" s="183"/>
      <c r="E716" s="183"/>
      <c r="F716" s="183"/>
      <c r="G716" s="183"/>
      <c r="H716" s="184"/>
      <c r="I716" s="139"/>
      <c r="J716" s="139"/>
      <c r="K716" s="139"/>
      <c r="L716" s="139"/>
      <c r="M716" s="139"/>
      <c r="N716" s="139"/>
      <c r="O716" s="139"/>
      <c r="P716" s="139"/>
      <c r="Q716" s="139"/>
      <c r="R716" s="139"/>
      <c r="S716" s="139"/>
      <c r="T716" s="139"/>
      <c r="U716" s="139"/>
      <c r="V716" s="139"/>
      <c r="W716" s="139"/>
      <c r="X716" s="139"/>
      <c r="Y716" s="139"/>
      <c r="Z716" s="139"/>
    </row>
    <row r="717" ht="15.75" customHeight="1">
      <c r="A717" s="139"/>
      <c r="B717" s="139"/>
      <c r="C717" s="183"/>
      <c r="D717" s="183"/>
      <c r="E717" s="183"/>
      <c r="F717" s="183"/>
      <c r="G717" s="183"/>
      <c r="H717" s="184"/>
      <c r="I717" s="139"/>
      <c r="J717" s="139"/>
      <c r="K717" s="139"/>
      <c r="L717" s="139"/>
      <c r="M717" s="139"/>
      <c r="N717" s="139"/>
      <c r="O717" s="139"/>
      <c r="P717" s="139"/>
      <c r="Q717" s="139"/>
      <c r="R717" s="139"/>
      <c r="S717" s="139"/>
      <c r="T717" s="139"/>
      <c r="U717" s="139"/>
      <c r="V717" s="139"/>
      <c r="W717" s="139"/>
      <c r="X717" s="139"/>
      <c r="Y717" s="139"/>
      <c r="Z717" s="139"/>
    </row>
    <row r="718" ht="15.75" customHeight="1">
      <c r="A718" s="139"/>
      <c r="B718" s="139"/>
      <c r="C718" s="183"/>
      <c r="D718" s="183"/>
      <c r="E718" s="183"/>
      <c r="F718" s="183"/>
      <c r="G718" s="183"/>
      <c r="H718" s="184"/>
      <c r="I718" s="139"/>
      <c r="J718" s="139"/>
      <c r="K718" s="139"/>
      <c r="L718" s="139"/>
      <c r="M718" s="139"/>
      <c r="N718" s="139"/>
      <c r="O718" s="139"/>
      <c r="P718" s="139"/>
      <c r="Q718" s="139"/>
      <c r="R718" s="139"/>
      <c r="S718" s="139"/>
      <c r="T718" s="139"/>
      <c r="U718" s="139"/>
      <c r="V718" s="139"/>
      <c r="W718" s="139"/>
      <c r="X718" s="139"/>
      <c r="Y718" s="139"/>
      <c r="Z718" s="139"/>
    </row>
    <row r="719" ht="15.75" customHeight="1">
      <c r="A719" s="139"/>
      <c r="B719" s="139"/>
      <c r="C719" s="183"/>
      <c r="D719" s="183"/>
      <c r="E719" s="183"/>
      <c r="F719" s="183"/>
      <c r="G719" s="183"/>
      <c r="H719" s="184"/>
      <c r="I719" s="139"/>
      <c r="J719" s="139"/>
      <c r="K719" s="139"/>
      <c r="L719" s="139"/>
      <c r="M719" s="139"/>
      <c r="N719" s="139"/>
      <c r="O719" s="139"/>
      <c r="P719" s="139"/>
      <c r="Q719" s="139"/>
      <c r="R719" s="139"/>
      <c r="S719" s="139"/>
      <c r="T719" s="139"/>
      <c r="U719" s="139"/>
      <c r="V719" s="139"/>
      <c r="W719" s="139"/>
      <c r="X719" s="139"/>
      <c r="Y719" s="139"/>
      <c r="Z719" s="139"/>
    </row>
    <row r="720" ht="15.75" customHeight="1">
      <c r="A720" s="139"/>
      <c r="B720" s="139"/>
      <c r="C720" s="183"/>
      <c r="D720" s="183"/>
      <c r="E720" s="183"/>
      <c r="F720" s="183"/>
      <c r="G720" s="183"/>
      <c r="H720" s="184"/>
      <c r="I720" s="139"/>
      <c r="J720" s="139"/>
      <c r="K720" s="139"/>
      <c r="L720" s="139"/>
      <c r="M720" s="139"/>
      <c r="N720" s="139"/>
      <c r="O720" s="139"/>
      <c r="P720" s="139"/>
      <c r="Q720" s="139"/>
      <c r="R720" s="139"/>
      <c r="S720" s="139"/>
      <c r="T720" s="139"/>
      <c r="U720" s="139"/>
      <c r="V720" s="139"/>
      <c r="W720" s="139"/>
      <c r="X720" s="139"/>
      <c r="Y720" s="139"/>
      <c r="Z720" s="139"/>
    </row>
    <row r="721" ht="15.75" customHeight="1">
      <c r="A721" s="139"/>
      <c r="B721" s="139"/>
      <c r="C721" s="183"/>
      <c r="D721" s="183"/>
      <c r="E721" s="183"/>
      <c r="F721" s="183"/>
      <c r="G721" s="183"/>
      <c r="H721" s="184"/>
      <c r="I721" s="139"/>
      <c r="J721" s="139"/>
      <c r="K721" s="139"/>
      <c r="L721" s="139"/>
      <c r="M721" s="139"/>
      <c r="N721" s="139"/>
      <c r="O721" s="139"/>
      <c r="P721" s="139"/>
      <c r="Q721" s="139"/>
      <c r="R721" s="139"/>
      <c r="S721" s="139"/>
      <c r="T721" s="139"/>
      <c r="U721" s="139"/>
      <c r="V721" s="139"/>
      <c r="W721" s="139"/>
      <c r="X721" s="139"/>
      <c r="Y721" s="139"/>
      <c r="Z721" s="139"/>
    </row>
    <row r="722" ht="15.75" customHeight="1">
      <c r="A722" s="139"/>
      <c r="B722" s="139"/>
      <c r="C722" s="183"/>
      <c r="D722" s="183"/>
      <c r="E722" s="183"/>
      <c r="F722" s="183"/>
      <c r="G722" s="183"/>
      <c r="H722" s="184"/>
      <c r="I722" s="139"/>
      <c r="J722" s="139"/>
      <c r="K722" s="139"/>
      <c r="L722" s="139"/>
      <c r="M722" s="139"/>
      <c r="N722" s="139"/>
      <c r="O722" s="139"/>
      <c r="P722" s="139"/>
      <c r="Q722" s="139"/>
      <c r="R722" s="139"/>
      <c r="S722" s="139"/>
      <c r="T722" s="139"/>
      <c r="U722" s="139"/>
      <c r="V722" s="139"/>
      <c r="W722" s="139"/>
      <c r="X722" s="139"/>
      <c r="Y722" s="139"/>
      <c r="Z722" s="139"/>
    </row>
    <row r="723" ht="15.75" customHeight="1">
      <c r="A723" s="139"/>
      <c r="B723" s="139"/>
      <c r="C723" s="183"/>
      <c r="D723" s="183"/>
      <c r="E723" s="183"/>
      <c r="F723" s="183"/>
      <c r="G723" s="183"/>
      <c r="H723" s="184"/>
      <c r="I723" s="139"/>
      <c r="J723" s="139"/>
      <c r="K723" s="139"/>
      <c r="L723" s="139"/>
      <c r="M723" s="139"/>
      <c r="N723" s="139"/>
      <c r="O723" s="139"/>
      <c r="P723" s="139"/>
      <c r="Q723" s="139"/>
      <c r="R723" s="139"/>
      <c r="S723" s="139"/>
      <c r="T723" s="139"/>
      <c r="U723" s="139"/>
      <c r="V723" s="139"/>
      <c r="W723" s="139"/>
      <c r="X723" s="139"/>
      <c r="Y723" s="139"/>
      <c r="Z723" s="139"/>
    </row>
    <row r="724" ht="15.75" customHeight="1">
      <c r="A724" s="139"/>
      <c r="B724" s="139"/>
      <c r="C724" s="183"/>
      <c r="D724" s="183"/>
      <c r="E724" s="183"/>
      <c r="F724" s="183"/>
      <c r="G724" s="183"/>
      <c r="H724" s="184"/>
      <c r="I724" s="139"/>
      <c r="J724" s="139"/>
      <c r="K724" s="139"/>
      <c r="L724" s="139"/>
      <c r="M724" s="139"/>
      <c r="N724" s="139"/>
      <c r="O724" s="139"/>
      <c r="P724" s="139"/>
      <c r="Q724" s="139"/>
      <c r="R724" s="139"/>
      <c r="S724" s="139"/>
      <c r="T724" s="139"/>
      <c r="U724" s="139"/>
      <c r="V724" s="139"/>
      <c r="W724" s="139"/>
      <c r="X724" s="139"/>
      <c r="Y724" s="139"/>
      <c r="Z724" s="139"/>
    </row>
    <row r="725" ht="15.75" customHeight="1">
      <c r="A725" s="139"/>
      <c r="B725" s="139"/>
      <c r="C725" s="183"/>
      <c r="D725" s="183"/>
      <c r="E725" s="183"/>
      <c r="F725" s="183"/>
      <c r="G725" s="183"/>
      <c r="H725" s="184"/>
      <c r="I725" s="139"/>
      <c r="J725" s="139"/>
      <c r="K725" s="139"/>
      <c r="L725" s="139"/>
      <c r="M725" s="139"/>
      <c r="N725" s="139"/>
      <c r="O725" s="139"/>
      <c r="P725" s="139"/>
      <c r="Q725" s="139"/>
      <c r="R725" s="139"/>
      <c r="S725" s="139"/>
      <c r="T725" s="139"/>
      <c r="U725" s="139"/>
      <c r="V725" s="139"/>
      <c r="W725" s="139"/>
      <c r="X725" s="139"/>
      <c r="Y725" s="139"/>
      <c r="Z725" s="139"/>
    </row>
    <row r="726" ht="15.75" customHeight="1">
      <c r="A726" s="139"/>
      <c r="B726" s="139"/>
      <c r="C726" s="183"/>
      <c r="D726" s="183"/>
      <c r="E726" s="183"/>
      <c r="F726" s="183"/>
      <c r="G726" s="183"/>
      <c r="H726" s="184"/>
      <c r="I726" s="139"/>
      <c r="J726" s="139"/>
      <c r="K726" s="139"/>
      <c r="L726" s="139"/>
      <c r="M726" s="139"/>
      <c r="N726" s="139"/>
      <c r="O726" s="139"/>
      <c r="P726" s="139"/>
      <c r="Q726" s="139"/>
      <c r="R726" s="139"/>
      <c r="S726" s="139"/>
      <c r="T726" s="139"/>
      <c r="U726" s="139"/>
      <c r="V726" s="139"/>
      <c r="W726" s="139"/>
      <c r="X726" s="139"/>
      <c r="Y726" s="139"/>
      <c r="Z726" s="139"/>
    </row>
    <row r="727" ht="15.75" customHeight="1">
      <c r="A727" s="139"/>
      <c r="B727" s="139"/>
      <c r="C727" s="183"/>
      <c r="D727" s="183"/>
      <c r="E727" s="183"/>
      <c r="F727" s="183"/>
      <c r="G727" s="183"/>
      <c r="H727" s="184"/>
      <c r="I727" s="139"/>
      <c r="J727" s="139"/>
      <c r="K727" s="139"/>
      <c r="L727" s="139"/>
      <c r="M727" s="139"/>
      <c r="N727" s="139"/>
      <c r="O727" s="139"/>
      <c r="P727" s="139"/>
      <c r="Q727" s="139"/>
      <c r="R727" s="139"/>
      <c r="S727" s="139"/>
      <c r="T727" s="139"/>
      <c r="U727" s="139"/>
      <c r="V727" s="139"/>
      <c r="W727" s="139"/>
      <c r="X727" s="139"/>
      <c r="Y727" s="139"/>
      <c r="Z727" s="139"/>
    </row>
    <row r="728" ht="15.75" customHeight="1">
      <c r="A728" s="139"/>
      <c r="B728" s="139"/>
      <c r="C728" s="183"/>
      <c r="D728" s="183"/>
      <c r="E728" s="183"/>
      <c r="F728" s="183"/>
      <c r="G728" s="183"/>
      <c r="H728" s="184"/>
      <c r="I728" s="139"/>
      <c r="J728" s="139"/>
      <c r="K728" s="139"/>
      <c r="L728" s="139"/>
      <c r="M728" s="139"/>
      <c r="N728" s="139"/>
      <c r="O728" s="139"/>
      <c r="P728" s="139"/>
      <c r="Q728" s="139"/>
      <c r="R728" s="139"/>
      <c r="S728" s="139"/>
      <c r="T728" s="139"/>
      <c r="U728" s="139"/>
      <c r="V728" s="139"/>
      <c r="W728" s="139"/>
      <c r="X728" s="139"/>
      <c r="Y728" s="139"/>
      <c r="Z728" s="139"/>
    </row>
    <row r="729" ht="15.75" customHeight="1">
      <c r="A729" s="139"/>
      <c r="B729" s="139"/>
      <c r="C729" s="183"/>
      <c r="D729" s="183"/>
      <c r="E729" s="183"/>
      <c r="F729" s="183"/>
      <c r="G729" s="183"/>
      <c r="H729" s="184"/>
      <c r="I729" s="139"/>
      <c r="J729" s="139"/>
      <c r="K729" s="139"/>
      <c r="L729" s="139"/>
      <c r="M729" s="139"/>
      <c r="N729" s="139"/>
      <c r="O729" s="139"/>
      <c r="P729" s="139"/>
      <c r="Q729" s="139"/>
      <c r="R729" s="139"/>
      <c r="S729" s="139"/>
      <c r="T729" s="139"/>
      <c r="U729" s="139"/>
      <c r="V729" s="139"/>
      <c r="W729" s="139"/>
      <c r="X729" s="139"/>
      <c r="Y729" s="139"/>
      <c r="Z729" s="139"/>
    </row>
    <row r="730" ht="15.75" customHeight="1">
      <c r="A730" s="139"/>
      <c r="B730" s="139"/>
      <c r="C730" s="183"/>
      <c r="D730" s="183"/>
      <c r="E730" s="183"/>
      <c r="F730" s="183"/>
      <c r="G730" s="183"/>
      <c r="H730" s="184"/>
      <c r="I730" s="139"/>
      <c r="J730" s="139"/>
      <c r="K730" s="139"/>
      <c r="L730" s="139"/>
      <c r="M730" s="139"/>
      <c r="N730" s="139"/>
      <c r="O730" s="139"/>
      <c r="P730" s="139"/>
      <c r="Q730" s="139"/>
      <c r="R730" s="139"/>
      <c r="S730" s="139"/>
      <c r="T730" s="139"/>
      <c r="U730" s="139"/>
      <c r="V730" s="139"/>
      <c r="W730" s="139"/>
      <c r="X730" s="139"/>
      <c r="Y730" s="139"/>
      <c r="Z730" s="139"/>
    </row>
    <row r="731" ht="15.75" customHeight="1">
      <c r="A731" s="139"/>
      <c r="B731" s="139"/>
      <c r="C731" s="183"/>
      <c r="D731" s="183"/>
      <c r="E731" s="183"/>
      <c r="F731" s="183"/>
      <c r="G731" s="183"/>
      <c r="H731" s="184"/>
      <c r="I731" s="139"/>
      <c r="J731" s="139"/>
      <c r="K731" s="139"/>
      <c r="L731" s="139"/>
      <c r="M731" s="139"/>
      <c r="N731" s="139"/>
      <c r="O731" s="139"/>
      <c r="P731" s="139"/>
      <c r="Q731" s="139"/>
      <c r="R731" s="139"/>
      <c r="S731" s="139"/>
      <c r="T731" s="139"/>
      <c r="U731" s="139"/>
      <c r="V731" s="139"/>
      <c r="W731" s="139"/>
      <c r="X731" s="139"/>
      <c r="Y731" s="139"/>
      <c r="Z731" s="139"/>
    </row>
    <row r="732" ht="15.75" customHeight="1">
      <c r="A732" s="139"/>
      <c r="B732" s="139"/>
      <c r="C732" s="183"/>
      <c r="D732" s="183"/>
      <c r="E732" s="183"/>
      <c r="F732" s="183"/>
      <c r="G732" s="183"/>
      <c r="H732" s="184"/>
      <c r="I732" s="139"/>
      <c r="J732" s="139"/>
      <c r="K732" s="139"/>
      <c r="L732" s="139"/>
      <c r="M732" s="139"/>
      <c r="N732" s="139"/>
      <c r="O732" s="139"/>
      <c r="P732" s="139"/>
      <c r="Q732" s="139"/>
      <c r="R732" s="139"/>
      <c r="S732" s="139"/>
      <c r="T732" s="139"/>
      <c r="U732" s="139"/>
      <c r="V732" s="139"/>
      <c r="W732" s="139"/>
      <c r="X732" s="139"/>
      <c r="Y732" s="139"/>
      <c r="Z732" s="139"/>
    </row>
    <row r="733" ht="15.75" customHeight="1">
      <c r="A733" s="139"/>
      <c r="B733" s="139"/>
      <c r="C733" s="183"/>
      <c r="D733" s="183"/>
      <c r="E733" s="183"/>
      <c r="F733" s="183"/>
      <c r="G733" s="183"/>
      <c r="H733" s="184"/>
      <c r="I733" s="139"/>
      <c r="J733" s="139"/>
      <c r="K733" s="139"/>
      <c r="L733" s="139"/>
      <c r="M733" s="139"/>
      <c r="N733" s="139"/>
      <c r="O733" s="139"/>
      <c r="P733" s="139"/>
      <c r="Q733" s="139"/>
      <c r="R733" s="139"/>
      <c r="S733" s="139"/>
      <c r="T733" s="139"/>
      <c r="U733" s="139"/>
      <c r="V733" s="139"/>
      <c r="W733" s="139"/>
      <c r="X733" s="139"/>
      <c r="Y733" s="139"/>
      <c r="Z733" s="139"/>
    </row>
    <row r="734" ht="15.75" customHeight="1">
      <c r="A734" s="139"/>
      <c r="B734" s="139"/>
      <c r="C734" s="183"/>
      <c r="D734" s="183"/>
      <c r="E734" s="183"/>
      <c r="F734" s="183"/>
      <c r="G734" s="183"/>
      <c r="H734" s="184"/>
      <c r="I734" s="139"/>
      <c r="J734" s="139"/>
      <c r="K734" s="139"/>
      <c r="L734" s="139"/>
      <c r="M734" s="139"/>
      <c r="N734" s="139"/>
      <c r="O734" s="139"/>
      <c r="P734" s="139"/>
      <c r="Q734" s="139"/>
      <c r="R734" s="139"/>
      <c r="S734" s="139"/>
      <c r="T734" s="139"/>
      <c r="U734" s="139"/>
      <c r="V734" s="139"/>
      <c r="W734" s="139"/>
      <c r="X734" s="139"/>
      <c r="Y734" s="139"/>
      <c r="Z734" s="139"/>
    </row>
    <row r="735" ht="15.75" customHeight="1">
      <c r="A735" s="139"/>
      <c r="B735" s="139"/>
      <c r="C735" s="183"/>
      <c r="D735" s="183"/>
      <c r="E735" s="183"/>
      <c r="F735" s="183"/>
      <c r="G735" s="183"/>
      <c r="H735" s="184"/>
      <c r="I735" s="139"/>
      <c r="J735" s="139"/>
      <c r="K735" s="139"/>
      <c r="L735" s="139"/>
      <c r="M735" s="139"/>
      <c r="N735" s="139"/>
      <c r="O735" s="139"/>
      <c r="P735" s="139"/>
      <c r="Q735" s="139"/>
      <c r="R735" s="139"/>
      <c r="S735" s="139"/>
      <c r="T735" s="139"/>
      <c r="U735" s="139"/>
      <c r="V735" s="139"/>
      <c r="W735" s="139"/>
      <c r="X735" s="139"/>
      <c r="Y735" s="139"/>
      <c r="Z735" s="139"/>
    </row>
    <row r="736" ht="15.75" customHeight="1">
      <c r="A736" s="139"/>
      <c r="B736" s="139"/>
      <c r="C736" s="183"/>
      <c r="D736" s="183"/>
      <c r="E736" s="183"/>
      <c r="F736" s="183"/>
      <c r="G736" s="183"/>
      <c r="H736" s="184"/>
      <c r="I736" s="139"/>
      <c r="J736" s="139"/>
      <c r="K736" s="139"/>
      <c r="L736" s="139"/>
      <c r="M736" s="139"/>
      <c r="N736" s="139"/>
      <c r="O736" s="139"/>
      <c r="P736" s="139"/>
      <c r="Q736" s="139"/>
      <c r="R736" s="139"/>
      <c r="S736" s="139"/>
      <c r="T736" s="139"/>
      <c r="U736" s="139"/>
      <c r="V736" s="139"/>
      <c r="W736" s="139"/>
      <c r="X736" s="139"/>
      <c r="Y736" s="139"/>
      <c r="Z736" s="139"/>
    </row>
    <row r="737" ht="15.75" customHeight="1">
      <c r="A737" s="139"/>
      <c r="B737" s="139"/>
      <c r="C737" s="183"/>
      <c r="D737" s="183"/>
      <c r="E737" s="183"/>
      <c r="F737" s="183"/>
      <c r="G737" s="183"/>
      <c r="H737" s="184"/>
      <c r="I737" s="139"/>
      <c r="J737" s="139"/>
      <c r="K737" s="139"/>
      <c r="L737" s="139"/>
      <c r="M737" s="139"/>
      <c r="N737" s="139"/>
      <c r="O737" s="139"/>
      <c r="P737" s="139"/>
      <c r="Q737" s="139"/>
      <c r="R737" s="139"/>
      <c r="S737" s="139"/>
      <c r="T737" s="139"/>
      <c r="U737" s="139"/>
      <c r="V737" s="139"/>
      <c r="W737" s="139"/>
      <c r="X737" s="139"/>
      <c r="Y737" s="139"/>
      <c r="Z737" s="139"/>
    </row>
    <row r="738" ht="15.75" customHeight="1">
      <c r="A738" s="139"/>
      <c r="B738" s="139"/>
      <c r="C738" s="183"/>
      <c r="D738" s="183"/>
      <c r="E738" s="183"/>
      <c r="F738" s="183"/>
      <c r="G738" s="183"/>
      <c r="H738" s="184"/>
      <c r="I738" s="139"/>
      <c r="J738" s="139"/>
      <c r="K738" s="139"/>
      <c r="L738" s="139"/>
      <c r="M738" s="139"/>
      <c r="N738" s="139"/>
      <c r="O738" s="139"/>
      <c r="P738" s="139"/>
      <c r="Q738" s="139"/>
      <c r="R738" s="139"/>
      <c r="S738" s="139"/>
      <c r="T738" s="139"/>
      <c r="U738" s="139"/>
      <c r="V738" s="139"/>
      <c r="W738" s="139"/>
      <c r="X738" s="139"/>
      <c r="Y738" s="139"/>
      <c r="Z738" s="139"/>
    </row>
    <row r="739" ht="15.75" customHeight="1">
      <c r="A739" s="139"/>
      <c r="B739" s="139"/>
      <c r="C739" s="183"/>
      <c r="D739" s="183"/>
      <c r="E739" s="183"/>
      <c r="F739" s="183"/>
      <c r="G739" s="183"/>
      <c r="H739" s="184"/>
      <c r="I739" s="139"/>
      <c r="J739" s="139"/>
      <c r="K739" s="139"/>
      <c r="L739" s="139"/>
      <c r="M739" s="139"/>
      <c r="N739" s="139"/>
      <c r="O739" s="139"/>
      <c r="P739" s="139"/>
      <c r="Q739" s="139"/>
      <c r="R739" s="139"/>
      <c r="S739" s="139"/>
      <c r="T739" s="139"/>
      <c r="U739" s="139"/>
      <c r="V739" s="139"/>
      <c r="W739" s="139"/>
      <c r="X739" s="139"/>
      <c r="Y739" s="139"/>
      <c r="Z739" s="139"/>
    </row>
    <row r="740" ht="15.75" customHeight="1">
      <c r="A740" s="139"/>
      <c r="B740" s="139"/>
      <c r="C740" s="183"/>
      <c r="D740" s="183"/>
      <c r="E740" s="183"/>
      <c r="F740" s="183"/>
      <c r="G740" s="183"/>
      <c r="H740" s="184"/>
      <c r="I740" s="139"/>
      <c r="J740" s="139"/>
      <c r="K740" s="139"/>
      <c r="L740" s="139"/>
      <c r="M740" s="139"/>
      <c r="N740" s="139"/>
      <c r="O740" s="139"/>
      <c r="P740" s="139"/>
      <c r="Q740" s="139"/>
      <c r="R740" s="139"/>
      <c r="S740" s="139"/>
      <c r="T740" s="139"/>
      <c r="U740" s="139"/>
      <c r="V740" s="139"/>
      <c r="W740" s="139"/>
      <c r="X740" s="139"/>
      <c r="Y740" s="139"/>
      <c r="Z740" s="139"/>
    </row>
    <row r="741" ht="15.75" customHeight="1">
      <c r="A741" s="139"/>
      <c r="B741" s="139"/>
      <c r="C741" s="183"/>
      <c r="D741" s="183"/>
      <c r="E741" s="183"/>
      <c r="F741" s="183"/>
      <c r="G741" s="183"/>
      <c r="H741" s="184"/>
      <c r="I741" s="139"/>
      <c r="J741" s="139"/>
      <c r="K741" s="139"/>
      <c r="L741" s="139"/>
      <c r="M741" s="139"/>
      <c r="N741" s="139"/>
      <c r="O741" s="139"/>
      <c r="P741" s="139"/>
      <c r="Q741" s="139"/>
      <c r="R741" s="139"/>
      <c r="S741" s="139"/>
      <c r="T741" s="139"/>
      <c r="U741" s="139"/>
      <c r="V741" s="139"/>
      <c r="W741" s="139"/>
      <c r="X741" s="139"/>
      <c r="Y741" s="139"/>
      <c r="Z741" s="139"/>
    </row>
    <row r="742" ht="15.75" customHeight="1">
      <c r="A742" s="139"/>
      <c r="B742" s="139"/>
      <c r="C742" s="183"/>
      <c r="D742" s="183"/>
      <c r="E742" s="183"/>
      <c r="F742" s="183"/>
      <c r="G742" s="183"/>
      <c r="H742" s="184"/>
      <c r="I742" s="139"/>
      <c r="J742" s="139"/>
      <c r="K742" s="139"/>
      <c r="L742" s="139"/>
      <c r="M742" s="139"/>
      <c r="N742" s="139"/>
      <c r="O742" s="139"/>
      <c r="P742" s="139"/>
      <c r="Q742" s="139"/>
      <c r="R742" s="139"/>
      <c r="S742" s="139"/>
      <c r="T742" s="139"/>
      <c r="U742" s="139"/>
      <c r="V742" s="139"/>
      <c r="W742" s="139"/>
      <c r="X742" s="139"/>
      <c r="Y742" s="139"/>
      <c r="Z742" s="139"/>
    </row>
    <row r="743" ht="15.75" customHeight="1">
      <c r="A743" s="139"/>
      <c r="B743" s="139"/>
      <c r="C743" s="183"/>
      <c r="D743" s="183"/>
      <c r="E743" s="183"/>
      <c r="F743" s="183"/>
      <c r="G743" s="183"/>
      <c r="H743" s="184"/>
      <c r="I743" s="139"/>
      <c r="J743" s="139"/>
      <c r="K743" s="139"/>
      <c r="L743" s="139"/>
      <c r="M743" s="139"/>
      <c r="N743" s="139"/>
      <c r="O743" s="139"/>
      <c r="P743" s="139"/>
      <c r="Q743" s="139"/>
      <c r="R743" s="139"/>
      <c r="S743" s="139"/>
      <c r="T743" s="139"/>
      <c r="U743" s="139"/>
      <c r="V743" s="139"/>
      <c r="W743" s="139"/>
      <c r="X743" s="139"/>
      <c r="Y743" s="139"/>
      <c r="Z743" s="139"/>
    </row>
    <row r="744" ht="15.75" customHeight="1">
      <c r="A744" s="139"/>
      <c r="B744" s="139"/>
      <c r="C744" s="183"/>
      <c r="D744" s="183"/>
      <c r="E744" s="183"/>
      <c r="F744" s="183"/>
      <c r="G744" s="183"/>
      <c r="H744" s="184"/>
      <c r="I744" s="139"/>
      <c r="J744" s="139"/>
      <c r="K744" s="139"/>
      <c r="L744" s="139"/>
      <c r="M744" s="139"/>
      <c r="N744" s="139"/>
      <c r="O744" s="139"/>
      <c r="P744" s="139"/>
      <c r="Q744" s="139"/>
      <c r="R744" s="139"/>
      <c r="S744" s="139"/>
      <c r="T744" s="139"/>
      <c r="U744" s="139"/>
      <c r="V744" s="139"/>
      <c r="W744" s="139"/>
      <c r="X744" s="139"/>
      <c r="Y744" s="139"/>
      <c r="Z744" s="139"/>
    </row>
    <row r="745" ht="15.75" customHeight="1">
      <c r="A745" s="139"/>
      <c r="B745" s="139"/>
      <c r="C745" s="183"/>
      <c r="D745" s="183"/>
      <c r="E745" s="183"/>
      <c r="F745" s="183"/>
      <c r="G745" s="183"/>
      <c r="H745" s="184"/>
      <c r="I745" s="139"/>
      <c r="J745" s="139"/>
      <c r="K745" s="139"/>
      <c r="L745" s="139"/>
      <c r="M745" s="139"/>
      <c r="N745" s="139"/>
      <c r="O745" s="139"/>
      <c r="P745" s="139"/>
      <c r="Q745" s="139"/>
      <c r="R745" s="139"/>
      <c r="S745" s="139"/>
      <c r="T745" s="139"/>
      <c r="U745" s="139"/>
      <c r="V745" s="139"/>
      <c r="W745" s="139"/>
      <c r="X745" s="139"/>
      <c r="Y745" s="139"/>
      <c r="Z745" s="139"/>
    </row>
    <row r="746" ht="15.75" customHeight="1">
      <c r="A746" s="139"/>
      <c r="B746" s="139"/>
      <c r="C746" s="183"/>
      <c r="D746" s="183"/>
      <c r="E746" s="183"/>
      <c r="F746" s="183"/>
      <c r="G746" s="183"/>
      <c r="H746" s="184"/>
      <c r="I746" s="139"/>
      <c r="J746" s="139"/>
      <c r="K746" s="139"/>
      <c r="L746" s="139"/>
      <c r="M746" s="139"/>
      <c r="N746" s="139"/>
      <c r="O746" s="139"/>
      <c r="P746" s="139"/>
      <c r="Q746" s="139"/>
      <c r="R746" s="139"/>
      <c r="S746" s="139"/>
      <c r="T746" s="139"/>
      <c r="U746" s="139"/>
      <c r="V746" s="139"/>
      <c r="W746" s="139"/>
      <c r="X746" s="139"/>
      <c r="Y746" s="139"/>
      <c r="Z746" s="139"/>
    </row>
    <row r="747" ht="15.75" customHeight="1">
      <c r="A747" s="139"/>
      <c r="B747" s="139"/>
      <c r="C747" s="183"/>
      <c r="D747" s="183"/>
      <c r="E747" s="183"/>
      <c r="F747" s="183"/>
      <c r="G747" s="183"/>
      <c r="H747" s="184"/>
      <c r="I747" s="139"/>
      <c r="J747" s="139"/>
      <c r="K747" s="139"/>
      <c r="L747" s="139"/>
      <c r="M747" s="139"/>
      <c r="N747" s="139"/>
      <c r="O747" s="139"/>
      <c r="P747" s="139"/>
      <c r="Q747" s="139"/>
      <c r="R747" s="139"/>
      <c r="S747" s="139"/>
      <c r="T747" s="139"/>
      <c r="U747" s="139"/>
      <c r="V747" s="139"/>
      <c r="W747" s="139"/>
      <c r="X747" s="139"/>
      <c r="Y747" s="139"/>
      <c r="Z747" s="139"/>
    </row>
    <row r="748" ht="15.75" customHeight="1">
      <c r="A748" s="139"/>
      <c r="B748" s="139"/>
      <c r="C748" s="183"/>
      <c r="D748" s="183"/>
      <c r="E748" s="183"/>
      <c r="F748" s="183"/>
      <c r="G748" s="183"/>
      <c r="H748" s="184"/>
      <c r="I748" s="139"/>
      <c r="J748" s="139"/>
      <c r="K748" s="139"/>
      <c r="L748" s="139"/>
      <c r="M748" s="139"/>
      <c r="N748" s="139"/>
      <c r="O748" s="139"/>
      <c r="P748" s="139"/>
      <c r="Q748" s="139"/>
      <c r="R748" s="139"/>
      <c r="S748" s="139"/>
      <c r="T748" s="139"/>
      <c r="U748" s="139"/>
      <c r="V748" s="139"/>
      <c r="W748" s="139"/>
      <c r="X748" s="139"/>
      <c r="Y748" s="139"/>
      <c r="Z748" s="139"/>
    </row>
    <row r="749" ht="15.75" customHeight="1">
      <c r="A749" s="139"/>
      <c r="B749" s="139"/>
      <c r="C749" s="183"/>
      <c r="D749" s="183"/>
      <c r="E749" s="183"/>
      <c r="F749" s="183"/>
      <c r="G749" s="183"/>
      <c r="H749" s="184"/>
      <c r="I749" s="139"/>
      <c r="J749" s="139"/>
      <c r="K749" s="139"/>
      <c r="L749" s="139"/>
      <c r="M749" s="139"/>
      <c r="N749" s="139"/>
      <c r="O749" s="139"/>
      <c r="P749" s="139"/>
      <c r="Q749" s="139"/>
      <c r="R749" s="139"/>
      <c r="S749" s="139"/>
      <c r="T749" s="139"/>
      <c r="U749" s="139"/>
      <c r="V749" s="139"/>
      <c r="W749" s="139"/>
      <c r="X749" s="139"/>
      <c r="Y749" s="139"/>
      <c r="Z749" s="139"/>
    </row>
    <row r="750" ht="15.75" customHeight="1">
      <c r="A750" s="139"/>
      <c r="B750" s="139"/>
      <c r="C750" s="183"/>
      <c r="D750" s="183"/>
      <c r="E750" s="183"/>
      <c r="F750" s="183"/>
      <c r="G750" s="183"/>
      <c r="H750" s="184"/>
      <c r="I750" s="139"/>
      <c r="J750" s="139"/>
      <c r="K750" s="139"/>
      <c r="L750" s="139"/>
      <c r="M750" s="139"/>
      <c r="N750" s="139"/>
      <c r="O750" s="139"/>
      <c r="P750" s="139"/>
      <c r="Q750" s="139"/>
      <c r="R750" s="139"/>
      <c r="S750" s="139"/>
      <c r="T750" s="139"/>
      <c r="U750" s="139"/>
      <c r="V750" s="139"/>
      <c r="W750" s="139"/>
      <c r="X750" s="139"/>
      <c r="Y750" s="139"/>
      <c r="Z750" s="139"/>
    </row>
    <row r="751" ht="15.75" customHeight="1">
      <c r="A751" s="139"/>
      <c r="B751" s="139"/>
      <c r="C751" s="183"/>
      <c r="D751" s="183"/>
      <c r="E751" s="183"/>
      <c r="F751" s="183"/>
      <c r="G751" s="183"/>
      <c r="H751" s="184"/>
      <c r="I751" s="139"/>
      <c r="J751" s="139"/>
      <c r="K751" s="139"/>
      <c r="L751" s="139"/>
      <c r="M751" s="139"/>
      <c r="N751" s="139"/>
      <c r="O751" s="139"/>
      <c r="P751" s="139"/>
      <c r="Q751" s="139"/>
      <c r="R751" s="139"/>
      <c r="S751" s="139"/>
      <c r="T751" s="139"/>
      <c r="U751" s="139"/>
      <c r="V751" s="139"/>
      <c r="W751" s="139"/>
      <c r="X751" s="139"/>
      <c r="Y751" s="139"/>
      <c r="Z751" s="139"/>
    </row>
    <row r="752" ht="15.75" customHeight="1">
      <c r="A752" s="139"/>
      <c r="B752" s="139"/>
      <c r="C752" s="183"/>
      <c r="D752" s="183"/>
      <c r="E752" s="183"/>
      <c r="F752" s="183"/>
      <c r="G752" s="183"/>
      <c r="H752" s="184"/>
      <c r="I752" s="139"/>
      <c r="J752" s="139"/>
      <c r="K752" s="139"/>
      <c r="L752" s="139"/>
      <c r="M752" s="139"/>
      <c r="N752" s="139"/>
      <c r="O752" s="139"/>
      <c r="P752" s="139"/>
      <c r="Q752" s="139"/>
      <c r="R752" s="139"/>
      <c r="S752" s="139"/>
      <c r="T752" s="139"/>
      <c r="U752" s="139"/>
      <c r="V752" s="139"/>
      <c r="W752" s="139"/>
      <c r="X752" s="139"/>
      <c r="Y752" s="139"/>
      <c r="Z752" s="139"/>
    </row>
    <row r="753" ht="15.75" customHeight="1">
      <c r="A753" s="139"/>
      <c r="B753" s="139"/>
      <c r="C753" s="183"/>
      <c r="D753" s="183"/>
      <c r="E753" s="183"/>
      <c r="F753" s="183"/>
      <c r="G753" s="183"/>
      <c r="H753" s="184"/>
      <c r="I753" s="139"/>
      <c r="J753" s="139"/>
      <c r="K753" s="139"/>
      <c r="L753" s="139"/>
      <c r="M753" s="139"/>
      <c r="N753" s="139"/>
      <c r="O753" s="139"/>
      <c r="P753" s="139"/>
      <c r="Q753" s="139"/>
      <c r="R753" s="139"/>
      <c r="S753" s="139"/>
      <c r="T753" s="139"/>
      <c r="U753" s="139"/>
      <c r="V753" s="139"/>
      <c r="W753" s="139"/>
      <c r="X753" s="139"/>
      <c r="Y753" s="139"/>
      <c r="Z753" s="139"/>
    </row>
    <row r="754" ht="15.75" customHeight="1">
      <c r="A754" s="139"/>
      <c r="B754" s="139"/>
      <c r="C754" s="183"/>
      <c r="D754" s="183"/>
      <c r="E754" s="183"/>
      <c r="F754" s="183"/>
      <c r="G754" s="183"/>
      <c r="H754" s="184"/>
      <c r="I754" s="139"/>
      <c r="J754" s="139"/>
      <c r="K754" s="139"/>
      <c r="L754" s="139"/>
      <c r="M754" s="139"/>
      <c r="N754" s="139"/>
      <c r="O754" s="139"/>
      <c r="P754" s="139"/>
      <c r="Q754" s="139"/>
      <c r="R754" s="139"/>
      <c r="S754" s="139"/>
      <c r="T754" s="139"/>
      <c r="U754" s="139"/>
      <c r="V754" s="139"/>
      <c r="W754" s="139"/>
      <c r="X754" s="139"/>
      <c r="Y754" s="139"/>
      <c r="Z754" s="139"/>
    </row>
    <row r="755" ht="15.75" customHeight="1">
      <c r="A755" s="139"/>
      <c r="B755" s="139"/>
      <c r="C755" s="183"/>
      <c r="D755" s="183"/>
      <c r="E755" s="183"/>
      <c r="F755" s="183"/>
      <c r="G755" s="183"/>
      <c r="H755" s="184"/>
      <c r="I755" s="139"/>
      <c r="J755" s="139"/>
      <c r="K755" s="139"/>
      <c r="L755" s="139"/>
      <c r="M755" s="139"/>
      <c r="N755" s="139"/>
      <c r="O755" s="139"/>
      <c r="P755" s="139"/>
      <c r="Q755" s="139"/>
      <c r="R755" s="139"/>
      <c r="S755" s="139"/>
      <c r="T755" s="139"/>
      <c r="U755" s="139"/>
      <c r="V755" s="139"/>
      <c r="W755" s="139"/>
      <c r="X755" s="139"/>
      <c r="Y755" s="139"/>
      <c r="Z755" s="139"/>
    </row>
    <row r="756" ht="15.75" customHeight="1">
      <c r="A756" s="139"/>
      <c r="B756" s="139"/>
      <c r="C756" s="183"/>
      <c r="D756" s="183"/>
      <c r="E756" s="183"/>
      <c r="F756" s="183"/>
      <c r="G756" s="183"/>
      <c r="H756" s="184"/>
      <c r="I756" s="139"/>
      <c r="J756" s="139"/>
      <c r="K756" s="139"/>
      <c r="L756" s="139"/>
      <c r="M756" s="139"/>
      <c r="N756" s="139"/>
      <c r="O756" s="139"/>
      <c r="P756" s="139"/>
      <c r="Q756" s="139"/>
      <c r="R756" s="139"/>
      <c r="S756" s="139"/>
      <c r="T756" s="139"/>
      <c r="U756" s="139"/>
      <c r="V756" s="139"/>
      <c r="W756" s="139"/>
      <c r="X756" s="139"/>
      <c r="Y756" s="139"/>
      <c r="Z756" s="139"/>
    </row>
    <row r="757" ht="15.75" customHeight="1">
      <c r="A757" s="139"/>
      <c r="B757" s="139"/>
      <c r="C757" s="183"/>
      <c r="D757" s="183"/>
      <c r="E757" s="183"/>
      <c r="F757" s="183"/>
      <c r="G757" s="183"/>
      <c r="H757" s="184"/>
      <c r="I757" s="139"/>
      <c r="J757" s="139"/>
      <c r="K757" s="139"/>
      <c r="L757" s="139"/>
      <c r="M757" s="139"/>
      <c r="N757" s="139"/>
      <c r="O757" s="139"/>
      <c r="P757" s="139"/>
      <c r="Q757" s="139"/>
      <c r="R757" s="139"/>
      <c r="S757" s="139"/>
      <c r="T757" s="139"/>
      <c r="U757" s="139"/>
      <c r="V757" s="139"/>
      <c r="W757" s="139"/>
      <c r="X757" s="139"/>
      <c r="Y757" s="139"/>
      <c r="Z757" s="139"/>
    </row>
    <row r="758" ht="15.75" customHeight="1">
      <c r="A758" s="139"/>
      <c r="B758" s="139"/>
      <c r="C758" s="183"/>
      <c r="D758" s="183"/>
      <c r="E758" s="183"/>
      <c r="F758" s="183"/>
      <c r="G758" s="183"/>
      <c r="H758" s="184"/>
      <c r="I758" s="139"/>
      <c r="J758" s="139"/>
      <c r="K758" s="139"/>
      <c r="L758" s="139"/>
      <c r="M758" s="139"/>
      <c r="N758" s="139"/>
      <c r="O758" s="139"/>
      <c r="P758" s="139"/>
      <c r="Q758" s="139"/>
      <c r="R758" s="139"/>
      <c r="S758" s="139"/>
      <c r="T758" s="139"/>
      <c r="U758" s="139"/>
      <c r="V758" s="139"/>
      <c r="W758" s="139"/>
      <c r="X758" s="139"/>
      <c r="Y758" s="139"/>
      <c r="Z758" s="139"/>
    </row>
    <row r="759" ht="15.75" customHeight="1">
      <c r="A759" s="139"/>
      <c r="B759" s="139"/>
      <c r="C759" s="183"/>
      <c r="D759" s="183"/>
      <c r="E759" s="183"/>
      <c r="F759" s="183"/>
      <c r="G759" s="183"/>
      <c r="H759" s="184"/>
      <c r="I759" s="139"/>
      <c r="J759" s="139"/>
      <c r="K759" s="139"/>
      <c r="L759" s="139"/>
      <c r="M759" s="139"/>
      <c r="N759" s="139"/>
      <c r="O759" s="139"/>
      <c r="P759" s="139"/>
      <c r="Q759" s="139"/>
      <c r="R759" s="139"/>
      <c r="S759" s="139"/>
      <c r="T759" s="139"/>
      <c r="U759" s="139"/>
      <c r="V759" s="139"/>
      <c r="W759" s="139"/>
      <c r="X759" s="139"/>
      <c r="Y759" s="139"/>
      <c r="Z759" s="139"/>
    </row>
    <row r="760" ht="15.75" customHeight="1">
      <c r="A760" s="139"/>
      <c r="B760" s="139"/>
      <c r="C760" s="183"/>
      <c r="D760" s="183"/>
      <c r="E760" s="183"/>
      <c r="F760" s="183"/>
      <c r="G760" s="183"/>
      <c r="H760" s="184"/>
      <c r="I760" s="139"/>
      <c r="J760" s="139"/>
      <c r="K760" s="139"/>
      <c r="L760" s="139"/>
      <c r="M760" s="139"/>
      <c r="N760" s="139"/>
      <c r="O760" s="139"/>
      <c r="P760" s="139"/>
      <c r="Q760" s="139"/>
      <c r="R760" s="139"/>
      <c r="S760" s="139"/>
      <c r="T760" s="139"/>
      <c r="U760" s="139"/>
      <c r="V760" s="139"/>
      <c r="W760" s="139"/>
      <c r="X760" s="139"/>
      <c r="Y760" s="139"/>
      <c r="Z760" s="139"/>
    </row>
    <row r="761" ht="15.75" customHeight="1">
      <c r="A761" s="139"/>
      <c r="B761" s="139"/>
      <c r="C761" s="183"/>
      <c r="D761" s="183"/>
      <c r="E761" s="183"/>
      <c r="F761" s="183"/>
      <c r="G761" s="183"/>
      <c r="H761" s="184"/>
      <c r="I761" s="139"/>
      <c r="J761" s="139"/>
      <c r="K761" s="139"/>
      <c r="L761" s="139"/>
      <c r="M761" s="139"/>
      <c r="N761" s="139"/>
      <c r="O761" s="139"/>
      <c r="P761" s="139"/>
      <c r="Q761" s="139"/>
      <c r="R761" s="139"/>
      <c r="S761" s="139"/>
      <c r="T761" s="139"/>
      <c r="U761" s="139"/>
      <c r="V761" s="139"/>
      <c r="W761" s="139"/>
      <c r="X761" s="139"/>
      <c r="Y761" s="139"/>
      <c r="Z761" s="139"/>
    </row>
    <row r="762" ht="15.75" customHeight="1">
      <c r="A762" s="139"/>
      <c r="B762" s="139"/>
      <c r="C762" s="183"/>
      <c r="D762" s="183"/>
      <c r="E762" s="183"/>
      <c r="F762" s="183"/>
      <c r="G762" s="183"/>
      <c r="H762" s="184"/>
      <c r="I762" s="139"/>
      <c r="J762" s="139"/>
      <c r="K762" s="139"/>
      <c r="L762" s="139"/>
      <c r="M762" s="139"/>
      <c r="N762" s="139"/>
      <c r="O762" s="139"/>
      <c r="P762" s="139"/>
      <c r="Q762" s="139"/>
      <c r="R762" s="139"/>
      <c r="S762" s="139"/>
      <c r="T762" s="139"/>
      <c r="U762" s="139"/>
      <c r="V762" s="139"/>
      <c r="W762" s="139"/>
      <c r="X762" s="139"/>
      <c r="Y762" s="139"/>
      <c r="Z762" s="139"/>
    </row>
    <row r="763" ht="15.75" customHeight="1">
      <c r="A763" s="139"/>
      <c r="B763" s="139"/>
      <c r="C763" s="183"/>
      <c r="D763" s="183"/>
      <c r="E763" s="183"/>
      <c r="F763" s="183"/>
      <c r="G763" s="183"/>
      <c r="H763" s="184"/>
      <c r="I763" s="139"/>
      <c r="J763" s="139"/>
      <c r="K763" s="139"/>
      <c r="L763" s="139"/>
      <c r="M763" s="139"/>
      <c r="N763" s="139"/>
      <c r="O763" s="139"/>
      <c r="P763" s="139"/>
      <c r="Q763" s="139"/>
      <c r="R763" s="139"/>
      <c r="S763" s="139"/>
      <c r="T763" s="139"/>
      <c r="U763" s="139"/>
      <c r="V763" s="139"/>
      <c r="W763" s="139"/>
      <c r="X763" s="139"/>
      <c r="Y763" s="139"/>
      <c r="Z763" s="139"/>
    </row>
    <row r="764" ht="15.75" customHeight="1">
      <c r="A764" s="139"/>
      <c r="B764" s="139"/>
      <c r="C764" s="183"/>
      <c r="D764" s="183"/>
      <c r="E764" s="183"/>
      <c r="F764" s="183"/>
      <c r="G764" s="183"/>
      <c r="H764" s="184"/>
      <c r="I764" s="139"/>
      <c r="J764" s="139"/>
      <c r="K764" s="139"/>
      <c r="L764" s="139"/>
      <c r="M764" s="139"/>
      <c r="N764" s="139"/>
      <c r="O764" s="139"/>
      <c r="P764" s="139"/>
      <c r="Q764" s="139"/>
      <c r="R764" s="139"/>
      <c r="S764" s="139"/>
      <c r="T764" s="139"/>
      <c r="U764" s="139"/>
      <c r="V764" s="139"/>
      <c r="W764" s="139"/>
      <c r="X764" s="139"/>
      <c r="Y764" s="139"/>
      <c r="Z764" s="139"/>
    </row>
    <row r="765" ht="15.75" customHeight="1">
      <c r="A765" s="139"/>
      <c r="B765" s="139"/>
      <c r="C765" s="183"/>
      <c r="D765" s="183"/>
      <c r="E765" s="183"/>
      <c r="F765" s="183"/>
      <c r="G765" s="183"/>
      <c r="H765" s="184"/>
      <c r="I765" s="139"/>
      <c r="J765" s="139"/>
      <c r="K765" s="139"/>
      <c r="L765" s="139"/>
      <c r="M765" s="139"/>
      <c r="N765" s="139"/>
      <c r="O765" s="139"/>
      <c r="P765" s="139"/>
      <c r="Q765" s="139"/>
      <c r="R765" s="139"/>
      <c r="S765" s="139"/>
      <c r="T765" s="139"/>
      <c r="U765" s="139"/>
      <c r="V765" s="139"/>
      <c r="W765" s="139"/>
      <c r="X765" s="139"/>
      <c r="Y765" s="139"/>
      <c r="Z765" s="139"/>
    </row>
    <row r="766" ht="15.75" customHeight="1">
      <c r="A766" s="139"/>
      <c r="B766" s="139"/>
      <c r="C766" s="183"/>
      <c r="D766" s="183"/>
      <c r="E766" s="183"/>
      <c r="F766" s="183"/>
      <c r="G766" s="183"/>
      <c r="H766" s="184"/>
      <c r="I766" s="139"/>
      <c r="J766" s="139"/>
      <c r="K766" s="139"/>
      <c r="L766" s="139"/>
      <c r="M766" s="139"/>
      <c r="N766" s="139"/>
      <c r="O766" s="139"/>
      <c r="P766" s="139"/>
      <c r="Q766" s="139"/>
      <c r="R766" s="139"/>
      <c r="S766" s="139"/>
      <c r="T766" s="139"/>
      <c r="U766" s="139"/>
      <c r="V766" s="139"/>
      <c r="W766" s="139"/>
      <c r="X766" s="139"/>
      <c r="Y766" s="139"/>
      <c r="Z766" s="139"/>
    </row>
    <row r="767" ht="15.75" customHeight="1">
      <c r="A767" s="139"/>
      <c r="B767" s="139"/>
      <c r="C767" s="183"/>
      <c r="D767" s="183"/>
      <c r="E767" s="183"/>
      <c r="F767" s="183"/>
      <c r="G767" s="183"/>
      <c r="H767" s="184"/>
      <c r="I767" s="139"/>
      <c r="J767" s="139"/>
      <c r="K767" s="139"/>
      <c r="L767" s="139"/>
      <c r="M767" s="139"/>
      <c r="N767" s="139"/>
      <c r="O767" s="139"/>
      <c r="P767" s="139"/>
      <c r="Q767" s="139"/>
      <c r="R767" s="139"/>
      <c r="S767" s="139"/>
      <c r="T767" s="139"/>
      <c r="U767" s="139"/>
      <c r="V767" s="139"/>
      <c r="W767" s="139"/>
      <c r="X767" s="139"/>
      <c r="Y767" s="139"/>
      <c r="Z767" s="139"/>
    </row>
    <row r="768" ht="15.75" customHeight="1">
      <c r="A768" s="139"/>
      <c r="B768" s="139"/>
      <c r="C768" s="183"/>
      <c r="D768" s="183"/>
      <c r="E768" s="183"/>
      <c r="F768" s="183"/>
      <c r="G768" s="183"/>
      <c r="H768" s="184"/>
      <c r="I768" s="139"/>
      <c r="J768" s="139"/>
      <c r="K768" s="139"/>
      <c r="L768" s="139"/>
      <c r="M768" s="139"/>
      <c r="N768" s="139"/>
      <c r="O768" s="139"/>
      <c r="P768" s="139"/>
      <c r="Q768" s="139"/>
      <c r="R768" s="139"/>
      <c r="S768" s="139"/>
      <c r="T768" s="139"/>
      <c r="U768" s="139"/>
      <c r="V768" s="139"/>
      <c r="W768" s="139"/>
      <c r="X768" s="139"/>
      <c r="Y768" s="139"/>
      <c r="Z768" s="139"/>
    </row>
    <row r="769" ht="15.75" customHeight="1">
      <c r="A769" s="139"/>
      <c r="B769" s="139"/>
      <c r="C769" s="183"/>
      <c r="D769" s="183"/>
      <c r="E769" s="183"/>
      <c r="F769" s="183"/>
      <c r="G769" s="183"/>
      <c r="H769" s="184"/>
      <c r="I769" s="139"/>
      <c r="J769" s="139"/>
      <c r="K769" s="139"/>
      <c r="L769" s="139"/>
      <c r="M769" s="139"/>
      <c r="N769" s="139"/>
      <c r="O769" s="139"/>
      <c r="P769" s="139"/>
      <c r="Q769" s="139"/>
      <c r="R769" s="139"/>
      <c r="S769" s="139"/>
      <c r="T769" s="139"/>
      <c r="U769" s="139"/>
      <c r="V769" s="139"/>
      <c r="W769" s="139"/>
      <c r="X769" s="139"/>
      <c r="Y769" s="139"/>
      <c r="Z769" s="139"/>
    </row>
    <row r="770" ht="15.75" customHeight="1">
      <c r="A770" s="139"/>
      <c r="B770" s="139"/>
      <c r="C770" s="183"/>
      <c r="D770" s="183"/>
      <c r="E770" s="183"/>
      <c r="F770" s="183"/>
      <c r="G770" s="183"/>
      <c r="H770" s="184"/>
      <c r="I770" s="139"/>
      <c r="J770" s="139"/>
      <c r="K770" s="139"/>
      <c r="L770" s="139"/>
      <c r="M770" s="139"/>
      <c r="N770" s="139"/>
      <c r="O770" s="139"/>
      <c r="P770" s="139"/>
      <c r="Q770" s="139"/>
      <c r="R770" s="139"/>
      <c r="S770" s="139"/>
      <c r="T770" s="139"/>
      <c r="U770" s="139"/>
      <c r="V770" s="139"/>
      <c r="W770" s="139"/>
      <c r="X770" s="139"/>
      <c r="Y770" s="139"/>
      <c r="Z770" s="139"/>
    </row>
    <row r="771" ht="15.75" customHeight="1">
      <c r="A771" s="139"/>
      <c r="B771" s="139"/>
      <c r="C771" s="183"/>
      <c r="D771" s="183"/>
      <c r="E771" s="183"/>
      <c r="F771" s="183"/>
      <c r="G771" s="183"/>
      <c r="H771" s="184"/>
      <c r="I771" s="139"/>
      <c r="J771" s="139"/>
      <c r="K771" s="139"/>
      <c r="L771" s="139"/>
      <c r="M771" s="139"/>
      <c r="N771" s="139"/>
      <c r="O771" s="139"/>
      <c r="P771" s="139"/>
      <c r="Q771" s="139"/>
      <c r="R771" s="139"/>
      <c r="S771" s="139"/>
      <c r="T771" s="139"/>
      <c r="U771" s="139"/>
      <c r="V771" s="139"/>
      <c r="W771" s="139"/>
      <c r="X771" s="139"/>
      <c r="Y771" s="139"/>
      <c r="Z771" s="139"/>
    </row>
    <row r="772" ht="15.75" customHeight="1">
      <c r="A772" s="139"/>
      <c r="B772" s="139"/>
      <c r="C772" s="183"/>
      <c r="D772" s="183"/>
      <c r="E772" s="183"/>
      <c r="F772" s="183"/>
      <c r="G772" s="183"/>
      <c r="H772" s="184"/>
      <c r="I772" s="139"/>
      <c r="J772" s="139"/>
      <c r="K772" s="139"/>
      <c r="L772" s="139"/>
      <c r="M772" s="139"/>
      <c r="N772" s="139"/>
      <c r="O772" s="139"/>
      <c r="P772" s="139"/>
      <c r="Q772" s="139"/>
      <c r="R772" s="139"/>
      <c r="S772" s="139"/>
      <c r="T772" s="139"/>
      <c r="U772" s="139"/>
      <c r="V772" s="139"/>
      <c r="W772" s="139"/>
      <c r="X772" s="139"/>
      <c r="Y772" s="139"/>
      <c r="Z772" s="139"/>
    </row>
    <row r="773" ht="15.75" customHeight="1">
      <c r="A773" s="139"/>
      <c r="B773" s="139"/>
      <c r="C773" s="183"/>
      <c r="D773" s="183"/>
      <c r="E773" s="183"/>
      <c r="F773" s="183"/>
      <c r="G773" s="183"/>
      <c r="H773" s="184"/>
      <c r="I773" s="139"/>
      <c r="J773" s="139"/>
      <c r="K773" s="139"/>
      <c r="L773" s="139"/>
      <c r="M773" s="139"/>
      <c r="N773" s="139"/>
      <c r="O773" s="139"/>
      <c r="P773" s="139"/>
      <c r="Q773" s="139"/>
      <c r="R773" s="139"/>
      <c r="S773" s="139"/>
      <c r="T773" s="139"/>
      <c r="U773" s="139"/>
      <c r="V773" s="139"/>
      <c r="W773" s="139"/>
      <c r="X773" s="139"/>
      <c r="Y773" s="139"/>
      <c r="Z773" s="139"/>
    </row>
    <row r="774" ht="15.75" customHeight="1">
      <c r="A774" s="139"/>
      <c r="B774" s="139"/>
      <c r="C774" s="183"/>
      <c r="D774" s="183"/>
      <c r="E774" s="183"/>
      <c r="F774" s="183"/>
      <c r="G774" s="183"/>
      <c r="H774" s="184"/>
      <c r="I774" s="139"/>
      <c r="J774" s="139"/>
      <c r="K774" s="139"/>
      <c r="L774" s="139"/>
      <c r="M774" s="139"/>
      <c r="N774" s="139"/>
      <c r="O774" s="139"/>
      <c r="P774" s="139"/>
      <c r="Q774" s="139"/>
      <c r="R774" s="139"/>
      <c r="S774" s="139"/>
      <c r="T774" s="139"/>
      <c r="U774" s="139"/>
      <c r="V774" s="139"/>
      <c r="W774" s="139"/>
      <c r="X774" s="139"/>
      <c r="Y774" s="139"/>
      <c r="Z774" s="139"/>
    </row>
    <row r="775" ht="15.75" customHeight="1">
      <c r="A775" s="139"/>
      <c r="B775" s="139"/>
      <c r="C775" s="183"/>
      <c r="D775" s="183"/>
      <c r="E775" s="183"/>
      <c r="F775" s="183"/>
      <c r="G775" s="183"/>
      <c r="H775" s="184"/>
      <c r="I775" s="139"/>
      <c r="J775" s="139"/>
      <c r="K775" s="139"/>
      <c r="L775" s="139"/>
      <c r="M775" s="139"/>
      <c r="N775" s="139"/>
      <c r="O775" s="139"/>
      <c r="P775" s="139"/>
      <c r="Q775" s="139"/>
      <c r="R775" s="139"/>
      <c r="S775" s="139"/>
      <c r="T775" s="139"/>
      <c r="U775" s="139"/>
      <c r="V775" s="139"/>
      <c r="W775" s="139"/>
      <c r="X775" s="139"/>
      <c r="Y775" s="139"/>
      <c r="Z775" s="139"/>
    </row>
    <row r="776" ht="15.75" customHeight="1">
      <c r="A776" s="139"/>
      <c r="B776" s="139"/>
      <c r="C776" s="183"/>
      <c r="D776" s="183"/>
      <c r="E776" s="183"/>
      <c r="F776" s="183"/>
      <c r="G776" s="183"/>
      <c r="H776" s="184"/>
      <c r="I776" s="139"/>
      <c r="J776" s="139"/>
      <c r="K776" s="139"/>
      <c r="L776" s="139"/>
      <c r="M776" s="139"/>
      <c r="N776" s="139"/>
      <c r="O776" s="139"/>
      <c r="P776" s="139"/>
      <c r="Q776" s="139"/>
      <c r="R776" s="139"/>
      <c r="S776" s="139"/>
      <c r="T776" s="139"/>
      <c r="U776" s="139"/>
      <c r="V776" s="139"/>
      <c r="W776" s="139"/>
      <c r="X776" s="139"/>
      <c r="Y776" s="139"/>
      <c r="Z776" s="139"/>
    </row>
    <row r="777" ht="15.75" customHeight="1">
      <c r="A777" s="139"/>
      <c r="B777" s="139"/>
      <c r="C777" s="183"/>
      <c r="D777" s="183"/>
      <c r="E777" s="183"/>
      <c r="F777" s="183"/>
      <c r="G777" s="183"/>
      <c r="H777" s="184"/>
      <c r="I777" s="139"/>
      <c r="J777" s="139"/>
      <c r="K777" s="139"/>
      <c r="L777" s="139"/>
      <c r="M777" s="139"/>
      <c r="N777" s="139"/>
      <c r="O777" s="139"/>
      <c r="P777" s="139"/>
      <c r="Q777" s="139"/>
      <c r="R777" s="139"/>
      <c r="S777" s="139"/>
      <c r="T777" s="139"/>
      <c r="U777" s="139"/>
      <c r="V777" s="139"/>
      <c r="W777" s="139"/>
      <c r="X777" s="139"/>
      <c r="Y777" s="139"/>
      <c r="Z777" s="139"/>
    </row>
    <row r="778" ht="15.75" customHeight="1">
      <c r="A778" s="139"/>
      <c r="B778" s="139"/>
      <c r="C778" s="183"/>
      <c r="D778" s="183"/>
      <c r="E778" s="183"/>
      <c r="F778" s="183"/>
      <c r="G778" s="183"/>
      <c r="H778" s="184"/>
      <c r="I778" s="139"/>
      <c r="J778" s="139"/>
      <c r="K778" s="139"/>
      <c r="L778" s="139"/>
      <c r="M778" s="139"/>
      <c r="N778" s="139"/>
      <c r="O778" s="139"/>
      <c r="P778" s="139"/>
      <c r="Q778" s="139"/>
      <c r="R778" s="139"/>
      <c r="S778" s="139"/>
      <c r="T778" s="139"/>
      <c r="U778" s="139"/>
      <c r="V778" s="139"/>
      <c r="W778" s="139"/>
      <c r="X778" s="139"/>
      <c r="Y778" s="139"/>
      <c r="Z778" s="139"/>
    </row>
    <row r="779" ht="15.75" customHeight="1">
      <c r="A779" s="139"/>
      <c r="B779" s="139"/>
      <c r="C779" s="183"/>
      <c r="D779" s="183"/>
      <c r="E779" s="183"/>
      <c r="F779" s="183"/>
      <c r="G779" s="183"/>
      <c r="H779" s="184"/>
      <c r="I779" s="139"/>
      <c r="J779" s="139"/>
      <c r="K779" s="139"/>
      <c r="L779" s="139"/>
      <c r="M779" s="139"/>
      <c r="N779" s="139"/>
      <c r="O779" s="139"/>
      <c r="P779" s="139"/>
      <c r="Q779" s="139"/>
      <c r="R779" s="139"/>
      <c r="S779" s="139"/>
      <c r="T779" s="139"/>
      <c r="U779" s="139"/>
      <c r="V779" s="139"/>
      <c r="W779" s="139"/>
      <c r="X779" s="139"/>
      <c r="Y779" s="139"/>
      <c r="Z779" s="139"/>
    </row>
    <row r="780" ht="15.75" customHeight="1">
      <c r="A780" s="139"/>
      <c r="B780" s="139"/>
      <c r="C780" s="183"/>
      <c r="D780" s="183"/>
      <c r="E780" s="183"/>
      <c r="F780" s="183"/>
      <c r="G780" s="183"/>
      <c r="H780" s="184"/>
      <c r="I780" s="139"/>
      <c r="J780" s="139"/>
      <c r="K780" s="139"/>
      <c r="L780" s="139"/>
      <c r="M780" s="139"/>
      <c r="N780" s="139"/>
      <c r="O780" s="139"/>
      <c r="P780" s="139"/>
      <c r="Q780" s="139"/>
      <c r="R780" s="139"/>
      <c r="S780" s="139"/>
      <c r="T780" s="139"/>
      <c r="U780" s="139"/>
      <c r="V780" s="139"/>
      <c r="W780" s="139"/>
      <c r="X780" s="139"/>
      <c r="Y780" s="139"/>
      <c r="Z780" s="139"/>
    </row>
    <row r="781" ht="15.75" customHeight="1">
      <c r="A781" s="139"/>
      <c r="B781" s="139"/>
      <c r="C781" s="183"/>
      <c r="D781" s="183"/>
      <c r="E781" s="183"/>
      <c r="F781" s="183"/>
      <c r="G781" s="183"/>
      <c r="H781" s="184"/>
      <c r="I781" s="139"/>
      <c r="J781" s="139"/>
      <c r="K781" s="139"/>
      <c r="L781" s="139"/>
      <c r="M781" s="139"/>
      <c r="N781" s="139"/>
      <c r="O781" s="139"/>
      <c r="P781" s="139"/>
      <c r="Q781" s="139"/>
      <c r="R781" s="139"/>
      <c r="S781" s="139"/>
      <c r="T781" s="139"/>
      <c r="U781" s="139"/>
      <c r="V781" s="139"/>
      <c r="W781" s="139"/>
      <c r="X781" s="139"/>
      <c r="Y781" s="139"/>
      <c r="Z781" s="139"/>
    </row>
    <row r="782" ht="15.75" customHeight="1">
      <c r="A782" s="139"/>
      <c r="B782" s="139"/>
      <c r="C782" s="183"/>
      <c r="D782" s="183"/>
      <c r="E782" s="183"/>
      <c r="F782" s="183"/>
      <c r="G782" s="183"/>
      <c r="H782" s="184"/>
      <c r="I782" s="139"/>
      <c r="J782" s="139"/>
      <c r="K782" s="139"/>
      <c r="L782" s="139"/>
      <c r="M782" s="139"/>
      <c r="N782" s="139"/>
      <c r="O782" s="139"/>
      <c r="P782" s="139"/>
      <c r="Q782" s="139"/>
      <c r="R782" s="139"/>
      <c r="S782" s="139"/>
      <c r="T782" s="139"/>
      <c r="U782" s="139"/>
      <c r="V782" s="139"/>
      <c r="W782" s="139"/>
      <c r="X782" s="139"/>
      <c r="Y782" s="139"/>
      <c r="Z782" s="139"/>
    </row>
    <row r="783" ht="15.75" customHeight="1">
      <c r="A783" s="139"/>
      <c r="B783" s="139"/>
      <c r="C783" s="183"/>
      <c r="D783" s="183"/>
      <c r="E783" s="183"/>
      <c r="F783" s="183"/>
      <c r="G783" s="183"/>
      <c r="H783" s="184"/>
      <c r="I783" s="139"/>
      <c r="J783" s="139"/>
      <c r="K783" s="139"/>
      <c r="L783" s="139"/>
      <c r="M783" s="139"/>
      <c r="N783" s="139"/>
      <c r="O783" s="139"/>
      <c r="P783" s="139"/>
      <c r="Q783" s="139"/>
      <c r="R783" s="139"/>
      <c r="S783" s="139"/>
      <c r="T783" s="139"/>
      <c r="U783" s="139"/>
      <c r="V783" s="139"/>
      <c r="W783" s="139"/>
      <c r="X783" s="139"/>
      <c r="Y783" s="139"/>
      <c r="Z783" s="139"/>
    </row>
    <row r="784" ht="15.75" customHeight="1">
      <c r="A784" s="139"/>
      <c r="B784" s="139"/>
      <c r="C784" s="183"/>
      <c r="D784" s="183"/>
      <c r="E784" s="183"/>
      <c r="F784" s="183"/>
      <c r="G784" s="183"/>
      <c r="H784" s="184"/>
      <c r="I784" s="139"/>
      <c r="J784" s="139"/>
      <c r="K784" s="139"/>
      <c r="L784" s="139"/>
      <c r="M784" s="139"/>
      <c r="N784" s="139"/>
      <c r="O784" s="139"/>
      <c r="P784" s="139"/>
      <c r="Q784" s="139"/>
      <c r="R784" s="139"/>
      <c r="S784" s="139"/>
      <c r="T784" s="139"/>
      <c r="U784" s="139"/>
      <c r="V784" s="139"/>
      <c r="W784" s="139"/>
      <c r="X784" s="139"/>
      <c r="Y784" s="139"/>
      <c r="Z784" s="139"/>
    </row>
    <row r="785" ht="15.75" customHeight="1">
      <c r="A785" s="139"/>
      <c r="B785" s="139"/>
      <c r="C785" s="183"/>
      <c r="D785" s="183"/>
      <c r="E785" s="183"/>
      <c r="F785" s="183"/>
      <c r="G785" s="183"/>
      <c r="H785" s="184"/>
      <c r="I785" s="139"/>
      <c r="J785" s="139"/>
      <c r="K785" s="139"/>
      <c r="L785" s="139"/>
      <c r="M785" s="139"/>
      <c r="N785" s="139"/>
      <c r="O785" s="139"/>
      <c r="P785" s="139"/>
      <c r="Q785" s="139"/>
      <c r="R785" s="139"/>
      <c r="S785" s="139"/>
      <c r="T785" s="139"/>
      <c r="U785" s="139"/>
      <c r="V785" s="139"/>
      <c r="W785" s="139"/>
      <c r="X785" s="139"/>
      <c r="Y785" s="139"/>
      <c r="Z785" s="139"/>
    </row>
    <row r="786" ht="15.75" customHeight="1">
      <c r="A786" s="139"/>
      <c r="B786" s="139"/>
      <c r="C786" s="183"/>
      <c r="D786" s="183"/>
      <c r="E786" s="183"/>
      <c r="F786" s="183"/>
      <c r="G786" s="183"/>
      <c r="H786" s="184"/>
      <c r="I786" s="139"/>
      <c r="J786" s="139"/>
      <c r="K786" s="139"/>
      <c r="L786" s="139"/>
      <c r="M786" s="139"/>
      <c r="N786" s="139"/>
      <c r="O786" s="139"/>
      <c r="P786" s="139"/>
      <c r="Q786" s="139"/>
      <c r="R786" s="139"/>
      <c r="S786" s="139"/>
      <c r="T786" s="139"/>
      <c r="U786" s="139"/>
      <c r="V786" s="139"/>
      <c r="W786" s="139"/>
      <c r="X786" s="139"/>
      <c r="Y786" s="139"/>
      <c r="Z786" s="139"/>
    </row>
    <row r="787" ht="15.75" customHeight="1">
      <c r="A787" s="139"/>
      <c r="B787" s="139"/>
      <c r="C787" s="183"/>
      <c r="D787" s="183"/>
      <c r="E787" s="183"/>
      <c r="F787" s="183"/>
      <c r="G787" s="183"/>
      <c r="H787" s="184"/>
      <c r="I787" s="139"/>
      <c r="J787" s="139"/>
      <c r="K787" s="139"/>
      <c r="L787" s="139"/>
      <c r="M787" s="139"/>
      <c r="N787" s="139"/>
      <c r="O787" s="139"/>
      <c r="P787" s="139"/>
      <c r="Q787" s="139"/>
      <c r="R787" s="139"/>
      <c r="S787" s="139"/>
      <c r="T787" s="139"/>
      <c r="U787" s="139"/>
      <c r="V787" s="139"/>
      <c r="W787" s="139"/>
      <c r="X787" s="139"/>
      <c r="Y787" s="139"/>
      <c r="Z787" s="139"/>
    </row>
    <row r="788" ht="15.75" customHeight="1">
      <c r="A788" s="139"/>
      <c r="B788" s="139"/>
      <c r="C788" s="183"/>
      <c r="D788" s="183"/>
      <c r="E788" s="183"/>
      <c r="F788" s="183"/>
      <c r="G788" s="183"/>
      <c r="H788" s="184"/>
      <c r="I788" s="139"/>
      <c r="J788" s="139"/>
      <c r="K788" s="139"/>
      <c r="L788" s="139"/>
      <c r="M788" s="139"/>
      <c r="N788" s="139"/>
      <c r="O788" s="139"/>
      <c r="P788" s="139"/>
      <c r="Q788" s="139"/>
      <c r="R788" s="139"/>
      <c r="S788" s="139"/>
      <c r="T788" s="139"/>
      <c r="U788" s="139"/>
      <c r="V788" s="139"/>
      <c r="W788" s="139"/>
      <c r="X788" s="139"/>
      <c r="Y788" s="139"/>
      <c r="Z788" s="139"/>
    </row>
    <row r="789" ht="15.75" customHeight="1">
      <c r="A789" s="139"/>
      <c r="B789" s="139"/>
      <c r="C789" s="183"/>
      <c r="D789" s="183"/>
      <c r="E789" s="183"/>
      <c r="F789" s="183"/>
      <c r="G789" s="183"/>
      <c r="H789" s="184"/>
      <c r="I789" s="139"/>
      <c r="J789" s="139"/>
      <c r="K789" s="139"/>
      <c r="L789" s="139"/>
      <c r="M789" s="139"/>
      <c r="N789" s="139"/>
      <c r="O789" s="139"/>
      <c r="P789" s="139"/>
      <c r="Q789" s="139"/>
      <c r="R789" s="139"/>
      <c r="S789" s="139"/>
      <c r="T789" s="139"/>
      <c r="U789" s="139"/>
      <c r="V789" s="139"/>
      <c r="W789" s="139"/>
      <c r="X789" s="139"/>
      <c r="Y789" s="139"/>
      <c r="Z789" s="139"/>
    </row>
    <row r="790" ht="15.75" customHeight="1">
      <c r="A790" s="139"/>
      <c r="B790" s="139"/>
      <c r="C790" s="183"/>
      <c r="D790" s="183"/>
      <c r="E790" s="183"/>
      <c r="F790" s="183"/>
      <c r="G790" s="183"/>
      <c r="H790" s="184"/>
      <c r="I790" s="139"/>
      <c r="J790" s="139"/>
      <c r="K790" s="139"/>
      <c r="L790" s="139"/>
      <c r="M790" s="139"/>
      <c r="N790" s="139"/>
      <c r="O790" s="139"/>
      <c r="P790" s="139"/>
      <c r="Q790" s="139"/>
      <c r="R790" s="139"/>
      <c r="S790" s="139"/>
      <c r="T790" s="139"/>
      <c r="U790" s="139"/>
      <c r="V790" s="139"/>
      <c r="W790" s="139"/>
      <c r="X790" s="139"/>
      <c r="Y790" s="139"/>
      <c r="Z790" s="139"/>
    </row>
    <row r="791" ht="15.75" customHeight="1">
      <c r="A791" s="139"/>
      <c r="B791" s="139"/>
      <c r="C791" s="183"/>
      <c r="D791" s="183"/>
      <c r="E791" s="183"/>
      <c r="F791" s="183"/>
      <c r="G791" s="183"/>
      <c r="H791" s="184"/>
      <c r="I791" s="139"/>
      <c r="J791" s="139"/>
      <c r="K791" s="139"/>
      <c r="L791" s="139"/>
      <c r="M791" s="139"/>
      <c r="N791" s="139"/>
      <c r="O791" s="139"/>
      <c r="P791" s="139"/>
      <c r="Q791" s="139"/>
      <c r="R791" s="139"/>
      <c r="S791" s="139"/>
      <c r="T791" s="139"/>
      <c r="U791" s="139"/>
      <c r="V791" s="139"/>
      <c r="W791" s="139"/>
      <c r="X791" s="139"/>
      <c r="Y791" s="139"/>
      <c r="Z791" s="139"/>
    </row>
    <row r="792" ht="15.75" customHeight="1">
      <c r="A792" s="139"/>
      <c r="B792" s="139"/>
      <c r="C792" s="183"/>
      <c r="D792" s="183"/>
      <c r="E792" s="183"/>
      <c r="F792" s="183"/>
      <c r="G792" s="183"/>
      <c r="H792" s="184"/>
      <c r="I792" s="139"/>
      <c r="J792" s="139"/>
      <c r="K792" s="139"/>
      <c r="L792" s="139"/>
      <c r="M792" s="139"/>
      <c r="N792" s="139"/>
      <c r="O792" s="139"/>
      <c r="P792" s="139"/>
      <c r="Q792" s="139"/>
      <c r="R792" s="139"/>
      <c r="S792" s="139"/>
      <c r="T792" s="139"/>
      <c r="U792" s="139"/>
      <c r="V792" s="139"/>
      <c r="W792" s="139"/>
      <c r="X792" s="139"/>
      <c r="Y792" s="139"/>
      <c r="Z792" s="139"/>
    </row>
    <row r="793" ht="15.75" customHeight="1">
      <c r="A793" s="139"/>
      <c r="B793" s="139"/>
      <c r="C793" s="183"/>
      <c r="D793" s="183"/>
      <c r="E793" s="183"/>
      <c r="F793" s="183"/>
      <c r="G793" s="183"/>
      <c r="H793" s="184"/>
      <c r="I793" s="139"/>
      <c r="J793" s="139"/>
      <c r="K793" s="139"/>
      <c r="L793" s="139"/>
      <c r="M793" s="139"/>
      <c r="N793" s="139"/>
      <c r="O793" s="139"/>
      <c r="P793" s="139"/>
      <c r="Q793" s="139"/>
      <c r="R793" s="139"/>
      <c r="S793" s="139"/>
      <c r="T793" s="139"/>
      <c r="U793" s="139"/>
      <c r="V793" s="139"/>
      <c r="W793" s="139"/>
      <c r="X793" s="139"/>
      <c r="Y793" s="139"/>
      <c r="Z793" s="139"/>
    </row>
    <row r="794" ht="15.75" customHeight="1">
      <c r="A794" s="139"/>
      <c r="B794" s="139"/>
      <c r="C794" s="183"/>
      <c r="D794" s="183"/>
      <c r="E794" s="183"/>
      <c r="F794" s="183"/>
      <c r="G794" s="183"/>
      <c r="H794" s="184"/>
      <c r="I794" s="139"/>
      <c r="J794" s="139"/>
      <c r="K794" s="139"/>
      <c r="L794" s="139"/>
      <c r="M794" s="139"/>
      <c r="N794" s="139"/>
      <c r="O794" s="139"/>
      <c r="P794" s="139"/>
      <c r="Q794" s="139"/>
      <c r="R794" s="139"/>
      <c r="S794" s="139"/>
      <c r="T794" s="139"/>
      <c r="U794" s="139"/>
      <c r="V794" s="139"/>
      <c r="W794" s="139"/>
      <c r="X794" s="139"/>
      <c r="Y794" s="139"/>
      <c r="Z794" s="139"/>
    </row>
    <row r="795" ht="15.75" customHeight="1">
      <c r="A795" s="139"/>
      <c r="B795" s="139"/>
      <c r="C795" s="183"/>
      <c r="D795" s="183"/>
      <c r="E795" s="183"/>
      <c r="F795" s="183"/>
      <c r="G795" s="183"/>
      <c r="H795" s="184"/>
      <c r="I795" s="139"/>
      <c r="J795" s="139"/>
      <c r="K795" s="139"/>
      <c r="L795" s="139"/>
      <c r="M795" s="139"/>
      <c r="N795" s="139"/>
      <c r="O795" s="139"/>
      <c r="P795" s="139"/>
      <c r="Q795" s="139"/>
      <c r="R795" s="139"/>
      <c r="S795" s="139"/>
      <c r="T795" s="139"/>
      <c r="U795" s="139"/>
      <c r="V795" s="139"/>
      <c r="W795" s="139"/>
      <c r="X795" s="139"/>
      <c r="Y795" s="139"/>
      <c r="Z795" s="139"/>
    </row>
    <row r="796" ht="15.75" customHeight="1">
      <c r="A796" s="139"/>
      <c r="B796" s="139"/>
      <c r="C796" s="183"/>
      <c r="D796" s="183"/>
      <c r="E796" s="183"/>
      <c r="F796" s="183"/>
      <c r="G796" s="183"/>
      <c r="H796" s="184"/>
      <c r="I796" s="139"/>
      <c r="J796" s="139"/>
      <c r="K796" s="139"/>
      <c r="L796" s="139"/>
      <c r="M796" s="139"/>
      <c r="N796" s="139"/>
      <c r="O796" s="139"/>
      <c r="P796" s="139"/>
      <c r="Q796" s="139"/>
      <c r="R796" s="139"/>
      <c r="S796" s="139"/>
      <c r="T796" s="139"/>
      <c r="U796" s="139"/>
      <c r="V796" s="139"/>
      <c r="W796" s="139"/>
      <c r="X796" s="139"/>
      <c r="Y796" s="139"/>
      <c r="Z796" s="139"/>
    </row>
    <row r="797" ht="15.75" customHeight="1">
      <c r="A797" s="139"/>
      <c r="B797" s="139"/>
      <c r="C797" s="183"/>
      <c r="D797" s="183"/>
      <c r="E797" s="183"/>
      <c r="F797" s="183"/>
      <c r="G797" s="183"/>
      <c r="H797" s="184"/>
      <c r="I797" s="139"/>
      <c r="J797" s="139"/>
      <c r="K797" s="139"/>
      <c r="L797" s="139"/>
      <c r="M797" s="139"/>
      <c r="N797" s="139"/>
      <c r="O797" s="139"/>
      <c r="P797" s="139"/>
      <c r="Q797" s="139"/>
      <c r="R797" s="139"/>
      <c r="S797" s="139"/>
      <c r="T797" s="139"/>
      <c r="U797" s="139"/>
      <c r="V797" s="139"/>
      <c r="W797" s="139"/>
      <c r="X797" s="139"/>
      <c r="Y797" s="139"/>
      <c r="Z797" s="139"/>
    </row>
    <row r="798" ht="15.75" customHeight="1">
      <c r="A798" s="139"/>
      <c r="B798" s="139"/>
      <c r="C798" s="183"/>
      <c r="D798" s="183"/>
      <c r="E798" s="183"/>
      <c r="F798" s="183"/>
      <c r="G798" s="183"/>
      <c r="H798" s="184"/>
      <c r="I798" s="139"/>
      <c r="J798" s="139"/>
      <c r="K798" s="139"/>
      <c r="L798" s="139"/>
      <c r="M798" s="139"/>
      <c r="N798" s="139"/>
      <c r="O798" s="139"/>
      <c r="P798" s="139"/>
      <c r="Q798" s="139"/>
      <c r="R798" s="139"/>
      <c r="S798" s="139"/>
      <c r="T798" s="139"/>
      <c r="U798" s="139"/>
      <c r="V798" s="139"/>
      <c r="W798" s="139"/>
      <c r="X798" s="139"/>
      <c r="Y798" s="139"/>
      <c r="Z798" s="139"/>
    </row>
    <row r="799" ht="15.75" customHeight="1">
      <c r="A799" s="139"/>
      <c r="B799" s="139"/>
      <c r="C799" s="183"/>
      <c r="D799" s="183"/>
      <c r="E799" s="183"/>
      <c r="F799" s="183"/>
      <c r="G799" s="183"/>
      <c r="H799" s="184"/>
      <c r="I799" s="139"/>
      <c r="J799" s="139"/>
      <c r="K799" s="139"/>
      <c r="L799" s="139"/>
      <c r="M799" s="139"/>
      <c r="N799" s="139"/>
      <c r="O799" s="139"/>
      <c r="P799" s="139"/>
      <c r="Q799" s="139"/>
      <c r="R799" s="139"/>
      <c r="S799" s="139"/>
      <c r="T799" s="139"/>
      <c r="U799" s="139"/>
      <c r="V799" s="139"/>
      <c r="W799" s="139"/>
      <c r="X799" s="139"/>
      <c r="Y799" s="139"/>
      <c r="Z799" s="139"/>
    </row>
    <row r="800" ht="15.75" customHeight="1">
      <c r="A800" s="139"/>
      <c r="B800" s="139"/>
      <c r="C800" s="183"/>
      <c r="D800" s="183"/>
      <c r="E800" s="183"/>
      <c r="F800" s="183"/>
      <c r="G800" s="183"/>
      <c r="H800" s="184"/>
      <c r="I800" s="139"/>
      <c r="J800" s="139"/>
      <c r="K800" s="139"/>
      <c r="L800" s="139"/>
      <c r="M800" s="139"/>
      <c r="N800" s="139"/>
      <c r="O800" s="139"/>
      <c r="P800" s="139"/>
      <c r="Q800" s="139"/>
      <c r="R800" s="139"/>
      <c r="S800" s="139"/>
      <c r="T800" s="139"/>
      <c r="U800" s="139"/>
      <c r="V800" s="139"/>
      <c r="W800" s="139"/>
      <c r="X800" s="139"/>
      <c r="Y800" s="139"/>
      <c r="Z800" s="139"/>
    </row>
    <row r="801" ht="15.75" customHeight="1">
      <c r="A801" s="139"/>
      <c r="B801" s="139"/>
      <c r="C801" s="183"/>
      <c r="D801" s="183"/>
      <c r="E801" s="183"/>
      <c r="F801" s="183"/>
      <c r="G801" s="183"/>
      <c r="H801" s="184"/>
      <c r="I801" s="139"/>
      <c r="J801" s="139"/>
      <c r="K801" s="139"/>
      <c r="L801" s="139"/>
      <c r="M801" s="139"/>
      <c r="N801" s="139"/>
      <c r="O801" s="139"/>
      <c r="P801" s="139"/>
      <c r="Q801" s="139"/>
      <c r="R801" s="139"/>
      <c r="S801" s="139"/>
      <c r="T801" s="139"/>
      <c r="U801" s="139"/>
      <c r="V801" s="139"/>
      <c r="W801" s="139"/>
      <c r="X801" s="139"/>
      <c r="Y801" s="139"/>
      <c r="Z801" s="139"/>
    </row>
    <row r="802" ht="15.75" customHeight="1">
      <c r="A802" s="139"/>
      <c r="B802" s="139"/>
      <c r="C802" s="183"/>
      <c r="D802" s="183"/>
      <c r="E802" s="183"/>
      <c r="F802" s="183"/>
      <c r="G802" s="183"/>
      <c r="H802" s="184"/>
      <c r="I802" s="139"/>
      <c r="J802" s="139"/>
      <c r="K802" s="139"/>
      <c r="L802" s="139"/>
      <c r="M802" s="139"/>
      <c r="N802" s="139"/>
      <c r="O802" s="139"/>
      <c r="P802" s="139"/>
      <c r="Q802" s="139"/>
      <c r="R802" s="139"/>
      <c r="S802" s="139"/>
      <c r="T802" s="139"/>
      <c r="U802" s="139"/>
      <c r="V802" s="139"/>
      <c r="W802" s="139"/>
      <c r="X802" s="139"/>
      <c r="Y802" s="139"/>
      <c r="Z802" s="139"/>
    </row>
    <row r="803" ht="15.75" customHeight="1">
      <c r="A803" s="139"/>
      <c r="B803" s="139"/>
      <c r="C803" s="183"/>
      <c r="D803" s="183"/>
      <c r="E803" s="183"/>
      <c r="F803" s="183"/>
      <c r="G803" s="183"/>
      <c r="H803" s="184"/>
      <c r="I803" s="139"/>
      <c r="J803" s="139"/>
      <c r="K803" s="139"/>
      <c r="L803" s="139"/>
      <c r="M803" s="139"/>
      <c r="N803" s="139"/>
      <c r="O803" s="139"/>
      <c r="P803" s="139"/>
      <c r="Q803" s="139"/>
      <c r="R803" s="139"/>
      <c r="S803" s="139"/>
      <c r="T803" s="139"/>
      <c r="U803" s="139"/>
      <c r="V803" s="139"/>
      <c r="W803" s="139"/>
      <c r="X803" s="139"/>
      <c r="Y803" s="139"/>
      <c r="Z803" s="139"/>
    </row>
    <row r="804" ht="15.75" customHeight="1">
      <c r="A804" s="139"/>
      <c r="B804" s="139"/>
      <c r="C804" s="183"/>
      <c r="D804" s="183"/>
      <c r="E804" s="183"/>
      <c r="F804" s="183"/>
      <c r="G804" s="183"/>
      <c r="H804" s="184"/>
      <c r="I804" s="139"/>
      <c r="J804" s="139"/>
      <c r="K804" s="139"/>
      <c r="L804" s="139"/>
      <c r="M804" s="139"/>
      <c r="N804" s="139"/>
      <c r="O804" s="139"/>
      <c r="P804" s="139"/>
      <c r="Q804" s="139"/>
      <c r="R804" s="139"/>
      <c r="S804" s="139"/>
      <c r="T804" s="139"/>
      <c r="U804" s="139"/>
      <c r="V804" s="139"/>
      <c r="W804" s="139"/>
      <c r="X804" s="139"/>
      <c r="Y804" s="139"/>
      <c r="Z804" s="139"/>
    </row>
    <row r="805" ht="15.75" customHeight="1">
      <c r="A805" s="139"/>
      <c r="B805" s="139"/>
      <c r="C805" s="183"/>
      <c r="D805" s="183"/>
      <c r="E805" s="183"/>
      <c r="F805" s="183"/>
      <c r="G805" s="183"/>
      <c r="H805" s="184"/>
      <c r="I805" s="139"/>
      <c r="J805" s="139"/>
      <c r="K805" s="139"/>
      <c r="L805" s="139"/>
      <c r="M805" s="139"/>
      <c r="N805" s="139"/>
      <c r="O805" s="139"/>
      <c r="P805" s="139"/>
      <c r="Q805" s="139"/>
      <c r="R805" s="139"/>
      <c r="S805" s="139"/>
      <c r="T805" s="139"/>
      <c r="U805" s="139"/>
      <c r="V805" s="139"/>
      <c r="W805" s="139"/>
      <c r="X805" s="139"/>
      <c r="Y805" s="139"/>
      <c r="Z805" s="139"/>
    </row>
    <row r="806" ht="15.75" customHeight="1">
      <c r="A806" s="139"/>
      <c r="B806" s="139"/>
      <c r="C806" s="183"/>
      <c r="D806" s="183"/>
      <c r="E806" s="183"/>
      <c r="F806" s="183"/>
      <c r="G806" s="183"/>
      <c r="H806" s="184"/>
      <c r="I806" s="139"/>
      <c r="J806" s="139"/>
      <c r="K806" s="139"/>
      <c r="L806" s="139"/>
      <c r="M806" s="139"/>
      <c r="N806" s="139"/>
      <c r="O806" s="139"/>
      <c r="P806" s="139"/>
      <c r="Q806" s="139"/>
      <c r="R806" s="139"/>
      <c r="S806" s="139"/>
      <c r="T806" s="139"/>
      <c r="U806" s="139"/>
      <c r="V806" s="139"/>
      <c r="W806" s="139"/>
      <c r="X806" s="139"/>
      <c r="Y806" s="139"/>
      <c r="Z806" s="139"/>
    </row>
    <row r="807" ht="15.75" customHeight="1">
      <c r="A807" s="139"/>
      <c r="B807" s="139"/>
      <c r="C807" s="183"/>
      <c r="D807" s="183"/>
      <c r="E807" s="183"/>
      <c r="F807" s="183"/>
      <c r="G807" s="183"/>
      <c r="H807" s="184"/>
      <c r="I807" s="139"/>
      <c r="J807" s="139"/>
      <c r="K807" s="139"/>
      <c r="L807" s="139"/>
      <c r="M807" s="139"/>
      <c r="N807" s="139"/>
      <c r="O807" s="139"/>
      <c r="P807" s="139"/>
      <c r="Q807" s="139"/>
      <c r="R807" s="139"/>
      <c r="S807" s="139"/>
      <c r="T807" s="139"/>
      <c r="U807" s="139"/>
      <c r="V807" s="139"/>
      <c r="W807" s="139"/>
      <c r="X807" s="139"/>
      <c r="Y807" s="139"/>
      <c r="Z807" s="139"/>
    </row>
    <row r="808" ht="15.75" customHeight="1">
      <c r="A808" s="139"/>
      <c r="B808" s="139"/>
      <c r="C808" s="183"/>
      <c r="D808" s="183"/>
      <c r="E808" s="183"/>
      <c r="F808" s="183"/>
      <c r="G808" s="183"/>
      <c r="H808" s="184"/>
      <c r="I808" s="139"/>
      <c r="J808" s="139"/>
      <c r="K808" s="139"/>
      <c r="L808" s="139"/>
      <c r="M808" s="139"/>
      <c r="N808" s="139"/>
      <c r="O808" s="139"/>
      <c r="P808" s="139"/>
      <c r="Q808" s="139"/>
      <c r="R808" s="139"/>
      <c r="S808" s="139"/>
      <c r="T808" s="139"/>
      <c r="U808" s="139"/>
      <c r="V808" s="139"/>
      <c r="W808" s="139"/>
      <c r="X808" s="139"/>
      <c r="Y808" s="139"/>
      <c r="Z808" s="139"/>
    </row>
    <row r="809" ht="15.75" customHeight="1">
      <c r="A809" s="139"/>
      <c r="B809" s="139"/>
      <c r="C809" s="183"/>
      <c r="D809" s="183"/>
      <c r="E809" s="183"/>
      <c r="F809" s="183"/>
      <c r="G809" s="183"/>
      <c r="H809" s="184"/>
      <c r="I809" s="139"/>
      <c r="J809" s="139"/>
      <c r="K809" s="139"/>
      <c r="L809" s="139"/>
      <c r="M809" s="139"/>
      <c r="N809" s="139"/>
      <c r="O809" s="139"/>
      <c r="P809" s="139"/>
      <c r="Q809" s="139"/>
      <c r="R809" s="139"/>
      <c r="S809" s="139"/>
      <c r="T809" s="139"/>
      <c r="U809" s="139"/>
      <c r="V809" s="139"/>
      <c r="W809" s="139"/>
      <c r="X809" s="139"/>
      <c r="Y809" s="139"/>
      <c r="Z809" s="139"/>
    </row>
    <row r="810" ht="15.75" customHeight="1">
      <c r="A810" s="139"/>
      <c r="B810" s="139"/>
      <c r="C810" s="183"/>
      <c r="D810" s="183"/>
      <c r="E810" s="183"/>
      <c r="F810" s="183"/>
      <c r="G810" s="183"/>
      <c r="H810" s="184"/>
      <c r="I810" s="139"/>
      <c r="J810" s="139"/>
      <c r="K810" s="139"/>
      <c r="L810" s="139"/>
      <c r="M810" s="139"/>
      <c r="N810" s="139"/>
      <c r="O810" s="139"/>
      <c r="P810" s="139"/>
      <c r="Q810" s="139"/>
      <c r="R810" s="139"/>
      <c r="S810" s="139"/>
      <c r="T810" s="139"/>
      <c r="U810" s="139"/>
      <c r="V810" s="139"/>
      <c r="W810" s="139"/>
      <c r="X810" s="139"/>
      <c r="Y810" s="139"/>
      <c r="Z810" s="139"/>
    </row>
    <row r="811" ht="15.75" customHeight="1">
      <c r="A811" s="139"/>
      <c r="B811" s="139"/>
      <c r="C811" s="183"/>
      <c r="D811" s="183"/>
      <c r="E811" s="183"/>
      <c r="F811" s="183"/>
      <c r="G811" s="183"/>
      <c r="H811" s="184"/>
      <c r="I811" s="139"/>
      <c r="J811" s="139"/>
      <c r="K811" s="139"/>
      <c r="L811" s="139"/>
      <c r="M811" s="139"/>
      <c r="N811" s="139"/>
      <c r="O811" s="139"/>
      <c r="P811" s="139"/>
      <c r="Q811" s="139"/>
      <c r="R811" s="139"/>
      <c r="S811" s="139"/>
      <c r="T811" s="139"/>
      <c r="U811" s="139"/>
      <c r="V811" s="139"/>
      <c r="W811" s="139"/>
      <c r="X811" s="139"/>
      <c r="Y811" s="139"/>
      <c r="Z811" s="139"/>
    </row>
    <row r="812" ht="15.75" customHeight="1">
      <c r="A812" s="139"/>
      <c r="B812" s="139"/>
      <c r="C812" s="183"/>
      <c r="D812" s="183"/>
      <c r="E812" s="183"/>
      <c r="F812" s="183"/>
      <c r="G812" s="183"/>
      <c r="H812" s="184"/>
      <c r="I812" s="139"/>
      <c r="J812" s="139"/>
      <c r="K812" s="139"/>
      <c r="L812" s="139"/>
      <c r="M812" s="139"/>
      <c r="N812" s="139"/>
      <c r="O812" s="139"/>
      <c r="P812" s="139"/>
      <c r="Q812" s="139"/>
      <c r="R812" s="139"/>
      <c r="S812" s="139"/>
      <c r="T812" s="139"/>
      <c r="U812" s="139"/>
      <c r="V812" s="139"/>
      <c r="W812" s="139"/>
      <c r="X812" s="139"/>
      <c r="Y812" s="139"/>
      <c r="Z812" s="139"/>
    </row>
    <row r="813" ht="15.75" customHeight="1">
      <c r="A813" s="139"/>
      <c r="B813" s="139"/>
      <c r="C813" s="183"/>
      <c r="D813" s="183"/>
      <c r="E813" s="183"/>
      <c r="F813" s="183"/>
      <c r="G813" s="183"/>
      <c r="H813" s="184"/>
      <c r="I813" s="139"/>
      <c r="J813" s="139"/>
      <c r="K813" s="139"/>
      <c r="L813" s="139"/>
      <c r="M813" s="139"/>
      <c r="N813" s="139"/>
      <c r="O813" s="139"/>
      <c r="P813" s="139"/>
      <c r="Q813" s="139"/>
      <c r="R813" s="139"/>
      <c r="S813" s="139"/>
      <c r="T813" s="139"/>
      <c r="U813" s="139"/>
      <c r="V813" s="139"/>
      <c r="W813" s="139"/>
      <c r="X813" s="139"/>
      <c r="Y813" s="139"/>
      <c r="Z813" s="139"/>
    </row>
    <row r="814" ht="15.75" customHeight="1">
      <c r="A814" s="139"/>
      <c r="B814" s="139"/>
      <c r="C814" s="183"/>
      <c r="D814" s="183"/>
      <c r="E814" s="183"/>
      <c r="F814" s="183"/>
      <c r="G814" s="183"/>
      <c r="H814" s="184"/>
      <c r="I814" s="139"/>
      <c r="J814" s="139"/>
      <c r="K814" s="139"/>
      <c r="L814" s="139"/>
      <c r="M814" s="139"/>
      <c r="N814" s="139"/>
      <c r="O814" s="139"/>
      <c r="P814" s="139"/>
      <c r="Q814" s="139"/>
      <c r="R814" s="139"/>
      <c r="S814" s="139"/>
      <c r="T814" s="139"/>
      <c r="U814" s="139"/>
      <c r="V814" s="139"/>
      <c r="W814" s="139"/>
      <c r="X814" s="139"/>
      <c r="Y814" s="139"/>
      <c r="Z814" s="139"/>
    </row>
    <row r="815" ht="15.75" customHeight="1">
      <c r="A815" s="139"/>
      <c r="B815" s="139"/>
      <c r="C815" s="183"/>
      <c r="D815" s="183"/>
      <c r="E815" s="183"/>
      <c r="F815" s="183"/>
      <c r="G815" s="183"/>
      <c r="H815" s="184"/>
      <c r="I815" s="139"/>
      <c r="J815" s="139"/>
      <c r="K815" s="139"/>
      <c r="L815" s="139"/>
      <c r="M815" s="139"/>
      <c r="N815" s="139"/>
      <c r="O815" s="139"/>
      <c r="P815" s="139"/>
      <c r="Q815" s="139"/>
      <c r="R815" s="139"/>
      <c r="S815" s="139"/>
      <c r="T815" s="139"/>
      <c r="U815" s="139"/>
      <c r="V815" s="139"/>
      <c r="W815" s="139"/>
      <c r="X815" s="139"/>
      <c r="Y815" s="139"/>
      <c r="Z815" s="139"/>
    </row>
    <row r="816" ht="15.75" customHeight="1">
      <c r="A816" s="139"/>
      <c r="B816" s="139"/>
      <c r="C816" s="183"/>
      <c r="D816" s="183"/>
      <c r="E816" s="183"/>
      <c r="F816" s="183"/>
      <c r="G816" s="183"/>
      <c r="H816" s="184"/>
      <c r="I816" s="139"/>
      <c r="J816" s="139"/>
      <c r="K816" s="139"/>
      <c r="L816" s="139"/>
      <c r="M816" s="139"/>
      <c r="N816" s="139"/>
      <c r="O816" s="139"/>
      <c r="P816" s="139"/>
      <c r="Q816" s="139"/>
      <c r="R816" s="139"/>
      <c r="S816" s="139"/>
      <c r="T816" s="139"/>
      <c r="U816" s="139"/>
      <c r="V816" s="139"/>
      <c r="W816" s="139"/>
      <c r="X816" s="139"/>
      <c r="Y816" s="139"/>
      <c r="Z816" s="139"/>
    </row>
    <row r="817" ht="15.75" customHeight="1">
      <c r="A817" s="139"/>
      <c r="B817" s="139"/>
      <c r="C817" s="183"/>
      <c r="D817" s="183"/>
      <c r="E817" s="183"/>
      <c r="F817" s="183"/>
      <c r="G817" s="183"/>
      <c r="H817" s="184"/>
      <c r="I817" s="139"/>
      <c r="J817" s="139"/>
      <c r="K817" s="139"/>
      <c r="L817" s="139"/>
      <c r="M817" s="139"/>
      <c r="N817" s="139"/>
      <c r="O817" s="139"/>
      <c r="P817" s="139"/>
      <c r="Q817" s="139"/>
      <c r="R817" s="139"/>
      <c r="S817" s="139"/>
      <c r="T817" s="139"/>
      <c r="U817" s="139"/>
      <c r="V817" s="139"/>
      <c r="W817" s="139"/>
      <c r="X817" s="139"/>
      <c r="Y817" s="139"/>
      <c r="Z817" s="139"/>
    </row>
    <row r="818" ht="15.75" customHeight="1">
      <c r="A818" s="139"/>
      <c r="B818" s="139"/>
      <c r="C818" s="183"/>
      <c r="D818" s="183"/>
      <c r="E818" s="183"/>
      <c r="F818" s="183"/>
      <c r="G818" s="183"/>
      <c r="H818" s="184"/>
      <c r="I818" s="139"/>
      <c r="J818" s="139"/>
      <c r="K818" s="139"/>
      <c r="L818" s="139"/>
      <c r="M818" s="139"/>
      <c r="N818" s="139"/>
      <c r="O818" s="139"/>
      <c r="P818" s="139"/>
      <c r="Q818" s="139"/>
      <c r="R818" s="139"/>
      <c r="S818" s="139"/>
      <c r="T818" s="139"/>
      <c r="U818" s="139"/>
      <c r="V818" s="139"/>
      <c r="W818" s="139"/>
      <c r="X818" s="139"/>
      <c r="Y818" s="139"/>
      <c r="Z818" s="139"/>
    </row>
    <row r="819" ht="15.75" customHeight="1">
      <c r="A819" s="139"/>
      <c r="B819" s="139"/>
      <c r="C819" s="183"/>
      <c r="D819" s="183"/>
      <c r="E819" s="183"/>
      <c r="F819" s="183"/>
      <c r="G819" s="183"/>
      <c r="H819" s="184"/>
      <c r="I819" s="139"/>
      <c r="J819" s="139"/>
      <c r="K819" s="139"/>
      <c r="L819" s="139"/>
      <c r="M819" s="139"/>
      <c r="N819" s="139"/>
      <c r="O819" s="139"/>
      <c r="P819" s="139"/>
      <c r="Q819" s="139"/>
      <c r="R819" s="139"/>
      <c r="S819" s="139"/>
      <c r="T819" s="139"/>
      <c r="U819" s="139"/>
      <c r="V819" s="139"/>
      <c r="W819" s="139"/>
      <c r="X819" s="139"/>
      <c r="Y819" s="139"/>
      <c r="Z819" s="139"/>
    </row>
    <row r="820" ht="15.75" customHeight="1">
      <c r="A820" s="139"/>
      <c r="B820" s="139"/>
      <c r="C820" s="183"/>
      <c r="D820" s="183"/>
      <c r="E820" s="183"/>
      <c r="F820" s="183"/>
      <c r="G820" s="183"/>
      <c r="H820" s="184"/>
      <c r="I820" s="139"/>
      <c r="J820" s="139"/>
      <c r="K820" s="139"/>
      <c r="L820" s="139"/>
      <c r="M820" s="139"/>
      <c r="N820" s="139"/>
      <c r="O820" s="139"/>
      <c r="P820" s="139"/>
      <c r="Q820" s="139"/>
      <c r="R820" s="139"/>
      <c r="S820" s="139"/>
      <c r="T820" s="139"/>
      <c r="U820" s="139"/>
      <c r="V820" s="139"/>
      <c r="W820" s="139"/>
      <c r="X820" s="139"/>
      <c r="Y820" s="139"/>
      <c r="Z820" s="139"/>
    </row>
    <row r="821" ht="15.75" customHeight="1">
      <c r="A821" s="139"/>
      <c r="B821" s="139"/>
      <c r="C821" s="183"/>
      <c r="D821" s="183"/>
      <c r="E821" s="183"/>
      <c r="F821" s="183"/>
      <c r="G821" s="183"/>
      <c r="H821" s="184"/>
      <c r="I821" s="139"/>
      <c r="J821" s="139"/>
      <c r="K821" s="139"/>
      <c r="L821" s="139"/>
      <c r="M821" s="139"/>
      <c r="N821" s="139"/>
      <c r="O821" s="139"/>
      <c r="P821" s="139"/>
      <c r="Q821" s="139"/>
      <c r="R821" s="139"/>
      <c r="S821" s="139"/>
      <c r="T821" s="139"/>
      <c r="U821" s="139"/>
      <c r="V821" s="139"/>
      <c r="W821" s="139"/>
      <c r="X821" s="139"/>
      <c r="Y821" s="139"/>
      <c r="Z821" s="139"/>
    </row>
    <row r="822" ht="15.75" customHeight="1">
      <c r="A822" s="139"/>
      <c r="B822" s="139"/>
      <c r="C822" s="183"/>
      <c r="D822" s="183"/>
      <c r="E822" s="183"/>
      <c r="F822" s="183"/>
      <c r="G822" s="183"/>
      <c r="H822" s="184"/>
      <c r="I822" s="139"/>
      <c r="J822" s="139"/>
      <c r="K822" s="139"/>
      <c r="L822" s="139"/>
      <c r="M822" s="139"/>
      <c r="N822" s="139"/>
      <c r="O822" s="139"/>
      <c r="P822" s="139"/>
      <c r="Q822" s="139"/>
      <c r="R822" s="139"/>
      <c r="S822" s="139"/>
      <c r="T822" s="139"/>
      <c r="U822" s="139"/>
      <c r="V822" s="139"/>
      <c r="W822" s="139"/>
      <c r="X822" s="139"/>
      <c r="Y822" s="139"/>
      <c r="Z822" s="139"/>
    </row>
    <row r="823" ht="15.75" customHeight="1">
      <c r="A823" s="139"/>
      <c r="B823" s="139"/>
      <c r="C823" s="183"/>
      <c r="D823" s="183"/>
      <c r="E823" s="183"/>
      <c r="F823" s="183"/>
      <c r="G823" s="183"/>
      <c r="H823" s="184"/>
      <c r="I823" s="139"/>
      <c r="J823" s="139"/>
      <c r="K823" s="139"/>
      <c r="L823" s="139"/>
      <c r="M823" s="139"/>
      <c r="N823" s="139"/>
      <c r="O823" s="139"/>
      <c r="P823" s="139"/>
      <c r="Q823" s="139"/>
      <c r="R823" s="139"/>
      <c r="S823" s="139"/>
      <c r="T823" s="139"/>
      <c r="U823" s="139"/>
      <c r="V823" s="139"/>
      <c r="W823" s="139"/>
      <c r="X823" s="139"/>
      <c r="Y823" s="139"/>
      <c r="Z823" s="139"/>
    </row>
    <row r="824" ht="15.75" customHeight="1">
      <c r="A824" s="139"/>
      <c r="B824" s="139"/>
      <c r="C824" s="183"/>
      <c r="D824" s="183"/>
      <c r="E824" s="183"/>
      <c r="F824" s="183"/>
      <c r="G824" s="183"/>
      <c r="H824" s="184"/>
      <c r="I824" s="139"/>
      <c r="J824" s="139"/>
      <c r="K824" s="139"/>
      <c r="L824" s="139"/>
      <c r="M824" s="139"/>
      <c r="N824" s="139"/>
      <c r="O824" s="139"/>
      <c r="P824" s="139"/>
      <c r="Q824" s="139"/>
      <c r="R824" s="139"/>
      <c r="S824" s="139"/>
      <c r="T824" s="139"/>
      <c r="U824" s="139"/>
      <c r="V824" s="139"/>
      <c r="W824" s="139"/>
      <c r="X824" s="139"/>
      <c r="Y824" s="139"/>
      <c r="Z824" s="139"/>
    </row>
    <row r="825" ht="15.75" customHeight="1">
      <c r="A825" s="139"/>
      <c r="B825" s="139"/>
      <c r="C825" s="183"/>
      <c r="D825" s="183"/>
      <c r="E825" s="183"/>
      <c r="F825" s="183"/>
      <c r="G825" s="183"/>
      <c r="H825" s="184"/>
      <c r="I825" s="139"/>
      <c r="J825" s="139"/>
      <c r="K825" s="139"/>
      <c r="L825" s="139"/>
      <c r="M825" s="139"/>
      <c r="N825" s="139"/>
      <c r="O825" s="139"/>
      <c r="P825" s="139"/>
      <c r="Q825" s="139"/>
      <c r="R825" s="139"/>
      <c r="S825" s="139"/>
      <c r="T825" s="139"/>
      <c r="U825" s="139"/>
      <c r="V825" s="139"/>
      <c r="W825" s="139"/>
      <c r="X825" s="139"/>
      <c r="Y825" s="139"/>
      <c r="Z825" s="139"/>
    </row>
    <row r="826" ht="15.75" customHeight="1">
      <c r="A826" s="139"/>
      <c r="B826" s="139"/>
      <c r="C826" s="183"/>
      <c r="D826" s="183"/>
      <c r="E826" s="183"/>
      <c r="F826" s="183"/>
      <c r="G826" s="183"/>
      <c r="H826" s="184"/>
      <c r="I826" s="139"/>
      <c r="J826" s="139"/>
      <c r="K826" s="139"/>
      <c r="L826" s="139"/>
      <c r="M826" s="139"/>
      <c r="N826" s="139"/>
      <c r="O826" s="139"/>
      <c r="P826" s="139"/>
      <c r="Q826" s="139"/>
      <c r="R826" s="139"/>
      <c r="S826" s="139"/>
      <c r="T826" s="139"/>
      <c r="U826" s="139"/>
      <c r="V826" s="139"/>
      <c r="W826" s="139"/>
      <c r="X826" s="139"/>
      <c r="Y826" s="139"/>
      <c r="Z826" s="139"/>
    </row>
    <row r="827" ht="15.75" customHeight="1">
      <c r="A827" s="139"/>
      <c r="B827" s="139"/>
      <c r="C827" s="183"/>
      <c r="D827" s="183"/>
      <c r="E827" s="183"/>
      <c r="F827" s="183"/>
      <c r="G827" s="183"/>
      <c r="H827" s="184"/>
      <c r="I827" s="139"/>
      <c r="J827" s="139"/>
      <c r="K827" s="139"/>
      <c r="L827" s="139"/>
      <c r="M827" s="139"/>
      <c r="N827" s="139"/>
      <c r="O827" s="139"/>
      <c r="P827" s="139"/>
      <c r="Q827" s="139"/>
      <c r="R827" s="139"/>
      <c r="S827" s="139"/>
      <c r="T827" s="139"/>
      <c r="U827" s="139"/>
      <c r="V827" s="139"/>
      <c r="W827" s="139"/>
      <c r="X827" s="139"/>
      <c r="Y827" s="139"/>
      <c r="Z827" s="139"/>
    </row>
    <row r="828" ht="15.75" customHeight="1">
      <c r="A828" s="139"/>
      <c r="B828" s="139"/>
      <c r="C828" s="183"/>
      <c r="D828" s="183"/>
      <c r="E828" s="183"/>
      <c r="F828" s="183"/>
      <c r="G828" s="183"/>
      <c r="H828" s="184"/>
      <c r="I828" s="139"/>
      <c r="J828" s="139"/>
      <c r="K828" s="139"/>
      <c r="L828" s="139"/>
      <c r="M828" s="139"/>
      <c r="N828" s="139"/>
      <c r="O828" s="139"/>
      <c r="P828" s="139"/>
      <c r="Q828" s="139"/>
      <c r="R828" s="139"/>
      <c r="S828" s="139"/>
      <c r="T828" s="139"/>
      <c r="U828" s="139"/>
      <c r="V828" s="139"/>
      <c r="W828" s="139"/>
      <c r="X828" s="139"/>
      <c r="Y828" s="139"/>
      <c r="Z828" s="139"/>
    </row>
    <row r="829" ht="15.75" customHeight="1">
      <c r="A829" s="139"/>
      <c r="B829" s="139"/>
      <c r="C829" s="183"/>
      <c r="D829" s="183"/>
      <c r="E829" s="183"/>
      <c r="F829" s="183"/>
      <c r="G829" s="183"/>
      <c r="H829" s="184"/>
      <c r="I829" s="139"/>
      <c r="J829" s="139"/>
      <c r="K829" s="139"/>
      <c r="L829" s="139"/>
      <c r="M829" s="139"/>
      <c r="N829" s="139"/>
      <c r="O829" s="139"/>
      <c r="P829" s="139"/>
      <c r="Q829" s="139"/>
      <c r="R829" s="139"/>
      <c r="S829" s="139"/>
      <c r="T829" s="139"/>
      <c r="U829" s="139"/>
      <c r="V829" s="139"/>
      <c r="W829" s="139"/>
      <c r="X829" s="139"/>
      <c r="Y829" s="139"/>
      <c r="Z829" s="139"/>
    </row>
    <row r="830" ht="15.75" customHeight="1">
      <c r="A830" s="139"/>
      <c r="B830" s="139"/>
      <c r="C830" s="183"/>
      <c r="D830" s="183"/>
      <c r="E830" s="183"/>
      <c r="F830" s="183"/>
      <c r="G830" s="183"/>
      <c r="H830" s="184"/>
      <c r="I830" s="139"/>
      <c r="J830" s="139"/>
      <c r="K830" s="139"/>
      <c r="L830" s="139"/>
      <c r="M830" s="139"/>
      <c r="N830" s="139"/>
      <c r="O830" s="139"/>
      <c r="P830" s="139"/>
      <c r="Q830" s="139"/>
      <c r="R830" s="139"/>
      <c r="S830" s="139"/>
      <c r="T830" s="139"/>
      <c r="U830" s="139"/>
      <c r="V830" s="139"/>
      <c r="W830" s="139"/>
      <c r="X830" s="139"/>
      <c r="Y830" s="139"/>
      <c r="Z830" s="139"/>
    </row>
    <row r="831" ht="15.75" customHeight="1">
      <c r="A831" s="139"/>
      <c r="B831" s="139"/>
      <c r="C831" s="183"/>
      <c r="D831" s="183"/>
      <c r="E831" s="183"/>
      <c r="F831" s="183"/>
      <c r="G831" s="183"/>
      <c r="H831" s="184"/>
      <c r="I831" s="139"/>
      <c r="J831" s="139"/>
      <c r="K831" s="139"/>
      <c r="L831" s="139"/>
      <c r="M831" s="139"/>
      <c r="N831" s="139"/>
      <c r="O831" s="139"/>
      <c r="P831" s="139"/>
      <c r="Q831" s="139"/>
      <c r="R831" s="139"/>
      <c r="S831" s="139"/>
      <c r="T831" s="139"/>
      <c r="U831" s="139"/>
      <c r="V831" s="139"/>
      <c r="W831" s="139"/>
      <c r="X831" s="139"/>
      <c r="Y831" s="139"/>
      <c r="Z831" s="139"/>
    </row>
    <row r="832" ht="15.75" customHeight="1">
      <c r="A832" s="139"/>
      <c r="B832" s="139"/>
      <c r="C832" s="183"/>
      <c r="D832" s="183"/>
      <c r="E832" s="183"/>
      <c r="F832" s="183"/>
      <c r="G832" s="183"/>
      <c r="H832" s="184"/>
      <c r="I832" s="139"/>
      <c r="J832" s="139"/>
      <c r="K832" s="139"/>
      <c r="L832" s="139"/>
      <c r="M832" s="139"/>
      <c r="N832" s="139"/>
      <c r="O832" s="139"/>
      <c r="P832" s="139"/>
      <c r="Q832" s="139"/>
      <c r="R832" s="139"/>
      <c r="S832" s="139"/>
      <c r="T832" s="139"/>
      <c r="U832" s="139"/>
      <c r="V832" s="139"/>
      <c r="W832" s="139"/>
      <c r="X832" s="139"/>
      <c r="Y832" s="139"/>
      <c r="Z832" s="139"/>
    </row>
    <row r="833" ht="15.75" customHeight="1">
      <c r="A833" s="139"/>
      <c r="B833" s="139"/>
      <c r="C833" s="183"/>
      <c r="D833" s="183"/>
      <c r="E833" s="183"/>
      <c r="F833" s="183"/>
      <c r="G833" s="183"/>
      <c r="H833" s="184"/>
      <c r="I833" s="139"/>
      <c r="J833" s="139"/>
      <c r="K833" s="139"/>
      <c r="L833" s="139"/>
      <c r="M833" s="139"/>
      <c r="N833" s="139"/>
      <c r="O833" s="139"/>
      <c r="P833" s="139"/>
      <c r="Q833" s="139"/>
      <c r="R833" s="139"/>
      <c r="S833" s="139"/>
      <c r="T833" s="139"/>
      <c r="U833" s="139"/>
      <c r="V833" s="139"/>
      <c r="W833" s="139"/>
      <c r="X833" s="139"/>
      <c r="Y833" s="139"/>
      <c r="Z833" s="139"/>
    </row>
    <row r="834" ht="15.75" customHeight="1">
      <c r="A834" s="139"/>
      <c r="B834" s="139"/>
      <c r="C834" s="183"/>
      <c r="D834" s="183"/>
      <c r="E834" s="183"/>
      <c r="F834" s="183"/>
      <c r="G834" s="183"/>
      <c r="H834" s="184"/>
      <c r="I834" s="139"/>
      <c r="J834" s="139"/>
      <c r="K834" s="139"/>
      <c r="L834" s="139"/>
      <c r="M834" s="139"/>
      <c r="N834" s="139"/>
      <c r="O834" s="139"/>
      <c r="P834" s="139"/>
      <c r="Q834" s="139"/>
      <c r="R834" s="139"/>
      <c r="S834" s="139"/>
      <c r="T834" s="139"/>
      <c r="U834" s="139"/>
      <c r="V834" s="139"/>
      <c r="W834" s="139"/>
      <c r="X834" s="139"/>
      <c r="Y834" s="139"/>
      <c r="Z834" s="139"/>
    </row>
    <row r="835" ht="15.75" customHeight="1">
      <c r="A835" s="139"/>
      <c r="B835" s="139"/>
      <c r="C835" s="183"/>
      <c r="D835" s="183"/>
      <c r="E835" s="183"/>
      <c r="F835" s="183"/>
      <c r="G835" s="183"/>
      <c r="H835" s="184"/>
      <c r="I835" s="139"/>
      <c r="J835" s="139"/>
      <c r="K835" s="139"/>
      <c r="L835" s="139"/>
      <c r="M835" s="139"/>
      <c r="N835" s="139"/>
      <c r="O835" s="139"/>
      <c r="P835" s="139"/>
      <c r="Q835" s="139"/>
      <c r="R835" s="139"/>
      <c r="S835" s="139"/>
      <c r="T835" s="139"/>
      <c r="U835" s="139"/>
      <c r="V835" s="139"/>
      <c r="W835" s="139"/>
      <c r="X835" s="139"/>
      <c r="Y835" s="139"/>
      <c r="Z835" s="139"/>
    </row>
    <row r="836" ht="15.75" customHeight="1">
      <c r="A836" s="139"/>
      <c r="B836" s="139"/>
      <c r="C836" s="183"/>
      <c r="D836" s="183"/>
      <c r="E836" s="183"/>
      <c r="F836" s="183"/>
      <c r="G836" s="183"/>
      <c r="H836" s="184"/>
      <c r="I836" s="139"/>
      <c r="J836" s="139"/>
      <c r="K836" s="139"/>
      <c r="L836" s="139"/>
      <c r="M836" s="139"/>
      <c r="N836" s="139"/>
      <c r="O836" s="139"/>
      <c r="P836" s="139"/>
      <c r="Q836" s="139"/>
      <c r="R836" s="139"/>
      <c r="S836" s="139"/>
      <c r="T836" s="139"/>
      <c r="U836" s="139"/>
      <c r="V836" s="139"/>
      <c r="W836" s="139"/>
      <c r="X836" s="139"/>
      <c r="Y836" s="139"/>
      <c r="Z836" s="139"/>
    </row>
    <row r="837" ht="15.75" customHeight="1">
      <c r="A837" s="139"/>
      <c r="B837" s="139"/>
      <c r="C837" s="183"/>
      <c r="D837" s="183"/>
      <c r="E837" s="183"/>
      <c r="F837" s="183"/>
      <c r="G837" s="183"/>
      <c r="H837" s="184"/>
      <c r="I837" s="139"/>
      <c r="J837" s="139"/>
      <c r="K837" s="139"/>
      <c r="L837" s="139"/>
      <c r="M837" s="139"/>
      <c r="N837" s="139"/>
      <c r="O837" s="139"/>
      <c r="P837" s="139"/>
      <c r="Q837" s="139"/>
      <c r="R837" s="139"/>
      <c r="S837" s="139"/>
      <c r="T837" s="139"/>
      <c r="U837" s="139"/>
      <c r="V837" s="139"/>
      <c r="W837" s="139"/>
      <c r="X837" s="139"/>
      <c r="Y837" s="139"/>
      <c r="Z837" s="139"/>
    </row>
    <row r="838" ht="15.75" customHeight="1">
      <c r="A838" s="139"/>
      <c r="B838" s="139"/>
      <c r="C838" s="183"/>
      <c r="D838" s="183"/>
      <c r="E838" s="183"/>
      <c r="F838" s="183"/>
      <c r="G838" s="183"/>
      <c r="H838" s="184"/>
      <c r="I838" s="139"/>
      <c r="J838" s="139"/>
      <c r="K838" s="139"/>
      <c r="L838" s="139"/>
      <c r="M838" s="139"/>
      <c r="N838" s="139"/>
      <c r="O838" s="139"/>
      <c r="P838" s="139"/>
      <c r="Q838" s="139"/>
      <c r="R838" s="139"/>
      <c r="S838" s="139"/>
      <c r="T838" s="139"/>
      <c r="U838" s="139"/>
      <c r="V838" s="139"/>
      <c r="W838" s="139"/>
      <c r="X838" s="139"/>
      <c r="Y838" s="139"/>
      <c r="Z838" s="139"/>
    </row>
    <row r="839" ht="15.75" customHeight="1">
      <c r="A839" s="139"/>
      <c r="B839" s="139"/>
      <c r="C839" s="183"/>
      <c r="D839" s="183"/>
      <c r="E839" s="183"/>
      <c r="F839" s="183"/>
      <c r="G839" s="183"/>
      <c r="H839" s="184"/>
      <c r="I839" s="139"/>
      <c r="J839" s="139"/>
      <c r="K839" s="139"/>
      <c r="L839" s="139"/>
      <c r="M839" s="139"/>
      <c r="N839" s="139"/>
      <c r="O839" s="139"/>
      <c r="P839" s="139"/>
      <c r="Q839" s="139"/>
      <c r="R839" s="139"/>
      <c r="S839" s="139"/>
      <c r="T839" s="139"/>
      <c r="U839" s="139"/>
      <c r="V839" s="139"/>
      <c r="W839" s="139"/>
      <c r="X839" s="139"/>
      <c r="Y839" s="139"/>
      <c r="Z839" s="139"/>
    </row>
    <row r="840" ht="15.75" customHeight="1">
      <c r="A840" s="139"/>
      <c r="B840" s="139"/>
      <c r="C840" s="183"/>
      <c r="D840" s="183"/>
      <c r="E840" s="183"/>
      <c r="F840" s="183"/>
      <c r="G840" s="183"/>
      <c r="H840" s="184"/>
      <c r="I840" s="139"/>
      <c r="J840" s="139"/>
      <c r="K840" s="139"/>
      <c r="L840" s="139"/>
      <c r="M840" s="139"/>
      <c r="N840" s="139"/>
      <c r="O840" s="139"/>
      <c r="P840" s="139"/>
      <c r="Q840" s="139"/>
      <c r="R840" s="139"/>
      <c r="S840" s="139"/>
      <c r="T840" s="139"/>
      <c r="U840" s="139"/>
      <c r="V840" s="139"/>
      <c r="W840" s="139"/>
      <c r="X840" s="139"/>
      <c r="Y840" s="139"/>
      <c r="Z840" s="139"/>
    </row>
    <row r="841" ht="15.75" customHeight="1">
      <c r="A841" s="139"/>
      <c r="B841" s="139"/>
      <c r="C841" s="183"/>
      <c r="D841" s="183"/>
      <c r="E841" s="183"/>
      <c r="F841" s="183"/>
      <c r="G841" s="183"/>
      <c r="H841" s="184"/>
      <c r="I841" s="139"/>
      <c r="J841" s="139"/>
      <c r="K841" s="139"/>
      <c r="L841" s="139"/>
      <c r="M841" s="139"/>
      <c r="N841" s="139"/>
      <c r="O841" s="139"/>
      <c r="P841" s="139"/>
      <c r="Q841" s="139"/>
      <c r="R841" s="139"/>
      <c r="S841" s="139"/>
      <c r="T841" s="139"/>
      <c r="U841" s="139"/>
      <c r="V841" s="139"/>
      <c r="W841" s="139"/>
      <c r="X841" s="139"/>
      <c r="Y841" s="139"/>
      <c r="Z841" s="139"/>
    </row>
    <row r="842" ht="15.75" customHeight="1">
      <c r="A842" s="139"/>
      <c r="B842" s="139"/>
      <c r="C842" s="183"/>
      <c r="D842" s="183"/>
      <c r="E842" s="183"/>
      <c r="F842" s="183"/>
      <c r="G842" s="183"/>
      <c r="H842" s="184"/>
      <c r="I842" s="139"/>
      <c r="J842" s="139"/>
      <c r="K842" s="139"/>
      <c r="L842" s="139"/>
      <c r="M842" s="139"/>
      <c r="N842" s="139"/>
      <c r="O842" s="139"/>
      <c r="P842" s="139"/>
      <c r="Q842" s="139"/>
      <c r="R842" s="139"/>
      <c r="S842" s="139"/>
      <c r="T842" s="139"/>
      <c r="U842" s="139"/>
      <c r="V842" s="139"/>
      <c r="W842" s="139"/>
      <c r="X842" s="139"/>
      <c r="Y842" s="139"/>
      <c r="Z842" s="139"/>
    </row>
    <row r="843" ht="15.75" customHeight="1">
      <c r="A843" s="139"/>
      <c r="B843" s="139"/>
      <c r="C843" s="183"/>
      <c r="D843" s="183"/>
      <c r="E843" s="183"/>
      <c r="F843" s="183"/>
      <c r="G843" s="183"/>
      <c r="H843" s="184"/>
      <c r="I843" s="139"/>
      <c r="J843" s="139"/>
      <c r="K843" s="139"/>
      <c r="L843" s="139"/>
      <c r="M843" s="139"/>
      <c r="N843" s="139"/>
      <c r="O843" s="139"/>
      <c r="P843" s="139"/>
      <c r="Q843" s="139"/>
      <c r="R843" s="139"/>
      <c r="S843" s="139"/>
      <c r="T843" s="139"/>
      <c r="U843" s="139"/>
      <c r="V843" s="139"/>
      <c r="W843" s="139"/>
      <c r="X843" s="139"/>
      <c r="Y843" s="139"/>
      <c r="Z843" s="139"/>
    </row>
    <row r="844" ht="15.75" customHeight="1">
      <c r="A844" s="139"/>
      <c r="B844" s="139"/>
      <c r="C844" s="183"/>
      <c r="D844" s="183"/>
      <c r="E844" s="183"/>
      <c r="F844" s="183"/>
      <c r="G844" s="183"/>
      <c r="H844" s="184"/>
      <c r="I844" s="139"/>
      <c r="J844" s="139"/>
      <c r="K844" s="139"/>
      <c r="L844" s="139"/>
      <c r="M844" s="139"/>
      <c r="N844" s="139"/>
      <c r="O844" s="139"/>
      <c r="P844" s="139"/>
      <c r="Q844" s="139"/>
      <c r="R844" s="139"/>
      <c r="S844" s="139"/>
      <c r="T844" s="139"/>
      <c r="U844" s="139"/>
      <c r="V844" s="139"/>
      <c r="W844" s="139"/>
      <c r="X844" s="139"/>
      <c r="Y844" s="139"/>
      <c r="Z844" s="139"/>
    </row>
    <row r="845" ht="15.75" customHeight="1">
      <c r="A845" s="139"/>
      <c r="B845" s="139"/>
      <c r="C845" s="183"/>
      <c r="D845" s="183"/>
      <c r="E845" s="183"/>
      <c r="F845" s="183"/>
      <c r="G845" s="183"/>
      <c r="H845" s="184"/>
      <c r="I845" s="139"/>
      <c r="J845" s="139"/>
      <c r="K845" s="139"/>
      <c r="L845" s="139"/>
      <c r="M845" s="139"/>
      <c r="N845" s="139"/>
      <c r="O845" s="139"/>
      <c r="P845" s="139"/>
      <c r="Q845" s="139"/>
      <c r="R845" s="139"/>
      <c r="S845" s="139"/>
      <c r="T845" s="139"/>
      <c r="U845" s="139"/>
      <c r="V845" s="139"/>
      <c r="W845" s="139"/>
      <c r="X845" s="139"/>
      <c r="Y845" s="139"/>
      <c r="Z845" s="139"/>
    </row>
    <row r="846" ht="15.75" customHeight="1">
      <c r="A846" s="139"/>
      <c r="B846" s="139"/>
      <c r="C846" s="183"/>
      <c r="D846" s="183"/>
      <c r="E846" s="183"/>
      <c r="F846" s="183"/>
      <c r="G846" s="183"/>
      <c r="H846" s="184"/>
      <c r="I846" s="139"/>
      <c r="J846" s="139"/>
      <c r="K846" s="139"/>
      <c r="L846" s="139"/>
      <c r="M846" s="139"/>
      <c r="N846" s="139"/>
      <c r="O846" s="139"/>
      <c r="P846" s="139"/>
      <c r="Q846" s="139"/>
      <c r="R846" s="139"/>
      <c r="S846" s="139"/>
      <c r="T846" s="139"/>
      <c r="U846" s="139"/>
      <c r="V846" s="139"/>
      <c r="W846" s="139"/>
      <c r="X846" s="139"/>
      <c r="Y846" s="139"/>
      <c r="Z846" s="139"/>
    </row>
    <row r="847" ht="15.75" customHeight="1">
      <c r="A847" s="139"/>
      <c r="B847" s="139"/>
      <c r="C847" s="183"/>
      <c r="D847" s="183"/>
      <c r="E847" s="183"/>
      <c r="F847" s="183"/>
      <c r="G847" s="183"/>
      <c r="H847" s="184"/>
      <c r="I847" s="139"/>
      <c r="J847" s="139"/>
      <c r="K847" s="139"/>
      <c r="L847" s="139"/>
      <c r="M847" s="139"/>
      <c r="N847" s="139"/>
      <c r="O847" s="139"/>
      <c r="P847" s="139"/>
      <c r="Q847" s="139"/>
      <c r="R847" s="139"/>
      <c r="S847" s="139"/>
      <c r="T847" s="139"/>
      <c r="U847" s="139"/>
      <c r="V847" s="139"/>
      <c r="W847" s="139"/>
      <c r="X847" s="139"/>
      <c r="Y847" s="139"/>
      <c r="Z847" s="139"/>
    </row>
    <row r="848" ht="15.75" customHeight="1">
      <c r="A848" s="139"/>
      <c r="B848" s="139"/>
      <c r="C848" s="183"/>
      <c r="D848" s="183"/>
      <c r="E848" s="183"/>
      <c r="F848" s="183"/>
      <c r="G848" s="183"/>
      <c r="H848" s="184"/>
      <c r="I848" s="139"/>
      <c r="J848" s="139"/>
      <c r="K848" s="139"/>
      <c r="L848" s="139"/>
      <c r="M848" s="139"/>
      <c r="N848" s="139"/>
      <c r="O848" s="139"/>
      <c r="P848" s="139"/>
      <c r="Q848" s="139"/>
      <c r="R848" s="139"/>
      <c r="S848" s="139"/>
      <c r="T848" s="139"/>
      <c r="U848" s="139"/>
      <c r="V848" s="139"/>
      <c r="W848" s="139"/>
      <c r="X848" s="139"/>
      <c r="Y848" s="139"/>
      <c r="Z848" s="139"/>
    </row>
    <row r="849" ht="15.75" customHeight="1">
      <c r="A849" s="139"/>
      <c r="B849" s="139"/>
      <c r="C849" s="183"/>
      <c r="D849" s="183"/>
      <c r="E849" s="183"/>
      <c r="F849" s="183"/>
      <c r="G849" s="183"/>
      <c r="H849" s="184"/>
      <c r="I849" s="139"/>
      <c r="J849" s="139"/>
      <c r="K849" s="139"/>
      <c r="L849" s="139"/>
      <c r="M849" s="139"/>
      <c r="N849" s="139"/>
      <c r="O849" s="139"/>
      <c r="P849" s="139"/>
      <c r="Q849" s="139"/>
      <c r="R849" s="139"/>
      <c r="S849" s="139"/>
      <c r="T849" s="139"/>
      <c r="U849" s="139"/>
      <c r="V849" s="139"/>
      <c r="W849" s="139"/>
      <c r="X849" s="139"/>
      <c r="Y849" s="139"/>
      <c r="Z849" s="139"/>
    </row>
    <row r="850" ht="15.75" customHeight="1">
      <c r="A850" s="139"/>
      <c r="B850" s="139"/>
      <c r="C850" s="183"/>
      <c r="D850" s="183"/>
      <c r="E850" s="183"/>
      <c r="F850" s="183"/>
      <c r="G850" s="183"/>
      <c r="H850" s="184"/>
      <c r="I850" s="139"/>
      <c r="J850" s="139"/>
      <c r="K850" s="139"/>
      <c r="L850" s="139"/>
      <c r="M850" s="139"/>
      <c r="N850" s="139"/>
      <c r="O850" s="139"/>
      <c r="P850" s="139"/>
      <c r="Q850" s="139"/>
      <c r="R850" s="139"/>
      <c r="S850" s="139"/>
      <c r="T850" s="139"/>
      <c r="U850" s="139"/>
      <c r="V850" s="139"/>
      <c r="W850" s="139"/>
      <c r="X850" s="139"/>
      <c r="Y850" s="139"/>
      <c r="Z850" s="139"/>
    </row>
    <row r="851" ht="15.75" customHeight="1">
      <c r="A851" s="139"/>
      <c r="B851" s="139"/>
      <c r="C851" s="183"/>
      <c r="D851" s="183"/>
      <c r="E851" s="183"/>
      <c r="F851" s="183"/>
      <c r="G851" s="183"/>
      <c r="H851" s="184"/>
      <c r="I851" s="139"/>
      <c r="J851" s="139"/>
      <c r="K851" s="139"/>
      <c r="L851" s="139"/>
      <c r="M851" s="139"/>
      <c r="N851" s="139"/>
      <c r="O851" s="139"/>
      <c r="P851" s="139"/>
      <c r="Q851" s="139"/>
      <c r="R851" s="139"/>
      <c r="S851" s="139"/>
      <c r="T851" s="139"/>
      <c r="U851" s="139"/>
      <c r="V851" s="139"/>
      <c r="W851" s="139"/>
      <c r="X851" s="139"/>
      <c r="Y851" s="139"/>
      <c r="Z851" s="139"/>
    </row>
    <row r="852" ht="15.75" customHeight="1">
      <c r="A852" s="139"/>
      <c r="B852" s="139"/>
      <c r="C852" s="183"/>
      <c r="D852" s="183"/>
      <c r="E852" s="183"/>
      <c r="F852" s="183"/>
      <c r="G852" s="183"/>
      <c r="H852" s="184"/>
      <c r="I852" s="139"/>
      <c r="J852" s="139"/>
      <c r="K852" s="139"/>
      <c r="L852" s="139"/>
      <c r="M852" s="139"/>
      <c r="N852" s="139"/>
      <c r="O852" s="139"/>
      <c r="P852" s="139"/>
      <c r="Q852" s="139"/>
      <c r="R852" s="139"/>
      <c r="S852" s="139"/>
      <c r="T852" s="139"/>
      <c r="U852" s="139"/>
      <c r="V852" s="139"/>
      <c r="W852" s="139"/>
      <c r="X852" s="139"/>
      <c r="Y852" s="139"/>
      <c r="Z852" s="139"/>
    </row>
    <row r="853" ht="15.75" customHeight="1">
      <c r="A853" s="139"/>
      <c r="B853" s="139"/>
      <c r="C853" s="183"/>
      <c r="D853" s="183"/>
      <c r="E853" s="183"/>
      <c r="F853" s="183"/>
      <c r="G853" s="183"/>
      <c r="H853" s="184"/>
      <c r="I853" s="139"/>
      <c r="J853" s="139"/>
      <c r="K853" s="139"/>
      <c r="L853" s="139"/>
      <c r="M853" s="139"/>
      <c r="N853" s="139"/>
      <c r="O853" s="139"/>
      <c r="P853" s="139"/>
      <c r="Q853" s="139"/>
      <c r="R853" s="139"/>
      <c r="S853" s="139"/>
      <c r="T853" s="139"/>
      <c r="U853" s="139"/>
      <c r="V853" s="139"/>
      <c r="W853" s="139"/>
      <c r="X853" s="139"/>
      <c r="Y853" s="139"/>
      <c r="Z853" s="139"/>
    </row>
    <row r="854" ht="15.75" customHeight="1">
      <c r="A854" s="139"/>
      <c r="B854" s="139"/>
      <c r="C854" s="183"/>
      <c r="D854" s="183"/>
      <c r="E854" s="183"/>
      <c r="F854" s="183"/>
      <c r="G854" s="183"/>
      <c r="H854" s="184"/>
      <c r="I854" s="139"/>
      <c r="J854" s="139"/>
      <c r="K854" s="139"/>
      <c r="L854" s="139"/>
      <c r="M854" s="139"/>
      <c r="N854" s="139"/>
      <c r="O854" s="139"/>
      <c r="P854" s="139"/>
      <c r="Q854" s="139"/>
      <c r="R854" s="139"/>
      <c r="S854" s="139"/>
      <c r="T854" s="139"/>
      <c r="U854" s="139"/>
      <c r="V854" s="139"/>
      <c r="W854" s="139"/>
      <c r="X854" s="139"/>
      <c r="Y854" s="139"/>
      <c r="Z854" s="139"/>
    </row>
    <row r="855" ht="15.75" customHeight="1">
      <c r="A855" s="139"/>
      <c r="B855" s="139"/>
      <c r="C855" s="183"/>
      <c r="D855" s="183"/>
      <c r="E855" s="183"/>
      <c r="F855" s="183"/>
      <c r="G855" s="183"/>
      <c r="H855" s="184"/>
      <c r="I855" s="139"/>
      <c r="J855" s="139"/>
      <c r="K855" s="139"/>
      <c r="L855" s="139"/>
      <c r="M855" s="139"/>
      <c r="N855" s="139"/>
      <c r="O855" s="139"/>
      <c r="P855" s="139"/>
      <c r="Q855" s="139"/>
      <c r="R855" s="139"/>
      <c r="S855" s="139"/>
      <c r="T855" s="139"/>
      <c r="U855" s="139"/>
      <c r="V855" s="139"/>
      <c r="W855" s="139"/>
      <c r="X855" s="139"/>
      <c r="Y855" s="139"/>
      <c r="Z855" s="139"/>
    </row>
    <row r="856" ht="15.75" customHeight="1">
      <c r="A856" s="139"/>
      <c r="B856" s="139"/>
      <c r="C856" s="183"/>
      <c r="D856" s="183"/>
      <c r="E856" s="183"/>
      <c r="F856" s="183"/>
      <c r="G856" s="183"/>
      <c r="H856" s="184"/>
      <c r="I856" s="139"/>
      <c r="J856" s="139"/>
      <c r="K856" s="139"/>
      <c r="L856" s="139"/>
      <c r="M856" s="139"/>
      <c r="N856" s="139"/>
      <c r="O856" s="139"/>
      <c r="P856" s="139"/>
      <c r="Q856" s="139"/>
      <c r="R856" s="139"/>
      <c r="S856" s="139"/>
      <c r="T856" s="139"/>
      <c r="U856" s="139"/>
      <c r="V856" s="139"/>
      <c r="W856" s="139"/>
      <c r="X856" s="139"/>
      <c r="Y856" s="139"/>
      <c r="Z856" s="139"/>
    </row>
    <row r="857" ht="15.75" customHeight="1">
      <c r="A857" s="139"/>
      <c r="B857" s="139"/>
      <c r="C857" s="183"/>
      <c r="D857" s="183"/>
      <c r="E857" s="183"/>
      <c r="F857" s="183"/>
      <c r="G857" s="183"/>
      <c r="H857" s="184"/>
      <c r="I857" s="139"/>
      <c r="J857" s="139"/>
      <c r="K857" s="139"/>
      <c r="L857" s="139"/>
      <c r="M857" s="139"/>
      <c r="N857" s="139"/>
      <c r="O857" s="139"/>
      <c r="P857" s="139"/>
      <c r="Q857" s="139"/>
      <c r="R857" s="139"/>
      <c r="S857" s="139"/>
      <c r="T857" s="139"/>
      <c r="U857" s="139"/>
      <c r="V857" s="139"/>
      <c r="W857" s="139"/>
      <c r="X857" s="139"/>
      <c r="Y857" s="139"/>
      <c r="Z857" s="139"/>
    </row>
    <row r="858" ht="15.75" customHeight="1">
      <c r="A858" s="139"/>
      <c r="B858" s="139"/>
      <c r="C858" s="183"/>
      <c r="D858" s="183"/>
      <c r="E858" s="183"/>
      <c r="F858" s="183"/>
      <c r="G858" s="183"/>
      <c r="H858" s="184"/>
      <c r="I858" s="139"/>
      <c r="J858" s="139"/>
      <c r="K858" s="139"/>
      <c r="L858" s="139"/>
      <c r="M858" s="139"/>
      <c r="N858" s="139"/>
      <c r="O858" s="139"/>
      <c r="P858" s="139"/>
      <c r="Q858" s="139"/>
      <c r="R858" s="139"/>
      <c r="S858" s="139"/>
      <c r="T858" s="139"/>
      <c r="U858" s="139"/>
      <c r="V858" s="139"/>
      <c r="W858" s="139"/>
      <c r="X858" s="139"/>
      <c r="Y858" s="139"/>
      <c r="Z858" s="139"/>
    </row>
    <row r="859" ht="15.75" customHeight="1">
      <c r="A859" s="139"/>
      <c r="B859" s="139"/>
      <c r="C859" s="183"/>
      <c r="D859" s="183"/>
      <c r="E859" s="183"/>
      <c r="F859" s="183"/>
      <c r="G859" s="183"/>
      <c r="H859" s="184"/>
      <c r="I859" s="139"/>
      <c r="J859" s="139"/>
      <c r="K859" s="139"/>
      <c r="L859" s="139"/>
      <c r="M859" s="139"/>
      <c r="N859" s="139"/>
      <c r="O859" s="139"/>
      <c r="P859" s="139"/>
      <c r="Q859" s="139"/>
      <c r="R859" s="139"/>
      <c r="S859" s="139"/>
      <c r="T859" s="139"/>
      <c r="U859" s="139"/>
      <c r="V859" s="139"/>
      <c r="W859" s="139"/>
      <c r="X859" s="139"/>
      <c r="Y859" s="139"/>
      <c r="Z859" s="139"/>
    </row>
    <row r="860" ht="15.75" customHeight="1">
      <c r="A860" s="139"/>
      <c r="B860" s="139"/>
      <c r="C860" s="183"/>
      <c r="D860" s="183"/>
      <c r="E860" s="183"/>
      <c r="F860" s="183"/>
      <c r="G860" s="183"/>
      <c r="H860" s="184"/>
      <c r="I860" s="139"/>
      <c r="J860" s="139"/>
      <c r="K860" s="139"/>
      <c r="L860" s="139"/>
      <c r="M860" s="139"/>
      <c r="N860" s="139"/>
      <c r="O860" s="139"/>
      <c r="P860" s="139"/>
      <c r="Q860" s="139"/>
      <c r="R860" s="139"/>
      <c r="S860" s="139"/>
      <c r="T860" s="139"/>
      <c r="U860" s="139"/>
      <c r="V860" s="139"/>
      <c r="W860" s="139"/>
      <c r="X860" s="139"/>
      <c r="Y860" s="139"/>
      <c r="Z860" s="139"/>
    </row>
    <row r="861" ht="15.75" customHeight="1">
      <c r="A861" s="139"/>
      <c r="B861" s="139"/>
      <c r="C861" s="183"/>
      <c r="D861" s="183"/>
      <c r="E861" s="183"/>
      <c r="F861" s="183"/>
      <c r="G861" s="183"/>
      <c r="H861" s="184"/>
      <c r="I861" s="139"/>
      <c r="J861" s="139"/>
      <c r="K861" s="139"/>
      <c r="L861" s="139"/>
      <c r="M861" s="139"/>
      <c r="N861" s="139"/>
      <c r="O861" s="139"/>
      <c r="P861" s="139"/>
      <c r="Q861" s="139"/>
      <c r="R861" s="139"/>
      <c r="S861" s="139"/>
      <c r="T861" s="139"/>
      <c r="U861" s="139"/>
      <c r="V861" s="139"/>
      <c r="W861" s="139"/>
      <c r="X861" s="139"/>
      <c r="Y861" s="139"/>
      <c r="Z861" s="139"/>
    </row>
    <row r="862" ht="15.75" customHeight="1">
      <c r="A862" s="139"/>
      <c r="B862" s="139"/>
      <c r="C862" s="183"/>
      <c r="D862" s="183"/>
      <c r="E862" s="183"/>
      <c r="F862" s="183"/>
      <c r="G862" s="183"/>
      <c r="H862" s="184"/>
      <c r="I862" s="139"/>
      <c r="J862" s="139"/>
      <c r="K862" s="139"/>
      <c r="L862" s="139"/>
      <c r="M862" s="139"/>
      <c r="N862" s="139"/>
      <c r="O862" s="139"/>
      <c r="P862" s="139"/>
      <c r="Q862" s="139"/>
      <c r="R862" s="139"/>
      <c r="S862" s="139"/>
      <c r="T862" s="139"/>
      <c r="U862" s="139"/>
      <c r="V862" s="139"/>
      <c r="W862" s="139"/>
      <c r="X862" s="139"/>
      <c r="Y862" s="139"/>
      <c r="Z862" s="139"/>
    </row>
    <row r="863" ht="15.75" customHeight="1">
      <c r="A863" s="139"/>
      <c r="B863" s="139"/>
      <c r="C863" s="183"/>
      <c r="D863" s="183"/>
      <c r="E863" s="183"/>
      <c r="F863" s="183"/>
      <c r="G863" s="183"/>
      <c r="H863" s="184"/>
      <c r="I863" s="139"/>
      <c r="J863" s="139"/>
      <c r="K863" s="139"/>
      <c r="L863" s="139"/>
      <c r="M863" s="139"/>
      <c r="N863" s="139"/>
      <c r="O863" s="139"/>
      <c r="P863" s="139"/>
      <c r="Q863" s="139"/>
      <c r="R863" s="139"/>
      <c r="S863" s="139"/>
      <c r="T863" s="139"/>
      <c r="U863" s="139"/>
      <c r="V863" s="139"/>
      <c r="W863" s="139"/>
      <c r="X863" s="139"/>
      <c r="Y863" s="139"/>
      <c r="Z863" s="139"/>
    </row>
    <row r="864" ht="15.75" customHeight="1">
      <c r="A864" s="139"/>
      <c r="B864" s="139"/>
      <c r="C864" s="183"/>
      <c r="D864" s="183"/>
      <c r="E864" s="183"/>
      <c r="F864" s="183"/>
      <c r="G864" s="183"/>
      <c r="H864" s="184"/>
      <c r="I864" s="139"/>
      <c r="J864" s="139"/>
      <c r="K864" s="139"/>
      <c r="L864" s="139"/>
      <c r="M864" s="139"/>
      <c r="N864" s="139"/>
      <c r="O864" s="139"/>
      <c r="P864" s="139"/>
      <c r="Q864" s="139"/>
      <c r="R864" s="139"/>
      <c r="S864" s="139"/>
      <c r="T864" s="139"/>
      <c r="U864" s="139"/>
      <c r="V864" s="139"/>
      <c r="W864" s="139"/>
      <c r="X864" s="139"/>
      <c r="Y864" s="139"/>
      <c r="Z864" s="139"/>
    </row>
    <row r="865" ht="15.75" customHeight="1">
      <c r="A865" s="139"/>
      <c r="B865" s="139"/>
      <c r="C865" s="183"/>
      <c r="D865" s="183"/>
      <c r="E865" s="183"/>
      <c r="F865" s="183"/>
      <c r="G865" s="183"/>
      <c r="H865" s="184"/>
      <c r="I865" s="139"/>
      <c r="J865" s="139"/>
      <c r="K865" s="139"/>
      <c r="L865" s="139"/>
      <c r="M865" s="139"/>
      <c r="N865" s="139"/>
      <c r="O865" s="139"/>
      <c r="P865" s="139"/>
      <c r="Q865" s="139"/>
      <c r="R865" s="139"/>
      <c r="S865" s="139"/>
      <c r="T865" s="139"/>
      <c r="U865" s="139"/>
      <c r="V865" s="139"/>
      <c r="W865" s="139"/>
      <c r="X865" s="139"/>
      <c r="Y865" s="139"/>
      <c r="Z865" s="139"/>
    </row>
    <row r="866" ht="15.75" customHeight="1">
      <c r="A866" s="139"/>
      <c r="B866" s="139"/>
      <c r="C866" s="183"/>
      <c r="D866" s="183"/>
      <c r="E866" s="183"/>
      <c r="F866" s="183"/>
      <c r="G866" s="183"/>
      <c r="H866" s="184"/>
      <c r="I866" s="139"/>
      <c r="J866" s="139"/>
      <c r="K866" s="139"/>
      <c r="L866" s="139"/>
      <c r="M866" s="139"/>
      <c r="N866" s="139"/>
      <c r="O866" s="139"/>
      <c r="P866" s="139"/>
      <c r="Q866" s="139"/>
      <c r="R866" s="139"/>
      <c r="S866" s="139"/>
      <c r="T866" s="139"/>
      <c r="U866" s="139"/>
      <c r="V866" s="139"/>
      <c r="W866" s="139"/>
      <c r="X866" s="139"/>
      <c r="Y866" s="139"/>
      <c r="Z866" s="139"/>
    </row>
    <row r="867" ht="15.75" customHeight="1">
      <c r="A867" s="139"/>
      <c r="B867" s="139"/>
      <c r="C867" s="183"/>
      <c r="D867" s="183"/>
      <c r="E867" s="183"/>
      <c r="F867" s="183"/>
      <c r="G867" s="183"/>
      <c r="H867" s="184"/>
      <c r="I867" s="139"/>
      <c r="J867" s="139"/>
      <c r="K867" s="139"/>
      <c r="L867" s="139"/>
      <c r="M867" s="139"/>
      <c r="N867" s="139"/>
      <c r="O867" s="139"/>
      <c r="P867" s="139"/>
      <c r="Q867" s="139"/>
      <c r="R867" s="139"/>
      <c r="S867" s="139"/>
      <c r="T867" s="139"/>
      <c r="U867" s="139"/>
      <c r="V867" s="139"/>
      <c r="W867" s="139"/>
      <c r="X867" s="139"/>
      <c r="Y867" s="139"/>
      <c r="Z867" s="139"/>
    </row>
    <row r="868" ht="15.75" customHeight="1">
      <c r="A868" s="139"/>
      <c r="B868" s="139"/>
      <c r="C868" s="183"/>
      <c r="D868" s="183"/>
      <c r="E868" s="183"/>
      <c r="F868" s="183"/>
      <c r="G868" s="183"/>
      <c r="H868" s="184"/>
      <c r="I868" s="139"/>
      <c r="J868" s="139"/>
      <c r="K868" s="139"/>
      <c r="L868" s="139"/>
      <c r="M868" s="139"/>
      <c r="N868" s="139"/>
      <c r="O868" s="139"/>
      <c r="P868" s="139"/>
      <c r="Q868" s="139"/>
      <c r="R868" s="139"/>
      <c r="S868" s="139"/>
      <c r="T868" s="139"/>
      <c r="U868" s="139"/>
      <c r="V868" s="139"/>
      <c r="W868" s="139"/>
      <c r="X868" s="139"/>
      <c r="Y868" s="139"/>
      <c r="Z868" s="139"/>
    </row>
    <row r="869" ht="15.75" customHeight="1">
      <c r="A869" s="139"/>
      <c r="B869" s="139"/>
      <c r="C869" s="183"/>
      <c r="D869" s="183"/>
      <c r="E869" s="183"/>
      <c r="F869" s="183"/>
      <c r="G869" s="183"/>
      <c r="H869" s="184"/>
      <c r="I869" s="139"/>
      <c r="J869" s="139"/>
      <c r="K869" s="139"/>
      <c r="L869" s="139"/>
      <c r="M869" s="139"/>
      <c r="N869" s="139"/>
      <c r="O869" s="139"/>
      <c r="P869" s="139"/>
      <c r="Q869" s="139"/>
      <c r="R869" s="139"/>
      <c r="S869" s="139"/>
      <c r="T869" s="139"/>
      <c r="U869" s="139"/>
      <c r="V869" s="139"/>
      <c r="W869" s="139"/>
      <c r="X869" s="139"/>
      <c r="Y869" s="139"/>
      <c r="Z869" s="139"/>
    </row>
    <row r="870" ht="15.75" customHeight="1">
      <c r="A870" s="139"/>
      <c r="B870" s="139"/>
      <c r="C870" s="183"/>
      <c r="D870" s="183"/>
      <c r="E870" s="183"/>
      <c r="F870" s="183"/>
      <c r="G870" s="183"/>
      <c r="H870" s="184"/>
      <c r="I870" s="139"/>
      <c r="J870" s="139"/>
      <c r="K870" s="139"/>
      <c r="L870" s="139"/>
      <c r="M870" s="139"/>
      <c r="N870" s="139"/>
      <c r="O870" s="139"/>
      <c r="P870" s="139"/>
      <c r="Q870" s="139"/>
      <c r="R870" s="139"/>
      <c r="S870" s="139"/>
      <c r="T870" s="139"/>
      <c r="U870" s="139"/>
      <c r="V870" s="139"/>
      <c r="W870" s="139"/>
      <c r="X870" s="139"/>
      <c r="Y870" s="139"/>
      <c r="Z870" s="139"/>
    </row>
    <row r="871" ht="15.75" customHeight="1">
      <c r="A871" s="139"/>
      <c r="B871" s="139"/>
      <c r="C871" s="183"/>
      <c r="D871" s="183"/>
      <c r="E871" s="183"/>
      <c r="F871" s="183"/>
      <c r="G871" s="183"/>
      <c r="H871" s="184"/>
      <c r="I871" s="139"/>
      <c r="J871" s="139"/>
      <c r="K871" s="139"/>
      <c r="L871" s="139"/>
      <c r="M871" s="139"/>
      <c r="N871" s="139"/>
      <c r="O871" s="139"/>
      <c r="P871" s="139"/>
      <c r="Q871" s="139"/>
      <c r="R871" s="139"/>
      <c r="S871" s="139"/>
      <c r="T871" s="139"/>
      <c r="U871" s="139"/>
      <c r="V871" s="139"/>
      <c r="W871" s="139"/>
      <c r="X871" s="139"/>
      <c r="Y871" s="139"/>
      <c r="Z871" s="139"/>
    </row>
    <row r="872" ht="15.75" customHeight="1">
      <c r="A872" s="139"/>
      <c r="B872" s="139"/>
      <c r="C872" s="183"/>
      <c r="D872" s="183"/>
      <c r="E872" s="183"/>
      <c r="F872" s="183"/>
      <c r="G872" s="183"/>
      <c r="H872" s="184"/>
      <c r="I872" s="139"/>
      <c r="J872" s="139"/>
      <c r="K872" s="139"/>
      <c r="L872" s="139"/>
      <c r="M872" s="139"/>
      <c r="N872" s="139"/>
      <c r="O872" s="139"/>
      <c r="P872" s="139"/>
      <c r="Q872" s="139"/>
      <c r="R872" s="139"/>
      <c r="S872" s="139"/>
      <c r="T872" s="139"/>
      <c r="U872" s="139"/>
      <c r="V872" s="139"/>
      <c r="W872" s="139"/>
      <c r="X872" s="139"/>
      <c r="Y872" s="139"/>
      <c r="Z872" s="139"/>
    </row>
    <row r="873" ht="15.75" customHeight="1">
      <c r="A873" s="139"/>
      <c r="B873" s="139"/>
      <c r="C873" s="183"/>
      <c r="D873" s="183"/>
      <c r="E873" s="183"/>
      <c r="F873" s="183"/>
      <c r="G873" s="183"/>
      <c r="H873" s="184"/>
      <c r="I873" s="139"/>
      <c r="J873" s="139"/>
      <c r="K873" s="139"/>
      <c r="L873" s="139"/>
      <c r="M873" s="139"/>
      <c r="N873" s="139"/>
      <c r="O873" s="139"/>
      <c r="P873" s="139"/>
      <c r="Q873" s="139"/>
      <c r="R873" s="139"/>
      <c r="S873" s="139"/>
      <c r="T873" s="139"/>
      <c r="U873" s="139"/>
      <c r="V873" s="139"/>
      <c r="W873" s="139"/>
      <c r="X873" s="139"/>
      <c r="Y873" s="139"/>
      <c r="Z873" s="139"/>
    </row>
    <row r="874" ht="15.75" customHeight="1">
      <c r="A874" s="139"/>
      <c r="B874" s="139"/>
      <c r="C874" s="183"/>
      <c r="D874" s="183"/>
      <c r="E874" s="183"/>
      <c r="F874" s="183"/>
      <c r="G874" s="183"/>
      <c r="H874" s="184"/>
      <c r="I874" s="139"/>
      <c r="J874" s="139"/>
      <c r="K874" s="139"/>
      <c r="L874" s="139"/>
      <c r="M874" s="139"/>
      <c r="N874" s="139"/>
      <c r="O874" s="139"/>
      <c r="P874" s="139"/>
      <c r="Q874" s="139"/>
      <c r="R874" s="139"/>
      <c r="S874" s="139"/>
      <c r="T874" s="139"/>
      <c r="U874" s="139"/>
      <c r="V874" s="139"/>
      <c r="W874" s="139"/>
      <c r="X874" s="139"/>
      <c r="Y874" s="139"/>
      <c r="Z874" s="139"/>
    </row>
    <row r="875" ht="15.75" customHeight="1">
      <c r="A875" s="139"/>
      <c r="B875" s="139"/>
      <c r="C875" s="183"/>
      <c r="D875" s="183"/>
      <c r="E875" s="183"/>
      <c r="F875" s="183"/>
      <c r="G875" s="183"/>
      <c r="H875" s="184"/>
      <c r="I875" s="139"/>
      <c r="J875" s="139"/>
      <c r="K875" s="139"/>
      <c r="L875" s="139"/>
      <c r="M875" s="139"/>
      <c r="N875" s="139"/>
      <c r="O875" s="139"/>
      <c r="P875" s="139"/>
      <c r="Q875" s="139"/>
      <c r="R875" s="139"/>
      <c r="S875" s="139"/>
      <c r="T875" s="139"/>
      <c r="U875" s="139"/>
      <c r="V875" s="139"/>
      <c r="W875" s="139"/>
      <c r="X875" s="139"/>
      <c r="Y875" s="139"/>
      <c r="Z875" s="139"/>
    </row>
    <row r="876" ht="15.75" customHeight="1">
      <c r="A876" s="139"/>
      <c r="B876" s="139"/>
      <c r="C876" s="183"/>
      <c r="D876" s="183"/>
      <c r="E876" s="183"/>
      <c r="F876" s="183"/>
      <c r="G876" s="183"/>
      <c r="H876" s="184"/>
      <c r="I876" s="139"/>
      <c r="J876" s="139"/>
      <c r="K876" s="139"/>
      <c r="L876" s="139"/>
      <c r="M876" s="139"/>
      <c r="N876" s="139"/>
      <c r="O876" s="139"/>
      <c r="P876" s="139"/>
      <c r="Q876" s="139"/>
      <c r="R876" s="139"/>
      <c r="S876" s="139"/>
      <c r="T876" s="139"/>
      <c r="U876" s="139"/>
      <c r="V876" s="139"/>
      <c r="W876" s="139"/>
      <c r="X876" s="139"/>
      <c r="Y876" s="139"/>
      <c r="Z876" s="139"/>
    </row>
    <row r="877" ht="15.75" customHeight="1">
      <c r="A877" s="139"/>
      <c r="B877" s="139"/>
      <c r="C877" s="183"/>
      <c r="D877" s="183"/>
      <c r="E877" s="183"/>
      <c r="F877" s="183"/>
      <c r="G877" s="183"/>
      <c r="H877" s="184"/>
      <c r="I877" s="139"/>
      <c r="J877" s="139"/>
      <c r="K877" s="139"/>
      <c r="L877" s="139"/>
      <c r="M877" s="139"/>
      <c r="N877" s="139"/>
      <c r="O877" s="139"/>
      <c r="P877" s="139"/>
      <c r="Q877" s="139"/>
      <c r="R877" s="139"/>
      <c r="S877" s="139"/>
      <c r="T877" s="139"/>
      <c r="U877" s="139"/>
      <c r="V877" s="139"/>
      <c r="W877" s="139"/>
      <c r="X877" s="139"/>
      <c r="Y877" s="139"/>
      <c r="Z877" s="139"/>
    </row>
    <row r="878" ht="15.75" customHeight="1">
      <c r="A878" s="139"/>
      <c r="B878" s="139"/>
      <c r="C878" s="183"/>
      <c r="D878" s="183"/>
      <c r="E878" s="183"/>
      <c r="F878" s="183"/>
      <c r="G878" s="183"/>
      <c r="H878" s="184"/>
      <c r="I878" s="139"/>
      <c r="J878" s="139"/>
      <c r="K878" s="139"/>
      <c r="L878" s="139"/>
      <c r="M878" s="139"/>
      <c r="N878" s="139"/>
      <c r="O878" s="139"/>
      <c r="P878" s="139"/>
      <c r="Q878" s="139"/>
      <c r="R878" s="139"/>
      <c r="S878" s="139"/>
      <c r="T878" s="139"/>
      <c r="U878" s="139"/>
      <c r="V878" s="139"/>
      <c r="W878" s="139"/>
      <c r="X878" s="139"/>
      <c r="Y878" s="139"/>
      <c r="Z878" s="139"/>
    </row>
    <row r="879" ht="15.75" customHeight="1">
      <c r="A879" s="139"/>
      <c r="B879" s="139"/>
      <c r="C879" s="183"/>
      <c r="D879" s="183"/>
      <c r="E879" s="183"/>
      <c r="F879" s="183"/>
      <c r="G879" s="183"/>
      <c r="H879" s="184"/>
      <c r="I879" s="139"/>
      <c r="J879" s="139"/>
      <c r="K879" s="139"/>
      <c r="L879" s="139"/>
      <c r="M879" s="139"/>
      <c r="N879" s="139"/>
      <c r="O879" s="139"/>
      <c r="P879" s="139"/>
      <c r="Q879" s="139"/>
      <c r="R879" s="139"/>
      <c r="S879" s="139"/>
      <c r="T879" s="139"/>
      <c r="U879" s="139"/>
      <c r="V879" s="139"/>
      <c r="W879" s="139"/>
      <c r="X879" s="139"/>
      <c r="Y879" s="139"/>
      <c r="Z879" s="139"/>
    </row>
    <row r="880" ht="15.75" customHeight="1">
      <c r="A880" s="139"/>
      <c r="B880" s="139"/>
      <c r="C880" s="183"/>
      <c r="D880" s="183"/>
      <c r="E880" s="183"/>
      <c r="F880" s="183"/>
      <c r="G880" s="183"/>
      <c r="H880" s="184"/>
      <c r="I880" s="139"/>
      <c r="J880" s="139"/>
      <c r="K880" s="139"/>
      <c r="L880" s="139"/>
      <c r="M880" s="139"/>
      <c r="N880" s="139"/>
      <c r="O880" s="139"/>
      <c r="P880" s="139"/>
      <c r="Q880" s="139"/>
      <c r="R880" s="139"/>
      <c r="S880" s="139"/>
      <c r="T880" s="139"/>
      <c r="U880" s="139"/>
      <c r="V880" s="139"/>
      <c r="W880" s="139"/>
      <c r="X880" s="139"/>
      <c r="Y880" s="139"/>
      <c r="Z880" s="139"/>
    </row>
    <row r="881" ht="15.75" customHeight="1">
      <c r="A881" s="139"/>
      <c r="B881" s="139"/>
      <c r="C881" s="183"/>
      <c r="D881" s="183"/>
      <c r="E881" s="183"/>
      <c r="F881" s="183"/>
      <c r="G881" s="183"/>
      <c r="H881" s="184"/>
      <c r="I881" s="139"/>
      <c r="J881" s="139"/>
      <c r="K881" s="139"/>
      <c r="L881" s="139"/>
      <c r="M881" s="139"/>
      <c r="N881" s="139"/>
      <c r="O881" s="139"/>
      <c r="P881" s="139"/>
      <c r="Q881" s="139"/>
      <c r="R881" s="139"/>
      <c r="S881" s="139"/>
      <c r="T881" s="139"/>
      <c r="U881" s="139"/>
      <c r="V881" s="139"/>
      <c r="W881" s="139"/>
      <c r="X881" s="139"/>
      <c r="Y881" s="139"/>
      <c r="Z881" s="139"/>
    </row>
    <row r="882" ht="15.75" customHeight="1">
      <c r="A882" s="139"/>
      <c r="B882" s="139"/>
      <c r="C882" s="183"/>
      <c r="D882" s="183"/>
      <c r="E882" s="183"/>
      <c r="F882" s="183"/>
      <c r="G882" s="183"/>
      <c r="H882" s="184"/>
      <c r="I882" s="139"/>
      <c r="J882" s="139"/>
      <c r="K882" s="139"/>
      <c r="L882" s="139"/>
      <c r="M882" s="139"/>
      <c r="N882" s="139"/>
      <c r="O882" s="139"/>
      <c r="P882" s="139"/>
      <c r="Q882" s="139"/>
      <c r="R882" s="139"/>
      <c r="S882" s="139"/>
      <c r="T882" s="139"/>
      <c r="U882" s="139"/>
      <c r="V882" s="139"/>
      <c r="W882" s="139"/>
      <c r="X882" s="139"/>
      <c r="Y882" s="139"/>
      <c r="Z882" s="139"/>
    </row>
    <row r="883" ht="15.75" customHeight="1">
      <c r="A883" s="139"/>
      <c r="B883" s="139"/>
      <c r="C883" s="183"/>
      <c r="D883" s="183"/>
      <c r="E883" s="183"/>
      <c r="F883" s="183"/>
      <c r="G883" s="183"/>
      <c r="H883" s="184"/>
      <c r="I883" s="139"/>
      <c r="J883" s="139"/>
      <c r="K883" s="139"/>
      <c r="L883" s="139"/>
      <c r="M883" s="139"/>
      <c r="N883" s="139"/>
      <c r="O883" s="139"/>
      <c r="P883" s="139"/>
      <c r="Q883" s="139"/>
      <c r="R883" s="139"/>
      <c r="S883" s="139"/>
      <c r="T883" s="139"/>
      <c r="U883" s="139"/>
      <c r="V883" s="139"/>
      <c r="W883" s="139"/>
      <c r="X883" s="139"/>
      <c r="Y883" s="139"/>
      <c r="Z883" s="139"/>
    </row>
    <row r="884" ht="15.75" customHeight="1">
      <c r="A884" s="139"/>
      <c r="B884" s="139"/>
      <c r="C884" s="183"/>
      <c r="D884" s="183"/>
      <c r="E884" s="183"/>
      <c r="F884" s="183"/>
      <c r="G884" s="183"/>
      <c r="H884" s="184"/>
      <c r="I884" s="139"/>
      <c r="J884" s="139"/>
      <c r="K884" s="139"/>
      <c r="L884" s="139"/>
      <c r="M884" s="139"/>
      <c r="N884" s="139"/>
      <c r="O884" s="139"/>
      <c r="P884" s="139"/>
      <c r="Q884" s="139"/>
      <c r="R884" s="139"/>
      <c r="S884" s="139"/>
      <c r="T884" s="139"/>
      <c r="U884" s="139"/>
      <c r="V884" s="139"/>
      <c r="W884" s="139"/>
      <c r="X884" s="139"/>
      <c r="Y884" s="139"/>
      <c r="Z884" s="139"/>
    </row>
    <row r="885" ht="15.75" customHeight="1">
      <c r="A885" s="139"/>
      <c r="B885" s="139"/>
      <c r="C885" s="183"/>
      <c r="D885" s="183"/>
      <c r="E885" s="183"/>
      <c r="F885" s="183"/>
      <c r="G885" s="183"/>
      <c r="H885" s="184"/>
      <c r="I885" s="139"/>
      <c r="J885" s="139"/>
      <c r="K885" s="139"/>
      <c r="L885" s="139"/>
      <c r="M885" s="139"/>
      <c r="N885" s="139"/>
      <c r="O885" s="139"/>
      <c r="P885" s="139"/>
      <c r="Q885" s="139"/>
      <c r="R885" s="139"/>
      <c r="S885" s="139"/>
      <c r="T885" s="139"/>
      <c r="U885" s="139"/>
      <c r="V885" s="139"/>
      <c r="W885" s="139"/>
      <c r="X885" s="139"/>
      <c r="Y885" s="139"/>
      <c r="Z885" s="139"/>
    </row>
    <row r="886" ht="15.75" customHeight="1">
      <c r="A886" s="139"/>
      <c r="B886" s="139"/>
      <c r="C886" s="183"/>
      <c r="D886" s="183"/>
      <c r="E886" s="183"/>
      <c r="F886" s="183"/>
      <c r="G886" s="183"/>
      <c r="H886" s="184"/>
      <c r="I886" s="139"/>
      <c r="J886" s="139"/>
      <c r="K886" s="139"/>
      <c r="L886" s="139"/>
      <c r="M886" s="139"/>
      <c r="N886" s="139"/>
      <c r="O886" s="139"/>
      <c r="P886" s="139"/>
      <c r="Q886" s="139"/>
      <c r="R886" s="139"/>
      <c r="S886" s="139"/>
      <c r="T886" s="139"/>
      <c r="U886" s="139"/>
      <c r="V886" s="139"/>
      <c r="W886" s="139"/>
      <c r="X886" s="139"/>
      <c r="Y886" s="139"/>
      <c r="Z886" s="139"/>
    </row>
    <row r="887" ht="15.75" customHeight="1">
      <c r="A887" s="139"/>
      <c r="B887" s="139"/>
      <c r="C887" s="183"/>
      <c r="D887" s="183"/>
      <c r="E887" s="183"/>
      <c r="F887" s="183"/>
      <c r="G887" s="183"/>
      <c r="H887" s="184"/>
      <c r="I887" s="139"/>
      <c r="J887" s="139"/>
      <c r="K887" s="139"/>
      <c r="L887" s="139"/>
      <c r="M887" s="139"/>
      <c r="N887" s="139"/>
      <c r="O887" s="139"/>
      <c r="P887" s="139"/>
      <c r="Q887" s="139"/>
      <c r="R887" s="139"/>
      <c r="S887" s="139"/>
      <c r="T887" s="139"/>
      <c r="U887" s="139"/>
      <c r="V887" s="139"/>
      <c r="W887" s="139"/>
      <c r="X887" s="139"/>
      <c r="Y887" s="139"/>
      <c r="Z887" s="139"/>
    </row>
    <row r="888" ht="15.75" customHeight="1">
      <c r="A888" s="139"/>
      <c r="B888" s="139"/>
      <c r="C888" s="183"/>
      <c r="D888" s="183"/>
      <c r="E888" s="183"/>
      <c r="F888" s="183"/>
      <c r="G888" s="183"/>
      <c r="H888" s="184"/>
      <c r="I888" s="139"/>
      <c r="J888" s="139"/>
      <c r="K888" s="139"/>
      <c r="L888" s="139"/>
      <c r="M888" s="139"/>
      <c r="N888" s="139"/>
      <c r="O888" s="139"/>
      <c r="P888" s="139"/>
      <c r="Q888" s="139"/>
      <c r="R888" s="139"/>
      <c r="S888" s="139"/>
      <c r="T888" s="139"/>
      <c r="U888" s="139"/>
      <c r="V888" s="139"/>
      <c r="W888" s="139"/>
      <c r="X888" s="139"/>
      <c r="Y888" s="139"/>
      <c r="Z888" s="139"/>
    </row>
    <row r="889" ht="15.75" customHeight="1">
      <c r="A889" s="139"/>
      <c r="B889" s="139"/>
      <c r="C889" s="183"/>
      <c r="D889" s="183"/>
      <c r="E889" s="183"/>
      <c r="F889" s="183"/>
      <c r="G889" s="183"/>
      <c r="H889" s="184"/>
      <c r="I889" s="139"/>
      <c r="J889" s="139"/>
      <c r="K889" s="139"/>
      <c r="L889" s="139"/>
      <c r="M889" s="139"/>
      <c r="N889" s="139"/>
      <c r="O889" s="139"/>
      <c r="P889" s="139"/>
      <c r="Q889" s="139"/>
      <c r="R889" s="139"/>
      <c r="S889" s="139"/>
      <c r="T889" s="139"/>
      <c r="U889" s="139"/>
      <c r="V889" s="139"/>
      <c r="W889" s="139"/>
      <c r="X889" s="139"/>
      <c r="Y889" s="139"/>
      <c r="Z889" s="139"/>
    </row>
    <row r="890" ht="15.75" customHeight="1">
      <c r="A890" s="139"/>
      <c r="B890" s="139"/>
      <c r="C890" s="183"/>
      <c r="D890" s="183"/>
      <c r="E890" s="183"/>
      <c r="F890" s="183"/>
      <c r="G890" s="183"/>
      <c r="H890" s="184"/>
      <c r="I890" s="139"/>
      <c r="J890" s="139"/>
      <c r="K890" s="139"/>
      <c r="L890" s="139"/>
      <c r="M890" s="139"/>
      <c r="N890" s="139"/>
      <c r="O890" s="139"/>
      <c r="P890" s="139"/>
      <c r="Q890" s="139"/>
      <c r="R890" s="139"/>
      <c r="S890" s="139"/>
      <c r="T890" s="139"/>
      <c r="U890" s="139"/>
      <c r="V890" s="139"/>
      <c r="W890" s="139"/>
      <c r="X890" s="139"/>
      <c r="Y890" s="139"/>
      <c r="Z890" s="139"/>
    </row>
    <row r="891" ht="15.75" customHeight="1">
      <c r="A891" s="139"/>
      <c r="B891" s="139"/>
      <c r="C891" s="183"/>
      <c r="D891" s="183"/>
      <c r="E891" s="183"/>
      <c r="F891" s="183"/>
      <c r="G891" s="183"/>
      <c r="H891" s="184"/>
      <c r="I891" s="139"/>
      <c r="J891" s="139"/>
      <c r="K891" s="139"/>
      <c r="L891" s="139"/>
      <c r="M891" s="139"/>
      <c r="N891" s="139"/>
      <c r="O891" s="139"/>
      <c r="P891" s="139"/>
      <c r="Q891" s="139"/>
      <c r="R891" s="139"/>
      <c r="S891" s="139"/>
      <c r="T891" s="139"/>
      <c r="U891" s="139"/>
      <c r="V891" s="139"/>
      <c r="W891" s="139"/>
      <c r="X891" s="139"/>
      <c r="Y891" s="139"/>
      <c r="Z891" s="139"/>
    </row>
    <row r="892" ht="15.75" customHeight="1">
      <c r="A892" s="139"/>
      <c r="B892" s="139"/>
      <c r="C892" s="183"/>
      <c r="D892" s="183"/>
      <c r="E892" s="183"/>
      <c r="F892" s="183"/>
      <c r="G892" s="183"/>
      <c r="H892" s="184"/>
      <c r="I892" s="139"/>
      <c r="J892" s="139"/>
      <c r="K892" s="139"/>
      <c r="L892" s="139"/>
      <c r="M892" s="139"/>
      <c r="N892" s="139"/>
      <c r="O892" s="139"/>
      <c r="P892" s="139"/>
      <c r="Q892" s="139"/>
      <c r="R892" s="139"/>
      <c r="S892" s="139"/>
      <c r="T892" s="139"/>
      <c r="U892" s="139"/>
      <c r="V892" s="139"/>
      <c r="W892" s="139"/>
      <c r="X892" s="139"/>
      <c r="Y892" s="139"/>
      <c r="Z892" s="139"/>
    </row>
    <row r="893" ht="15.75" customHeight="1">
      <c r="A893" s="139"/>
      <c r="B893" s="139"/>
      <c r="C893" s="183"/>
      <c r="D893" s="183"/>
      <c r="E893" s="183"/>
      <c r="F893" s="183"/>
      <c r="G893" s="183"/>
      <c r="H893" s="184"/>
      <c r="I893" s="139"/>
      <c r="J893" s="139"/>
      <c r="K893" s="139"/>
      <c r="L893" s="139"/>
      <c r="M893" s="139"/>
      <c r="N893" s="139"/>
      <c r="O893" s="139"/>
      <c r="P893" s="139"/>
      <c r="Q893" s="139"/>
      <c r="R893" s="139"/>
      <c r="S893" s="139"/>
      <c r="T893" s="139"/>
      <c r="U893" s="139"/>
      <c r="V893" s="139"/>
      <c r="W893" s="139"/>
      <c r="X893" s="139"/>
      <c r="Y893" s="139"/>
      <c r="Z893" s="139"/>
    </row>
    <row r="894" ht="15.75" customHeight="1">
      <c r="A894" s="139"/>
      <c r="B894" s="139"/>
      <c r="C894" s="183"/>
      <c r="D894" s="183"/>
      <c r="E894" s="183"/>
      <c r="F894" s="183"/>
      <c r="G894" s="183"/>
      <c r="H894" s="184"/>
      <c r="I894" s="139"/>
      <c r="J894" s="139"/>
      <c r="K894" s="139"/>
      <c r="L894" s="139"/>
      <c r="M894" s="139"/>
      <c r="N894" s="139"/>
      <c r="O894" s="139"/>
      <c r="P894" s="139"/>
      <c r="Q894" s="139"/>
      <c r="R894" s="139"/>
      <c r="S894" s="139"/>
      <c r="T894" s="139"/>
      <c r="U894" s="139"/>
      <c r="V894" s="139"/>
      <c r="W894" s="139"/>
      <c r="X894" s="139"/>
      <c r="Y894" s="139"/>
      <c r="Z894" s="139"/>
    </row>
    <row r="895" ht="15.75" customHeight="1">
      <c r="A895" s="139"/>
      <c r="B895" s="139"/>
      <c r="C895" s="183"/>
      <c r="D895" s="183"/>
      <c r="E895" s="183"/>
      <c r="F895" s="183"/>
      <c r="G895" s="183"/>
      <c r="H895" s="184"/>
      <c r="I895" s="139"/>
      <c r="J895" s="139"/>
      <c r="K895" s="139"/>
      <c r="L895" s="139"/>
      <c r="M895" s="139"/>
      <c r="N895" s="139"/>
      <c r="O895" s="139"/>
      <c r="P895" s="139"/>
      <c r="Q895" s="139"/>
      <c r="R895" s="139"/>
      <c r="S895" s="139"/>
      <c r="T895" s="139"/>
      <c r="U895" s="139"/>
      <c r="V895" s="139"/>
      <c r="W895" s="139"/>
      <c r="X895" s="139"/>
      <c r="Y895" s="139"/>
      <c r="Z895" s="139"/>
    </row>
    <row r="896" ht="15.75" customHeight="1">
      <c r="A896" s="139"/>
      <c r="B896" s="139"/>
      <c r="C896" s="183"/>
      <c r="D896" s="183"/>
      <c r="E896" s="183"/>
      <c r="F896" s="183"/>
      <c r="G896" s="183"/>
      <c r="H896" s="184"/>
      <c r="I896" s="139"/>
      <c r="J896" s="139"/>
      <c r="K896" s="139"/>
      <c r="L896" s="139"/>
      <c r="M896" s="139"/>
      <c r="N896" s="139"/>
      <c r="O896" s="139"/>
      <c r="P896" s="139"/>
      <c r="Q896" s="139"/>
      <c r="R896" s="139"/>
      <c r="S896" s="139"/>
      <c r="T896" s="139"/>
      <c r="U896" s="139"/>
      <c r="V896" s="139"/>
      <c r="W896" s="139"/>
      <c r="X896" s="139"/>
      <c r="Y896" s="139"/>
      <c r="Z896" s="139"/>
    </row>
    <row r="897" ht="15.75" customHeight="1">
      <c r="A897" s="139"/>
      <c r="B897" s="139"/>
      <c r="C897" s="183"/>
      <c r="D897" s="183"/>
      <c r="E897" s="183"/>
      <c r="F897" s="183"/>
      <c r="G897" s="183"/>
      <c r="H897" s="184"/>
      <c r="I897" s="139"/>
      <c r="J897" s="139"/>
      <c r="K897" s="139"/>
      <c r="L897" s="139"/>
      <c r="M897" s="139"/>
      <c r="N897" s="139"/>
      <c r="O897" s="139"/>
      <c r="P897" s="139"/>
      <c r="Q897" s="139"/>
      <c r="R897" s="139"/>
      <c r="S897" s="139"/>
      <c r="T897" s="139"/>
      <c r="U897" s="139"/>
      <c r="V897" s="139"/>
      <c r="W897" s="139"/>
      <c r="X897" s="139"/>
      <c r="Y897" s="139"/>
      <c r="Z897" s="139"/>
    </row>
    <row r="898" ht="15.75" customHeight="1">
      <c r="A898" s="139"/>
      <c r="B898" s="139"/>
      <c r="C898" s="183"/>
      <c r="D898" s="183"/>
      <c r="E898" s="183"/>
      <c r="F898" s="183"/>
      <c r="G898" s="183"/>
      <c r="H898" s="184"/>
      <c r="I898" s="139"/>
      <c r="J898" s="139"/>
      <c r="K898" s="139"/>
      <c r="L898" s="139"/>
      <c r="M898" s="139"/>
      <c r="N898" s="139"/>
      <c r="O898" s="139"/>
      <c r="P898" s="139"/>
      <c r="Q898" s="139"/>
      <c r="R898" s="139"/>
      <c r="S898" s="139"/>
      <c r="T898" s="139"/>
      <c r="U898" s="139"/>
      <c r="V898" s="139"/>
      <c r="W898" s="139"/>
      <c r="X898" s="139"/>
      <c r="Y898" s="139"/>
      <c r="Z898" s="139"/>
    </row>
    <row r="899" ht="15.75" customHeight="1">
      <c r="A899" s="139"/>
      <c r="B899" s="139"/>
      <c r="C899" s="183"/>
      <c r="D899" s="183"/>
      <c r="E899" s="183"/>
      <c r="F899" s="183"/>
      <c r="G899" s="183"/>
      <c r="H899" s="184"/>
      <c r="I899" s="139"/>
      <c r="J899" s="139"/>
      <c r="K899" s="139"/>
      <c r="L899" s="139"/>
      <c r="M899" s="139"/>
      <c r="N899" s="139"/>
      <c r="O899" s="139"/>
      <c r="P899" s="139"/>
      <c r="Q899" s="139"/>
      <c r="R899" s="139"/>
      <c r="S899" s="139"/>
      <c r="T899" s="139"/>
      <c r="U899" s="139"/>
      <c r="V899" s="139"/>
      <c r="W899" s="139"/>
      <c r="X899" s="139"/>
      <c r="Y899" s="139"/>
      <c r="Z899" s="139"/>
    </row>
    <row r="900" ht="15.75" customHeight="1">
      <c r="A900" s="139"/>
      <c r="B900" s="139"/>
      <c r="C900" s="183"/>
      <c r="D900" s="183"/>
      <c r="E900" s="183"/>
      <c r="F900" s="183"/>
      <c r="G900" s="183"/>
      <c r="H900" s="184"/>
      <c r="I900" s="139"/>
      <c r="J900" s="139"/>
      <c r="K900" s="139"/>
      <c r="L900" s="139"/>
      <c r="M900" s="139"/>
      <c r="N900" s="139"/>
      <c r="O900" s="139"/>
      <c r="P900" s="139"/>
      <c r="Q900" s="139"/>
      <c r="R900" s="139"/>
      <c r="S900" s="139"/>
      <c r="T900" s="139"/>
      <c r="U900" s="139"/>
      <c r="V900" s="139"/>
      <c r="W900" s="139"/>
      <c r="X900" s="139"/>
      <c r="Y900" s="139"/>
      <c r="Z900" s="139"/>
    </row>
    <row r="901" ht="15.75" customHeight="1">
      <c r="A901" s="139"/>
      <c r="B901" s="139"/>
      <c r="C901" s="183"/>
      <c r="D901" s="183"/>
      <c r="E901" s="183"/>
      <c r="F901" s="183"/>
      <c r="G901" s="183"/>
      <c r="H901" s="184"/>
      <c r="I901" s="139"/>
      <c r="J901" s="139"/>
      <c r="K901" s="139"/>
      <c r="L901" s="139"/>
      <c r="M901" s="139"/>
      <c r="N901" s="139"/>
      <c r="O901" s="139"/>
      <c r="P901" s="139"/>
      <c r="Q901" s="139"/>
      <c r="R901" s="139"/>
      <c r="S901" s="139"/>
      <c r="T901" s="139"/>
      <c r="U901" s="139"/>
      <c r="V901" s="139"/>
      <c r="W901" s="139"/>
      <c r="X901" s="139"/>
      <c r="Y901" s="139"/>
      <c r="Z901" s="139"/>
    </row>
    <row r="902" ht="15.75" customHeight="1">
      <c r="A902" s="139"/>
      <c r="B902" s="139"/>
      <c r="C902" s="183"/>
      <c r="D902" s="183"/>
      <c r="E902" s="183"/>
      <c r="F902" s="183"/>
      <c r="G902" s="183"/>
      <c r="H902" s="184"/>
      <c r="I902" s="139"/>
      <c r="J902" s="139"/>
      <c r="K902" s="139"/>
      <c r="L902" s="139"/>
      <c r="M902" s="139"/>
      <c r="N902" s="139"/>
      <c r="O902" s="139"/>
      <c r="P902" s="139"/>
      <c r="Q902" s="139"/>
      <c r="R902" s="139"/>
      <c r="S902" s="139"/>
      <c r="T902" s="139"/>
      <c r="U902" s="139"/>
      <c r="V902" s="139"/>
      <c r="W902" s="139"/>
      <c r="X902" s="139"/>
      <c r="Y902" s="139"/>
      <c r="Z902" s="139"/>
    </row>
    <row r="903" ht="15.75" customHeight="1">
      <c r="A903" s="139"/>
      <c r="B903" s="139"/>
      <c r="C903" s="183"/>
      <c r="D903" s="183"/>
      <c r="E903" s="183"/>
      <c r="F903" s="183"/>
      <c r="G903" s="183"/>
      <c r="H903" s="184"/>
      <c r="I903" s="139"/>
      <c r="J903" s="139"/>
      <c r="K903" s="139"/>
      <c r="L903" s="139"/>
      <c r="M903" s="139"/>
      <c r="N903" s="139"/>
      <c r="O903" s="139"/>
      <c r="P903" s="139"/>
      <c r="Q903" s="139"/>
      <c r="R903" s="139"/>
      <c r="S903" s="139"/>
      <c r="T903" s="139"/>
      <c r="U903" s="139"/>
      <c r="V903" s="139"/>
      <c r="W903" s="139"/>
      <c r="X903" s="139"/>
      <c r="Y903" s="139"/>
      <c r="Z903" s="139"/>
    </row>
    <row r="904" ht="15.75" customHeight="1">
      <c r="A904" s="139"/>
      <c r="B904" s="139"/>
      <c r="C904" s="183"/>
      <c r="D904" s="183"/>
      <c r="E904" s="183"/>
      <c r="F904" s="183"/>
      <c r="G904" s="183"/>
      <c r="H904" s="184"/>
      <c r="I904" s="139"/>
      <c r="J904" s="139"/>
      <c r="K904" s="139"/>
      <c r="L904" s="139"/>
      <c r="M904" s="139"/>
      <c r="N904" s="139"/>
      <c r="O904" s="139"/>
      <c r="P904" s="139"/>
      <c r="Q904" s="139"/>
      <c r="R904" s="139"/>
      <c r="S904" s="139"/>
      <c r="T904" s="139"/>
      <c r="U904" s="139"/>
      <c r="V904" s="139"/>
      <c r="W904" s="139"/>
      <c r="X904" s="139"/>
      <c r="Y904" s="139"/>
      <c r="Z904" s="139"/>
    </row>
    <row r="905" ht="15.75" customHeight="1">
      <c r="A905" s="139"/>
      <c r="B905" s="139"/>
      <c r="C905" s="183"/>
      <c r="D905" s="183"/>
      <c r="E905" s="183"/>
      <c r="F905" s="183"/>
      <c r="G905" s="183"/>
      <c r="H905" s="184"/>
      <c r="I905" s="139"/>
      <c r="J905" s="139"/>
      <c r="K905" s="139"/>
      <c r="L905" s="139"/>
      <c r="M905" s="139"/>
      <c r="N905" s="139"/>
      <c r="O905" s="139"/>
      <c r="P905" s="139"/>
      <c r="Q905" s="139"/>
      <c r="R905" s="139"/>
      <c r="S905" s="139"/>
      <c r="T905" s="139"/>
      <c r="U905" s="139"/>
      <c r="V905" s="139"/>
      <c r="W905" s="139"/>
      <c r="X905" s="139"/>
      <c r="Y905" s="139"/>
      <c r="Z905" s="139"/>
    </row>
    <row r="906" ht="15.75" customHeight="1">
      <c r="A906" s="139"/>
      <c r="B906" s="139"/>
      <c r="C906" s="183"/>
      <c r="D906" s="183"/>
      <c r="E906" s="183"/>
      <c r="F906" s="183"/>
      <c r="G906" s="183"/>
      <c r="H906" s="184"/>
      <c r="I906" s="139"/>
      <c r="J906" s="139"/>
      <c r="K906" s="139"/>
      <c r="L906" s="139"/>
      <c r="M906" s="139"/>
      <c r="N906" s="139"/>
      <c r="O906" s="139"/>
      <c r="P906" s="139"/>
      <c r="Q906" s="139"/>
      <c r="R906" s="139"/>
      <c r="S906" s="139"/>
      <c r="T906" s="139"/>
      <c r="U906" s="139"/>
      <c r="V906" s="139"/>
      <c r="W906" s="139"/>
      <c r="X906" s="139"/>
      <c r="Y906" s="139"/>
      <c r="Z906" s="139"/>
    </row>
    <row r="907" ht="15.75" customHeight="1">
      <c r="A907" s="139"/>
      <c r="B907" s="139"/>
      <c r="C907" s="183"/>
      <c r="D907" s="183"/>
      <c r="E907" s="183"/>
      <c r="F907" s="183"/>
      <c r="G907" s="183"/>
      <c r="H907" s="184"/>
      <c r="I907" s="139"/>
      <c r="J907" s="139"/>
      <c r="K907" s="139"/>
      <c r="L907" s="139"/>
      <c r="M907" s="139"/>
      <c r="N907" s="139"/>
      <c r="O907" s="139"/>
      <c r="P907" s="139"/>
      <c r="Q907" s="139"/>
      <c r="R907" s="139"/>
      <c r="S907" s="139"/>
      <c r="T907" s="139"/>
      <c r="U907" s="139"/>
      <c r="V907" s="139"/>
      <c r="W907" s="139"/>
      <c r="X907" s="139"/>
      <c r="Y907" s="139"/>
      <c r="Z907" s="139"/>
    </row>
    <row r="908" ht="15.75" customHeight="1">
      <c r="A908" s="139"/>
      <c r="B908" s="139"/>
      <c r="C908" s="183"/>
      <c r="D908" s="183"/>
      <c r="E908" s="183"/>
      <c r="F908" s="183"/>
      <c r="G908" s="183"/>
      <c r="H908" s="184"/>
      <c r="I908" s="139"/>
      <c r="J908" s="139"/>
      <c r="K908" s="139"/>
      <c r="L908" s="139"/>
      <c r="M908" s="139"/>
      <c r="N908" s="139"/>
      <c r="O908" s="139"/>
      <c r="P908" s="139"/>
      <c r="Q908" s="139"/>
      <c r="R908" s="139"/>
      <c r="S908" s="139"/>
      <c r="T908" s="139"/>
      <c r="U908" s="139"/>
      <c r="V908" s="139"/>
      <c r="W908" s="139"/>
      <c r="X908" s="139"/>
      <c r="Y908" s="139"/>
      <c r="Z908" s="139"/>
    </row>
    <row r="909" ht="15.75" customHeight="1">
      <c r="A909" s="139"/>
      <c r="B909" s="139"/>
      <c r="C909" s="183"/>
      <c r="D909" s="183"/>
      <c r="E909" s="183"/>
      <c r="F909" s="183"/>
      <c r="G909" s="183"/>
      <c r="H909" s="184"/>
      <c r="I909" s="139"/>
      <c r="J909" s="139"/>
      <c r="K909" s="139"/>
      <c r="L909" s="139"/>
      <c r="M909" s="139"/>
      <c r="N909" s="139"/>
      <c r="O909" s="139"/>
      <c r="P909" s="139"/>
      <c r="Q909" s="139"/>
      <c r="R909" s="139"/>
      <c r="S909" s="139"/>
      <c r="T909" s="139"/>
      <c r="U909" s="139"/>
      <c r="V909" s="139"/>
      <c r="W909" s="139"/>
      <c r="X909" s="139"/>
      <c r="Y909" s="139"/>
      <c r="Z909" s="139"/>
    </row>
    <row r="910" ht="15.75" customHeight="1">
      <c r="A910" s="139"/>
      <c r="B910" s="139"/>
      <c r="C910" s="183"/>
      <c r="D910" s="183"/>
      <c r="E910" s="183"/>
      <c r="F910" s="183"/>
      <c r="G910" s="183"/>
      <c r="H910" s="184"/>
      <c r="I910" s="139"/>
      <c r="J910" s="139"/>
      <c r="K910" s="139"/>
      <c r="L910" s="139"/>
      <c r="M910" s="139"/>
      <c r="N910" s="139"/>
      <c r="O910" s="139"/>
      <c r="P910" s="139"/>
      <c r="Q910" s="139"/>
      <c r="R910" s="139"/>
      <c r="S910" s="139"/>
      <c r="T910" s="139"/>
      <c r="U910" s="139"/>
      <c r="V910" s="139"/>
      <c r="W910" s="139"/>
      <c r="X910" s="139"/>
      <c r="Y910" s="139"/>
      <c r="Z910" s="139"/>
    </row>
    <row r="911" ht="15.75" customHeight="1">
      <c r="A911" s="139"/>
      <c r="B911" s="139"/>
      <c r="C911" s="183"/>
      <c r="D911" s="183"/>
      <c r="E911" s="183"/>
      <c r="F911" s="183"/>
      <c r="G911" s="183"/>
      <c r="H911" s="184"/>
      <c r="I911" s="139"/>
      <c r="J911" s="139"/>
      <c r="K911" s="139"/>
      <c r="L911" s="139"/>
      <c r="M911" s="139"/>
      <c r="N911" s="139"/>
      <c r="O911" s="139"/>
      <c r="P911" s="139"/>
      <c r="Q911" s="139"/>
      <c r="R911" s="139"/>
      <c r="S911" s="139"/>
      <c r="T911" s="139"/>
      <c r="U911" s="139"/>
      <c r="V911" s="139"/>
      <c r="W911" s="139"/>
      <c r="X911" s="139"/>
      <c r="Y911" s="139"/>
      <c r="Z911" s="139"/>
    </row>
    <row r="912" ht="15.75" customHeight="1">
      <c r="A912" s="139"/>
      <c r="B912" s="139"/>
      <c r="C912" s="183"/>
      <c r="D912" s="183"/>
      <c r="E912" s="183"/>
      <c r="F912" s="183"/>
      <c r="G912" s="183"/>
      <c r="H912" s="184"/>
      <c r="I912" s="139"/>
      <c r="J912" s="139"/>
      <c r="K912" s="139"/>
      <c r="L912" s="139"/>
      <c r="M912" s="139"/>
      <c r="N912" s="139"/>
      <c r="O912" s="139"/>
      <c r="P912" s="139"/>
      <c r="Q912" s="139"/>
      <c r="R912" s="139"/>
      <c r="S912" s="139"/>
      <c r="T912" s="139"/>
      <c r="U912" s="139"/>
      <c r="V912" s="139"/>
      <c r="W912" s="139"/>
      <c r="X912" s="139"/>
      <c r="Y912" s="139"/>
      <c r="Z912" s="139"/>
    </row>
    <row r="913" ht="15.75" customHeight="1">
      <c r="A913" s="139"/>
      <c r="B913" s="139"/>
      <c r="C913" s="183"/>
      <c r="D913" s="183"/>
      <c r="E913" s="183"/>
      <c r="F913" s="183"/>
      <c r="G913" s="183"/>
      <c r="H913" s="184"/>
      <c r="I913" s="139"/>
      <c r="J913" s="139"/>
      <c r="K913" s="139"/>
      <c r="L913" s="139"/>
      <c r="M913" s="139"/>
      <c r="N913" s="139"/>
      <c r="O913" s="139"/>
      <c r="P913" s="139"/>
      <c r="Q913" s="139"/>
      <c r="R913" s="139"/>
      <c r="S913" s="139"/>
      <c r="T913" s="139"/>
      <c r="U913" s="139"/>
      <c r="V913" s="139"/>
      <c r="W913" s="139"/>
      <c r="X913" s="139"/>
      <c r="Y913" s="139"/>
      <c r="Z913" s="139"/>
    </row>
    <row r="914" ht="15.75" customHeight="1">
      <c r="A914" s="139"/>
      <c r="B914" s="139"/>
      <c r="C914" s="183"/>
      <c r="D914" s="183"/>
      <c r="E914" s="183"/>
      <c r="F914" s="183"/>
      <c r="G914" s="183"/>
      <c r="H914" s="184"/>
      <c r="I914" s="139"/>
      <c r="J914" s="139"/>
      <c r="K914" s="139"/>
      <c r="L914" s="139"/>
      <c r="M914" s="139"/>
      <c r="N914" s="139"/>
      <c r="O914" s="139"/>
      <c r="P914" s="139"/>
      <c r="Q914" s="139"/>
      <c r="R914" s="139"/>
      <c r="S914" s="139"/>
      <c r="T914" s="139"/>
      <c r="U914" s="139"/>
      <c r="V914" s="139"/>
      <c r="W914" s="139"/>
      <c r="X914" s="139"/>
      <c r="Y914" s="139"/>
      <c r="Z914" s="139"/>
    </row>
    <row r="915" ht="15.75" customHeight="1">
      <c r="A915" s="139"/>
      <c r="B915" s="139"/>
      <c r="C915" s="183"/>
      <c r="D915" s="183"/>
      <c r="E915" s="183"/>
      <c r="F915" s="183"/>
      <c r="G915" s="183"/>
      <c r="H915" s="184"/>
      <c r="I915" s="139"/>
      <c r="J915" s="139"/>
      <c r="K915" s="139"/>
      <c r="L915" s="139"/>
      <c r="M915" s="139"/>
      <c r="N915" s="139"/>
      <c r="O915" s="139"/>
      <c r="P915" s="139"/>
      <c r="Q915" s="139"/>
      <c r="R915" s="139"/>
      <c r="S915" s="139"/>
      <c r="T915" s="139"/>
      <c r="U915" s="139"/>
      <c r="V915" s="139"/>
      <c r="W915" s="139"/>
      <c r="X915" s="139"/>
      <c r="Y915" s="139"/>
      <c r="Z915" s="139"/>
    </row>
    <row r="916" ht="15.75" customHeight="1">
      <c r="A916" s="139"/>
      <c r="B916" s="139"/>
      <c r="C916" s="183"/>
      <c r="D916" s="183"/>
      <c r="E916" s="183"/>
      <c r="F916" s="183"/>
      <c r="G916" s="183"/>
      <c r="H916" s="184"/>
      <c r="I916" s="139"/>
      <c r="J916" s="139"/>
      <c r="K916" s="139"/>
      <c r="L916" s="139"/>
      <c r="M916" s="139"/>
      <c r="N916" s="139"/>
      <c r="O916" s="139"/>
      <c r="P916" s="139"/>
      <c r="Q916" s="139"/>
      <c r="R916" s="139"/>
      <c r="S916" s="139"/>
      <c r="T916" s="139"/>
      <c r="U916" s="139"/>
      <c r="V916" s="139"/>
      <c r="W916" s="139"/>
      <c r="X916" s="139"/>
      <c r="Y916" s="139"/>
      <c r="Z916" s="139"/>
    </row>
    <row r="917" ht="15.75" customHeight="1">
      <c r="A917" s="139"/>
      <c r="B917" s="139"/>
      <c r="C917" s="183"/>
      <c r="D917" s="183"/>
      <c r="E917" s="183"/>
      <c r="F917" s="183"/>
      <c r="G917" s="183"/>
      <c r="H917" s="184"/>
      <c r="I917" s="139"/>
      <c r="J917" s="139"/>
      <c r="K917" s="139"/>
      <c r="L917" s="139"/>
      <c r="M917" s="139"/>
      <c r="N917" s="139"/>
      <c r="O917" s="139"/>
      <c r="P917" s="139"/>
      <c r="Q917" s="139"/>
      <c r="R917" s="139"/>
      <c r="S917" s="139"/>
      <c r="T917" s="139"/>
      <c r="U917" s="139"/>
      <c r="V917" s="139"/>
      <c r="W917" s="139"/>
      <c r="X917" s="139"/>
      <c r="Y917" s="139"/>
      <c r="Z917" s="139"/>
    </row>
    <row r="918" ht="15.75" customHeight="1">
      <c r="A918" s="139"/>
      <c r="B918" s="139"/>
      <c r="C918" s="183"/>
      <c r="D918" s="183"/>
      <c r="E918" s="183"/>
      <c r="F918" s="183"/>
      <c r="G918" s="183"/>
      <c r="H918" s="184"/>
      <c r="I918" s="139"/>
      <c r="J918" s="139"/>
      <c r="K918" s="139"/>
      <c r="L918" s="139"/>
      <c r="M918" s="139"/>
      <c r="N918" s="139"/>
      <c r="O918" s="139"/>
      <c r="P918" s="139"/>
      <c r="Q918" s="139"/>
      <c r="R918" s="139"/>
      <c r="S918" s="139"/>
      <c r="T918" s="139"/>
      <c r="U918" s="139"/>
      <c r="V918" s="139"/>
      <c r="W918" s="139"/>
      <c r="X918" s="139"/>
      <c r="Y918" s="139"/>
      <c r="Z918" s="139"/>
    </row>
    <row r="919" ht="15.75" customHeight="1">
      <c r="A919" s="139"/>
      <c r="B919" s="139"/>
      <c r="C919" s="183"/>
      <c r="D919" s="183"/>
      <c r="E919" s="183"/>
      <c r="F919" s="183"/>
      <c r="G919" s="183"/>
      <c r="H919" s="184"/>
      <c r="I919" s="139"/>
      <c r="J919" s="139"/>
      <c r="K919" s="139"/>
      <c r="L919" s="139"/>
      <c r="M919" s="139"/>
      <c r="N919" s="139"/>
      <c r="O919" s="139"/>
      <c r="P919" s="139"/>
      <c r="Q919" s="139"/>
      <c r="R919" s="139"/>
      <c r="S919" s="139"/>
      <c r="T919" s="139"/>
      <c r="U919" s="139"/>
      <c r="V919" s="139"/>
      <c r="W919" s="139"/>
      <c r="X919" s="139"/>
      <c r="Y919" s="139"/>
      <c r="Z919" s="139"/>
    </row>
    <row r="920" ht="15.75" customHeight="1">
      <c r="A920" s="139"/>
      <c r="B920" s="139"/>
      <c r="C920" s="183"/>
      <c r="D920" s="183"/>
      <c r="E920" s="183"/>
      <c r="F920" s="183"/>
      <c r="G920" s="183"/>
      <c r="H920" s="184"/>
      <c r="I920" s="139"/>
      <c r="J920" s="139"/>
      <c r="K920" s="139"/>
      <c r="L920" s="139"/>
      <c r="M920" s="139"/>
      <c r="N920" s="139"/>
      <c r="O920" s="139"/>
      <c r="P920" s="139"/>
      <c r="Q920" s="139"/>
      <c r="R920" s="139"/>
      <c r="S920" s="139"/>
      <c r="T920" s="139"/>
      <c r="U920" s="139"/>
      <c r="V920" s="139"/>
      <c r="W920" s="139"/>
      <c r="X920" s="139"/>
      <c r="Y920" s="139"/>
      <c r="Z920" s="139"/>
    </row>
    <row r="921" ht="15.75" customHeight="1">
      <c r="A921" s="139"/>
      <c r="B921" s="139"/>
      <c r="C921" s="183"/>
      <c r="D921" s="183"/>
      <c r="E921" s="183"/>
      <c r="F921" s="183"/>
      <c r="G921" s="183"/>
      <c r="H921" s="184"/>
      <c r="I921" s="139"/>
      <c r="J921" s="139"/>
      <c r="K921" s="139"/>
      <c r="L921" s="139"/>
      <c r="M921" s="139"/>
      <c r="N921" s="139"/>
      <c r="O921" s="139"/>
      <c r="P921" s="139"/>
      <c r="Q921" s="139"/>
      <c r="R921" s="139"/>
      <c r="S921" s="139"/>
      <c r="T921" s="139"/>
      <c r="U921" s="139"/>
      <c r="V921" s="139"/>
      <c r="W921" s="139"/>
      <c r="X921" s="139"/>
      <c r="Y921" s="139"/>
      <c r="Z921" s="139"/>
    </row>
    <row r="922" ht="15.75" customHeight="1">
      <c r="A922" s="139"/>
      <c r="B922" s="139"/>
      <c r="C922" s="183"/>
      <c r="D922" s="183"/>
      <c r="E922" s="183"/>
      <c r="F922" s="183"/>
      <c r="G922" s="183"/>
      <c r="H922" s="184"/>
      <c r="I922" s="139"/>
      <c r="J922" s="139"/>
      <c r="K922" s="139"/>
      <c r="L922" s="139"/>
      <c r="M922" s="139"/>
      <c r="N922" s="139"/>
      <c r="O922" s="139"/>
      <c r="P922" s="139"/>
      <c r="Q922" s="139"/>
      <c r="R922" s="139"/>
      <c r="S922" s="139"/>
      <c r="T922" s="139"/>
      <c r="U922" s="139"/>
      <c r="V922" s="139"/>
      <c r="W922" s="139"/>
      <c r="X922" s="139"/>
      <c r="Y922" s="139"/>
      <c r="Z922" s="139"/>
    </row>
    <row r="923" ht="15.75" customHeight="1">
      <c r="A923" s="139"/>
      <c r="B923" s="139"/>
      <c r="C923" s="183"/>
      <c r="D923" s="183"/>
      <c r="E923" s="183"/>
      <c r="F923" s="183"/>
      <c r="G923" s="183"/>
      <c r="H923" s="184"/>
      <c r="I923" s="139"/>
      <c r="J923" s="139"/>
      <c r="K923" s="139"/>
      <c r="L923" s="139"/>
      <c r="M923" s="139"/>
      <c r="N923" s="139"/>
      <c r="O923" s="139"/>
      <c r="P923" s="139"/>
      <c r="Q923" s="139"/>
      <c r="R923" s="139"/>
      <c r="S923" s="139"/>
      <c r="T923" s="139"/>
      <c r="U923" s="139"/>
      <c r="V923" s="139"/>
      <c r="W923" s="139"/>
      <c r="X923" s="139"/>
      <c r="Y923" s="139"/>
      <c r="Z923" s="139"/>
    </row>
    <row r="924" ht="15.75" customHeight="1">
      <c r="A924" s="139"/>
      <c r="B924" s="139"/>
      <c r="C924" s="183"/>
      <c r="D924" s="183"/>
      <c r="E924" s="183"/>
      <c r="F924" s="183"/>
      <c r="G924" s="183"/>
      <c r="H924" s="184"/>
      <c r="I924" s="139"/>
      <c r="J924" s="139"/>
      <c r="K924" s="139"/>
      <c r="L924" s="139"/>
      <c r="M924" s="139"/>
      <c r="N924" s="139"/>
      <c r="O924" s="139"/>
      <c r="P924" s="139"/>
      <c r="Q924" s="139"/>
      <c r="R924" s="139"/>
      <c r="S924" s="139"/>
      <c r="T924" s="139"/>
      <c r="U924" s="139"/>
      <c r="V924" s="139"/>
      <c r="W924" s="139"/>
      <c r="X924" s="139"/>
      <c r="Y924" s="139"/>
      <c r="Z924" s="139"/>
    </row>
    <row r="925" ht="15.75" customHeight="1">
      <c r="A925" s="139"/>
      <c r="B925" s="139"/>
      <c r="C925" s="183"/>
      <c r="D925" s="183"/>
      <c r="E925" s="183"/>
      <c r="F925" s="183"/>
      <c r="G925" s="183"/>
      <c r="H925" s="184"/>
      <c r="I925" s="139"/>
      <c r="J925" s="139"/>
      <c r="K925" s="139"/>
      <c r="L925" s="139"/>
      <c r="M925" s="139"/>
      <c r="N925" s="139"/>
      <c r="O925" s="139"/>
      <c r="P925" s="139"/>
      <c r="Q925" s="139"/>
      <c r="R925" s="139"/>
      <c r="S925" s="139"/>
      <c r="T925" s="139"/>
      <c r="U925" s="139"/>
      <c r="V925" s="139"/>
      <c r="W925" s="139"/>
      <c r="X925" s="139"/>
      <c r="Y925" s="139"/>
      <c r="Z925" s="139"/>
    </row>
    <row r="926" ht="15.75" customHeight="1">
      <c r="A926" s="139"/>
      <c r="B926" s="139"/>
      <c r="C926" s="183"/>
      <c r="D926" s="183"/>
      <c r="E926" s="183"/>
      <c r="F926" s="183"/>
      <c r="G926" s="183"/>
      <c r="H926" s="184"/>
      <c r="I926" s="139"/>
      <c r="J926" s="139"/>
      <c r="K926" s="139"/>
      <c r="L926" s="139"/>
      <c r="M926" s="139"/>
      <c r="N926" s="139"/>
      <c r="O926" s="139"/>
      <c r="P926" s="139"/>
      <c r="Q926" s="139"/>
      <c r="R926" s="139"/>
      <c r="S926" s="139"/>
      <c r="T926" s="139"/>
      <c r="U926" s="139"/>
      <c r="V926" s="139"/>
      <c r="W926" s="139"/>
      <c r="X926" s="139"/>
      <c r="Y926" s="139"/>
      <c r="Z926" s="139"/>
    </row>
    <row r="927" ht="15.75" customHeight="1">
      <c r="A927" s="139"/>
      <c r="B927" s="139"/>
      <c r="C927" s="183"/>
      <c r="D927" s="183"/>
      <c r="E927" s="183"/>
      <c r="F927" s="183"/>
      <c r="G927" s="183"/>
      <c r="H927" s="184"/>
      <c r="I927" s="139"/>
      <c r="J927" s="139"/>
      <c r="K927" s="139"/>
      <c r="L927" s="139"/>
      <c r="M927" s="139"/>
      <c r="N927" s="139"/>
      <c r="O927" s="139"/>
      <c r="P927" s="139"/>
      <c r="Q927" s="139"/>
      <c r="R927" s="139"/>
      <c r="S927" s="139"/>
      <c r="T927" s="139"/>
      <c r="U927" s="139"/>
      <c r="V927" s="139"/>
      <c r="W927" s="139"/>
      <c r="X927" s="139"/>
      <c r="Y927" s="139"/>
      <c r="Z927" s="139"/>
    </row>
    <row r="928" ht="15.75" customHeight="1">
      <c r="A928" s="139"/>
      <c r="B928" s="139"/>
      <c r="C928" s="183"/>
      <c r="D928" s="183"/>
      <c r="E928" s="183"/>
      <c r="F928" s="183"/>
      <c r="G928" s="183"/>
      <c r="H928" s="184"/>
      <c r="I928" s="139"/>
      <c r="J928" s="139"/>
      <c r="K928" s="139"/>
      <c r="L928" s="139"/>
      <c r="M928" s="139"/>
      <c r="N928" s="139"/>
      <c r="O928" s="139"/>
      <c r="P928" s="139"/>
      <c r="Q928" s="139"/>
      <c r="R928" s="139"/>
      <c r="S928" s="139"/>
      <c r="T928" s="139"/>
      <c r="U928" s="139"/>
      <c r="V928" s="139"/>
      <c r="W928" s="139"/>
      <c r="X928" s="139"/>
      <c r="Y928" s="139"/>
      <c r="Z928" s="139"/>
    </row>
    <row r="929" ht="15.75" customHeight="1">
      <c r="A929" s="139"/>
      <c r="B929" s="139"/>
      <c r="C929" s="183"/>
      <c r="D929" s="183"/>
      <c r="E929" s="183"/>
      <c r="F929" s="183"/>
      <c r="G929" s="183"/>
      <c r="H929" s="184"/>
      <c r="I929" s="139"/>
      <c r="J929" s="139"/>
      <c r="K929" s="139"/>
      <c r="L929" s="139"/>
      <c r="M929" s="139"/>
      <c r="N929" s="139"/>
      <c r="O929" s="139"/>
      <c r="P929" s="139"/>
      <c r="Q929" s="139"/>
      <c r="R929" s="139"/>
      <c r="S929" s="139"/>
      <c r="T929" s="139"/>
      <c r="U929" s="139"/>
      <c r="V929" s="139"/>
      <c r="W929" s="139"/>
      <c r="X929" s="139"/>
      <c r="Y929" s="139"/>
      <c r="Z929" s="139"/>
    </row>
    <row r="930" ht="15.75" customHeight="1">
      <c r="A930" s="139"/>
      <c r="B930" s="139"/>
      <c r="C930" s="183"/>
      <c r="D930" s="183"/>
      <c r="E930" s="183"/>
      <c r="F930" s="183"/>
      <c r="G930" s="183"/>
      <c r="H930" s="184"/>
      <c r="I930" s="139"/>
      <c r="J930" s="139"/>
      <c r="K930" s="139"/>
      <c r="L930" s="139"/>
      <c r="M930" s="139"/>
      <c r="N930" s="139"/>
      <c r="O930" s="139"/>
      <c r="P930" s="139"/>
      <c r="Q930" s="139"/>
      <c r="R930" s="139"/>
      <c r="S930" s="139"/>
      <c r="T930" s="139"/>
      <c r="U930" s="139"/>
      <c r="V930" s="139"/>
      <c r="W930" s="139"/>
      <c r="X930" s="139"/>
      <c r="Y930" s="139"/>
      <c r="Z930" s="139"/>
    </row>
    <row r="931" ht="15.75" customHeight="1">
      <c r="A931" s="139"/>
      <c r="B931" s="139"/>
      <c r="C931" s="183"/>
      <c r="D931" s="183"/>
      <c r="E931" s="183"/>
      <c r="F931" s="183"/>
      <c r="G931" s="183"/>
      <c r="H931" s="184"/>
      <c r="I931" s="139"/>
      <c r="J931" s="139"/>
      <c r="K931" s="139"/>
      <c r="L931" s="139"/>
      <c r="M931" s="139"/>
      <c r="N931" s="139"/>
      <c r="O931" s="139"/>
      <c r="P931" s="139"/>
      <c r="Q931" s="139"/>
      <c r="R931" s="139"/>
      <c r="S931" s="139"/>
      <c r="T931" s="139"/>
      <c r="U931" s="139"/>
      <c r="V931" s="139"/>
      <c r="W931" s="139"/>
      <c r="X931" s="139"/>
      <c r="Y931" s="139"/>
      <c r="Z931" s="139"/>
    </row>
    <row r="932" ht="15.75" customHeight="1">
      <c r="A932" s="139"/>
      <c r="B932" s="139"/>
      <c r="C932" s="183"/>
      <c r="D932" s="183"/>
      <c r="E932" s="183"/>
      <c r="F932" s="183"/>
      <c r="G932" s="183"/>
      <c r="H932" s="184"/>
      <c r="I932" s="139"/>
      <c r="J932" s="139"/>
      <c r="K932" s="139"/>
      <c r="L932" s="139"/>
      <c r="M932" s="139"/>
      <c r="N932" s="139"/>
      <c r="O932" s="139"/>
      <c r="P932" s="139"/>
      <c r="Q932" s="139"/>
      <c r="R932" s="139"/>
      <c r="S932" s="139"/>
      <c r="T932" s="139"/>
      <c r="U932" s="139"/>
      <c r="V932" s="139"/>
      <c r="W932" s="139"/>
      <c r="X932" s="139"/>
      <c r="Y932" s="139"/>
      <c r="Z932" s="139"/>
    </row>
    <row r="933" ht="15.75" customHeight="1">
      <c r="A933" s="139"/>
      <c r="B933" s="139"/>
      <c r="C933" s="183"/>
      <c r="D933" s="183"/>
      <c r="E933" s="183"/>
      <c r="F933" s="183"/>
      <c r="G933" s="183"/>
      <c r="H933" s="184"/>
      <c r="I933" s="139"/>
      <c r="J933" s="139"/>
      <c r="K933" s="139"/>
      <c r="L933" s="139"/>
      <c r="M933" s="139"/>
      <c r="N933" s="139"/>
      <c r="O933" s="139"/>
      <c r="P933" s="139"/>
      <c r="Q933" s="139"/>
      <c r="R933" s="139"/>
      <c r="S933" s="139"/>
      <c r="T933" s="139"/>
      <c r="U933" s="139"/>
      <c r="V933" s="139"/>
      <c r="W933" s="139"/>
      <c r="X933" s="139"/>
      <c r="Y933" s="139"/>
      <c r="Z933" s="139"/>
    </row>
    <row r="934" ht="15.75" customHeight="1">
      <c r="A934" s="139"/>
      <c r="B934" s="139"/>
      <c r="C934" s="183"/>
      <c r="D934" s="183"/>
      <c r="E934" s="183"/>
      <c r="F934" s="183"/>
      <c r="G934" s="183"/>
      <c r="H934" s="184"/>
      <c r="I934" s="139"/>
      <c r="J934" s="139"/>
      <c r="K934" s="139"/>
      <c r="L934" s="139"/>
      <c r="M934" s="139"/>
      <c r="N934" s="139"/>
      <c r="O934" s="139"/>
      <c r="P934" s="139"/>
      <c r="Q934" s="139"/>
      <c r="R934" s="139"/>
      <c r="S934" s="139"/>
      <c r="T934" s="139"/>
      <c r="U934" s="139"/>
      <c r="V934" s="139"/>
      <c r="W934" s="139"/>
      <c r="X934" s="139"/>
      <c r="Y934" s="139"/>
      <c r="Z934" s="139"/>
    </row>
    <row r="935" ht="15.75" customHeight="1">
      <c r="A935" s="139"/>
      <c r="B935" s="139"/>
      <c r="C935" s="183"/>
      <c r="D935" s="183"/>
      <c r="E935" s="183"/>
      <c r="F935" s="183"/>
      <c r="G935" s="183"/>
      <c r="H935" s="184"/>
      <c r="I935" s="139"/>
      <c r="J935" s="139"/>
      <c r="K935" s="139"/>
      <c r="L935" s="139"/>
      <c r="M935" s="139"/>
      <c r="N935" s="139"/>
      <c r="O935" s="139"/>
      <c r="P935" s="139"/>
      <c r="Q935" s="139"/>
      <c r="R935" s="139"/>
      <c r="S935" s="139"/>
      <c r="T935" s="139"/>
      <c r="U935" s="139"/>
      <c r="V935" s="139"/>
      <c r="W935" s="139"/>
      <c r="X935" s="139"/>
      <c r="Y935" s="139"/>
      <c r="Z935" s="139"/>
    </row>
    <row r="936" ht="15.75" customHeight="1">
      <c r="A936" s="139"/>
      <c r="B936" s="139"/>
      <c r="C936" s="183"/>
      <c r="D936" s="183"/>
      <c r="E936" s="183"/>
      <c r="F936" s="183"/>
      <c r="G936" s="183"/>
      <c r="H936" s="184"/>
      <c r="I936" s="139"/>
      <c r="J936" s="139"/>
      <c r="K936" s="139"/>
      <c r="L936" s="139"/>
      <c r="M936" s="139"/>
      <c r="N936" s="139"/>
      <c r="O936" s="139"/>
      <c r="P936" s="139"/>
      <c r="Q936" s="139"/>
      <c r="R936" s="139"/>
      <c r="S936" s="139"/>
      <c r="T936" s="139"/>
      <c r="U936" s="139"/>
      <c r="V936" s="139"/>
      <c r="W936" s="139"/>
      <c r="X936" s="139"/>
      <c r="Y936" s="139"/>
      <c r="Z936" s="139"/>
    </row>
    <row r="937" ht="15.75" customHeight="1">
      <c r="A937" s="139"/>
      <c r="B937" s="139"/>
      <c r="C937" s="183"/>
      <c r="D937" s="183"/>
      <c r="E937" s="183"/>
      <c r="F937" s="183"/>
      <c r="G937" s="183"/>
      <c r="H937" s="184"/>
      <c r="I937" s="139"/>
      <c r="J937" s="139"/>
      <c r="K937" s="139"/>
      <c r="L937" s="139"/>
      <c r="M937" s="139"/>
      <c r="N937" s="139"/>
      <c r="O937" s="139"/>
      <c r="P937" s="139"/>
      <c r="Q937" s="139"/>
      <c r="R937" s="139"/>
      <c r="S937" s="139"/>
      <c r="T937" s="139"/>
      <c r="U937" s="139"/>
      <c r="V937" s="139"/>
      <c r="W937" s="139"/>
      <c r="X937" s="139"/>
      <c r="Y937" s="139"/>
      <c r="Z937" s="139"/>
    </row>
    <row r="938" ht="15.75" customHeight="1">
      <c r="A938" s="139"/>
      <c r="B938" s="139"/>
      <c r="C938" s="183"/>
      <c r="D938" s="183"/>
      <c r="E938" s="183"/>
      <c r="F938" s="183"/>
      <c r="G938" s="183"/>
      <c r="H938" s="184"/>
      <c r="I938" s="139"/>
      <c r="J938" s="139"/>
      <c r="K938" s="139"/>
      <c r="L938" s="139"/>
      <c r="M938" s="139"/>
      <c r="N938" s="139"/>
      <c r="O938" s="139"/>
      <c r="P938" s="139"/>
      <c r="Q938" s="139"/>
      <c r="R938" s="139"/>
      <c r="S938" s="139"/>
      <c r="T938" s="139"/>
      <c r="U938" s="139"/>
      <c r="V938" s="139"/>
      <c r="W938" s="139"/>
      <c r="X938" s="139"/>
      <c r="Y938" s="139"/>
      <c r="Z938" s="139"/>
    </row>
    <row r="939" ht="15.75" customHeight="1">
      <c r="A939" s="139"/>
      <c r="B939" s="139"/>
      <c r="C939" s="183"/>
      <c r="D939" s="183"/>
      <c r="E939" s="183"/>
      <c r="F939" s="183"/>
      <c r="G939" s="183"/>
      <c r="H939" s="184"/>
      <c r="I939" s="139"/>
      <c r="J939" s="139"/>
      <c r="K939" s="139"/>
      <c r="L939" s="139"/>
      <c r="M939" s="139"/>
      <c r="N939" s="139"/>
      <c r="O939" s="139"/>
      <c r="P939" s="139"/>
      <c r="Q939" s="139"/>
      <c r="R939" s="139"/>
      <c r="S939" s="139"/>
      <c r="T939" s="139"/>
      <c r="U939" s="139"/>
      <c r="V939" s="139"/>
      <c r="W939" s="139"/>
      <c r="X939" s="139"/>
      <c r="Y939" s="139"/>
      <c r="Z939" s="139"/>
    </row>
    <row r="940" ht="15.75" customHeight="1">
      <c r="A940" s="139"/>
      <c r="B940" s="139"/>
      <c r="C940" s="183"/>
      <c r="D940" s="183"/>
      <c r="E940" s="183"/>
      <c r="F940" s="183"/>
      <c r="G940" s="183"/>
      <c r="H940" s="184"/>
      <c r="I940" s="139"/>
      <c r="J940" s="139"/>
      <c r="K940" s="139"/>
      <c r="L940" s="139"/>
      <c r="M940" s="139"/>
      <c r="N940" s="139"/>
      <c r="O940" s="139"/>
      <c r="P940" s="139"/>
      <c r="Q940" s="139"/>
      <c r="R940" s="139"/>
      <c r="S940" s="139"/>
      <c r="T940" s="139"/>
      <c r="U940" s="139"/>
      <c r="V940" s="139"/>
      <c r="W940" s="139"/>
      <c r="X940" s="139"/>
      <c r="Y940" s="139"/>
      <c r="Z940" s="139"/>
    </row>
    <row r="941" ht="15.75" customHeight="1">
      <c r="A941" s="139"/>
      <c r="B941" s="139"/>
      <c r="C941" s="183"/>
      <c r="D941" s="183"/>
      <c r="E941" s="183"/>
      <c r="F941" s="183"/>
      <c r="G941" s="183"/>
      <c r="H941" s="184"/>
      <c r="I941" s="139"/>
      <c r="J941" s="139"/>
      <c r="K941" s="139"/>
      <c r="L941" s="139"/>
      <c r="M941" s="139"/>
      <c r="N941" s="139"/>
      <c r="O941" s="139"/>
      <c r="P941" s="139"/>
      <c r="Q941" s="139"/>
      <c r="R941" s="139"/>
      <c r="S941" s="139"/>
      <c r="T941" s="139"/>
      <c r="U941" s="139"/>
      <c r="V941" s="139"/>
      <c r="W941" s="139"/>
      <c r="X941" s="139"/>
      <c r="Y941" s="139"/>
      <c r="Z941" s="139"/>
    </row>
    <row r="942" ht="15.75" customHeight="1">
      <c r="A942" s="139"/>
      <c r="B942" s="139"/>
      <c r="C942" s="183"/>
      <c r="D942" s="183"/>
      <c r="E942" s="183"/>
      <c r="F942" s="183"/>
      <c r="G942" s="183"/>
      <c r="H942" s="184"/>
      <c r="I942" s="139"/>
      <c r="J942" s="139"/>
      <c r="K942" s="139"/>
      <c r="L942" s="139"/>
      <c r="M942" s="139"/>
      <c r="N942" s="139"/>
      <c r="O942" s="139"/>
      <c r="P942" s="139"/>
      <c r="Q942" s="139"/>
      <c r="R942" s="139"/>
      <c r="S942" s="139"/>
      <c r="T942" s="139"/>
      <c r="U942" s="139"/>
      <c r="V942" s="139"/>
      <c r="W942" s="139"/>
      <c r="X942" s="139"/>
      <c r="Y942" s="139"/>
      <c r="Z942" s="139"/>
    </row>
    <row r="943" ht="15.75" customHeight="1">
      <c r="A943" s="139"/>
      <c r="B943" s="139"/>
      <c r="C943" s="183"/>
      <c r="D943" s="183"/>
      <c r="E943" s="183"/>
      <c r="F943" s="183"/>
      <c r="G943" s="183"/>
      <c r="H943" s="184"/>
      <c r="I943" s="139"/>
      <c r="J943" s="139"/>
      <c r="K943" s="139"/>
      <c r="L943" s="139"/>
      <c r="M943" s="139"/>
      <c r="N943" s="139"/>
      <c r="O943" s="139"/>
      <c r="P943" s="139"/>
      <c r="Q943" s="139"/>
      <c r="R943" s="139"/>
      <c r="S943" s="139"/>
      <c r="T943" s="139"/>
      <c r="U943" s="139"/>
      <c r="V943" s="139"/>
      <c r="W943" s="139"/>
      <c r="X943" s="139"/>
      <c r="Y943" s="139"/>
      <c r="Z943" s="139"/>
    </row>
    <row r="944" ht="15.75" customHeight="1">
      <c r="A944" s="139"/>
      <c r="B944" s="139"/>
      <c r="C944" s="183"/>
      <c r="D944" s="183"/>
      <c r="E944" s="183"/>
      <c r="F944" s="183"/>
      <c r="G944" s="183"/>
      <c r="H944" s="184"/>
      <c r="I944" s="139"/>
      <c r="J944" s="139"/>
      <c r="K944" s="139"/>
      <c r="L944" s="139"/>
      <c r="M944" s="139"/>
      <c r="N944" s="139"/>
      <c r="O944" s="139"/>
      <c r="P944" s="139"/>
      <c r="Q944" s="139"/>
      <c r="R944" s="139"/>
      <c r="S944" s="139"/>
      <c r="T944" s="139"/>
      <c r="U944" s="139"/>
      <c r="V944" s="139"/>
      <c r="W944" s="139"/>
      <c r="X944" s="139"/>
      <c r="Y944" s="139"/>
      <c r="Z944" s="139"/>
    </row>
    <row r="945" ht="15.75" customHeight="1">
      <c r="A945" s="139"/>
      <c r="B945" s="139"/>
      <c r="C945" s="183"/>
      <c r="D945" s="183"/>
      <c r="E945" s="183"/>
      <c r="F945" s="183"/>
      <c r="G945" s="183"/>
      <c r="H945" s="184"/>
      <c r="I945" s="139"/>
      <c r="J945" s="139"/>
      <c r="K945" s="139"/>
      <c r="L945" s="139"/>
      <c r="M945" s="139"/>
      <c r="N945" s="139"/>
      <c r="O945" s="139"/>
      <c r="P945" s="139"/>
      <c r="Q945" s="139"/>
      <c r="R945" s="139"/>
      <c r="S945" s="139"/>
      <c r="T945" s="139"/>
      <c r="U945" s="139"/>
      <c r="V945" s="139"/>
      <c r="W945" s="139"/>
      <c r="X945" s="139"/>
      <c r="Y945" s="139"/>
      <c r="Z945" s="139"/>
    </row>
    <row r="946" ht="15.75" customHeight="1">
      <c r="A946" s="139"/>
      <c r="B946" s="139"/>
      <c r="C946" s="183"/>
      <c r="D946" s="183"/>
      <c r="E946" s="183"/>
      <c r="F946" s="183"/>
      <c r="G946" s="183"/>
      <c r="H946" s="184"/>
      <c r="I946" s="139"/>
      <c r="J946" s="139"/>
      <c r="K946" s="139"/>
      <c r="L946" s="139"/>
      <c r="M946" s="139"/>
      <c r="N946" s="139"/>
      <c r="O946" s="139"/>
      <c r="P946" s="139"/>
      <c r="Q946" s="139"/>
      <c r="R946" s="139"/>
      <c r="S946" s="139"/>
      <c r="T946" s="139"/>
      <c r="U946" s="139"/>
      <c r="V946" s="139"/>
      <c r="W946" s="139"/>
      <c r="X946" s="139"/>
      <c r="Y946" s="139"/>
      <c r="Z946" s="139"/>
    </row>
    <row r="947" ht="15.75" customHeight="1">
      <c r="A947" s="139"/>
      <c r="B947" s="139"/>
      <c r="C947" s="183"/>
      <c r="D947" s="183"/>
      <c r="E947" s="183"/>
      <c r="F947" s="183"/>
      <c r="G947" s="183"/>
      <c r="H947" s="184"/>
      <c r="I947" s="139"/>
      <c r="J947" s="139"/>
      <c r="K947" s="139"/>
      <c r="L947" s="139"/>
      <c r="M947" s="139"/>
      <c r="N947" s="139"/>
      <c r="O947" s="139"/>
      <c r="P947" s="139"/>
      <c r="Q947" s="139"/>
      <c r="R947" s="139"/>
      <c r="S947" s="139"/>
      <c r="T947" s="139"/>
      <c r="U947" s="139"/>
      <c r="V947" s="139"/>
      <c r="W947" s="139"/>
      <c r="X947" s="139"/>
      <c r="Y947" s="139"/>
      <c r="Z947" s="139"/>
    </row>
    <row r="948" ht="15.75" customHeight="1">
      <c r="A948" s="139"/>
      <c r="B948" s="139"/>
      <c r="C948" s="183"/>
      <c r="D948" s="183"/>
      <c r="E948" s="183"/>
      <c r="F948" s="183"/>
      <c r="G948" s="183"/>
      <c r="H948" s="184"/>
      <c r="I948" s="139"/>
      <c r="J948" s="139"/>
      <c r="K948" s="139"/>
      <c r="L948" s="139"/>
      <c r="M948" s="139"/>
      <c r="N948" s="139"/>
      <c r="O948" s="139"/>
      <c r="P948" s="139"/>
      <c r="Q948" s="139"/>
      <c r="R948" s="139"/>
      <c r="S948" s="139"/>
      <c r="T948" s="139"/>
      <c r="U948" s="139"/>
      <c r="V948" s="139"/>
      <c r="W948" s="139"/>
      <c r="X948" s="139"/>
      <c r="Y948" s="139"/>
      <c r="Z948" s="139"/>
    </row>
    <row r="949" ht="15.75" customHeight="1">
      <c r="A949" s="139"/>
      <c r="B949" s="139"/>
      <c r="C949" s="183"/>
      <c r="D949" s="183"/>
      <c r="E949" s="183"/>
      <c r="F949" s="183"/>
      <c r="G949" s="183"/>
      <c r="H949" s="184"/>
      <c r="I949" s="139"/>
      <c r="J949" s="139"/>
      <c r="K949" s="139"/>
      <c r="L949" s="139"/>
      <c r="M949" s="139"/>
      <c r="N949" s="139"/>
      <c r="O949" s="139"/>
      <c r="P949" s="139"/>
      <c r="Q949" s="139"/>
      <c r="R949" s="139"/>
      <c r="S949" s="139"/>
      <c r="T949" s="139"/>
      <c r="U949" s="139"/>
      <c r="V949" s="139"/>
      <c r="W949" s="139"/>
      <c r="X949" s="139"/>
      <c r="Y949" s="139"/>
      <c r="Z949" s="139"/>
    </row>
    <row r="950" ht="15.75" customHeight="1">
      <c r="A950" s="139"/>
      <c r="B950" s="139"/>
      <c r="C950" s="183"/>
      <c r="D950" s="183"/>
      <c r="E950" s="183"/>
      <c r="F950" s="183"/>
      <c r="G950" s="183"/>
      <c r="H950" s="184"/>
      <c r="I950" s="139"/>
      <c r="J950" s="139"/>
      <c r="K950" s="139"/>
      <c r="L950" s="139"/>
      <c r="M950" s="139"/>
      <c r="N950" s="139"/>
      <c r="O950" s="139"/>
      <c r="P950" s="139"/>
      <c r="Q950" s="139"/>
      <c r="R950" s="139"/>
      <c r="S950" s="139"/>
      <c r="T950" s="139"/>
      <c r="U950" s="139"/>
      <c r="V950" s="139"/>
      <c r="W950" s="139"/>
      <c r="X950" s="139"/>
      <c r="Y950" s="139"/>
      <c r="Z950" s="139"/>
    </row>
    <row r="951" ht="15.75" customHeight="1">
      <c r="A951" s="139"/>
      <c r="B951" s="139"/>
      <c r="C951" s="183"/>
      <c r="D951" s="183"/>
      <c r="E951" s="183"/>
      <c r="F951" s="183"/>
      <c r="G951" s="183"/>
      <c r="H951" s="184"/>
      <c r="I951" s="139"/>
      <c r="J951" s="139"/>
      <c r="K951" s="139"/>
      <c r="L951" s="139"/>
      <c r="M951" s="139"/>
      <c r="N951" s="139"/>
      <c r="O951" s="139"/>
      <c r="P951" s="139"/>
      <c r="Q951" s="139"/>
      <c r="R951" s="139"/>
      <c r="S951" s="139"/>
      <c r="T951" s="139"/>
      <c r="U951" s="139"/>
      <c r="V951" s="139"/>
      <c r="W951" s="139"/>
      <c r="X951" s="139"/>
      <c r="Y951" s="139"/>
      <c r="Z951" s="139"/>
    </row>
    <row r="952" ht="15.75" customHeight="1">
      <c r="A952" s="139"/>
      <c r="B952" s="139"/>
      <c r="C952" s="183"/>
      <c r="D952" s="183"/>
      <c r="E952" s="183"/>
      <c r="F952" s="183"/>
      <c r="G952" s="183"/>
      <c r="H952" s="184"/>
      <c r="I952" s="139"/>
      <c r="J952" s="139"/>
      <c r="K952" s="139"/>
      <c r="L952" s="139"/>
      <c r="M952" s="139"/>
      <c r="N952" s="139"/>
      <c r="O952" s="139"/>
      <c r="P952" s="139"/>
      <c r="Q952" s="139"/>
      <c r="R952" s="139"/>
      <c r="S952" s="139"/>
      <c r="T952" s="139"/>
      <c r="U952" s="139"/>
      <c r="V952" s="139"/>
      <c r="W952" s="139"/>
      <c r="X952" s="139"/>
      <c r="Y952" s="139"/>
      <c r="Z952" s="139"/>
    </row>
    <row r="953" ht="15.75" customHeight="1">
      <c r="A953" s="139"/>
      <c r="B953" s="139"/>
      <c r="C953" s="183"/>
      <c r="D953" s="183"/>
      <c r="E953" s="183"/>
      <c r="F953" s="183"/>
      <c r="G953" s="183"/>
      <c r="H953" s="184"/>
      <c r="I953" s="139"/>
      <c r="J953" s="139"/>
      <c r="K953" s="139"/>
      <c r="L953" s="139"/>
      <c r="M953" s="139"/>
      <c r="N953" s="139"/>
      <c r="O953" s="139"/>
      <c r="P953" s="139"/>
      <c r="Q953" s="139"/>
      <c r="R953" s="139"/>
      <c r="S953" s="139"/>
      <c r="T953" s="139"/>
      <c r="U953" s="139"/>
      <c r="V953" s="139"/>
      <c r="W953" s="139"/>
      <c r="X953" s="139"/>
      <c r="Y953" s="139"/>
      <c r="Z953" s="139"/>
    </row>
    <row r="954" ht="15.75" customHeight="1">
      <c r="A954" s="139"/>
      <c r="B954" s="139"/>
      <c r="C954" s="183"/>
      <c r="D954" s="183"/>
      <c r="E954" s="183"/>
      <c r="F954" s="183"/>
      <c r="G954" s="183"/>
      <c r="H954" s="184"/>
      <c r="I954" s="139"/>
      <c r="J954" s="139"/>
      <c r="K954" s="139"/>
      <c r="L954" s="139"/>
      <c r="M954" s="139"/>
      <c r="N954" s="139"/>
      <c r="O954" s="139"/>
      <c r="P954" s="139"/>
      <c r="Q954" s="139"/>
      <c r="R954" s="139"/>
      <c r="S954" s="139"/>
      <c r="T954" s="139"/>
      <c r="U954" s="139"/>
      <c r="V954" s="139"/>
      <c r="W954" s="139"/>
      <c r="X954" s="139"/>
      <c r="Y954" s="139"/>
      <c r="Z954" s="139"/>
    </row>
    <row r="955" ht="15.75" customHeight="1">
      <c r="A955" s="139"/>
      <c r="B955" s="139"/>
      <c r="C955" s="183"/>
      <c r="D955" s="183"/>
      <c r="E955" s="183"/>
      <c r="F955" s="183"/>
      <c r="G955" s="183"/>
      <c r="H955" s="184"/>
      <c r="I955" s="139"/>
      <c r="J955" s="139"/>
      <c r="K955" s="139"/>
      <c r="L955" s="139"/>
      <c r="M955" s="139"/>
      <c r="N955" s="139"/>
      <c r="O955" s="139"/>
      <c r="P955" s="139"/>
      <c r="Q955" s="139"/>
      <c r="R955" s="139"/>
      <c r="S955" s="139"/>
      <c r="T955" s="139"/>
      <c r="U955" s="139"/>
      <c r="V955" s="139"/>
      <c r="W955" s="139"/>
      <c r="X955" s="139"/>
      <c r="Y955" s="139"/>
      <c r="Z955" s="139"/>
    </row>
    <row r="956" ht="15.75" customHeight="1">
      <c r="A956" s="139"/>
      <c r="B956" s="139"/>
      <c r="C956" s="183"/>
      <c r="D956" s="183"/>
      <c r="E956" s="183"/>
      <c r="F956" s="183"/>
      <c r="G956" s="183"/>
      <c r="H956" s="184"/>
      <c r="I956" s="139"/>
      <c r="J956" s="139"/>
      <c r="K956" s="139"/>
      <c r="L956" s="139"/>
      <c r="M956" s="139"/>
      <c r="N956" s="139"/>
      <c r="O956" s="139"/>
      <c r="P956" s="139"/>
      <c r="Q956" s="139"/>
      <c r="R956" s="139"/>
      <c r="S956" s="139"/>
      <c r="T956" s="139"/>
      <c r="U956" s="139"/>
      <c r="V956" s="139"/>
      <c r="W956" s="139"/>
      <c r="X956" s="139"/>
      <c r="Y956" s="139"/>
      <c r="Z956" s="139"/>
    </row>
    <row r="957" ht="15.75" customHeight="1">
      <c r="A957" s="139"/>
      <c r="B957" s="139"/>
      <c r="C957" s="183"/>
      <c r="D957" s="183"/>
      <c r="E957" s="183"/>
      <c r="F957" s="183"/>
      <c r="G957" s="183"/>
      <c r="H957" s="184"/>
      <c r="I957" s="139"/>
      <c r="J957" s="139"/>
      <c r="K957" s="139"/>
      <c r="L957" s="139"/>
      <c r="M957" s="139"/>
      <c r="N957" s="139"/>
      <c r="O957" s="139"/>
      <c r="P957" s="139"/>
      <c r="Q957" s="139"/>
      <c r="R957" s="139"/>
      <c r="S957" s="139"/>
      <c r="T957" s="139"/>
      <c r="U957" s="139"/>
      <c r="V957" s="139"/>
      <c r="W957" s="139"/>
      <c r="X957" s="139"/>
      <c r="Y957" s="139"/>
      <c r="Z957" s="139"/>
    </row>
    <row r="958" ht="15.75" customHeight="1">
      <c r="A958" s="139"/>
      <c r="B958" s="139"/>
      <c r="C958" s="183"/>
      <c r="D958" s="183"/>
      <c r="E958" s="183"/>
      <c r="F958" s="183"/>
      <c r="G958" s="183"/>
      <c r="H958" s="184"/>
      <c r="I958" s="139"/>
      <c r="J958" s="139"/>
      <c r="K958" s="139"/>
      <c r="L958" s="139"/>
      <c r="M958" s="139"/>
      <c r="N958" s="139"/>
      <c r="O958" s="139"/>
      <c r="P958" s="139"/>
      <c r="Q958" s="139"/>
      <c r="R958" s="139"/>
      <c r="S958" s="139"/>
      <c r="T958" s="139"/>
      <c r="U958" s="139"/>
      <c r="V958" s="139"/>
      <c r="W958" s="139"/>
      <c r="X958" s="139"/>
      <c r="Y958" s="139"/>
      <c r="Z958" s="139"/>
    </row>
    <row r="959" ht="15.75" customHeight="1">
      <c r="A959" s="139"/>
      <c r="B959" s="139"/>
      <c r="C959" s="183"/>
      <c r="D959" s="183"/>
      <c r="E959" s="183"/>
      <c r="F959" s="183"/>
      <c r="G959" s="183"/>
      <c r="H959" s="184"/>
      <c r="I959" s="139"/>
      <c r="J959" s="139"/>
      <c r="K959" s="139"/>
      <c r="L959" s="139"/>
      <c r="M959" s="139"/>
      <c r="N959" s="139"/>
      <c r="O959" s="139"/>
      <c r="P959" s="139"/>
      <c r="Q959" s="139"/>
      <c r="R959" s="139"/>
      <c r="S959" s="139"/>
      <c r="T959" s="139"/>
      <c r="U959" s="139"/>
      <c r="V959" s="139"/>
      <c r="W959" s="139"/>
      <c r="X959" s="139"/>
      <c r="Y959" s="139"/>
      <c r="Z959" s="139"/>
    </row>
    <row r="960" ht="15.75" customHeight="1">
      <c r="A960" s="139"/>
      <c r="B960" s="139"/>
      <c r="C960" s="183"/>
      <c r="D960" s="183"/>
      <c r="E960" s="183"/>
      <c r="F960" s="183"/>
      <c r="G960" s="183"/>
      <c r="H960" s="184"/>
      <c r="I960" s="139"/>
      <c r="J960" s="139"/>
      <c r="K960" s="139"/>
      <c r="L960" s="139"/>
      <c r="M960" s="139"/>
      <c r="N960" s="139"/>
      <c r="O960" s="139"/>
      <c r="P960" s="139"/>
      <c r="Q960" s="139"/>
      <c r="R960" s="139"/>
      <c r="S960" s="139"/>
      <c r="T960" s="139"/>
      <c r="U960" s="139"/>
      <c r="V960" s="139"/>
      <c r="W960" s="139"/>
      <c r="X960" s="139"/>
      <c r="Y960" s="139"/>
      <c r="Z960" s="139"/>
    </row>
    <row r="961" ht="15.75" customHeight="1">
      <c r="A961" s="139"/>
      <c r="B961" s="139"/>
      <c r="C961" s="183"/>
      <c r="D961" s="183"/>
      <c r="E961" s="183"/>
      <c r="F961" s="183"/>
      <c r="G961" s="183"/>
      <c r="H961" s="184"/>
      <c r="I961" s="139"/>
      <c r="J961" s="139"/>
      <c r="K961" s="139"/>
      <c r="L961" s="139"/>
      <c r="M961" s="139"/>
      <c r="N961" s="139"/>
      <c r="O961" s="139"/>
      <c r="P961" s="139"/>
      <c r="Q961" s="139"/>
      <c r="R961" s="139"/>
      <c r="S961" s="139"/>
      <c r="T961" s="139"/>
      <c r="U961" s="139"/>
      <c r="V961" s="139"/>
      <c r="W961" s="139"/>
      <c r="X961" s="139"/>
      <c r="Y961" s="139"/>
      <c r="Z961" s="139"/>
    </row>
    <row r="962" ht="15.75" customHeight="1">
      <c r="A962" s="139"/>
      <c r="B962" s="139"/>
      <c r="C962" s="183"/>
      <c r="D962" s="183"/>
      <c r="E962" s="183"/>
      <c r="F962" s="183"/>
      <c r="G962" s="183"/>
      <c r="H962" s="184"/>
      <c r="I962" s="139"/>
      <c r="J962" s="139"/>
      <c r="K962" s="139"/>
      <c r="L962" s="139"/>
      <c r="M962" s="139"/>
      <c r="N962" s="139"/>
      <c r="O962" s="139"/>
      <c r="P962" s="139"/>
      <c r="Q962" s="139"/>
      <c r="R962" s="139"/>
      <c r="S962" s="139"/>
      <c r="T962" s="139"/>
      <c r="U962" s="139"/>
      <c r="V962" s="139"/>
      <c r="W962" s="139"/>
      <c r="X962" s="139"/>
      <c r="Y962" s="139"/>
      <c r="Z962" s="139"/>
    </row>
    <row r="963" ht="15.75" customHeight="1">
      <c r="A963" s="139"/>
      <c r="B963" s="139"/>
      <c r="C963" s="183"/>
      <c r="D963" s="183"/>
      <c r="E963" s="183"/>
      <c r="F963" s="183"/>
      <c r="G963" s="183"/>
      <c r="H963" s="184"/>
      <c r="I963" s="139"/>
      <c r="J963" s="139"/>
      <c r="K963" s="139"/>
      <c r="L963" s="139"/>
      <c r="M963" s="139"/>
      <c r="N963" s="139"/>
      <c r="O963" s="139"/>
      <c r="P963" s="139"/>
      <c r="Q963" s="139"/>
      <c r="R963" s="139"/>
      <c r="S963" s="139"/>
      <c r="T963" s="139"/>
      <c r="U963" s="139"/>
      <c r="V963" s="139"/>
      <c r="W963" s="139"/>
      <c r="X963" s="139"/>
      <c r="Y963" s="139"/>
      <c r="Z963" s="139"/>
    </row>
    <row r="964" ht="15.75" customHeight="1">
      <c r="A964" s="139"/>
      <c r="B964" s="139"/>
      <c r="C964" s="183"/>
      <c r="D964" s="183"/>
      <c r="E964" s="183"/>
      <c r="F964" s="183"/>
      <c r="G964" s="183"/>
      <c r="H964" s="184"/>
      <c r="I964" s="139"/>
      <c r="J964" s="139"/>
      <c r="K964" s="139"/>
      <c r="L964" s="139"/>
      <c r="M964" s="139"/>
      <c r="N964" s="139"/>
      <c r="O964" s="139"/>
      <c r="P964" s="139"/>
      <c r="Q964" s="139"/>
      <c r="R964" s="139"/>
      <c r="S964" s="139"/>
      <c r="T964" s="139"/>
      <c r="U964" s="139"/>
      <c r="V964" s="139"/>
      <c r="W964" s="139"/>
      <c r="X964" s="139"/>
      <c r="Y964" s="139"/>
      <c r="Z964" s="139"/>
    </row>
    <row r="965" ht="15.75" customHeight="1">
      <c r="A965" s="139"/>
      <c r="B965" s="139"/>
      <c r="C965" s="183"/>
      <c r="D965" s="183"/>
      <c r="E965" s="183"/>
      <c r="F965" s="183"/>
      <c r="G965" s="183"/>
      <c r="H965" s="184"/>
      <c r="I965" s="139"/>
      <c r="J965" s="139"/>
      <c r="K965" s="139"/>
      <c r="L965" s="139"/>
      <c r="M965" s="139"/>
      <c r="N965" s="139"/>
      <c r="O965" s="139"/>
      <c r="P965" s="139"/>
      <c r="Q965" s="139"/>
      <c r="R965" s="139"/>
      <c r="S965" s="139"/>
      <c r="T965" s="139"/>
      <c r="U965" s="139"/>
      <c r="V965" s="139"/>
      <c r="W965" s="139"/>
      <c r="X965" s="139"/>
      <c r="Y965" s="139"/>
      <c r="Z965" s="139"/>
    </row>
    <row r="966" ht="15.75" customHeight="1">
      <c r="A966" s="139"/>
      <c r="B966" s="139"/>
      <c r="C966" s="183"/>
      <c r="D966" s="183"/>
      <c r="E966" s="183"/>
      <c r="F966" s="183"/>
      <c r="G966" s="183"/>
      <c r="H966" s="184"/>
      <c r="I966" s="139"/>
      <c r="J966" s="139"/>
      <c r="K966" s="139"/>
      <c r="L966" s="139"/>
      <c r="M966" s="139"/>
      <c r="N966" s="139"/>
      <c r="O966" s="139"/>
      <c r="P966" s="139"/>
      <c r="Q966" s="139"/>
      <c r="R966" s="139"/>
      <c r="S966" s="139"/>
      <c r="T966" s="139"/>
      <c r="U966" s="139"/>
      <c r="V966" s="139"/>
      <c r="W966" s="139"/>
      <c r="X966" s="139"/>
      <c r="Y966" s="139"/>
      <c r="Z966" s="139"/>
    </row>
    <row r="967" ht="15.75" customHeight="1">
      <c r="A967" s="139"/>
      <c r="B967" s="139"/>
      <c r="C967" s="183"/>
      <c r="D967" s="183"/>
      <c r="E967" s="183"/>
      <c r="F967" s="183"/>
      <c r="G967" s="183"/>
      <c r="H967" s="184"/>
      <c r="I967" s="139"/>
      <c r="J967" s="139"/>
      <c r="K967" s="139"/>
      <c r="L967" s="139"/>
      <c r="M967" s="139"/>
      <c r="N967" s="139"/>
      <c r="O967" s="139"/>
      <c r="P967" s="139"/>
      <c r="Q967" s="139"/>
      <c r="R967" s="139"/>
      <c r="S967" s="139"/>
      <c r="T967" s="139"/>
      <c r="U967" s="139"/>
      <c r="V967" s="139"/>
      <c r="W967" s="139"/>
      <c r="X967" s="139"/>
      <c r="Y967" s="139"/>
      <c r="Z967" s="139"/>
    </row>
    <row r="968" ht="15.75" customHeight="1">
      <c r="A968" s="139"/>
      <c r="B968" s="139"/>
      <c r="C968" s="183"/>
      <c r="D968" s="183"/>
      <c r="E968" s="183"/>
      <c r="F968" s="183"/>
      <c r="G968" s="183"/>
      <c r="H968" s="184"/>
      <c r="I968" s="139"/>
      <c r="J968" s="139"/>
      <c r="K968" s="139"/>
      <c r="L968" s="139"/>
      <c r="M968" s="139"/>
      <c r="N968" s="139"/>
      <c r="O968" s="139"/>
      <c r="P968" s="139"/>
      <c r="Q968" s="139"/>
      <c r="R968" s="139"/>
      <c r="S968" s="139"/>
      <c r="T968" s="139"/>
      <c r="U968" s="139"/>
      <c r="V968" s="139"/>
      <c r="W968" s="139"/>
      <c r="X968" s="139"/>
      <c r="Y968" s="139"/>
      <c r="Z968" s="139"/>
    </row>
    <row r="969" ht="15.75" customHeight="1">
      <c r="A969" s="139"/>
      <c r="B969" s="139"/>
      <c r="C969" s="183"/>
      <c r="D969" s="183"/>
      <c r="E969" s="183"/>
      <c r="F969" s="183"/>
      <c r="G969" s="183"/>
      <c r="H969" s="184"/>
      <c r="I969" s="139"/>
      <c r="J969" s="139"/>
      <c r="K969" s="139"/>
      <c r="L969" s="139"/>
      <c r="M969" s="139"/>
      <c r="N969" s="139"/>
      <c r="O969" s="139"/>
      <c r="P969" s="139"/>
      <c r="Q969" s="139"/>
      <c r="R969" s="139"/>
      <c r="S969" s="139"/>
      <c r="T969" s="139"/>
      <c r="U969" s="139"/>
      <c r="V969" s="139"/>
      <c r="W969" s="139"/>
      <c r="X969" s="139"/>
      <c r="Y969" s="139"/>
      <c r="Z969" s="139"/>
    </row>
    <row r="970" ht="15.75" customHeight="1">
      <c r="A970" s="139"/>
      <c r="B970" s="139"/>
      <c r="C970" s="183"/>
      <c r="D970" s="183"/>
      <c r="E970" s="183"/>
      <c r="F970" s="183"/>
      <c r="G970" s="183"/>
      <c r="H970" s="184"/>
      <c r="I970" s="139"/>
      <c r="J970" s="139"/>
      <c r="K970" s="139"/>
      <c r="L970" s="139"/>
      <c r="M970" s="139"/>
      <c r="N970" s="139"/>
      <c r="O970" s="139"/>
      <c r="P970" s="139"/>
      <c r="Q970" s="139"/>
      <c r="R970" s="139"/>
      <c r="S970" s="139"/>
      <c r="T970" s="139"/>
      <c r="U970" s="139"/>
      <c r="V970" s="139"/>
      <c r="W970" s="139"/>
      <c r="X970" s="139"/>
      <c r="Y970" s="139"/>
      <c r="Z970" s="139"/>
    </row>
    <row r="971" ht="15.75" customHeight="1">
      <c r="A971" s="139"/>
      <c r="B971" s="139"/>
      <c r="C971" s="183"/>
      <c r="D971" s="183"/>
      <c r="E971" s="183"/>
      <c r="F971" s="183"/>
      <c r="G971" s="183"/>
      <c r="H971" s="184"/>
      <c r="I971" s="139"/>
      <c r="J971" s="139"/>
      <c r="K971" s="139"/>
      <c r="L971" s="139"/>
      <c r="M971" s="139"/>
      <c r="N971" s="139"/>
      <c r="O971" s="139"/>
      <c r="P971" s="139"/>
      <c r="Q971" s="139"/>
      <c r="R971" s="139"/>
      <c r="S971" s="139"/>
      <c r="T971" s="139"/>
      <c r="U971" s="139"/>
      <c r="V971" s="139"/>
      <c r="W971" s="139"/>
      <c r="X971" s="139"/>
      <c r="Y971" s="139"/>
      <c r="Z971" s="139"/>
    </row>
    <row r="972" ht="15.75" customHeight="1">
      <c r="A972" s="139"/>
      <c r="B972" s="139"/>
      <c r="C972" s="183"/>
      <c r="D972" s="183"/>
      <c r="E972" s="183"/>
      <c r="F972" s="183"/>
      <c r="G972" s="183"/>
      <c r="H972" s="184"/>
      <c r="I972" s="139"/>
      <c r="J972" s="139"/>
      <c r="K972" s="139"/>
      <c r="L972" s="139"/>
      <c r="M972" s="139"/>
      <c r="N972" s="139"/>
      <c r="O972" s="139"/>
      <c r="P972" s="139"/>
      <c r="Q972" s="139"/>
      <c r="R972" s="139"/>
      <c r="S972" s="139"/>
      <c r="T972" s="139"/>
      <c r="U972" s="139"/>
      <c r="V972" s="139"/>
      <c r="W972" s="139"/>
      <c r="X972" s="139"/>
      <c r="Y972" s="139"/>
      <c r="Z972" s="139"/>
    </row>
    <row r="973" ht="15.75" customHeight="1">
      <c r="A973" s="139"/>
      <c r="B973" s="139"/>
      <c r="C973" s="183"/>
      <c r="D973" s="183"/>
      <c r="E973" s="183"/>
      <c r="F973" s="183"/>
      <c r="G973" s="183"/>
      <c r="H973" s="184"/>
      <c r="I973" s="139"/>
      <c r="J973" s="139"/>
      <c r="K973" s="139"/>
      <c r="L973" s="139"/>
      <c r="M973" s="139"/>
      <c r="N973" s="139"/>
      <c r="O973" s="139"/>
      <c r="P973" s="139"/>
      <c r="Q973" s="139"/>
      <c r="R973" s="139"/>
      <c r="S973" s="139"/>
      <c r="T973" s="139"/>
      <c r="U973" s="139"/>
      <c r="V973" s="139"/>
      <c r="W973" s="139"/>
      <c r="X973" s="139"/>
      <c r="Y973" s="139"/>
      <c r="Z973" s="139"/>
    </row>
    <row r="974" ht="15.75" customHeight="1">
      <c r="A974" s="139"/>
      <c r="B974" s="139"/>
      <c r="C974" s="183"/>
      <c r="D974" s="183"/>
      <c r="E974" s="183"/>
      <c r="F974" s="183"/>
      <c r="G974" s="183"/>
      <c r="H974" s="184"/>
      <c r="I974" s="139"/>
      <c r="J974" s="139"/>
      <c r="K974" s="139"/>
      <c r="L974" s="139"/>
      <c r="M974" s="139"/>
      <c r="N974" s="139"/>
      <c r="O974" s="139"/>
      <c r="P974" s="139"/>
      <c r="Q974" s="139"/>
      <c r="R974" s="139"/>
      <c r="S974" s="139"/>
      <c r="T974" s="139"/>
      <c r="U974" s="139"/>
      <c r="V974" s="139"/>
      <c r="W974" s="139"/>
      <c r="X974" s="139"/>
      <c r="Y974" s="139"/>
      <c r="Z974" s="139"/>
    </row>
    <row r="975" ht="15.75" customHeight="1">
      <c r="A975" s="139"/>
      <c r="B975" s="139"/>
      <c r="C975" s="183"/>
      <c r="D975" s="183"/>
      <c r="E975" s="183"/>
      <c r="F975" s="183"/>
      <c r="G975" s="183"/>
      <c r="H975" s="184"/>
      <c r="I975" s="139"/>
      <c r="J975" s="139"/>
      <c r="K975" s="139"/>
      <c r="L975" s="139"/>
      <c r="M975" s="139"/>
      <c r="N975" s="139"/>
      <c r="O975" s="139"/>
      <c r="P975" s="139"/>
      <c r="Q975" s="139"/>
      <c r="R975" s="139"/>
      <c r="S975" s="139"/>
      <c r="T975" s="139"/>
      <c r="U975" s="139"/>
      <c r="V975" s="139"/>
      <c r="W975" s="139"/>
      <c r="X975" s="139"/>
      <c r="Y975" s="139"/>
      <c r="Z975" s="139"/>
    </row>
    <row r="976" ht="15.75" customHeight="1">
      <c r="A976" s="139"/>
      <c r="B976" s="139"/>
      <c r="C976" s="183"/>
      <c r="D976" s="183"/>
      <c r="E976" s="183"/>
      <c r="F976" s="183"/>
      <c r="G976" s="183"/>
      <c r="H976" s="184"/>
      <c r="I976" s="139"/>
      <c r="J976" s="139"/>
      <c r="K976" s="139"/>
      <c r="L976" s="139"/>
      <c r="M976" s="139"/>
      <c r="N976" s="139"/>
      <c r="O976" s="139"/>
      <c r="P976" s="139"/>
      <c r="Q976" s="139"/>
      <c r="R976" s="139"/>
      <c r="S976" s="139"/>
      <c r="T976" s="139"/>
      <c r="U976" s="139"/>
      <c r="V976" s="139"/>
      <c r="W976" s="139"/>
      <c r="X976" s="139"/>
      <c r="Y976" s="139"/>
      <c r="Z976" s="139"/>
    </row>
    <row r="977" ht="15.75" customHeight="1">
      <c r="A977" s="139"/>
      <c r="B977" s="139"/>
      <c r="C977" s="183"/>
      <c r="D977" s="183"/>
      <c r="E977" s="183"/>
      <c r="F977" s="183"/>
      <c r="G977" s="183"/>
      <c r="H977" s="184"/>
      <c r="I977" s="139"/>
      <c r="J977" s="139"/>
      <c r="K977" s="139"/>
      <c r="L977" s="139"/>
      <c r="M977" s="139"/>
      <c r="N977" s="139"/>
      <c r="O977" s="139"/>
      <c r="P977" s="139"/>
      <c r="Q977" s="139"/>
      <c r="R977" s="139"/>
      <c r="S977" s="139"/>
      <c r="T977" s="139"/>
      <c r="U977" s="139"/>
      <c r="V977" s="139"/>
      <c r="W977" s="139"/>
      <c r="X977" s="139"/>
      <c r="Y977" s="139"/>
      <c r="Z977" s="139"/>
    </row>
    <row r="978" ht="15.75" customHeight="1">
      <c r="A978" s="139"/>
      <c r="B978" s="139"/>
      <c r="C978" s="183"/>
      <c r="D978" s="183"/>
      <c r="E978" s="183"/>
      <c r="F978" s="183"/>
      <c r="G978" s="183"/>
      <c r="H978" s="184"/>
      <c r="I978" s="139"/>
      <c r="J978" s="139"/>
      <c r="K978" s="139"/>
      <c r="L978" s="139"/>
      <c r="M978" s="139"/>
      <c r="N978" s="139"/>
      <c r="O978" s="139"/>
      <c r="P978" s="139"/>
      <c r="Q978" s="139"/>
      <c r="R978" s="139"/>
      <c r="S978" s="139"/>
      <c r="T978" s="139"/>
      <c r="U978" s="139"/>
      <c r="V978" s="139"/>
      <c r="W978" s="139"/>
      <c r="X978" s="139"/>
      <c r="Y978" s="139"/>
      <c r="Z978" s="139"/>
    </row>
    <row r="979" ht="15.75" customHeight="1">
      <c r="A979" s="139"/>
      <c r="B979" s="139"/>
      <c r="C979" s="183"/>
      <c r="D979" s="183"/>
      <c r="E979" s="183"/>
      <c r="F979" s="183"/>
      <c r="G979" s="183"/>
      <c r="H979" s="184"/>
      <c r="I979" s="139"/>
      <c r="J979" s="139"/>
      <c r="K979" s="139"/>
      <c r="L979" s="139"/>
      <c r="M979" s="139"/>
      <c r="N979" s="139"/>
      <c r="O979" s="139"/>
      <c r="P979" s="139"/>
      <c r="Q979" s="139"/>
      <c r="R979" s="139"/>
      <c r="S979" s="139"/>
      <c r="T979" s="139"/>
      <c r="U979" s="139"/>
      <c r="V979" s="139"/>
      <c r="W979" s="139"/>
      <c r="X979" s="139"/>
      <c r="Y979" s="139"/>
      <c r="Z979" s="139"/>
    </row>
    <row r="980" ht="15.75" customHeight="1">
      <c r="A980" s="139"/>
      <c r="B980" s="139"/>
      <c r="C980" s="183"/>
      <c r="D980" s="183"/>
      <c r="E980" s="183"/>
      <c r="F980" s="183"/>
      <c r="G980" s="183"/>
      <c r="H980" s="184"/>
      <c r="I980" s="139"/>
      <c r="J980" s="139"/>
      <c r="K980" s="139"/>
      <c r="L980" s="139"/>
      <c r="M980" s="139"/>
      <c r="N980" s="139"/>
      <c r="O980" s="139"/>
      <c r="P980" s="139"/>
      <c r="Q980" s="139"/>
      <c r="R980" s="139"/>
      <c r="S980" s="139"/>
      <c r="T980" s="139"/>
      <c r="U980" s="139"/>
      <c r="V980" s="139"/>
      <c r="W980" s="139"/>
      <c r="X980" s="139"/>
      <c r="Y980" s="139"/>
      <c r="Z980" s="139"/>
    </row>
    <row r="981" ht="15.75" customHeight="1">
      <c r="A981" s="139"/>
      <c r="B981" s="139"/>
      <c r="C981" s="183"/>
      <c r="D981" s="183"/>
      <c r="E981" s="183"/>
      <c r="F981" s="183"/>
      <c r="G981" s="183"/>
      <c r="H981" s="184"/>
      <c r="I981" s="139"/>
      <c r="J981" s="139"/>
      <c r="K981" s="139"/>
      <c r="L981" s="139"/>
      <c r="M981" s="139"/>
      <c r="N981" s="139"/>
      <c r="O981" s="139"/>
      <c r="P981" s="139"/>
      <c r="Q981" s="139"/>
      <c r="R981" s="139"/>
      <c r="S981" s="139"/>
      <c r="T981" s="139"/>
      <c r="U981" s="139"/>
      <c r="V981" s="139"/>
      <c r="W981" s="139"/>
      <c r="X981" s="139"/>
      <c r="Y981" s="139"/>
      <c r="Z981" s="139"/>
    </row>
    <row r="982" ht="15.75" customHeight="1">
      <c r="A982" s="139"/>
      <c r="B982" s="139"/>
      <c r="C982" s="183"/>
      <c r="D982" s="183"/>
      <c r="E982" s="183"/>
      <c r="F982" s="183"/>
      <c r="G982" s="183"/>
      <c r="H982" s="184"/>
      <c r="I982" s="139"/>
      <c r="J982" s="139"/>
      <c r="K982" s="139"/>
      <c r="L982" s="139"/>
      <c r="M982" s="139"/>
      <c r="N982" s="139"/>
      <c r="O982" s="139"/>
      <c r="P982" s="139"/>
      <c r="Q982" s="139"/>
      <c r="R982" s="139"/>
      <c r="S982" s="139"/>
      <c r="T982" s="139"/>
      <c r="U982" s="139"/>
      <c r="V982" s="139"/>
      <c r="W982" s="139"/>
      <c r="X982" s="139"/>
      <c r="Y982" s="139"/>
      <c r="Z982" s="139"/>
    </row>
    <row r="983" ht="15.75" customHeight="1">
      <c r="A983" s="139"/>
      <c r="B983" s="139"/>
      <c r="C983" s="183"/>
      <c r="D983" s="183"/>
      <c r="E983" s="183"/>
      <c r="F983" s="183"/>
      <c r="G983" s="183"/>
      <c r="H983" s="184"/>
      <c r="I983" s="139"/>
      <c r="J983" s="139"/>
      <c r="K983" s="139"/>
      <c r="L983" s="139"/>
      <c r="M983" s="139"/>
      <c r="N983" s="139"/>
      <c r="O983" s="139"/>
      <c r="P983" s="139"/>
      <c r="Q983" s="139"/>
      <c r="R983" s="139"/>
      <c r="S983" s="139"/>
      <c r="T983" s="139"/>
      <c r="U983" s="139"/>
      <c r="V983" s="139"/>
      <c r="W983" s="139"/>
      <c r="X983" s="139"/>
      <c r="Y983" s="139"/>
      <c r="Z983" s="139"/>
    </row>
    <row r="984" ht="15.75" customHeight="1">
      <c r="A984" s="139"/>
      <c r="B984" s="139"/>
      <c r="C984" s="183"/>
      <c r="D984" s="183"/>
      <c r="E984" s="183"/>
      <c r="F984" s="183"/>
      <c r="G984" s="183"/>
      <c r="H984" s="184"/>
      <c r="I984" s="139"/>
      <c r="J984" s="139"/>
      <c r="K984" s="139"/>
      <c r="L984" s="139"/>
      <c r="M984" s="139"/>
      <c r="N984" s="139"/>
      <c r="O984" s="139"/>
      <c r="P984" s="139"/>
      <c r="Q984" s="139"/>
      <c r="R984" s="139"/>
      <c r="S984" s="139"/>
      <c r="T984" s="139"/>
      <c r="U984" s="139"/>
      <c r="V984" s="139"/>
      <c r="W984" s="139"/>
      <c r="X984" s="139"/>
      <c r="Y984" s="139"/>
      <c r="Z984" s="139"/>
    </row>
    <row r="985" ht="15.75" customHeight="1">
      <c r="A985" s="139"/>
      <c r="B985" s="139"/>
      <c r="C985" s="183"/>
      <c r="D985" s="183"/>
      <c r="E985" s="183"/>
      <c r="F985" s="183"/>
      <c r="G985" s="183"/>
      <c r="H985" s="184"/>
      <c r="I985" s="139"/>
      <c r="J985" s="139"/>
      <c r="K985" s="139"/>
      <c r="L985" s="139"/>
      <c r="M985" s="139"/>
      <c r="N985" s="139"/>
      <c r="O985" s="139"/>
      <c r="P985" s="139"/>
      <c r="Q985" s="139"/>
      <c r="R985" s="139"/>
      <c r="S985" s="139"/>
      <c r="T985" s="139"/>
      <c r="U985" s="139"/>
      <c r="V985" s="139"/>
      <c r="W985" s="139"/>
      <c r="X985" s="139"/>
      <c r="Y985" s="139"/>
      <c r="Z985" s="139"/>
    </row>
    <row r="986" ht="15.75" customHeight="1">
      <c r="A986" s="139"/>
      <c r="B986" s="139"/>
      <c r="C986" s="183"/>
      <c r="D986" s="183"/>
      <c r="E986" s="183"/>
      <c r="F986" s="183"/>
      <c r="G986" s="183"/>
      <c r="H986" s="184"/>
      <c r="I986" s="139"/>
      <c r="J986" s="139"/>
      <c r="K986" s="139"/>
      <c r="L986" s="139"/>
      <c r="M986" s="139"/>
      <c r="N986" s="139"/>
      <c r="O986" s="139"/>
      <c r="P986" s="139"/>
      <c r="Q986" s="139"/>
      <c r="R986" s="139"/>
      <c r="S986" s="139"/>
      <c r="T986" s="139"/>
      <c r="U986" s="139"/>
      <c r="V986" s="139"/>
      <c r="W986" s="139"/>
      <c r="X986" s="139"/>
      <c r="Y986" s="139"/>
      <c r="Z986" s="139"/>
    </row>
    <row r="987" ht="15.75" customHeight="1">
      <c r="A987" s="139"/>
      <c r="B987" s="139"/>
      <c r="C987" s="183"/>
      <c r="D987" s="183"/>
      <c r="E987" s="183"/>
      <c r="F987" s="183"/>
      <c r="G987" s="183"/>
      <c r="H987" s="184"/>
      <c r="I987" s="139"/>
      <c r="J987" s="139"/>
      <c r="K987" s="139"/>
      <c r="L987" s="139"/>
      <c r="M987" s="139"/>
      <c r="N987" s="139"/>
      <c r="O987" s="139"/>
      <c r="P987" s="139"/>
      <c r="Q987" s="139"/>
      <c r="R987" s="139"/>
      <c r="S987" s="139"/>
      <c r="T987" s="139"/>
      <c r="U987" s="139"/>
      <c r="V987" s="139"/>
      <c r="W987" s="139"/>
      <c r="X987" s="139"/>
      <c r="Y987" s="139"/>
      <c r="Z987" s="139"/>
    </row>
    <row r="988" ht="15.75" customHeight="1">
      <c r="A988" s="139"/>
      <c r="B988" s="139"/>
      <c r="C988" s="183"/>
      <c r="D988" s="183"/>
      <c r="E988" s="183"/>
      <c r="F988" s="183"/>
      <c r="G988" s="183"/>
      <c r="H988" s="184"/>
      <c r="I988" s="139"/>
      <c r="J988" s="139"/>
      <c r="K988" s="139"/>
      <c r="L988" s="139"/>
      <c r="M988" s="139"/>
      <c r="N988" s="139"/>
      <c r="O988" s="139"/>
      <c r="P988" s="139"/>
      <c r="Q988" s="139"/>
      <c r="R988" s="139"/>
      <c r="S988" s="139"/>
      <c r="T988" s="139"/>
      <c r="U988" s="139"/>
      <c r="V988" s="139"/>
      <c r="W988" s="139"/>
      <c r="X988" s="139"/>
      <c r="Y988" s="139"/>
      <c r="Z988" s="139"/>
    </row>
    <row r="989" ht="15.75" customHeight="1">
      <c r="A989" s="139"/>
      <c r="B989" s="139"/>
      <c r="C989" s="183"/>
      <c r="D989" s="183"/>
      <c r="E989" s="183"/>
      <c r="F989" s="183"/>
      <c r="G989" s="183"/>
      <c r="H989" s="184"/>
      <c r="I989" s="139"/>
      <c r="J989" s="139"/>
      <c r="K989" s="139"/>
      <c r="L989" s="139"/>
      <c r="M989" s="139"/>
      <c r="N989" s="139"/>
      <c r="O989" s="139"/>
      <c r="P989" s="139"/>
      <c r="Q989" s="139"/>
      <c r="R989" s="139"/>
      <c r="S989" s="139"/>
      <c r="T989" s="139"/>
      <c r="U989" s="139"/>
      <c r="V989" s="139"/>
      <c r="W989" s="139"/>
      <c r="X989" s="139"/>
      <c r="Y989" s="139"/>
      <c r="Z989" s="139"/>
    </row>
    <row r="990" ht="15.75" customHeight="1">
      <c r="A990" s="139"/>
      <c r="B990" s="139"/>
      <c r="C990" s="183"/>
      <c r="D990" s="183"/>
      <c r="E990" s="183"/>
      <c r="F990" s="183"/>
      <c r="G990" s="183"/>
      <c r="H990" s="184"/>
      <c r="I990" s="139"/>
      <c r="J990" s="139"/>
      <c r="K990" s="139"/>
      <c r="L990" s="139"/>
      <c r="M990" s="139"/>
      <c r="N990" s="139"/>
      <c r="O990" s="139"/>
      <c r="P990" s="139"/>
      <c r="Q990" s="139"/>
      <c r="R990" s="139"/>
      <c r="S990" s="139"/>
      <c r="T990" s="139"/>
      <c r="U990" s="139"/>
      <c r="V990" s="139"/>
      <c r="W990" s="139"/>
      <c r="X990" s="139"/>
      <c r="Y990" s="139"/>
      <c r="Z990" s="139"/>
    </row>
    <row r="991" ht="15.75" customHeight="1">
      <c r="A991" s="139"/>
      <c r="B991" s="139"/>
      <c r="C991" s="183"/>
      <c r="D991" s="183"/>
      <c r="E991" s="183"/>
      <c r="F991" s="183"/>
      <c r="G991" s="183"/>
      <c r="H991" s="184"/>
      <c r="I991" s="139"/>
      <c r="J991" s="139"/>
      <c r="K991" s="139"/>
      <c r="L991" s="139"/>
      <c r="M991" s="139"/>
      <c r="N991" s="139"/>
      <c r="O991" s="139"/>
      <c r="P991" s="139"/>
      <c r="Q991" s="139"/>
      <c r="R991" s="139"/>
      <c r="S991" s="139"/>
      <c r="T991" s="139"/>
      <c r="U991" s="139"/>
      <c r="V991" s="139"/>
      <c r="W991" s="139"/>
      <c r="X991" s="139"/>
      <c r="Y991" s="139"/>
      <c r="Z991" s="139"/>
    </row>
    <row r="992" ht="15.75" customHeight="1">
      <c r="A992" s="139"/>
      <c r="B992" s="139"/>
      <c r="C992" s="183"/>
      <c r="D992" s="183"/>
      <c r="E992" s="183"/>
      <c r="F992" s="183"/>
      <c r="G992" s="183"/>
      <c r="H992" s="184"/>
      <c r="I992" s="139"/>
      <c r="J992" s="139"/>
      <c r="K992" s="139"/>
      <c r="L992" s="139"/>
      <c r="M992" s="139"/>
      <c r="N992" s="139"/>
      <c r="O992" s="139"/>
      <c r="P992" s="139"/>
      <c r="Q992" s="139"/>
      <c r="R992" s="139"/>
      <c r="S992" s="139"/>
      <c r="T992" s="139"/>
      <c r="U992" s="139"/>
      <c r="V992" s="139"/>
      <c r="W992" s="139"/>
      <c r="X992" s="139"/>
      <c r="Y992" s="139"/>
      <c r="Z992" s="139"/>
    </row>
    <row r="993" ht="15.75" customHeight="1">
      <c r="A993" s="139"/>
      <c r="B993" s="139"/>
      <c r="C993" s="183"/>
      <c r="D993" s="183"/>
      <c r="E993" s="183"/>
      <c r="F993" s="183"/>
      <c r="G993" s="183"/>
      <c r="H993" s="184"/>
      <c r="I993" s="139"/>
      <c r="J993" s="139"/>
      <c r="K993" s="139"/>
      <c r="L993" s="139"/>
      <c r="M993" s="139"/>
      <c r="N993" s="139"/>
      <c r="O993" s="139"/>
      <c r="P993" s="139"/>
      <c r="Q993" s="139"/>
      <c r="R993" s="139"/>
      <c r="S993" s="139"/>
      <c r="T993" s="139"/>
      <c r="U993" s="139"/>
      <c r="V993" s="139"/>
      <c r="W993" s="139"/>
      <c r="X993" s="139"/>
      <c r="Y993" s="139"/>
      <c r="Z993" s="139"/>
    </row>
    <row r="994" ht="15.75" customHeight="1">
      <c r="A994" s="139"/>
      <c r="B994" s="139"/>
      <c r="C994" s="183"/>
      <c r="D994" s="183"/>
      <c r="E994" s="183"/>
      <c r="F994" s="183"/>
      <c r="G994" s="183"/>
      <c r="H994" s="184"/>
      <c r="I994" s="139"/>
      <c r="J994" s="139"/>
      <c r="K994" s="139"/>
      <c r="L994" s="139"/>
      <c r="M994" s="139"/>
      <c r="N994" s="139"/>
      <c r="O994" s="139"/>
      <c r="P994" s="139"/>
      <c r="Q994" s="139"/>
      <c r="R994" s="139"/>
      <c r="S994" s="139"/>
      <c r="T994" s="139"/>
      <c r="U994" s="139"/>
      <c r="V994" s="139"/>
      <c r="W994" s="139"/>
      <c r="X994" s="139"/>
      <c r="Y994" s="139"/>
      <c r="Z994" s="139"/>
    </row>
    <row r="995" ht="15.75" customHeight="1">
      <c r="A995" s="139"/>
      <c r="B995" s="139"/>
      <c r="C995" s="183"/>
      <c r="D995" s="183"/>
      <c r="E995" s="183"/>
      <c r="F995" s="183"/>
      <c r="G995" s="183"/>
      <c r="H995" s="184"/>
      <c r="I995" s="139"/>
      <c r="J995" s="139"/>
      <c r="K995" s="139"/>
      <c r="L995" s="139"/>
      <c r="M995" s="139"/>
      <c r="N995" s="139"/>
      <c r="O995" s="139"/>
      <c r="P995" s="139"/>
      <c r="Q995" s="139"/>
      <c r="R995" s="139"/>
      <c r="S995" s="139"/>
      <c r="T995" s="139"/>
      <c r="U995" s="139"/>
      <c r="V995" s="139"/>
      <c r="W995" s="139"/>
      <c r="X995" s="139"/>
      <c r="Y995" s="139"/>
      <c r="Z995" s="139"/>
    </row>
    <row r="996" ht="15.75" customHeight="1">
      <c r="A996" s="139"/>
      <c r="B996" s="139"/>
      <c r="C996" s="183"/>
      <c r="D996" s="183"/>
      <c r="E996" s="183"/>
      <c r="F996" s="183"/>
      <c r="G996" s="183"/>
      <c r="H996" s="184"/>
      <c r="I996" s="139"/>
      <c r="J996" s="139"/>
      <c r="K996" s="139"/>
      <c r="L996" s="139"/>
      <c r="M996" s="139"/>
      <c r="N996" s="139"/>
      <c r="O996" s="139"/>
      <c r="P996" s="139"/>
      <c r="Q996" s="139"/>
      <c r="R996" s="139"/>
      <c r="S996" s="139"/>
      <c r="T996" s="139"/>
      <c r="U996" s="139"/>
      <c r="V996" s="139"/>
      <c r="W996" s="139"/>
      <c r="X996" s="139"/>
      <c r="Y996" s="139"/>
      <c r="Z996" s="139"/>
    </row>
    <row r="997" ht="15.75" customHeight="1">
      <c r="A997" s="139"/>
      <c r="B997" s="139"/>
      <c r="C997" s="183"/>
      <c r="D997" s="183"/>
      <c r="E997" s="183"/>
      <c r="F997" s="183"/>
      <c r="G997" s="183"/>
      <c r="H997" s="184"/>
      <c r="I997" s="139"/>
      <c r="J997" s="139"/>
      <c r="K997" s="139"/>
      <c r="L997" s="139"/>
      <c r="M997" s="139"/>
      <c r="N997" s="139"/>
      <c r="O997" s="139"/>
      <c r="P997" s="139"/>
      <c r="Q997" s="139"/>
      <c r="R997" s="139"/>
      <c r="S997" s="139"/>
      <c r="T997" s="139"/>
      <c r="U997" s="139"/>
      <c r="V997" s="139"/>
      <c r="W997" s="139"/>
      <c r="X997" s="139"/>
      <c r="Y997" s="139"/>
      <c r="Z997" s="139"/>
    </row>
    <row r="998" ht="15.75" customHeight="1">
      <c r="A998" s="139"/>
      <c r="B998" s="139"/>
      <c r="C998" s="183"/>
      <c r="D998" s="183"/>
      <c r="E998" s="183"/>
      <c r="F998" s="183"/>
      <c r="G998" s="183"/>
      <c r="H998" s="184"/>
      <c r="I998" s="139"/>
      <c r="J998" s="139"/>
      <c r="K998" s="139"/>
      <c r="L998" s="139"/>
      <c r="M998" s="139"/>
      <c r="N998" s="139"/>
      <c r="O998" s="139"/>
      <c r="P998" s="139"/>
      <c r="Q998" s="139"/>
      <c r="R998" s="139"/>
      <c r="S998" s="139"/>
      <c r="T998" s="139"/>
      <c r="U998" s="139"/>
      <c r="V998" s="139"/>
      <c r="W998" s="139"/>
      <c r="X998" s="139"/>
      <c r="Y998" s="139"/>
      <c r="Z998" s="139"/>
    </row>
    <row r="999" ht="15.75" customHeight="1">
      <c r="A999" s="139"/>
      <c r="B999" s="139"/>
      <c r="C999" s="183"/>
      <c r="D999" s="183"/>
      <c r="E999" s="183"/>
      <c r="F999" s="183"/>
      <c r="G999" s="183"/>
      <c r="H999" s="184"/>
      <c r="I999" s="139"/>
      <c r="J999" s="139"/>
      <c r="K999" s="139"/>
      <c r="L999" s="139"/>
      <c r="M999" s="139"/>
      <c r="N999" s="139"/>
      <c r="O999" s="139"/>
      <c r="P999" s="139"/>
      <c r="Q999" s="139"/>
      <c r="R999" s="139"/>
      <c r="S999" s="139"/>
      <c r="T999" s="139"/>
      <c r="U999" s="139"/>
      <c r="V999" s="139"/>
      <c r="W999" s="139"/>
      <c r="X999" s="139"/>
      <c r="Y999" s="139"/>
      <c r="Z999" s="139"/>
    </row>
    <row r="1000" ht="15.75" customHeight="1">
      <c r="A1000" s="139"/>
      <c r="B1000" s="139"/>
      <c r="C1000" s="183"/>
      <c r="D1000" s="183"/>
      <c r="E1000" s="183"/>
      <c r="F1000" s="183"/>
      <c r="G1000" s="183"/>
      <c r="H1000" s="184"/>
      <c r="I1000" s="139"/>
      <c r="J1000" s="139"/>
      <c r="K1000" s="139"/>
      <c r="L1000" s="139"/>
      <c r="M1000" s="139"/>
      <c r="N1000" s="139"/>
      <c r="O1000" s="139"/>
      <c r="P1000" s="139"/>
      <c r="Q1000" s="139"/>
      <c r="R1000" s="139"/>
      <c r="S1000" s="139"/>
      <c r="T1000" s="139"/>
      <c r="U1000" s="139"/>
      <c r="V1000" s="139"/>
      <c r="W1000" s="139"/>
      <c r="X1000" s="139"/>
      <c r="Y1000" s="139"/>
      <c r="Z1000" s="139"/>
    </row>
  </sheetData>
  <mergeCells count="6">
    <mergeCell ref="B6:H6"/>
    <mergeCell ref="B7:H7"/>
    <mergeCell ref="B8:H8"/>
    <mergeCell ref="B69:H69"/>
    <mergeCell ref="B70:H70"/>
    <mergeCell ref="B71:H71"/>
  </mergeCells>
  <printOptions horizontalCentered="1"/>
  <pageMargins bottom="0.1968503937007874" footer="0.0" header="0.0" left="0.11811023622047245" right="0.11811023622047245" top="0.2755905511811024"/>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8.71"/>
    <col customWidth="1" min="2" max="2" width="30.71"/>
    <col customWidth="1" min="3" max="7" width="20.71"/>
    <col customWidth="1" min="8" max="8" width="13.71"/>
    <col customWidth="1" min="9" max="9" width="16.71"/>
    <col customWidth="1" min="10" max="11" width="8.71"/>
    <col customWidth="1" min="12" max="12" width="9.86"/>
    <col customWidth="1" min="13" max="26" width="8.71"/>
  </cols>
  <sheetData>
    <row r="1" ht="18.0" customHeight="1">
      <c r="A1" s="185"/>
      <c r="B1" s="186"/>
      <c r="C1" s="12"/>
      <c r="D1" s="187"/>
      <c r="E1" s="187"/>
      <c r="F1" s="188" t="s">
        <v>0</v>
      </c>
      <c r="G1" s="12"/>
      <c r="H1" s="185"/>
      <c r="I1" s="189"/>
      <c r="J1" s="185"/>
      <c r="K1" s="185"/>
      <c r="L1" s="185"/>
      <c r="M1" s="185"/>
      <c r="N1" s="185"/>
      <c r="O1" s="185"/>
      <c r="P1" s="185"/>
      <c r="Q1" s="185"/>
      <c r="R1" s="185"/>
      <c r="S1" s="185"/>
      <c r="T1" s="185"/>
    </row>
    <row r="2" ht="18.0" customHeight="1">
      <c r="A2" s="185"/>
      <c r="B2" s="190"/>
      <c r="C2" s="187"/>
      <c r="D2" s="187"/>
      <c r="E2" s="187"/>
      <c r="F2" s="187"/>
      <c r="G2" s="191" t="s">
        <v>1</v>
      </c>
      <c r="H2" s="185"/>
      <c r="I2" s="189"/>
      <c r="J2" s="185"/>
      <c r="K2" s="185"/>
      <c r="L2" s="185"/>
      <c r="M2" s="185"/>
      <c r="N2" s="185"/>
      <c r="O2" s="185"/>
      <c r="P2" s="185"/>
      <c r="Q2" s="185"/>
      <c r="R2" s="185"/>
      <c r="S2" s="185"/>
      <c r="T2" s="185"/>
    </row>
    <row r="3" ht="18.0" customHeight="1">
      <c r="A3" s="185"/>
      <c r="B3" s="192"/>
      <c r="C3" s="187"/>
      <c r="D3" s="187"/>
      <c r="E3" s="187"/>
      <c r="F3" s="187"/>
      <c r="G3" s="191" t="s">
        <v>147</v>
      </c>
      <c r="H3" s="185"/>
      <c r="I3" s="189"/>
      <c r="J3" s="185"/>
      <c r="K3" s="185"/>
      <c r="L3" s="185"/>
      <c r="M3" s="185"/>
      <c r="N3" s="185"/>
      <c r="O3" s="185"/>
      <c r="P3" s="185"/>
      <c r="Q3" s="185"/>
      <c r="R3" s="185"/>
      <c r="S3" s="185"/>
      <c r="T3" s="185"/>
    </row>
    <row r="4" ht="15.75" customHeight="1">
      <c r="A4" s="185"/>
      <c r="B4" s="192"/>
      <c r="C4" s="187"/>
      <c r="D4" s="187"/>
      <c r="E4" s="187"/>
      <c r="F4" s="187"/>
      <c r="G4" s="187"/>
      <c r="H4" s="185"/>
      <c r="I4" s="189"/>
      <c r="J4" s="185"/>
      <c r="K4" s="185"/>
      <c r="L4" s="185"/>
      <c r="M4" s="185"/>
      <c r="N4" s="185"/>
      <c r="O4" s="185"/>
      <c r="P4" s="185"/>
      <c r="Q4" s="185"/>
      <c r="R4" s="185"/>
      <c r="S4" s="185"/>
      <c r="T4" s="185"/>
    </row>
    <row r="5" ht="14.25" customHeight="1">
      <c r="A5" s="185"/>
      <c r="B5" s="193"/>
      <c r="C5" s="187"/>
      <c r="D5" s="187"/>
      <c r="E5" s="187"/>
      <c r="F5" s="187"/>
      <c r="G5" s="187"/>
      <c r="H5" s="185"/>
      <c r="I5" s="189"/>
      <c r="J5" s="185"/>
      <c r="K5" s="185"/>
      <c r="L5" s="185"/>
      <c r="M5" s="185"/>
      <c r="N5" s="185"/>
      <c r="O5" s="185"/>
      <c r="P5" s="185"/>
      <c r="Q5" s="185"/>
      <c r="R5" s="185"/>
      <c r="S5" s="185"/>
      <c r="T5" s="185"/>
    </row>
    <row r="6" ht="22.5" customHeight="1">
      <c r="A6" s="194"/>
      <c r="B6" s="195" t="s">
        <v>148</v>
      </c>
      <c r="C6" s="11"/>
      <c r="D6" s="11"/>
      <c r="E6" s="11"/>
      <c r="F6" s="11"/>
      <c r="G6" s="12"/>
      <c r="H6" s="185"/>
      <c r="I6" s="189"/>
      <c r="J6" s="185"/>
      <c r="K6" s="185"/>
      <c r="L6" s="185"/>
      <c r="M6" s="185"/>
      <c r="N6" s="185"/>
      <c r="O6" s="185"/>
      <c r="P6" s="185"/>
      <c r="Q6" s="185"/>
      <c r="R6" s="185"/>
      <c r="S6" s="185"/>
      <c r="T6" s="185"/>
    </row>
    <row r="7" ht="14.25" customHeight="1">
      <c r="A7" s="194"/>
      <c r="B7" s="196" t="s">
        <v>149</v>
      </c>
      <c r="C7" s="11"/>
      <c r="D7" s="11"/>
      <c r="E7" s="11"/>
      <c r="F7" s="11"/>
      <c r="G7" s="12"/>
      <c r="H7" s="185"/>
      <c r="I7" s="189"/>
      <c r="J7" s="185"/>
      <c r="K7" s="185"/>
      <c r="L7" s="185"/>
      <c r="M7" s="185"/>
      <c r="N7" s="185"/>
      <c r="O7" s="185"/>
      <c r="P7" s="185"/>
      <c r="Q7" s="185"/>
      <c r="R7" s="185"/>
      <c r="S7" s="185"/>
      <c r="T7" s="185"/>
    </row>
    <row r="8" ht="14.25" customHeight="1">
      <c r="A8" s="194"/>
      <c r="B8" s="197" t="str">
        <f>[1]Status!A6</f>
        <v>#ERROR!</v>
      </c>
      <c r="C8" s="11"/>
      <c r="D8" s="11"/>
      <c r="E8" s="11"/>
      <c r="F8" s="11"/>
      <c r="G8" s="12"/>
      <c r="H8" s="185"/>
      <c r="I8" s="189"/>
      <c r="J8" s="185"/>
      <c r="K8" s="185"/>
      <c r="L8" s="185"/>
      <c r="M8" s="185"/>
      <c r="N8" s="185"/>
      <c r="O8" s="185"/>
      <c r="P8" s="185"/>
      <c r="Q8" s="185"/>
      <c r="R8" s="185"/>
      <c r="S8" s="185"/>
      <c r="T8" s="185"/>
    </row>
    <row r="9" ht="14.25" customHeight="1">
      <c r="A9" s="185"/>
      <c r="B9" s="198"/>
      <c r="C9" s="198"/>
      <c r="D9" s="198"/>
      <c r="E9" s="198"/>
      <c r="F9" s="198"/>
      <c r="G9" s="198"/>
      <c r="H9" s="185"/>
      <c r="I9" s="189"/>
      <c r="J9" s="185"/>
      <c r="K9" s="185"/>
      <c r="L9" s="185"/>
      <c r="M9" s="185"/>
      <c r="N9" s="185"/>
      <c r="O9" s="185"/>
      <c r="P9" s="185"/>
      <c r="Q9" s="185"/>
      <c r="R9" s="185"/>
      <c r="S9" s="185"/>
      <c r="T9" s="185"/>
    </row>
    <row r="10" ht="36.75" customHeight="1">
      <c r="A10" s="185"/>
      <c r="B10" s="199" t="s">
        <v>79</v>
      </c>
      <c r="C10" s="148" t="s">
        <v>80</v>
      </c>
      <c r="D10" s="148" t="s">
        <v>81</v>
      </c>
      <c r="E10" s="200" t="s">
        <v>82</v>
      </c>
      <c r="F10" s="201" t="s">
        <v>83</v>
      </c>
      <c r="G10" s="149" t="s">
        <v>84</v>
      </c>
      <c r="H10" s="194"/>
      <c r="I10" s="202"/>
      <c r="J10" s="185"/>
      <c r="K10" s="185"/>
      <c r="L10" s="185"/>
      <c r="M10" s="185"/>
      <c r="N10" s="185"/>
      <c r="O10" s="185"/>
      <c r="P10" s="185"/>
      <c r="Q10" s="185"/>
      <c r="R10" s="185"/>
      <c r="S10" s="185"/>
      <c r="T10" s="185"/>
    </row>
    <row r="11" ht="14.25" customHeight="1">
      <c r="A11" s="185"/>
      <c r="B11" s="154" t="s">
        <v>86</v>
      </c>
      <c r="C11" s="203">
        <f>'YR2024'!C10</f>
        <v>14842</v>
      </c>
      <c r="D11" s="203">
        <f>'YR2024'!D10</f>
        <v>14842</v>
      </c>
      <c r="E11" s="203" t="str">
        <f>'YR2024'!E10</f>
        <v/>
      </c>
      <c r="F11" s="203" t="str">
        <f>'YR2024'!F10</f>
        <v/>
      </c>
      <c r="G11" s="169">
        <f t="shared" ref="G11:G59" si="1">C11-D11-E11-F11</f>
        <v>0</v>
      </c>
      <c r="H11" s="194"/>
      <c r="I11" s="194"/>
      <c r="J11" s="185"/>
      <c r="K11" s="185"/>
      <c r="L11" s="185"/>
      <c r="M11" s="185"/>
      <c r="N11" s="185"/>
      <c r="O11" s="185"/>
      <c r="P11" s="185"/>
      <c r="Q11" s="185"/>
      <c r="R11" s="185"/>
      <c r="S11" s="185"/>
      <c r="T11" s="185"/>
    </row>
    <row r="12" ht="14.25" customHeight="1">
      <c r="A12" s="185"/>
      <c r="B12" s="154" t="s">
        <v>150</v>
      </c>
      <c r="C12" s="155">
        <f>'YR2024'!C11</f>
        <v>6266282</v>
      </c>
      <c r="D12" s="203">
        <f>'YR2024'!D11</f>
        <v>8225550.168</v>
      </c>
      <c r="E12" s="203" t="str">
        <f>'YR2024'!E11</f>
        <v/>
      </c>
      <c r="F12" s="203" t="str">
        <f>'YR2024'!F11</f>
        <v/>
      </c>
      <c r="G12" s="204">
        <f t="shared" si="1"/>
        <v>-1959268.168</v>
      </c>
      <c r="H12" s="194"/>
      <c r="I12" s="194"/>
      <c r="J12" s="185"/>
      <c r="K12" s="185"/>
      <c r="L12" s="185"/>
      <c r="M12" s="185"/>
      <c r="N12" s="185"/>
      <c r="O12" s="185"/>
      <c r="P12" s="185"/>
      <c r="Q12" s="185"/>
      <c r="R12" s="185"/>
      <c r="S12" s="185"/>
      <c r="T12" s="185"/>
    </row>
    <row r="13" ht="14.25" customHeight="1">
      <c r="A13" s="185"/>
      <c r="B13" s="154" t="s">
        <v>88</v>
      </c>
      <c r="C13" s="155">
        <f>'YR2024'!C12</f>
        <v>2015540</v>
      </c>
      <c r="D13" s="203">
        <v>0.0</v>
      </c>
      <c r="E13" s="203" t="str">
        <f>'YR2024'!E12</f>
        <v/>
      </c>
      <c r="F13" s="203" t="str">
        <f>'YR2024'!F12</f>
        <v/>
      </c>
      <c r="G13" s="83">
        <f t="shared" si="1"/>
        <v>2015540</v>
      </c>
      <c r="H13" s="194"/>
      <c r="I13" s="194"/>
      <c r="J13" s="185"/>
      <c r="K13" s="185"/>
      <c r="L13" s="185"/>
      <c r="M13" s="185"/>
      <c r="N13" s="185"/>
      <c r="O13" s="185"/>
      <c r="P13" s="185"/>
      <c r="Q13" s="185"/>
      <c r="R13" s="185"/>
      <c r="S13" s="185"/>
      <c r="T13" s="185"/>
    </row>
    <row r="14" ht="14.25" customHeight="1">
      <c r="A14" s="185"/>
      <c r="B14" s="154" t="s">
        <v>89</v>
      </c>
      <c r="C14" s="155">
        <f>'YR2024'!C13</f>
        <v>89052</v>
      </c>
      <c r="D14" s="203">
        <v>0.0</v>
      </c>
      <c r="E14" s="203" t="str">
        <f>'YR2024'!E13</f>
        <v/>
      </c>
      <c r="F14" s="203" t="str">
        <f>'YR2024'!F13</f>
        <v/>
      </c>
      <c r="G14" s="78">
        <f t="shared" si="1"/>
        <v>89052</v>
      </c>
      <c r="H14" s="194"/>
      <c r="I14" s="194"/>
      <c r="J14" s="185"/>
      <c r="K14" s="185"/>
      <c r="L14" s="185"/>
      <c r="M14" s="185"/>
      <c r="N14" s="185"/>
      <c r="O14" s="185"/>
      <c r="P14" s="185"/>
      <c r="Q14" s="185"/>
      <c r="R14" s="185"/>
      <c r="S14" s="185"/>
      <c r="T14" s="185"/>
    </row>
    <row r="15" ht="14.25" customHeight="1">
      <c r="A15" s="185"/>
      <c r="B15" s="154" t="s">
        <v>90</v>
      </c>
      <c r="C15" s="203">
        <f>'YR2024'!C14</f>
        <v>121704</v>
      </c>
      <c r="D15" s="203">
        <v>0.0</v>
      </c>
      <c r="E15" s="203" t="str">
        <f>'YR2024'!E14</f>
        <v/>
      </c>
      <c r="F15" s="203" t="str">
        <f>'YR2024'!F14</f>
        <v/>
      </c>
      <c r="G15" s="83">
        <f t="shared" si="1"/>
        <v>121704</v>
      </c>
      <c r="H15" s="194"/>
      <c r="I15" s="194"/>
      <c r="J15" s="185"/>
      <c r="K15" s="185"/>
      <c r="L15" s="185"/>
      <c r="M15" s="185"/>
      <c r="N15" s="185"/>
      <c r="O15" s="185"/>
      <c r="P15" s="185"/>
      <c r="Q15" s="185"/>
      <c r="R15" s="185"/>
      <c r="S15" s="185"/>
      <c r="T15" s="185"/>
    </row>
    <row r="16" ht="14.25" customHeight="1">
      <c r="A16" s="185"/>
      <c r="B16" s="154" t="s">
        <v>91</v>
      </c>
      <c r="C16" s="155">
        <f>'YR2024'!C15</f>
        <v>2457831</v>
      </c>
      <c r="D16" s="203">
        <v>0.0</v>
      </c>
      <c r="E16" s="203" t="str">
        <f>'YR2024'!E15</f>
        <v/>
      </c>
      <c r="F16" s="203" t="str">
        <f>'YR2024'!F15</f>
        <v/>
      </c>
      <c r="G16" s="169">
        <f t="shared" si="1"/>
        <v>2457831</v>
      </c>
      <c r="H16" s="194"/>
      <c r="I16" s="194"/>
      <c r="J16" s="185"/>
      <c r="K16" s="185"/>
      <c r="L16" s="185"/>
      <c r="M16" s="185"/>
      <c r="N16" s="185"/>
      <c r="O16" s="185"/>
      <c r="P16" s="185"/>
      <c r="Q16" s="185"/>
      <c r="R16" s="185"/>
      <c r="S16" s="185"/>
      <c r="T16" s="185"/>
    </row>
    <row r="17" ht="14.25" customHeight="1">
      <c r="A17" s="185"/>
      <c r="B17" s="154" t="s">
        <v>92</v>
      </c>
      <c r="C17" s="155">
        <f>'YR2024'!C16</f>
        <v>166230</v>
      </c>
      <c r="D17" s="203">
        <v>0.0</v>
      </c>
      <c r="E17" s="203" t="str">
        <f>'YR2024'!E16</f>
        <v/>
      </c>
      <c r="F17" s="203" t="str">
        <f>'YR2024'!F16</f>
        <v/>
      </c>
      <c r="G17" s="204">
        <f t="shared" si="1"/>
        <v>166230</v>
      </c>
      <c r="H17" s="194"/>
      <c r="I17" s="194"/>
      <c r="J17" s="185"/>
      <c r="K17" s="185"/>
      <c r="L17" s="185"/>
      <c r="M17" s="185"/>
      <c r="N17" s="185"/>
      <c r="O17" s="185"/>
      <c r="P17" s="185"/>
      <c r="Q17" s="185"/>
      <c r="R17" s="185"/>
      <c r="S17" s="185"/>
      <c r="T17" s="185"/>
    </row>
    <row r="18" ht="14.25" customHeight="1">
      <c r="A18" s="185"/>
      <c r="B18" s="154" t="s">
        <v>151</v>
      </c>
      <c r="C18" s="155">
        <f>'YR2024'!C17</f>
        <v>7800942</v>
      </c>
      <c r="D18" s="203">
        <v>0.0</v>
      </c>
      <c r="E18" s="203" t="str">
        <f>'YR2024'!E17</f>
        <v/>
      </c>
      <c r="F18" s="203" t="str">
        <f>'YR2024'!F17</f>
        <v/>
      </c>
      <c r="G18" s="83">
        <f t="shared" si="1"/>
        <v>7800942</v>
      </c>
      <c r="H18" s="194"/>
      <c r="I18" s="194"/>
      <c r="J18" s="185"/>
      <c r="K18" s="185"/>
      <c r="L18" s="185"/>
      <c r="M18" s="185"/>
      <c r="N18" s="185"/>
      <c r="O18" s="185"/>
      <c r="P18" s="185"/>
      <c r="Q18" s="185"/>
      <c r="R18" s="185"/>
      <c r="S18" s="185"/>
      <c r="T18" s="185"/>
    </row>
    <row r="19" ht="14.25" customHeight="1">
      <c r="A19" s="185"/>
      <c r="B19" s="154" t="s">
        <v>94</v>
      </c>
      <c r="C19" s="203">
        <f>'YR2024'!C18</f>
        <v>270124</v>
      </c>
      <c r="D19" s="203">
        <v>0.0</v>
      </c>
      <c r="E19" s="203" t="str">
        <f>'YR2024'!E18</f>
        <v/>
      </c>
      <c r="F19" s="203" t="str">
        <f>'YR2024'!F18</f>
        <v/>
      </c>
      <c r="G19" s="78">
        <f t="shared" si="1"/>
        <v>270124</v>
      </c>
      <c r="H19" s="194"/>
      <c r="I19" s="194"/>
      <c r="J19" s="185"/>
      <c r="K19" s="185"/>
      <c r="L19" s="185"/>
      <c r="M19" s="185"/>
      <c r="N19" s="185"/>
      <c r="O19" s="185"/>
      <c r="P19" s="185"/>
      <c r="Q19" s="185"/>
      <c r="R19" s="185"/>
      <c r="S19" s="185"/>
      <c r="T19" s="185"/>
    </row>
    <row r="20" ht="14.25" customHeight="1">
      <c r="A20" s="185"/>
      <c r="B20" s="154" t="s">
        <v>95</v>
      </c>
      <c r="C20" s="155">
        <f>'YR2024'!C19</f>
        <v>106862</v>
      </c>
      <c r="D20" s="203">
        <v>0.0</v>
      </c>
      <c r="E20" s="203" t="str">
        <f>'YR2024'!E19</f>
        <v/>
      </c>
      <c r="F20" s="203" t="str">
        <f>'YR2024'!F19</f>
        <v/>
      </c>
      <c r="G20" s="204">
        <f t="shared" si="1"/>
        <v>106862</v>
      </c>
      <c r="H20" s="194"/>
      <c r="I20" s="194"/>
      <c r="J20" s="185"/>
      <c r="K20" s="185"/>
      <c r="L20" s="185"/>
      <c r="M20" s="185"/>
      <c r="N20" s="185"/>
      <c r="O20" s="185"/>
      <c r="P20" s="185"/>
      <c r="Q20" s="185"/>
      <c r="R20" s="185"/>
      <c r="S20" s="185"/>
      <c r="T20" s="185"/>
    </row>
    <row r="21" ht="14.25" customHeight="1">
      <c r="A21" s="185"/>
      <c r="B21" s="154" t="s">
        <v>96</v>
      </c>
      <c r="C21" s="155">
        <f>'YR2024'!C20</f>
        <v>1009254</v>
      </c>
      <c r="D21" s="203">
        <v>0.0</v>
      </c>
      <c r="E21" s="203" t="str">
        <f>'YR2024'!E20</f>
        <v/>
      </c>
      <c r="F21" s="203" t="str">
        <f>'YR2024'!F20</f>
        <v/>
      </c>
      <c r="G21" s="83">
        <f t="shared" si="1"/>
        <v>1009254</v>
      </c>
      <c r="H21" s="194"/>
      <c r="I21" s="194"/>
      <c r="J21" s="185"/>
      <c r="K21" s="185"/>
      <c r="L21" s="185"/>
      <c r="M21" s="185"/>
      <c r="N21" s="185"/>
      <c r="O21" s="185"/>
      <c r="P21" s="185"/>
      <c r="Q21" s="185"/>
      <c r="R21" s="185"/>
      <c r="S21" s="185"/>
      <c r="T21" s="185"/>
    </row>
    <row r="22" ht="14.25" customHeight="1">
      <c r="A22" s="185"/>
      <c r="B22" s="154" t="s">
        <v>97</v>
      </c>
      <c r="C22" s="155">
        <f>'YR2024'!C21</f>
        <v>1641522</v>
      </c>
      <c r="D22" s="203">
        <v>0.0</v>
      </c>
      <c r="E22" s="203" t="str">
        <f>'YR2024'!E21</f>
        <v/>
      </c>
      <c r="F22" s="203" t="str">
        <f>'YR2024'!F21</f>
        <v/>
      </c>
      <c r="G22" s="169">
        <f t="shared" si="1"/>
        <v>1641522</v>
      </c>
      <c r="H22" s="194"/>
      <c r="I22" s="194"/>
      <c r="J22" s="185"/>
      <c r="K22" s="185"/>
      <c r="L22" s="185"/>
      <c r="M22" s="185"/>
      <c r="N22" s="185"/>
      <c r="O22" s="185"/>
      <c r="P22" s="185"/>
      <c r="Q22" s="185"/>
      <c r="R22" s="185"/>
      <c r="S22" s="185"/>
      <c r="T22" s="185"/>
    </row>
    <row r="23" ht="14.25" customHeight="1">
      <c r="A23" s="185"/>
      <c r="B23" s="154" t="s">
        <v>98</v>
      </c>
      <c r="C23" s="203">
        <f>'YR2024'!C22</f>
        <v>130609</v>
      </c>
      <c r="D23" s="203">
        <v>0.0</v>
      </c>
      <c r="E23" s="203" t="str">
        <f>'YR2024'!E22</f>
        <v/>
      </c>
      <c r="F23" s="203" t="str">
        <f>'YR2024'!F22</f>
        <v/>
      </c>
      <c r="G23" s="204">
        <f t="shared" si="1"/>
        <v>130609</v>
      </c>
      <c r="H23" s="194"/>
      <c r="I23" s="194"/>
      <c r="J23" s="185"/>
      <c r="K23" s="185"/>
      <c r="L23" s="185"/>
      <c r="M23" s="185"/>
      <c r="N23" s="185"/>
      <c r="O23" s="185"/>
      <c r="P23" s="185"/>
      <c r="Q23" s="185"/>
      <c r="R23" s="185"/>
      <c r="S23" s="185"/>
      <c r="T23" s="185"/>
    </row>
    <row r="24" ht="14.25" customHeight="1">
      <c r="A24" s="185"/>
      <c r="B24" s="154" t="s">
        <v>99</v>
      </c>
      <c r="C24" s="155">
        <f>'YR2024'!C23</f>
        <v>1237821</v>
      </c>
      <c r="D24" s="203">
        <v>0.0</v>
      </c>
      <c r="E24" s="203" t="str">
        <f>'YR2024'!E23</f>
        <v/>
      </c>
      <c r="F24" s="203" t="str">
        <f>'YR2024'!F23</f>
        <v/>
      </c>
      <c r="G24" s="83">
        <f t="shared" si="1"/>
        <v>1237821</v>
      </c>
      <c r="H24" s="194"/>
      <c r="I24" s="194"/>
      <c r="J24" s="185"/>
      <c r="K24" s="185"/>
      <c r="L24" s="185"/>
      <c r="M24" s="185"/>
      <c r="N24" s="185"/>
      <c r="O24" s="185"/>
      <c r="P24" s="185"/>
      <c r="Q24" s="185"/>
      <c r="R24" s="185"/>
      <c r="S24" s="185"/>
      <c r="T24" s="185"/>
    </row>
    <row r="25" ht="14.25" customHeight="1">
      <c r="A25" s="185"/>
      <c r="B25" s="154" t="s">
        <v>152</v>
      </c>
      <c r="C25" s="155">
        <f>'YR2024'!C24</f>
        <v>12817530</v>
      </c>
      <c r="D25" s="203">
        <v>0.0</v>
      </c>
      <c r="E25" s="203" t="str">
        <f>'YR2024'!E24</f>
        <v/>
      </c>
      <c r="F25" s="203" t="str">
        <f>'YR2024'!F24</f>
        <v/>
      </c>
      <c r="G25" s="169">
        <f t="shared" si="1"/>
        <v>12817530</v>
      </c>
      <c r="H25" s="194"/>
      <c r="I25" s="194"/>
      <c r="J25" s="185"/>
      <c r="K25" s="185"/>
      <c r="L25" s="185"/>
      <c r="M25" s="185"/>
      <c r="N25" s="185"/>
      <c r="O25" s="185"/>
      <c r="P25" s="185"/>
      <c r="Q25" s="185"/>
      <c r="R25" s="185"/>
      <c r="S25" s="185"/>
      <c r="T25" s="185"/>
    </row>
    <row r="26" ht="14.25" customHeight="1">
      <c r="A26" s="185"/>
      <c r="B26" s="154" t="s">
        <v>153</v>
      </c>
      <c r="C26" s="155">
        <f>'YR2024'!C25</f>
        <v>18139862</v>
      </c>
      <c r="D26" s="203">
        <v>0.0</v>
      </c>
      <c r="E26" s="203" t="str">
        <f>'YR2024'!E25</f>
        <v/>
      </c>
      <c r="F26" s="203" t="str">
        <f>'YR2024'!F25</f>
        <v/>
      </c>
      <c r="G26" s="83">
        <f t="shared" si="1"/>
        <v>18139862</v>
      </c>
      <c r="H26" s="194"/>
      <c r="I26" s="202"/>
      <c r="J26" s="185"/>
      <c r="K26" s="185"/>
      <c r="L26" s="185"/>
      <c r="M26" s="185"/>
      <c r="N26" s="185"/>
      <c r="O26" s="185"/>
      <c r="P26" s="185"/>
      <c r="Q26" s="185"/>
      <c r="R26" s="185"/>
      <c r="S26" s="185"/>
      <c r="T26" s="185"/>
    </row>
    <row r="27" ht="14.25" customHeight="1">
      <c r="A27" s="185"/>
      <c r="B27" s="154" t="s">
        <v>102</v>
      </c>
      <c r="C27" s="203">
        <f>'YR2024'!C26</f>
        <v>964728</v>
      </c>
      <c r="D27" s="203">
        <v>0.0</v>
      </c>
      <c r="E27" s="203" t="str">
        <f>'YR2024'!E26</f>
        <v/>
      </c>
      <c r="F27" s="203" t="str">
        <f>'YR2024'!F26</f>
        <v/>
      </c>
      <c r="G27" s="83">
        <f t="shared" si="1"/>
        <v>964728</v>
      </c>
      <c r="H27" s="194"/>
      <c r="I27" s="194"/>
      <c r="J27" s="185"/>
      <c r="K27" s="185"/>
      <c r="L27" s="185"/>
      <c r="M27" s="185"/>
      <c r="N27" s="185"/>
      <c r="O27" s="185"/>
      <c r="P27" s="185"/>
      <c r="Q27" s="185"/>
      <c r="R27" s="185"/>
      <c r="S27" s="185"/>
      <c r="T27" s="185"/>
    </row>
    <row r="28" ht="14.25" customHeight="1">
      <c r="A28" s="185"/>
      <c r="B28" s="154" t="s">
        <v>103</v>
      </c>
      <c r="C28" s="155">
        <f>'YR2024'!C27</f>
        <v>2968</v>
      </c>
      <c r="D28" s="203">
        <v>0.0</v>
      </c>
      <c r="E28" s="203" t="str">
        <f>'YR2024'!E27</f>
        <v/>
      </c>
      <c r="F28" s="203" t="str">
        <f>'YR2024'!F27</f>
        <v/>
      </c>
      <c r="G28" s="169">
        <f t="shared" si="1"/>
        <v>2968</v>
      </c>
      <c r="H28" s="194"/>
      <c r="I28" s="194"/>
      <c r="J28" s="185"/>
      <c r="K28" s="185"/>
      <c r="L28" s="185"/>
      <c r="M28" s="185"/>
      <c r="N28" s="185"/>
      <c r="O28" s="185"/>
      <c r="P28" s="185"/>
      <c r="Q28" s="185"/>
      <c r="R28" s="185"/>
      <c r="S28" s="185"/>
      <c r="T28" s="185"/>
    </row>
    <row r="29" ht="14.25" customHeight="1">
      <c r="A29" s="185"/>
      <c r="B29" s="154" t="s">
        <v>104</v>
      </c>
      <c r="C29" s="155">
        <f>'YR2024'!C28</f>
        <v>676794</v>
      </c>
      <c r="D29" s="203">
        <v>0.0</v>
      </c>
      <c r="E29" s="203" t="str">
        <f>'YR2024'!E28</f>
        <v/>
      </c>
      <c r="F29" s="203" t="str">
        <f>'YR2024'!F28</f>
        <v/>
      </c>
      <c r="G29" s="204">
        <f t="shared" si="1"/>
        <v>676794</v>
      </c>
      <c r="H29" s="194"/>
      <c r="I29" s="194"/>
      <c r="J29" s="185"/>
      <c r="K29" s="185"/>
      <c r="L29" s="185"/>
      <c r="M29" s="185"/>
      <c r="N29" s="185"/>
      <c r="O29" s="185"/>
      <c r="P29" s="185"/>
      <c r="Q29" s="185"/>
      <c r="R29" s="185"/>
      <c r="S29" s="185"/>
      <c r="T29" s="185"/>
    </row>
    <row r="30" ht="14.25" customHeight="1">
      <c r="A30" s="185"/>
      <c r="B30" s="154" t="s">
        <v>105</v>
      </c>
      <c r="C30" s="155">
        <f>'YR2024'!C29</f>
        <v>106862</v>
      </c>
      <c r="D30" s="203">
        <v>0.0</v>
      </c>
      <c r="E30" s="203" t="str">
        <f>'YR2024'!E29</f>
        <v/>
      </c>
      <c r="F30" s="203" t="str">
        <f>'YR2024'!F29</f>
        <v/>
      </c>
      <c r="G30" s="83">
        <f t="shared" si="1"/>
        <v>106862</v>
      </c>
      <c r="H30" s="194"/>
      <c r="I30" s="194"/>
      <c r="J30" s="185"/>
      <c r="K30" s="185"/>
      <c r="L30" s="185"/>
      <c r="M30" s="185"/>
      <c r="N30" s="185"/>
      <c r="O30" s="185"/>
      <c r="P30" s="185"/>
      <c r="Q30" s="185"/>
      <c r="R30" s="185"/>
      <c r="S30" s="185"/>
      <c r="T30" s="185"/>
    </row>
    <row r="31" ht="14.25" customHeight="1">
      <c r="A31" s="185"/>
      <c r="B31" s="154" t="s">
        <v>154</v>
      </c>
      <c r="C31" s="203">
        <f>'YR2024'!C30</f>
        <v>1303125</v>
      </c>
      <c r="D31" s="203">
        <v>0.0</v>
      </c>
      <c r="E31" s="203" t="str">
        <f>'YR2024'!E30</f>
        <v/>
      </c>
      <c r="F31" s="203" t="str">
        <f>'YR2024'!F30</f>
        <v/>
      </c>
      <c r="G31" s="169">
        <f t="shared" si="1"/>
        <v>1303125</v>
      </c>
      <c r="H31" s="194"/>
      <c r="I31" s="194"/>
      <c r="J31" s="185"/>
      <c r="K31" s="185"/>
      <c r="L31" s="185"/>
      <c r="M31" s="185"/>
      <c r="N31" s="185"/>
      <c r="O31" s="185"/>
      <c r="P31" s="185"/>
      <c r="Q31" s="185"/>
      <c r="R31" s="185"/>
      <c r="S31" s="185"/>
      <c r="T31" s="185"/>
    </row>
    <row r="32" ht="14.25" customHeight="1">
      <c r="A32" s="185"/>
      <c r="B32" s="154" t="s">
        <v>107</v>
      </c>
      <c r="C32" s="155">
        <f>'YR2024'!C31</f>
        <v>1665270</v>
      </c>
      <c r="D32" s="203">
        <v>0.0</v>
      </c>
      <c r="E32" s="203" t="str">
        <f>'YR2024'!E31</f>
        <v/>
      </c>
      <c r="F32" s="203" t="str">
        <f>'YR2024'!F31</f>
        <v/>
      </c>
      <c r="G32" s="83">
        <f t="shared" si="1"/>
        <v>1665270</v>
      </c>
      <c r="H32" s="194"/>
      <c r="I32" s="194"/>
      <c r="J32" s="185"/>
      <c r="K32" s="185"/>
      <c r="L32" s="185"/>
      <c r="M32" s="185"/>
      <c r="N32" s="185"/>
      <c r="O32" s="185"/>
      <c r="P32" s="185"/>
      <c r="Q32" s="185"/>
      <c r="R32" s="185"/>
      <c r="S32" s="185"/>
      <c r="T32" s="185"/>
    </row>
    <row r="33" ht="14.25" customHeight="1">
      <c r="A33" s="185"/>
      <c r="B33" s="154" t="s">
        <v>108</v>
      </c>
      <c r="C33" s="155">
        <f>'YR2024'!C32</f>
        <v>9466212</v>
      </c>
      <c r="D33" s="203">
        <v>0.0</v>
      </c>
      <c r="E33" s="203" t="str">
        <f>'YR2024'!E32</f>
        <v/>
      </c>
      <c r="F33" s="203" t="str">
        <f>'YR2024'!F32</f>
        <v/>
      </c>
      <c r="G33" s="169">
        <f t="shared" si="1"/>
        <v>9466212</v>
      </c>
      <c r="H33" s="194"/>
      <c r="I33" s="194"/>
      <c r="J33" s="185"/>
      <c r="K33" s="185"/>
      <c r="L33" s="185"/>
      <c r="M33" s="185"/>
      <c r="N33" s="185"/>
      <c r="O33" s="185"/>
      <c r="P33" s="185"/>
      <c r="Q33" s="185"/>
      <c r="R33" s="185"/>
      <c r="S33" s="185"/>
      <c r="T33" s="185"/>
    </row>
    <row r="34" ht="14.25" customHeight="1">
      <c r="A34" s="185"/>
      <c r="B34" s="154" t="s">
        <v>155</v>
      </c>
      <c r="C34" s="155">
        <f>'YR2024'!C33</f>
        <v>23845117</v>
      </c>
      <c r="D34" s="203">
        <v>0.0</v>
      </c>
      <c r="E34" s="203" t="str">
        <f>'YR2024'!E33</f>
        <v/>
      </c>
      <c r="F34" s="203" t="str">
        <f>'YR2024'!F33</f>
        <v/>
      </c>
      <c r="G34" s="83">
        <f t="shared" si="1"/>
        <v>23845117</v>
      </c>
      <c r="H34" s="194"/>
      <c r="I34" s="202"/>
      <c r="J34" s="185"/>
      <c r="K34" s="185"/>
      <c r="L34" s="185"/>
      <c r="M34" s="185"/>
      <c r="N34" s="185"/>
      <c r="O34" s="185"/>
      <c r="P34" s="185"/>
      <c r="Q34" s="185"/>
      <c r="R34" s="185"/>
      <c r="S34" s="185"/>
      <c r="T34" s="185"/>
    </row>
    <row r="35" ht="14.25" customHeight="1">
      <c r="A35" s="185"/>
      <c r="B35" s="154" t="s">
        <v>110</v>
      </c>
      <c r="C35" s="203">
        <f>'YR2024'!C34</f>
        <v>394797</v>
      </c>
      <c r="D35" s="203">
        <v>0.0</v>
      </c>
      <c r="E35" s="203" t="str">
        <f>'YR2024'!E34</f>
        <v/>
      </c>
      <c r="F35" s="203" t="str">
        <f>'YR2024'!F34</f>
        <v/>
      </c>
      <c r="G35" s="78">
        <f t="shared" si="1"/>
        <v>394797</v>
      </c>
      <c r="H35" s="194"/>
      <c r="I35" s="194"/>
      <c r="J35" s="185"/>
      <c r="K35" s="185"/>
      <c r="L35" s="185"/>
      <c r="M35" s="185"/>
      <c r="N35" s="185"/>
      <c r="O35" s="185"/>
      <c r="P35" s="185"/>
      <c r="Q35" s="185"/>
      <c r="R35" s="185"/>
      <c r="S35" s="185"/>
      <c r="T35" s="185"/>
    </row>
    <row r="36" ht="14.25" customHeight="1">
      <c r="A36" s="185"/>
      <c r="B36" s="154" t="s">
        <v>112</v>
      </c>
      <c r="C36" s="155">
        <f>'YR2024'!C35</f>
        <v>148420</v>
      </c>
      <c r="D36" s="203">
        <v>0.0</v>
      </c>
      <c r="E36" s="203" t="str">
        <f>'YR2024'!E35</f>
        <v/>
      </c>
      <c r="F36" s="203" t="str">
        <f>'YR2024'!F35</f>
        <v/>
      </c>
      <c r="G36" s="78">
        <f t="shared" si="1"/>
        <v>148420</v>
      </c>
      <c r="H36" s="194"/>
      <c r="I36" s="194"/>
      <c r="J36" s="185"/>
      <c r="K36" s="185"/>
      <c r="L36" s="185"/>
      <c r="M36" s="185"/>
      <c r="N36" s="185"/>
      <c r="O36" s="185"/>
      <c r="P36" s="185"/>
      <c r="Q36" s="185"/>
      <c r="R36" s="185"/>
      <c r="S36" s="185"/>
      <c r="T36" s="185"/>
    </row>
    <row r="37" ht="14.25" customHeight="1">
      <c r="A37" s="185"/>
      <c r="B37" s="154" t="s">
        <v>113</v>
      </c>
      <c r="C37" s="155">
        <f>'YR2024'!C36</f>
        <v>29684</v>
      </c>
      <c r="D37" s="203">
        <v>0.0</v>
      </c>
      <c r="E37" s="203" t="str">
        <f>'YR2024'!E36</f>
        <v/>
      </c>
      <c r="F37" s="203" t="str">
        <f>'YR2024'!F36</f>
        <v/>
      </c>
      <c r="G37" s="204">
        <f t="shared" si="1"/>
        <v>29684</v>
      </c>
      <c r="H37" s="194"/>
      <c r="I37" s="194"/>
      <c r="J37" s="185"/>
      <c r="K37" s="185"/>
      <c r="L37" s="185"/>
      <c r="M37" s="185"/>
      <c r="N37" s="185"/>
      <c r="O37" s="185"/>
      <c r="P37" s="185"/>
      <c r="Q37" s="185"/>
      <c r="R37" s="185"/>
      <c r="S37" s="185"/>
      <c r="T37" s="185"/>
    </row>
    <row r="38" ht="14.25" customHeight="1">
      <c r="A38" s="185"/>
      <c r="B38" s="154" t="s">
        <v>114</v>
      </c>
      <c r="C38" s="155">
        <f>'YR2024'!C37</f>
        <v>228566</v>
      </c>
      <c r="D38" s="203">
        <v>0.0</v>
      </c>
      <c r="E38" s="203" t="str">
        <f>'YR2024'!E37</f>
        <v/>
      </c>
      <c r="F38" s="203" t="str">
        <f>'YR2024'!F37</f>
        <v/>
      </c>
      <c r="G38" s="204">
        <f t="shared" si="1"/>
        <v>228566</v>
      </c>
      <c r="H38" s="194"/>
      <c r="I38" s="194"/>
      <c r="J38" s="185"/>
      <c r="K38" s="185"/>
      <c r="L38" s="185"/>
      <c r="M38" s="185"/>
      <c r="N38" s="185"/>
      <c r="O38" s="185"/>
      <c r="P38" s="185"/>
      <c r="Q38" s="185"/>
      <c r="R38" s="185"/>
      <c r="S38" s="185"/>
      <c r="T38" s="185"/>
    </row>
    <row r="39" ht="14.25" customHeight="1">
      <c r="A39" s="185"/>
      <c r="B39" s="154" t="s">
        <v>115</v>
      </c>
      <c r="C39" s="203">
        <f>'YR2024'!C38</f>
        <v>201851</v>
      </c>
      <c r="D39" s="203">
        <v>0.0</v>
      </c>
      <c r="E39" s="203" t="str">
        <f>'YR2024'!E38</f>
        <v/>
      </c>
      <c r="F39" s="203" t="str">
        <f>'YR2024'!F38</f>
        <v/>
      </c>
      <c r="G39" s="83">
        <f t="shared" si="1"/>
        <v>201851</v>
      </c>
      <c r="H39" s="194"/>
      <c r="I39" s="194"/>
      <c r="J39" s="185"/>
      <c r="K39" s="185"/>
      <c r="L39" s="185"/>
      <c r="M39" s="185"/>
      <c r="N39" s="185"/>
      <c r="O39" s="185"/>
      <c r="P39" s="185"/>
      <c r="Q39" s="185"/>
      <c r="R39" s="185"/>
      <c r="S39" s="185"/>
      <c r="T39" s="185"/>
    </row>
    <row r="40" ht="14.25" customHeight="1">
      <c r="A40" s="185"/>
      <c r="B40" s="154" t="s">
        <v>116</v>
      </c>
      <c r="C40" s="155">
        <f>'YR2024'!C39</f>
        <v>56400</v>
      </c>
      <c r="D40" s="203">
        <v>0.0</v>
      </c>
      <c r="E40" s="203" t="str">
        <f>'YR2024'!E39</f>
        <v/>
      </c>
      <c r="F40" s="203" t="str">
        <f>'YR2024'!F39</f>
        <v/>
      </c>
      <c r="G40" s="83">
        <f t="shared" si="1"/>
        <v>56400</v>
      </c>
      <c r="H40" s="194"/>
      <c r="I40" s="194"/>
      <c r="J40" s="185"/>
      <c r="K40" s="185"/>
      <c r="L40" s="185"/>
      <c r="M40" s="185"/>
      <c r="N40" s="185"/>
      <c r="O40" s="185"/>
      <c r="P40" s="185"/>
      <c r="Q40" s="185"/>
      <c r="R40" s="185"/>
      <c r="S40" s="185"/>
      <c r="T40" s="185"/>
    </row>
    <row r="41" ht="14.25" customHeight="1">
      <c r="A41" s="185"/>
      <c r="B41" s="151" t="s">
        <v>117</v>
      </c>
      <c r="C41" s="155">
        <f>'YR2024'!C40</f>
        <v>32652</v>
      </c>
      <c r="D41" s="203">
        <v>0.0</v>
      </c>
      <c r="E41" s="203" t="str">
        <f>'YR2024'!E40</f>
        <v/>
      </c>
      <c r="F41" s="203" t="str">
        <f>'YR2024'!F40</f>
        <v/>
      </c>
      <c r="G41" s="78">
        <f t="shared" si="1"/>
        <v>32652</v>
      </c>
      <c r="H41" s="194"/>
      <c r="I41" s="194"/>
      <c r="J41" s="185"/>
      <c r="K41" s="185"/>
      <c r="L41" s="185"/>
      <c r="M41" s="185"/>
      <c r="N41" s="185"/>
      <c r="O41" s="185"/>
      <c r="P41" s="185"/>
      <c r="Q41" s="185"/>
      <c r="R41" s="185"/>
      <c r="S41" s="185"/>
      <c r="T41" s="185"/>
    </row>
    <row r="42" ht="14.25" customHeight="1">
      <c r="A42" s="185"/>
      <c r="B42" s="154" t="s">
        <v>118</v>
      </c>
      <c r="C42" s="155">
        <f>'YR2024'!C41</f>
        <v>4087480</v>
      </c>
      <c r="D42" s="203">
        <v>0.0</v>
      </c>
      <c r="E42" s="203" t="str">
        <f>'YR2024'!E41</f>
        <v/>
      </c>
      <c r="F42" s="203" t="str">
        <f>'YR2024'!F41</f>
        <v/>
      </c>
      <c r="G42" s="83">
        <f t="shared" si="1"/>
        <v>4087480</v>
      </c>
      <c r="H42" s="194"/>
      <c r="I42" s="194"/>
      <c r="J42" s="185"/>
      <c r="K42" s="185"/>
      <c r="L42" s="185"/>
      <c r="M42" s="185"/>
      <c r="N42" s="185"/>
      <c r="O42" s="185"/>
      <c r="P42" s="185"/>
      <c r="Q42" s="185"/>
      <c r="R42" s="185"/>
      <c r="S42" s="185"/>
      <c r="T42" s="185"/>
    </row>
    <row r="43" ht="14.25" customHeight="1">
      <c r="A43" s="185"/>
      <c r="B43" s="154" t="s">
        <v>119</v>
      </c>
      <c r="C43" s="203">
        <f>'YR2024'!C42</f>
        <v>917234</v>
      </c>
      <c r="D43" s="203">
        <v>0.0</v>
      </c>
      <c r="E43" s="203" t="str">
        <f>'YR2024'!E42</f>
        <v/>
      </c>
      <c r="F43" s="203" t="str">
        <f>'YR2024'!F42</f>
        <v/>
      </c>
      <c r="G43" s="83">
        <f t="shared" si="1"/>
        <v>917234</v>
      </c>
      <c r="H43" s="194"/>
      <c r="I43" s="194"/>
      <c r="J43" s="185"/>
      <c r="K43" s="185"/>
      <c r="L43" s="185"/>
      <c r="M43" s="185"/>
      <c r="N43" s="185"/>
      <c r="O43" s="185"/>
      <c r="P43" s="185"/>
      <c r="Q43" s="185"/>
      <c r="R43" s="185"/>
      <c r="S43" s="185"/>
      <c r="T43" s="185"/>
    </row>
    <row r="44" ht="14.25" customHeight="1">
      <c r="A44" s="185"/>
      <c r="B44" s="161" t="s">
        <v>120</v>
      </c>
      <c r="C44" s="155">
        <f>'YR2024'!C43</f>
        <v>2015540</v>
      </c>
      <c r="D44" s="203">
        <v>0.0</v>
      </c>
      <c r="E44" s="203" t="str">
        <f>'YR2024'!E43</f>
        <v/>
      </c>
      <c r="F44" s="203" t="str">
        <f>'YR2024'!F43</f>
        <v/>
      </c>
      <c r="G44" s="204">
        <f t="shared" si="1"/>
        <v>2015540</v>
      </c>
      <c r="H44" s="194"/>
      <c r="I44" s="194"/>
      <c r="J44" s="185"/>
      <c r="K44" s="185"/>
      <c r="L44" s="185"/>
      <c r="M44" s="185"/>
      <c r="N44" s="185"/>
      <c r="O44" s="185"/>
      <c r="P44" s="185"/>
      <c r="Q44" s="185"/>
      <c r="R44" s="185"/>
      <c r="S44" s="185"/>
      <c r="T44" s="185"/>
    </row>
    <row r="45" ht="14.25" customHeight="1">
      <c r="A45" s="185"/>
      <c r="B45" s="154" t="s">
        <v>122</v>
      </c>
      <c r="C45" s="155">
        <f>'YR2024'!C44</f>
        <v>2484547</v>
      </c>
      <c r="D45" s="203">
        <v>0.0</v>
      </c>
      <c r="E45" s="203" t="str">
        <f>'YR2024'!E44</f>
        <v/>
      </c>
      <c r="F45" s="203" t="str">
        <f>'YR2024'!F44</f>
        <v/>
      </c>
      <c r="G45" s="83">
        <f t="shared" si="1"/>
        <v>2484547</v>
      </c>
      <c r="H45" s="194"/>
      <c r="I45" s="194"/>
      <c r="J45" s="185"/>
      <c r="K45" s="185"/>
      <c r="L45" s="185"/>
      <c r="M45" s="185"/>
      <c r="N45" s="185"/>
      <c r="O45" s="185"/>
      <c r="P45" s="185"/>
      <c r="Q45" s="185"/>
      <c r="R45" s="185"/>
      <c r="S45" s="185"/>
      <c r="T45" s="185"/>
    </row>
    <row r="46" ht="14.25" customHeight="1">
      <c r="A46" s="185"/>
      <c r="B46" s="205" t="s">
        <v>123</v>
      </c>
      <c r="C46" s="155">
        <f>'YR2024'!C45</f>
        <v>1047843</v>
      </c>
      <c r="D46" s="203">
        <v>0.0</v>
      </c>
      <c r="E46" s="203" t="str">
        <f>'YR2024'!E45</f>
        <v/>
      </c>
      <c r="F46" s="203" t="str">
        <f>'YR2024'!F45</f>
        <v/>
      </c>
      <c r="G46" s="169">
        <f t="shared" si="1"/>
        <v>1047843</v>
      </c>
      <c r="H46" s="194"/>
      <c r="I46" s="194"/>
      <c r="J46" s="185"/>
      <c r="K46" s="185"/>
      <c r="L46" s="185"/>
      <c r="M46" s="185"/>
      <c r="N46" s="185"/>
      <c r="O46" s="185"/>
      <c r="P46" s="185"/>
      <c r="Q46" s="185"/>
      <c r="R46" s="185"/>
      <c r="S46" s="185"/>
      <c r="T46" s="185"/>
    </row>
    <row r="47" ht="14.25" customHeight="1">
      <c r="A47" s="185"/>
      <c r="B47" s="154" t="s">
        <v>124</v>
      </c>
      <c r="C47" s="203">
        <f>'YR2024'!C46</f>
        <v>926139</v>
      </c>
      <c r="D47" s="203">
        <v>0.0</v>
      </c>
      <c r="E47" s="203" t="str">
        <f>'YR2024'!E46</f>
        <v/>
      </c>
      <c r="F47" s="203" t="str">
        <f>'YR2024'!F46</f>
        <v/>
      </c>
      <c r="G47" s="83">
        <f t="shared" si="1"/>
        <v>926139</v>
      </c>
      <c r="H47" s="194"/>
      <c r="I47" s="194"/>
      <c r="J47" s="185"/>
      <c r="K47" s="185"/>
      <c r="L47" s="185"/>
      <c r="M47" s="185"/>
      <c r="N47" s="185"/>
      <c r="O47" s="185"/>
      <c r="P47" s="185"/>
      <c r="Q47" s="185"/>
      <c r="R47" s="185"/>
      <c r="S47" s="185"/>
      <c r="T47" s="185"/>
    </row>
    <row r="48" ht="14.25" customHeight="1">
      <c r="A48" s="185"/>
      <c r="B48" s="205" t="s">
        <v>125</v>
      </c>
      <c r="C48" s="155">
        <f>'YR2024'!C47</f>
        <v>5539025</v>
      </c>
      <c r="D48" s="203">
        <v>0.0</v>
      </c>
      <c r="E48" s="203" t="str">
        <f>'YR2024'!E47</f>
        <v/>
      </c>
      <c r="F48" s="203" t="str">
        <f>'YR2024'!F47</f>
        <v/>
      </c>
      <c r="G48" s="169">
        <f t="shared" si="1"/>
        <v>5539025</v>
      </c>
      <c r="H48" s="194"/>
      <c r="I48" s="194"/>
      <c r="J48" s="185"/>
      <c r="K48" s="185"/>
      <c r="L48" s="185"/>
      <c r="M48" s="185"/>
      <c r="N48" s="185"/>
      <c r="O48" s="185"/>
      <c r="P48" s="185"/>
      <c r="Q48" s="185"/>
      <c r="R48" s="185"/>
      <c r="S48" s="185"/>
      <c r="T48" s="185"/>
    </row>
    <row r="49" ht="14.25" customHeight="1">
      <c r="A49" s="185"/>
      <c r="B49" s="154" t="s">
        <v>126</v>
      </c>
      <c r="C49" s="155">
        <f>'YR2024'!C48</f>
        <v>5937</v>
      </c>
      <c r="D49" s="203">
        <v>0.0</v>
      </c>
      <c r="E49" s="203" t="str">
        <f>'YR2024'!E48</f>
        <v/>
      </c>
      <c r="F49" s="203" t="str">
        <f>'YR2024'!F48</f>
        <v/>
      </c>
      <c r="G49" s="83">
        <f t="shared" si="1"/>
        <v>5937</v>
      </c>
      <c r="H49" s="194"/>
      <c r="I49" s="194"/>
      <c r="J49" s="185"/>
      <c r="K49" s="185"/>
      <c r="L49" s="185"/>
      <c r="M49" s="185"/>
      <c r="N49" s="185"/>
      <c r="O49" s="185"/>
      <c r="P49" s="185"/>
      <c r="Q49" s="185"/>
      <c r="R49" s="185"/>
      <c r="S49" s="185"/>
      <c r="T49" s="185"/>
    </row>
    <row r="50" ht="14.25" customHeight="1">
      <c r="A50" s="185"/>
      <c r="B50" s="151" t="s">
        <v>128</v>
      </c>
      <c r="C50" s="155">
        <f>'YR2024'!C49</f>
        <v>460101</v>
      </c>
      <c r="D50" s="203">
        <v>0.0</v>
      </c>
      <c r="E50" s="203" t="str">
        <f>'YR2024'!E49</f>
        <v/>
      </c>
      <c r="F50" s="203" t="str">
        <f>'YR2024'!F49</f>
        <v/>
      </c>
      <c r="G50" s="78">
        <f t="shared" si="1"/>
        <v>460101</v>
      </c>
      <c r="H50" s="194"/>
      <c r="I50" s="194"/>
      <c r="J50" s="185"/>
      <c r="K50" s="185"/>
      <c r="L50" s="185"/>
      <c r="M50" s="185"/>
      <c r="N50" s="185"/>
      <c r="O50" s="185"/>
      <c r="P50" s="185"/>
      <c r="Q50" s="185"/>
      <c r="R50" s="185"/>
      <c r="S50" s="185"/>
      <c r="T50" s="185"/>
    </row>
    <row r="51" ht="14.25" customHeight="1">
      <c r="A51" s="185"/>
      <c r="B51" s="154" t="s">
        <v>129</v>
      </c>
      <c r="C51" s="203">
        <f>'YR2024'!C50</f>
        <v>234503</v>
      </c>
      <c r="D51" s="203">
        <v>0.0</v>
      </c>
      <c r="E51" s="203" t="str">
        <f>'YR2024'!E50</f>
        <v/>
      </c>
      <c r="F51" s="203" t="str">
        <f>'YR2024'!F50</f>
        <v/>
      </c>
      <c r="G51" s="83">
        <f t="shared" si="1"/>
        <v>234503</v>
      </c>
      <c r="H51" s="194"/>
      <c r="I51" s="194"/>
      <c r="J51" s="185"/>
      <c r="K51" s="185"/>
      <c r="L51" s="185"/>
      <c r="M51" s="185"/>
      <c r="N51" s="185"/>
      <c r="O51" s="185"/>
      <c r="P51" s="185"/>
      <c r="Q51" s="185"/>
      <c r="R51" s="185"/>
      <c r="S51" s="185"/>
      <c r="T51" s="185"/>
    </row>
    <row r="52" ht="14.25" customHeight="1">
      <c r="A52" s="185"/>
      <c r="B52" s="151" t="s">
        <v>131</v>
      </c>
      <c r="C52" s="155">
        <f>'YR2024'!C51</f>
        <v>6334555</v>
      </c>
      <c r="D52" s="203">
        <v>0.0</v>
      </c>
      <c r="E52" s="203" t="str">
        <f>'YR2024'!E51</f>
        <v/>
      </c>
      <c r="F52" s="203" t="str">
        <f>'YR2024'!F51</f>
        <v/>
      </c>
      <c r="G52" s="78">
        <f t="shared" si="1"/>
        <v>6334555</v>
      </c>
      <c r="H52" s="194"/>
      <c r="I52" s="194"/>
      <c r="J52" s="185"/>
      <c r="K52" s="185"/>
      <c r="L52" s="185"/>
      <c r="M52" s="185"/>
      <c r="N52" s="185"/>
      <c r="O52" s="185"/>
      <c r="P52" s="185"/>
      <c r="Q52" s="185"/>
      <c r="R52" s="185"/>
      <c r="S52" s="185"/>
      <c r="T52" s="185"/>
    </row>
    <row r="53" ht="14.25" customHeight="1">
      <c r="A53" s="185"/>
      <c r="B53" s="154" t="s">
        <v>156</v>
      </c>
      <c r="C53" s="155">
        <f>'YR2024'!C52</f>
        <v>2585472</v>
      </c>
      <c r="D53" s="203">
        <v>0.0</v>
      </c>
      <c r="E53" s="203" t="str">
        <f>'YR2024'!E52</f>
        <v/>
      </c>
      <c r="F53" s="203" t="str">
        <f>'YR2024'!F52</f>
        <v/>
      </c>
      <c r="G53" s="83">
        <f t="shared" si="1"/>
        <v>2585472</v>
      </c>
      <c r="H53" s="194"/>
      <c r="I53" s="194"/>
      <c r="J53" s="185"/>
      <c r="K53" s="185"/>
      <c r="L53" s="185"/>
      <c r="M53" s="185"/>
      <c r="N53" s="185"/>
      <c r="O53" s="185"/>
      <c r="P53" s="185"/>
      <c r="Q53" s="185"/>
      <c r="R53" s="185"/>
      <c r="S53" s="185"/>
      <c r="T53" s="185"/>
    </row>
    <row r="54" ht="14.25" customHeight="1">
      <c r="A54" s="185"/>
      <c r="B54" s="161" t="s">
        <v>133</v>
      </c>
      <c r="C54" s="155">
        <f>'YR2024'!C53</f>
        <v>3366160</v>
      </c>
      <c r="D54" s="203">
        <v>0.0</v>
      </c>
      <c r="E54" s="203" t="str">
        <f>'YR2024'!E53</f>
        <v/>
      </c>
      <c r="F54" s="203" t="str">
        <f>'YR2024'!F53</f>
        <v/>
      </c>
      <c r="G54" s="204">
        <f t="shared" si="1"/>
        <v>3366160</v>
      </c>
      <c r="H54" s="194"/>
      <c r="I54" s="194"/>
      <c r="J54" s="185"/>
      <c r="K54" s="185"/>
      <c r="L54" s="185"/>
      <c r="M54" s="185"/>
      <c r="N54" s="185"/>
      <c r="O54" s="185"/>
      <c r="P54" s="185"/>
      <c r="Q54" s="185"/>
      <c r="R54" s="185"/>
      <c r="S54" s="185"/>
      <c r="T54" s="185"/>
    </row>
    <row r="55" ht="14.25" customHeight="1">
      <c r="A55" s="185"/>
      <c r="B55" s="206" t="s">
        <v>134</v>
      </c>
      <c r="C55" s="203">
        <f>'YR2024'!C54</f>
        <v>8905</v>
      </c>
      <c r="D55" s="203">
        <v>0.0</v>
      </c>
      <c r="E55" s="203" t="str">
        <f>'YR2024'!E54</f>
        <v/>
      </c>
      <c r="F55" s="203" t="str">
        <f>'YR2024'!F54</f>
        <v/>
      </c>
      <c r="G55" s="83">
        <f t="shared" si="1"/>
        <v>8905</v>
      </c>
      <c r="H55" s="194"/>
      <c r="I55" s="194"/>
      <c r="J55" s="185"/>
      <c r="K55" s="185"/>
      <c r="L55" s="185"/>
      <c r="M55" s="185"/>
      <c r="N55" s="185"/>
      <c r="O55" s="185"/>
      <c r="P55" s="185"/>
      <c r="Q55" s="185"/>
      <c r="R55" s="185"/>
      <c r="S55" s="185"/>
      <c r="T55" s="185"/>
    </row>
    <row r="56" ht="14.25" customHeight="1">
      <c r="A56" s="185"/>
      <c r="B56" s="154" t="s">
        <v>136</v>
      </c>
      <c r="C56" s="155">
        <f>'YR2024'!C55</f>
        <v>166230</v>
      </c>
      <c r="D56" s="203">
        <v>0.0</v>
      </c>
      <c r="E56" s="203" t="str">
        <f>'YR2024'!E55</f>
        <v/>
      </c>
      <c r="F56" s="203" t="str">
        <f>'YR2024'!F55</f>
        <v/>
      </c>
      <c r="G56" s="83">
        <f t="shared" si="1"/>
        <v>166230</v>
      </c>
      <c r="H56" s="194"/>
      <c r="I56" s="194"/>
      <c r="J56" s="185"/>
      <c r="K56" s="185"/>
      <c r="L56" s="185"/>
      <c r="M56" s="185"/>
      <c r="N56" s="185"/>
      <c r="O56" s="185"/>
      <c r="P56" s="185"/>
      <c r="Q56" s="185"/>
      <c r="R56" s="185"/>
      <c r="S56" s="185"/>
      <c r="T56" s="185"/>
    </row>
    <row r="57" ht="14.25" customHeight="1">
      <c r="A57" s="185"/>
      <c r="B57" s="151" t="s">
        <v>138</v>
      </c>
      <c r="C57" s="155">
        <f>'YR2024'!C56</f>
        <v>12986728</v>
      </c>
      <c r="D57" s="203">
        <v>0.0</v>
      </c>
      <c r="E57" s="203" t="str">
        <f>'YR2024'!E56</f>
        <v/>
      </c>
      <c r="F57" s="203" t="str">
        <f>'YR2024'!F56</f>
        <v/>
      </c>
      <c r="G57" s="78">
        <f t="shared" si="1"/>
        <v>12986728</v>
      </c>
      <c r="H57" s="194"/>
      <c r="I57" s="194"/>
      <c r="J57" s="185"/>
      <c r="K57" s="185"/>
      <c r="L57" s="185"/>
      <c r="M57" s="185"/>
      <c r="N57" s="185"/>
      <c r="O57" s="185"/>
      <c r="P57" s="185"/>
      <c r="Q57" s="185"/>
      <c r="R57" s="185"/>
      <c r="S57" s="185"/>
      <c r="T57" s="185"/>
    </row>
    <row r="58" ht="14.25" customHeight="1">
      <c r="A58" s="185"/>
      <c r="B58" s="161" t="s">
        <v>139</v>
      </c>
      <c r="C58" s="155">
        <f>'YR2024'!C57</f>
        <v>38544000</v>
      </c>
      <c r="D58" s="203">
        <v>0.0</v>
      </c>
      <c r="E58" s="203" t="str">
        <f>'YR2024'!E57</f>
        <v/>
      </c>
      <c r="F58" s="203" t="str">
        <f>'YR2024'!F57</f>
        <v/>
      </c>
      <c r="G58" s="204">
        <f t="shared" si="1"/>
        <v>38544000</v>
      </c>
      <c r="H58" s="194"/>
      <c r="I58" s="194"/>
      <c r="J58" s="185"/>
      <c r="K58" s="185"/>
      <c r="L58" s="185"/>
      <c r="M58" s="185"/>
      <c r="N58" s="185"/>
      <c r="O58" s="185"/>
      <c r="P58" s="185"/>
      <c r="Q58" s="185"/>
      <c r="R58" s="185"/>
      <c r="S58" s="185"/>
      <c r="T58" s="185"/>
    </row>
    <row r="59" ht="14.25" customHeight="1">
      <c r="A59" s="185"/>
      <c r="B59" s="161" t="s">
        <v>140</v>
      </c>
      <c r="C59" s="167">
        <f>'YR2024'!C58</f>
        <v>80147</v>
      </c>
      <c r="D59" s="167">
        <v>0.0</v>
      </c>
      <c r="E59" s="167" t="str">
        <f>'YR2024'!E58</f>
        <v/>
      </c>
      <c r="F59" s="167" t="str">
        <f>'YR2024'!F58</f>
        <v/>
      </c>
      <c r="G59" s="204">
        <f t="shared" si="1"/>
        <v>80147</v>
      </c>
      <c r="H59" s="194"/>
      <c r="I59" s="194"/>
      <c r="J59" s="185"/>
      <c r="K59" s="185"/>
      <c r="L59" s="185"/>
      <c r="M59" s="185"/>
      <c r="N59" s="185"/>
      <c r="O59" s="185"/>
      <c r="P59" s="185"/>
      <c r="Q59" s="185"/>
      <c r="R59" s="185"/>
      <c r="S59" s="185"/>
      <c r="T59" s="185"/>
    </row>
    <row r="60" ht="14.25" customHeight="1">
      <c r="A60" s="185"/>
      <c r="B60" s="170" t="s">
        <v>143</v>
      </c>
      <c r="C60" s="114">
        <f t="shared" ref="C60:E60" si="2">SUM(C11:C59)</f>
        <v>175199999</v>
      </c>
      <c r="D60" s="114">
        <f t="shared" si="2"/>
        <v>8240392.168</v>
      </c>
      <c r="E60" s="114">
        <f t="shared" si="2"/>
        <v>0</v>
      </c>
      <c r="F60" s="207">
        <f>'YR2024'!F59</f>
        <v>0</v>
      </c>
      <c r="G60" s="165">
        <f>SUM(G11:G59)</f>
        <v>166959606.8</v>
      </c>
      <c r="H60" s="194"/>
      <c r="I60" s="93"/>
      <c r="J60" s="185"/>
      <c r="K60" s="185"/>
      <c r="L60" s="185"/>
      <c r="M60" s="185"/>
      <c r="N60" s="185"/>
      <c r="O60" s="185"/>
      <c r="P60" s="185"/>
      <c r="Q60" s="185"/>
      <c r="R60" s="185"/>
      <c r="S60" s="185"/>
      <c r="T60" s="185"/>
    </row>
    <row r="61" ht="14.25" customHeight="1">
      <c r="A61" s="185"/>
      <c r="B61" s="205" t="s">
        <v>157</v>
      </c>
      <c r="C61" s="208">
        <v>0.0</v>
      </c>
      <c r="D61" s="209">
        <v>0.0</v>
      </c>
      <c r="E61" s="209">
        <v>0.0</v>
      </c>
      <c r="F61" s="209">
        <v>0.0</v>
      </c>
      <c r="G61" s="210">
        <f>C61-D61-E61-F61</f>
        <v>0</v>
      </c>
      <c r="H61" s="194"/>
      <c r="I61" s="194"/>
      <c r="J61" s="185"/>
      <c r="K61" s="185"/>
      <c r="L61" s="185"/>
      <c r="M61" s="185"/>
      <c r="N61" s="185"/>
      <c r="O61" s="185"/>
      <c r="P61" s="185"/>
      <c r="Q61" s="185"/>
      <c r="R61" s="185"/>
      <c r="S61" s="185"/>
      <c r="T61" s="185"/>
    </row>
    <row r="62" ht="14.25" customHeight="1">
      <c r="A62" s="185"/>
      <c r="B62" s="164" t="s">
        <v>158</v>
      </c>
      <c r="C62" s="114">
        <f t="shared" ref="C62:E62" si="3">C60+C61</f>
        <v>175199999</v>
      </c>
      <c r="D62" s="114">
        <f t="shared" si="3"/>
        <v>8240392.168</v>
      </c>
      <c r="E62" s="114">
        <f t="shared" si="3"/>
        <v>0</v>
      </c>
      <c r="F62" s="207">
        <f>'YR2024'!F61</f>
        <v>0</v>
      </c>
      <c r="G62" s="165">
        <f>G60+G61</f>
        <v>166959606.8</v>
      </c>
      <c r="H62" s="194"/>
      <c r="I62" s="194"/>
      <c r="J62" s="185"/>
      <c r="K62" s="185"/>
      <c r="L62" s="185"/>
      <c r="M62" s="185"/>
      <c r="N62" s="185"/>
      <c r="O62" s="185"/>
      <c r="P62" s="185"/>
      <c r="Q62" s="185"/>
      <c r="R62" s="185"/>
      <c r="S62" s="185"/>
      <c r="T62" s="185"/>
    </row>
    <row r="63" ht="14.25" customHeight="1">
      <c r="A63" s="185"/>
      <c r="B63" s="211"/>
      <c r="C63" s="212"/>
      <c r="D63" s="212"/>
      <c r="E63" s="212"/>
      <c r="F63" s="212"/>
      <c r="G63" s="212"/>
      <c r="H63" s="185"/>
      <c r="I63" s="185"/>
      <c r="J63" s="185"/>
      <c r="K63" s="185"/>
      <c r="L63" s="185"/>
      <c r="M63" s="185"/>
      <c r="N63" s="185"/>
      <c r="O63" s="185"/>
      <c r="P63" s="185"/>
      <c r="Q63" s="185"/>
      <c r="R63" s="185"/>
      <c r="S63" s="185"/>
      <c r="T63" s="185"/>
    </row>
    <row r="64" ht="14.25" customHeight="1">
      <c r="A64" s="185"/>
      <c r="B64" s="213" t="s">
        <v>159</v>
      </c>
      <c r="C64" s="207">
        <f>C14+C15+C17+C21+C23+C29+C35+C36+C38+C45+C48+C50+C51+C55+C56+C59</f>
        <v>11938884</v>
      </c>
      <c r="D64" s="207">
        <f>D14+D15+D17+D21+D23+D29+D35+D38+D45+D48+D50+D51+D55+D56+D59</f>
        <v>0</v>
      </c>
      <c r="E64" s="207">
        <f>E14+E15+E17+E21+E23+E28+E36+E38+E45+E48+E50+E51+E55+E56+E59</f>
        <v>0</v>
      </c>
      <c r="F64" s="207" t="str">
        <f>'YR2024'!F63</f>
        <v/>
      </c>
      <c r="G64" s="214">
        <f>C64-D64-E64-F64</f>
        <v>11938884</v>
      </c>
      <c r="H64" s="185"/>
      <c r="I64" s="189"/>
      <c r="J64" s="185"/>
      <c r="K64" s="185"/>
      <c r="L64" s="185"/>
      <c r="M64" s="185"/>
      <c r="N64" s="185"/>
      <c r="O64" s="185"/>
      <c r="P64" s="185"/>
      <c r="Q64" s="185"/>
      <c r="R64" s="185"/>
      <c r="S64" s="185"/>
      <c r="T64" s="185"/>
    </row>
    <row r="65" ht="14.25" customHeight="1">
      <c r="A65" s="185"/>
      <c r="B65" s="185"/>
      <c r="C65" s="215"/>
      <c r="D65" s="215"/>
      <c r="E65" s="215"/>
      <c r="F65" s="185"/>
      <c r="G65" s="185"/>
      <c r="H65" s="185"/>
      <c r="I65" s="189"/>
      <c r="J65" s="185"/>
      <c r="K65" s="185"/>
      <c r="L65" s="185"/>
      <c r="M65" s="185"/>
      <c r="N65" s="185"/>
      <c r="O65" s="185"/>
      <c r="P65" s="185"/>
      <c r="Q65" s="185"/>
      <c r="R65" s="185"/>
      <c r="S65" s="185"/>
      <c r="T65" s="185"/>
    </row>
    <row r="66" ht="14.25" customHeight="1">
      <c r="A66" s="185"/>
      <c r="B66" s="185"/>
      <c r="C66" s="185"/>
      <c r="D66" s="185"/>
      <c r="E66" s="185"/>
      <c r="F66" s="185"/>
      <c r="G66" s="185"/>
      <c r="H66" s="185"/>
      <c r="I66" s="189"/>
      <c r="J66" s="185"/>
      <c r="K66" s="185"/>
      <c r="L66" s="185"/>
      <c r="M66" s="185"/>
      <c r="N66" s="185"/>
      <c r="O66" s="185"/>
      <c r="P66" s="185"/>
      <c r="Q66" s="185"/>
      <c r="R66" s="185"/>
      <c r="S66" s="185"/>
      <c r="T66" s="185"/>
    </row>
    <row r="67" ht="14.25" customHeight="1">
      <c r="A67" s="185"/>
      <c r="B67" s="185"/>
      <c r="C67" s="185"/>
      <c r="D67" s="185"/>
      <c r="E67" s="185"/>
      <c r="F67" s="185"/>
      <c r="G67" s="185"/>
      <c r="H67" s="189"/>
      <c r="I67" s="189"/>
      <c r="J67" s="185"/>
      <c r="K67" s="185"/>
      <c r="L67" s="185"/>
      <c r="M67" s="185"/>
      <c r="N67" s="185"/>
      <c r="O67" s="185"/>
      <c r="P67" s="185"/>
      <c r="Q67" s="185"/>
      <c r="R67" s="185"/>
      <c r="S67" s="185"/>
      <c r="T67" s="185"/>
    </row>
    <row r="68" ht="14.25" customHeight="1">
      <c r="A68" s="185"/>
      <c r="B68" s="185"/>
      <c r="C68" s="185"/>
      <c r="D68" s="185"/>
      <c r="E68" s="185"/>
      <c r="F68" s="185"/>
      <c r="G68" s="185"/>
      <c r="H68" s="185"/>
      <c r="I68" s="189"/>
      <c r="J68" s="185"/>
      <c r="K68" s="185"/>
      <c r="L68" s="185"/>
      <c r="M68" s="185"/>
      <c r="N68" s="185"/>
      <c r="O68" s="185"/>
      <c r="P68" s="185"/>
      <c r="Q68" s="185"/>
      <c r="R68" s="185"/>
      <c r="S68" s="185"/>
      <c r="T68" s="185"/>
    </row>
    <row r="69" ht="14.25" customHeight="1">
      <c r="A69" s="185"/>
      <c r="B69" s="185"/>
      <c r="C69" s="185"/>
      <c r="D69" s="185"/>
      <c r="E69" s="185"/>
      <c r="F69" s="185"/>
      <c r="G69" s="185"/>
      <c r="H69" s="185"/>
      <c r="I69" s="189"/>
      <c r="J69" s="185"/>
      <c r="K69" s="185"/>
      <c r="L69" s="185"/>
      <c r="M69" s="185"/>
      <c r="N69" s="185"/>
      <c r="O69" s="185"/>
      <c r="P69" s="185"/>
      <c r="Q69" s="185"/>
      <c r="R69" s="185"/>
      <c r="S69" s="185"/>
      <c r="T69" s="185"/>
    </row>
    <row r="70" ht="14.25" customHeight="1">
      <c r="A70" s="185"/>
      <c r="B70" s="185"/>
      <c r="C70" s="185"/>
      <c r="D70" s="185"/>
      <c r="E70" s="185"/>
      <c r="F70" s="189"/>
      <c r="G70" s="189"/>
      <c r="H70" s="189"/>
      <c r="I70" s="189"/>
      <c r="J70" s="185"/>
      <c r="K70" s="185"/>
      <c r="L70" s="185"/>
      <c r="M70" s="185"/>
      <c r="N70" s="185"/>
      <c r="O70" s="185"/>
      <c r="P70" s="185"/>
      <c r="Q70" s="185"/>
      <c r="R70" s="185"/>
      <c r="S70" s="185"/>
      <c r="T70" s="185"/>
    </row>
    <row r="71" ht="14.25" customHeight="1">
      <c r="A71" s="185"/>
      <c r="B71" s="185"/>
      <c r="C71" s="185"/>
      <c r="D71" s="185"/>
      <c r="E71" s="185"/>
      <c r="F71" s="189"/>
      <c r="G71" s="189"/>
      <c r="H71" s="189"/>
      <c r="I71" s="189"/>
      <c r="J71" s="185"/>
      <c r="K71" s="185"/>
      <c r="L71" s="185"/>
      <c r="M71" s="185"/>
      <c r="N71" s="185"/>
      <c r="O71" s="185"/>
      <c r="P71" s="185"/>
      <c r="Q71" s="185"/>
      <c r="R71" s="185"/>
      <c r="S71" s="185"/>
      <c r="T71" s="185"/>
    </row>
    <row r="72" ht="14.25" customHeight="1">
      <c r="A72" s="185"/>
      <c r="B72" s="185"/>
      <c r="C72" s="185"/>
      <c r="D72" s="185"/>
      <c r="E72" s="185"/>
      <c r="F72" s="185"/>
      <c r="G72" s="185"/>
      <c r="H72" s="185"/>
      <c r="I72" s="189"/>
      <c r="J72" s="185"/>
      <c r="K72" s="185"/>
      <c r="L72" s="185"/>
      <c r="M72" s="185"/>
      <c r="N72" s="185"/>
      <c r="O72" s="185"/>
      <c r="P72" s="185"/>
      <c r="Q72" s="185"/>
      <c r="R72" s="185"/>
      <c r="S72" s="185"/>
      <c r="T72" s="185"/>
    </row>
    <row r="73" ht="14.25" customHeight="1">
      <c r="A73" s="185"/>
      <c r="B73" s="185"/>
      <c r="C73" s="185"/>
      <c r="D73" s="185"/>
      <c r="E73" s="185"/>
      <c r="F73" s="185"/>
      <c r="G73" s="185"/>
      <c r="H73" s="185"/>
      <c r="I73" s="189"/>
      <c r="J73" s="185"/>
      <c r="K73" s="185"/>
      <c r="L73" s="185"/>
      <c r="M73" s="185"/>
      <c r="N73" s="185"/>
      <c r="O73" s="185"/>
      <c r="P73" s="185"/>
      <c r="Q73" s="185"/>
      <c r="R73" s="185"/>
      <c r="S73" s="185"/>
      <c r="T73" s="185"/>
    </row>
    <row r="74" ht="14.25" customHeight="1">
      <c r="A74" s="185"/>
      <c r="B74" s="185"/>
      <c r="C74" s="185"/>
      <c r="D74" s="185"/>
      <c r="E74" s="185"/>
      <c r="F74" s="185"/>
      <c r="G74" s="185"/>
      <c r="H74" s="185"/>
      <c r="I74" s="189"/>
      <c r="J74" s="185"/>
      <c r="K74" s="185"/>
      <c r="L74" s="185"/>
      <c r="M74" s="185"/>
      <c r="N74" s="185"/>
      <c r="O74" s="185"/>
      <c r="P74" s="185"/>
      <c r="Q74" s="185"/>
      <c r="R74" s="185"/>
      <c r="S74" s="185"/>
      <c r="T74" s="185"/>
    </row>
    <row r="75" ht="14.25" customHeight="1">
      <c r="A75" s="185"/>
      <c r="B75" s="185"/>
      <c r="C75" s="185"/>
      <c r="D75" s="185"/>
      <c r="E75" s="185"/>
      <c r="F75" s="185"/>
      <c r="G75" s="185"/>
      <c r="H75" s="185"/>
      <c r="I75" s="189"/>
      <c r="J75" s="185"/>
      <c r="K75" s="185"/>
      <c r="L75" s="185"/>
      <c r="M75" s="185"/>
      <c r="N75" s="185"/>
      <c r="O75" s="185"/>
      <c r="P75" s="185"/>
      <c r="Q75" s="185"/>
      <c r="R75" s="185"/>
      <c r="S75" s="185"/>
      <c r="T75" s="185"/>
    </row>
    <row r="76" ht="14.25" customHeight="1">
      <c r="A76" s="185"/>
      <c r="B76" s="185"/>
      <c r="C76" s="185"/>
      <c r="D76" s="185"/>
      <c r="E76" s="185"/>
      <c r="F76" s="185"/>
      <c r="G76" s="185"/>
      <c r="H76" s="185"/>
      <c r="I76" s="189"/>
      <c r="J76" s="185"/>
      <c r="K76" s="185"/>
      <c r="L76" s="185"/>
      <c r="M76" s="185"/>
      <c r="N76" s="185"/>
      <c r="O76" s="185"/>
      <c r="P76" s="185"/>
      <c r="Q76" s="185"/>
      <c r="R76" s="185"/>
      <c r="S76" s="185"/>
      <c r="T76" s="185"/>
    </row>
    <row r="77" ht="14.25" customHeight="1">
      <c r="A77" s="185"/>
      <c r="B77" s="185"/>
      <c r="C77" s="185"/>
      <c r="D77" s="185"/>
      <c r="E77" s="185"/>
      <c r="F77" s="185"/>
      <c r="G77" s="185"/>
      <c r="H77" s="185"/>
      <c r="I77" s="189"/>
      <c r="J77" s="185"/>
      <c r="K77" s="185"/>
      <c r="L77" s="185"/>
      <c r="M77" s="185"/>
      <c r="N77" s="185"/>
      <c r="O77" s="185"/>
      <c r="P77" s="185"/>
      <c r="Q77" s="185"/>
      <c r="R77" s="185"/>
      <c r="S77" s="185"/>
      <c r="T77" s="185"/>
    </row>
    <row r="78" ht="14.25" customHeight="1">
      <c r="A78" s="185"/>
      <c r="B78" s="185"/>
      <c r="C78" s="185"/>
      <c r="D78" s="185"/>
      <c r="E78" s="185"/>
      <c r="F78" s="185"/>
      <c r="G78" s="185"/>
      <c r="H78" s="185"/>
      <c r="I78" s="189"/>
      <c r="J78" s="185"/>
      <c r="K78" s="185"/>
      <c r="L78" s="185"/>
      <c r="M78" s="185"/>
      <c r="N78" s="185"/>
      <c r="O78" s="185"/>
      <c r="P78" s="185"/>
      <c r="Q78" s="185"/>
      <c r="R78" s="185"/>
      <c r="S78" s="185"/>
      <c r="T78" s="185"/>
    </row>
    <row r="79" ht="14.25" customHeight="1">
      <c r="A79" s="185"/>
      <c r="B79" s="185"/>
      <c r="C79" s="185"/>
      <c r="D79" s="185"/>
      <c r="E79" s="185"/>
      <c r="F79" s="185"/>
      <c r="G79" s="185"/>
      <c r="H79" s="185"/>
      <c r="I79" s="189"/>
      <c r="J79" s="185"/>
      <c r="K79" s="185"/>
      <c r="L79" s="185"/>
      <c r="M79" s="185"/>
      <c r="N79" s="185"/>
      <c r="O79" s="185"/>
      <c r="P79" s="185"/>
      <c r="Q79" s="185"/>
      <c r="R79" s="185"/>
      <c r="S79" s="185"/>
      <c r="T79" s="185"/>
    </row>
    <row r="80" ht="14.25" customHeight="1">
      <c r="A80" s="185"/>
      <c r="B80" s="185"/>
      <c r="C80" s="185"/>
      <c r="D80" s="185"/>
      <c r="E80" s="185"/>
      <c r="F80" s="185"/>
      <c r="G80" s="185"/>
      <c r="H80" s="185"/>
      <c r="I80" s="189"/>
      <c r="J80" s="185"/>
      <c r="K80" s="185"/>
      <c r="L80" s="185"/>
      <c r="M80" s="185"/>
      <c r="N80" s="185"/>
      <c r="O80" s="185"/>
      <c r="P80" s="185"/>
      <c r="Q80" s="185"/>
      <c r="R80" s="185"/>
      <c r="S80" s="185"/>
      <c r="T80" s="185"/>
    </row>
    <row r="81" ht="14.25" customHeight="1">
      <c r="A81" s="185"/>
      <c r="B81" s="185"/>
      <c r="C81" s="185"/>
      <c r="D81" s="185"/>
      <c r="E81" s="185"/>
      <c r="F81" s="185"/>
      <c r="G81" s="185"/>
      <c r="H81" s="185"/>
      <c r="I81" s="189"/>
      <c r="J81" s="185"/>
      <c r="K81" s="185"/>
      <c r="L81" s="185"/>
      <c r="M81" s="185"/>
      <c r="N81" s="185"/>
      <c r="O81" s="185"/>
      <c r="P81" s="185"/>
      <c r="Q81" s="185"/>
      <c r="R81" s="185"/>
      <c r="S81" s="185"/>
      <c r="T81" s="185"/>
    </row>
    <row r="82" ht="14.25" customHeight="1">
      <c r="A82" s="185"/>
      <c r="B82" s="185"/>
      <c r="C82" s="185"/>
      <c r="D82" s="185"/>
      <c r="E82" s="185"/>
      <c r="F82" s="185"/>
      <c r="G82" s="185"/>
      <c r="H82" s="185"/>
      <c r="I82" s="189"/>
      <c r="J82" s="185"/>
      <c r="K82" s="185"/>
      <c r="L82" s="185"/>
      <c r="M82" s="185"/>
      <c r="N82" s="185"/>
      <c r="O82" s="185"/>
      <c r="P82" s="185"/>
      <c r="Q82" s="185"/>
      <c r="R82" s="185"/>
      <c r="S82" s="185"/>
      <c r="T82" s="185"/>
    </row>
    <row r="83" ht="14.25" customHeight="1">
      <c r="A83" s="185"/>
      <c r="B83" s="185"/>
      <c r="C83" s="185"/>
      <c r="D83" s="185"/>
      <c r="E83" s="185"/>
      <c r="F83" s="185"/>
      <c r="G83" s="185"/>
      <c r="H83" s="185"/>
      <c r="I83" s="189"/>
      <c r="J83" s="185"/>
      <c r="K83" s="185"/>
      <c r="L83" s="185"/>
      <c r="M83" s="185"/>
      <c r="N83" s="185"/>
      <c r="O83" s="185"/>
      <c r="P83" s="185"/>
      <c r="Q83" s="185"/>
      <c r="R83" s="185"/>
      <c r="S83" s="185"/>
      <c r="T83" s="185"/>
    </row>
    <row r="84" ht="14.25" customHeight="1">
      <c r="A84" s="185"/>
      <c r="B84" s="185"/>
      <c r="C84" s="185"/>
      <c r="D84" s="185"/>
      <c r="E84" s="185"/>
      <c r="F84" s="185"/>
      <c r="G84" s="185"/>
      <c r="H84" s="185"/>
      <c r="I84" s="189"/>
      <c r="J84" s="185"/>
      <c r="K84" s="185"/>
      <c r="L84" s="185"/>
      <c r="M84" s="185"/>
      <c r="N84" s="185"/>
      <c r="O84" s="185"/>
      <c r="P84" s="185"/>
      <c r="Q84" s="185"/>
      <c r="R84" s="185"/>
      <c r="S84" s="185"/>
      <c r="T84" s="185"/>
    </row>
    <row r="85" ht="14.25" customHeight="1">
      <c r="A85" s="185"/>
      <c r="B85" s="185"/>
      <c r="C85" s="185"/>
      <c r="D85" s="185"/>
      <c r="E85" s="185"/>
      <c r="F85" s="185"/>
      <c r="G85" s="185"/>
      <c r="H85" s="185"/>
      <c r="I85" s="189"/>
      <c r="J85" s="185"/>
      <c r="K85" s="185"/>
      <c r="L85" s="185"/>
      <c r="M85" s="185"/>
      <c r="N85" s="185"/>
      <c r="O85" s="185"/>
      <c r="P85" s="185"/>
      <c r="Q85" s="185"/>
      <c r="R85" s="185"/>
      <c r="S85" s="185"/>
      <c r="T85" s="185"/>
    </row>
    <row r="86" ht="14.25" customHeight="1">
      <c r="A86" s="185"/>
      <c r="B86" s="185"/>
      <c r="C86" s="185"/>
      <c r="D86" s="185"/>
      <c r="E86" s="185"/>
      <c r="F86" s="185"/>
      <c r="G86" s="185"/>
      <c r="H86" s="185"/>
      <c r="I86" s="189"/>
      <c r="J86" s="185"/>
      <c r="K86" s="185"/>
      <c r="L86" s="185"/>
      <c r="M86" s="185"/>
      <c r="N86" s="185"/>
      <c r="O86" s="185"/>
      <c r="P86" s="185"/>
      <c r="Q86" s="185"/>
      <c r="R86" s="185"/>
      <c r="S86" s="185"/>
      <c r="T86" s="185"/>
    </row>
    <row r="87" ht="14.25" customHeight="1">
      <c r="A87" s="185"/>
      <c r="B87" s="185"/>
      <c r="C87" s="185"/>
      <c r="D87" s="185"/>
      <c r="E87" s="185"/>
      <c r="F87" s="185"/>
      <c r="G87" s="185"/>
      <c r="H87" s="185"/>
      <c r="I87" s="189"/>
      <c r="J87" s="185"/>
      <c r="K87" s="185"/>
      <c r="L87" s="185"/>
      <c r="M87" s="185"/>
      <c r="N87" s="185"/>
      <c r="O87" s="185"/>
      <c r="P87" s="185"/>
      <c r="Q87" s="185"/>
      <c r="R87" s="185"/>
      <c r="S87" s="185"/>
      <c r="T87" s="185"/>
    </row>
    <row r="88" ht="14.25" customHeight="1">
      <c r="A88" s="185"/>
      <c r="B88" s="185"/>
      <c r="C88" s="185"/>
      <c r="D88" s="185"/>
      <c r="E88" s="185"/>
      <c r="F88" s="185"/>
      <c r="G88" s="185"/>
      <c r="H88" s="185"/>
      <c r="I88" s="189"/>
      <c r="J88" s="185"/>
      <c r="K88" s="185"/>
      <c r="L88" s="185"/>
      <c r="M88" s="185"/>
      <c r="N88" s="185"/>
      <c r="O88" s="185"/>
      <c r="P88" s="185"/>
      <c r="Q88" s="185"/>
      <c r="R88" s="185"/>
      <c r="S88" s="185"/>
      <c r="T88" s="185"/>
    </row>
    <row r="89" ht="14.25" customHeight="1">
      <c r="A89" s="185"/>
      <c r="B89" s="185"/>
      <c r="C89" s="185"/>
      <c r="D89" s="185"/>
      <c r="E89" s="185"/>
      <c r="F89" s="185"/>
      <c r="G89" s="185"/>
      <c r="H89" s="185"/>
      <c r="I89" s="189"/>
      <c r="J89" s="185"/>
      <c r="K89" s="185"/>
      <c r="L89" s="185"/>
      <c r="M89" s="185"/>
      <c r="N89" s="185"/>
      <c r="O89" s="185"/>
      <c r="P89" s="185"/>
      <c r="Q89" s="185"/>
      <c r="R89" s="185"/>
      <c r="S89" s="185"/>
      <c r="T89" s="185"/>
    </row>
    <row r="90" ht="14.25" customHeight="1">
      <c r="A90" s="185"/>
      <c r="B90" s="185"/>
      <c r="C90" s="185"/>
      <c r="D90" s="185"/>
      <c r="E90" s="185"/>
      <c r="F90" s="185"/>
      <c r="G90" s="185"/>
      <c r="H90" s="185"/>
      <c r="I90" s="189"/>
      <c r="J90" s="185"/>
      <c r="K90" s="185"/>
      <c r="L90" s="185"/>
      <c r="M90" s="185"/>
      <c r="N90" s="185"/>
      <c r="O90" s="185"/>
      <c r="P90" s="185"/>
      <c r="Q90" s="185"/>
      <c r="R90" s="185"/>
      <c r="S90" s="185"/>
      <c r="T90" s="185"/>
    </row>
    <row r="91" ht="14.25" customHeight="1">
      <c r="A91" s="185"/>
      <c r="B91" s="185"/>
      <c r="C91" s="185"/>
      <c r="D91" s="185"/>
      <c r="E91" s="185"/>
      <c r="F91" s="185"/>
      <c r="G91" s="185"/>
      <c r="H91" s="185"/>
      <c r="I91" s="189"/>
      <c r="J91" s="185"/>
      <c r="K91" s="185"/>
      <c r="L91" s="185"/>
      <c r="M91" s="185"/>
      <c r="N91" s="185"/>
      <c r="O91" s="185"/>
      <c r="P91" s="185"/>
      <c r="Q91" s="185"/>
      <c r="R91" s="185"/>
      <c r="S91" s="185"/>
      <c r="T91" s="185"/>
    </row>
    <row r="92" ht="14.25" customHeight="1">
      <c r="A92" s="185"/>
      <c r="B92" s="185"/>
      <c r="C92" s="185"/>
      <c r="D92" s="185"/>
      <c r="E92" s="185"/>
      <c r="F92" s="185"/>
      <c r="G92" s="185"/>
      <c r="H92" s="185"/>
      <c r="I92" s="189"/>
      <c r="J92" s="185"/>
      <c r="K92" s="185"/>
      <c r="L92" s="185"/>
      <c r="M92" s="185"/>
      <c r="N92" s="185"/>
      <c r="O92" s="185"/>
      <c r="P92" s="185"/>
      <c r="Q92" s="185"/>
      <c r="R92" s="185"/>
      <c r="S92" s="185"/>
      <c r="T92" s="185"/>
    </row>
    <row r="93" ht="14.25" customHeight="1">
      <c r="A93" s="185"/>
      <c r="B93" s="185"/>
      <c r="C93" s="185"/>
      <c r="D93" s="185"/>
      <c r="E93" s="185"/>
      <c r="F93" s="185"/>
      <c r="G93" s="185"/>
      <c r="H93" s="185"/>
      <c r="I93" s="189"/>
      <c r="J93" s="185"/>
      <c r="K93" s="185"/>
      <c r="L93" s="185"/>
      <c r="M93" s="185"/>
      <c r="N93" s="185"/>
      <c r="O93" s="185"/>
      <c r="P93" s="185"/>
      <c r="Q93" s="185"/>
      <c r="R93" s="185"/>
      <c r="S93" s="185"/>
      <c r="T93" s="185"/>
    </row>
    <row r="94" ht="14.25" customHeight="1">
      <c r="A94" s="185"/>
      <c r="B94" s="185"/>
      <c r="C94" s="185"/>
      <c r="D94" s="185"/>
      <c r="E94" s="185"/>
      <c r="F94" s="185"/>
      <c r="G94" s="185"/>
      <c r="H94" s="185"/>
      <c r="I94" s="189"/>
      <c r="J94" s="185"/>
      <c r="K94" s="185"/>
      <c r="L94" s="185"/>
      <c r="M94" s="185"/>
      <c r="N94" s="185"/>
      <c r="O94" s="185"/>
      <c r="P94" s="185"/>
      <c r="Q94" s="185"/>
      <c r="R94" s="185"/>
      <c r="S94" s="185"/>
      <c r="T94" s="185"/>
    </row>
    <row r="95" ht="14.25" customHeight="1">
      <c r="A95" s="185"/>
      <c r="B95" s="185"/>
      <c r="C95" s="185"/>
      <c r="D95" s="185"/>
      <c r="E95" s="185"/>
      <c r="F95" s="185"/>
      <c r="G95" s="185"/>
      <c r="H95" s="185"/>
      <c r="I95" s="189"/>
      <c r="J95" s="185"/>
      <c r="K95" s="185"/>
      <c r="L95" s="185"/>
      <c r="M95" s="185"/>
      <c r="N95" s="185"/>
      <c r="O95" s="185"/>
      <c r="P95" s="185"/>
      <c r="Q95" s="185"/>
      <c r="R95" s="185"/>
      <c r="S95" s="185"/>
      <c r="T95" s="185"/>
    </row>
    <row r="96" ht="14.25" customHeight="1">
      <c r="A96" s="185"/>
      <c r="B96" s="185"/>
      <c r="C96" s="185"/>
      <c r="D96" s="185"/>
      <c r="E96" s="185"/>
      <c r="F96" s="185"/>
      <c r="G96" s="185"/>
      <c r="H96" s="185"/>
      <c r="I96" s="189"/>
      <c r="J96" s="185"/>
      <c r="K96" s="185"/>
      <c r="L96" s="185"/>
      <c r="M96" s="185"/>
      <c r="N96" s="185"/>
      <c r="O96" s="185"/>
      <c r="P96" s="185"/>
      <c r="Q96" s="185"/>
      <c r="R96" s="185"/>
      <c r="S96" s="185"/>
      <c r="T96" s="185"/>
    </row>
    <row r="97" ht="14.25" customHeight="1">
      <c r="A97" s="185"/>
      <c r="B97" s="185"/>
      <c r="C97" s="185"/>
      <c r="D97" s="185"/>
      <c r="E97" s="185"/>
      <c r="F97" s="185"/>
      <c r="G97" s="185"/>
      <c r="H97" s="185"/>
      <c r="I97" s="189"/>
      <c r="J97" s="185"/>
      <c r="K97" s="185"/>
      <c r="L97" s="185"/>
      <c r="M97" s="185"/>
      <c r="N97" s="185"/>
      <c r="O97" s="185"/>
      <c r="P97" s="185"/>
      <c r="Q97" s="185"/>
      <c r="R97" s="185"/>
      <c r="S97" s="185"/>
      <c r="T97" s="185"/>
    </row>
    <row r="98" ht="14.25" customHeight="1">
      <c r="A98" s="185"/>
      <c r="B98" s="185"/>
      <c r="C98" s="185"/>
      <c r="D98" s="185"/>
      <c r="E98" s="185"/>
      <c r="F98" s="185"/>
      <c r="G98" s="185"/>
      <c r="H98" s="185"/>
      <c r="I98" s="189"/>
      <c r="J98" s="185"/>
      <c r="K98" s="185"/>
      <c r="L98" s="185"/>
      <c r="M98" s="185"/>
      <c r="N98" s="185"/>
      <c r="O98" s="185"/>
      <c r="P98" s="185"/>
      <c r="Q98" s="185"/>
      <c r="R98" s="185"/>
      <c r="S98" s="185"/>
      <c r="T98" s="185"/>
    </row>
    <row r="99" ht="14.25" customHeight="1">
      <c r="A99" s="185"/>
      <c r="B99" s="185"/>
      <c r="C99" s="185"/>
      <c r="D99" s="185"/>
      <c r="E99" s="185"/>
      <c r="F99" s="185"/>
      <c r="G99" s="185"/>
      <c r="H99" s="185"/>
      <c r="I99" s="189"/>
      <c r="J99" s="185"/>
      <c r="K99" s="185"/>
      <c r="L99" s="185"/>
      <c r="M99" s="185"/>
      <c r="N99" s="185"/>
      <c r="O99" s="185"/>
      <c r="P99" s="185"/>
      <c r="Q99" s="185"/>
      <c r="R99" s="185"/>
      <c r="S99" s="185"/>
      <c r="T99" s="185"/>
    </row>
    <row r="100" ht="14.25" customHeight="1">
      <c r="A100" s="185"/>
      <c r="B100" s="185"/>
      <c r="C100" s="185"/>
      <c r="D100" s="185"/>
      <c r="E100" s="185"/>
      <c r="F100" s="185"/>
      <c r="G100" s="185"/>
      <c r="H100" s="185"/>
      <c r="I100" s="189"/>
      <c r="J100" s="185"/>
      <c r="K100" s="185"/>
      <c r="L100" s="185"/>
      <c r="M100" s="185"/>
      <c r="N100" s="185"/>
      <c r="O100" s="185"/>
      <c r="P100" s="185"/>
      <c r="Q100" s="185"/>
      <c r="R100" s="185"/>
      <c r="S100" s="185"/>
      <c r="T100" s="185"/>
    </row>
    <row r="101" ht="14.25" customHeight="1">
      <c r="A101" s="185"/>
      <c r="B101" s="185"/>
      <c r="C101" s="185"/>
      <c r="D101" s="185"/>
      <c r="E101" s="185"/>
      <c r="F101" s="185"/>
      <c r="G101" s="185"/>
      <c r="H101" s="185"/>
      <c r="I101" s="189"/>
      <c r="J101" s="185"/>
      <c r="K101" s="185"/>
      <c r="L101" s="185"/>
      <c r="M101" s="185"/>
      <c r="N101" s="185"/>
      <c r="O101" s="185"/>
      <c r="P101" s="185"/>
      <c r="Q101" s="185"/>
      <c r="R101" s="185"/>
      <c r="S101" s="185"/>
      <c r="T101" s="185"/>
    </row>
    <row r="102" ht="14.25" customHeight="1">
      <c r="A102" s="185"/>
      <c r="B102" s="185"/>
      <c r="C102" s="185"/>
      <c r="D102" s="185"/>
      <c r="E102" s="185"/>
      <c r="F102" s="185"/>
      <c r="G102" s="185"/>
      <c r="H102" s="185"/>
      <c r="I102" s="189"/>
      <c r="J102" s="185"/>
      <c r="K102" s="185"/>
      <c r="L102" s="185"/>
      <c r="M102" s="185"/>
      <c r="N102" s="185"/>
      <c r="O102" s="185"/>
      <c r="P102" s="185"/>
      <c r="Q102" s="185"/>
      <c r="R102" s="185"/>
      <c r="S102" s="185"/>
      <c r="T102" s="185"/>
    </row>
    <row r="103" ht="14.25" customHeight="1">
      <c r="A103" s="185"/>
      <c r="B103" s="185"/>
      <c r="C103" s="185"/>
      <c r="D103" s="185"/>
      <c r="E103" s="185"/>
      <c r="F103" s="185"/>
      <c r="G103" s="185"/>
      <c r="H103" s="185"/>
      <c r="I103" s="189"/>
      <c r="J103" s="185"/>
      <c r="K103" s="185"/>
      <c r="L103" s="185"/>
      <c r="M103" s="185"/>
      <c r="N103" s="185"/>
      <c r="O103" s="185"/>
      <c r="P103" s="185"/>
      <c r="Q103" s="185"/>
      <c r="R103" s="185"/>
      <c r="S103" s="185"/>
      <c r="T103" s="185"/>
    </row>
    <row r="104" ht="14.25" customHeight="1">
      <c r="A104" s="185"/>
      <c r="B104" s="185"/>
      <c r="C104" s="185"/>
      <c r="D104" s="185"/>
      <c r="E104" s="185"/>
      <c r="F104" s="185"/>
      <c r="G104" s="185"/>
      <c r="H104" s="185"/>
      <c r="I104" s="189"/>
      <c r="J104" s="185"/>
      <c r="K104" s="185"/>
      <c r="L104" s="185"/>
      <c r="M104" s="185"/>
      <c r="N104" s="185"/>
      <c r="O104" s="185"/>
      <c r="P104" s="185"/>
      <c r="Q104" s="185"/>
      <c r="R104" s="185"/>
      <c r="S104" s="185"/>
      <c r="T104" s="185"/>
    </row>
    <row r="105" ht="14.25" customHeight="1">
      <c r="A105" s="185"/>
      <c r="B105" s="185"/>
      <c r="C105" s="185"/>
      <c r="D105" s="185"/>
      <c r="E105" s="185"/>
      <c r="F105" s="185"/>
      <c r="G105" s="185"/>
      <c r="H105" s="185"/>
      <c r="I105" s="189"/>
      <c r="J105" s="185"/>
      <c r="K105" s="185"/>
      <c r="L105" s="185"/>
      <c r="M105" s="185"/>
      <c r="N105" s="185"/>
      <c r="O105" s="185"/>
      <c r="P105" s="185"/>
      <c r="Q105" s="185"/>
      <c r="R105" s="185"/>
      <c r="S105" s="185"/>
      <c r="T105" s="185"/>
    </row>
    <row r="106" ht="14.25" customHeight="1">
      <c r="A106" s="185"/>
      <c r="B106" s="185"/>
      <c r="C106" s="185"/>
      <c r="D106" s="185"/>
      <c r="E106" s="185"/>
      <c r="F106" s="185"/>
      <c r="G106" s="185"/>
      <c r="H106" s="185"/>
      <c r="I106" s="189"/>
      <c r="J106" s="185"/>
      <c r="K106" s="185"/>
      <c r="L106" s="185"/>
      <c r="M106" s="185"/>
      <c r="N106" s="185"/>
      <c r="O106" s="185"/>
      <c r="P106" s="185"/>
      <c r="Q106" s="185"/>
      <c r="R106" s="185"/>
      <c r="S106" s="185"/>
      <c r="T106" s="185"/>
    </row>
    <row r="107" ht="14.25" customHeight="1">
      <c r="A107" s="185"/>
      <c r="B107" s="185"/>
      <c r="C107" s="185"/>
      <c r="D107" s="185"/>
      <c r="E107" s="185"/>
      <c r="F107" s="185"/>
      <c r="G107" s="185"/>
      <c r="H107" s="185"/>
      <c r="I107" s="189"/>
      <c r="J107" s="185"/>
      <c r="K107" s="185"/>
      <c r="L107" s="185"/>
      <c r="M107" s="185"/>
      <c r="N107" s="185"/>
      <c r="O107" s="185"/>
      <c r="P107" s="185"/>
      <c r="Q107" s="185"/>
      <c r="R107" s="185"/>
      <c r="S107" s="185"/>
      <c r="T107" s="185"/>
    </row>
    <row r="108" ht="14.25" customHeight="1">
      <c r="A108" s="185"/>
      <c r="B108" s="185"/>
      <c r="C108" s="185"/>
      <c r="D108" s="185"/>
      <c r="E108" s="185"/>
      <c r="F108" s="185"/>
      <c r="G108" s="185"/>
      <c r="H108" s="185"/>
      <c r="I108" s="189"/>
      <c r="J108" s="185"/>
      <c r="K108" s="185"/>
      <c r="L108" s="185"/>
      <c r="M108" s="185"/>
      <c r="N108" s="185"/>
      <c r="O108" s="185"/>
      <c r="P108" s="185"/>
      <c r="Q108" s="185"/>
      <c r="R108" s="185"/>
      <c r="S108" s="185"/>
      <c r="T108" s="185"/>
    </row>
    <row r="109" ht="14.25" customHeight="1">
      <c r="A109" s="185"/>
      <c r="B109" s="185"/>
      <c r="C109" s="185"/>
      <c r="D109" s="185"/>
      <c r="E109" s="185"/>
      <c r="F109" s="185"/>
      <c r="G109" s="185"/>
      <c r="H109" s="185"/>
      <c r="I109" s="189"/>
      <c r="J109" s="185"/>
      <c r="K109" s="185"/>
      <c r="L109" s="185"/>
      <c r="M109" s="185"/>
      <c r="N109" s="185"/>
      <c r="O109" s="185"/>
      <c r="P109" s="185"/>
      <c r="Q109" s="185"/>
      <c r="R109" s="185"/>
      <c r="S109" s="185"/>
      <c r="T109" s="185"/>
    </row>
    <row r="110" ht="14.25" customHeight="1">
      <c r="A110" s="185"/>
      <c r="B110" s="185"/>
      <c r="C110" s="185"/>
      <c r="D110" s="185"/>
      <c r="E110" s="185"/>
      <c r="F110" s="185"/>
      <c r="G110" s="185"/>
      <c r="H110" s="185"/>
      <c r="I110" s="189"/>
      <c r="J110" s="185"/>
      <c r="K110" s="185"/>
      <c r="L110" s="185"/>
      <c r="M110" s="185"/>
      <c r="N110" s="185"/>
      <c r="O110" s="185"/>
      <c r="P110" s="185"/>
      <c r="Q110" s="185"/>
      <c r="R110" s="185"/>
      <c r="S110" s="185"/>
      <c r="T110" s="185"/>
    </row>
    <row r="111" ht="14.25" customHeight="1">
      <c r="A111" s="185"/>
      <c r="B111" s="185"/>
      <c r="C111" s="185"/>
      <c r="D111" s="185"/>
      <c r="E111" s="185"/>
      <c r="F111" s="185"/>
      <c r="G111" s="185"/>
      <c r="H111" s="185"/>
      <c r="I111" s="189"/>
      <c r="J111" s="185"/>
      <c r="K111" s="185"/>
      <c r="L111" s="185"/>
      <c r="M111" s="185"/>
      <c r="N111" s="185"/>
      <c r="O111" s="185"/>
      <c r="P111" s="185"/>
      <c r="Q111" s="185"/>
      <c r="R111" s="185"/>
      <c r="S111" s="185"/>
      <c r="T111" s="185"/>
    </row>
    <row r="112" ht="14.25" customHeight="1">
      <c r="A112" s="185"/>
      <c r="B112" s="185"/>
      <c r="C112" s="185"/>
      <c r="D112" s="185"/>
      <c r="E112" s="185"/>
      <c r="F112" s="185"/>
      <c r="G112" s="185"/>
      <c r="H112" s="185"/>
      <c r="I112" s="189"/>
      <c r="J112" s="185"/>
      <c r="K112" s="185"/>
      <c r="L112" s="185"/>
      <c r="M112" s="185"/>
      <c r="N112" s="185"/>
      <c r="O112" s="185"/>
      <c r="P112" s="185"/>
      <c r="Q112" s="185"/>
      <c r="R112" s="185"/>
      <c r="S112" s="185"/>
      <c r="T112" s="185"/>
    </row>
    <row r="113" ht="14.25" customHeight="1">
      <c r="A113" s="185"/>
      <c r="B113" s="185"/>
      <c r="C113" s="185"/>
      <c r="D113" s="185"/>
      <c r="E113" s="185"/>
      <c r="F113" s="185"/>
      <c r="G113" s="185"/>
      <c r="H113" s="185"/>
      <c r="I113" s="189"/>
      <c r="J113" s="185"/>
      <c r="K113" s="185"/>
      <c r="L113" s="185"/>
      <c r="M113" s="185"/>
      <c r="N113" s="185"/>
      <c r="O113" s="185"/>
      <c r="P113" s="185"/>
      <c r="Q113" s="185"/>
      <c r="R113" s="185"/>
      <c r="S113" s="185"/>
      <c r="T113" s="185"/>
    </row>
    <row r="114" ht="14.25" customHeight="1">
      <c r="A114" s="185"/>
      <c r="B114" s="185"/>
      <c r="C114" s="185"/>
      <c r="D114" s="185"/>
      <c r="E114" s="185"/>
      <c r="F114" s="185"/>
      <c r="G114" s="185"/>
      <c r="H114" s="185"/>
      <c r="I114" s="189"/>
      <c r="J114" s="185"/>
      <c r="K114" s="185"/>
      <c r="L114" s="185"/>
      <c r="M114" s="185"/>
      <c r="N114" s="185"/>
      <c r="O114" s="185"/>
      <c r="P114" s="185"/>
      <c r="Q114" s="185"/>
      <c r="R114" s="185"/>
      <c r="S114" s="185"/>
      <c r="T114" s="185"/>
    </row>
    <row r="115" ht="14.25" customHeight="1">
      <c r="A115" s="185"/>
      <c r="B115" s="185"/>
      <c r="C115" s="185"/>
      <c r="D115" s="185"/>
      <c r="E115" s="185"/>
      <c r="F115" s="185"/>
      <c r="G115" s="185"/>
      <c r="H115" s="185"/>
      <c r="I115" s="189"/>
      <c r="J115" s="185"/>
      <c r="K115" s="185"/>
      <c r="L115" s="185"/>
      <c r="M115" s="185"/>
      <c r="N115" s="185"/>
      <c r="O115" s="185"/>
      <c r="P115" s="185"/>
      <c r="Q115" s="185"/>
      <c r="R115" s="185"/>
      <c r="S115" s="185"/>
      <c r="T115" s="185"/>
    </row>
    <row r="116" ht="14.25" customHeight="1">
      <c r="A116" s="185"/>
      <c r="B116" s="185"/>
      <c r="C116" s="185"/>
      <c r="D116" s="185"/>
      <c r="E116" s="185"/>
      <c r="F116" s="185"/>
      <c r="G116" s="185"/>
      <c r="H116" s="185"/>
      <c r="I116" s="189"/>
      <c r="J116" s="185"/>
      <c r="K116" s="185"/>
      <c r="L116" s="185"/>
      <c r="M116" s="185"/>
      <c r="N116" s="185"/>
      <c r="O116" s="185"/>
      <c r="P116" s="185"/>
      <c r="Q116" s="185"/>
      <c r="R116" s="185"/>
      <c r="S116" s="185"/>
      <c r="T116" s="185"/>
    </row>
    <row r="117" ht="14.25" customHeight="1">
      <c r="A117" s="185"/>
      <c r="B117" s="185"/>
      <c r="C117" s="185"/>
      <c r="D117" s="185"/>
      <c r="E117" s="185"/>
      <c r="F117" s="185"/>
      <c r="G117" s="185"/>
      <c r="H117" s="185"/>
      <c r="I117" s="189"/>
      <c r="J117" s="185"/>
      <c r="K117" s="185"/>
      <c r="L117" s="185"/>
      <c r="M117" s="185"/>
      <c r="N117" s="185"/>
      <c r="O117" s="185"/>
      <c r="P117" s="185"/>
      <c r="Q117" s="185"/>
      <c r="R117" s="185"/>
      <c r="S117" s="185"/>
      <c r="T117" s="185"/>
    </row>
    <row r="118" ht="14.25" customHeight="1">
      <c r="A118" s="185"/>
      <c r="B118" s="185"/>
      <c r="C118" s="185"/>
      <c r="D118" s="185"/>
      <c r="E118" s="185"/>
      <c r="F118" s="185"/>
      <c r="G118" s="185"/>
      <c r="H118" s="185"/>
      <c r="I118" s="189"/>
      <c r="J118" s="185"/>
      <c r="K118" s="185"/>
      <c r="L118" s="185"/>
      <c r="M118" s="185"/>
      <c r="N118" s="185"/>
      <c r="O118" s="185"/>
      <c r="P118" s="185"/>
      <c r="Q118" s="185"/>
      <c r="R118" s="185"/>
      <c r="S118" s="185"/>
      <c r="T118" s="185"/>
    </row>
    <row r="119" ht="14.25" customHeight="1">
      <c r="A119" s="185"/>
      <c r="B119" s="185"/>
      <c r="C119" s="185"/>
      <c r="D119" s="185"/>
      <c r="E119" s="185"/>
      <c r="F119" s="185"/>
      <c r="G119" s="185"/>
      <c r="H119" s="185"/>
      <c r="I119" s="189"/>
      <c r="J119" s="185"/>
      <c r="K119" s="185"/>
      <c r="L119" s="185"/>
      <c r="M119" s="185"/>
      <c r="N119" s="185"/>
      <c r="O119" s="185"/>
      <c r="P119" s="185"/>
      <c r="Q119" s="185"/>
      <c r="R119" s="185"/>
      <c r="S119" s="185"/>
      <c r="T119" s="185"/>
    </row>
    <row r="120" ht="14.25" customHeight="1">
      <c r="A120" s="185"/>
      <c r="B120" s="185"/>
      <c r="C120" s="185"/>
      <c r="D120" s="185"/>
      <c r="E120" s="185"/>
      <c r="F120" s="185"/>
      <c r="G120" s="185"/>
      <c r="H120" s="185"/>
      <c r="I120" s="189"/>
      <c r="J120" s="185"/>
      <c r="K120" s="185"/>
      <c r="L120" s="185"/>
      <c r="M120" s="185"/>
      <c r="N120" s="185"/>
      <c r="O120" s="185"/>
      <c r="P120" s="185"/>
      <c r="Q120" s="185"/>
      <c r="R120" s="185"/>
      <c r="S120" s="185"/>
      <c r="T120" s="185"/>
    </row>
    <row r="121" ht="14.25" customHeight="1">
      <c r="A121" s="185"/>
      <c r="B121" s="185"/>
      <c r="C121" s="185"/>
      <c r="D121" s="185"/>
      <c r="E121" s="185"/>
      <c r="F121" s="185"/>
      <c r="G121" s="185"/>
      <c r="H121" s="185"/>
      <c r="I121" s="189"/>
      <c r="J121" s="185"/>
      <c r="K121" s="185"/>
      <c r="L121" s="185"/>
      <c r="M121" s="185"/>
      <c r="N121" s="185"/>
      <c r="O121" s="185"/>
      <c r="P121" s="185"/>
      <c r="Q121" s="185"/>
      <c r="R121" s="185"/>
      <c r="S121" s="185"/>
      <c r="T121" s="185"/>
    </row>
    <row r="122" ht="14.25" customHeight="1">
      <c r="A122" s="185"/>
      <c r="B122" s="185"/>
      <c r="C122" s="185"/>
      <c r="D122" s="185"/>
      <c r="E122" s="185"/>
      <c r="F122" s="185"/>
      <c r="G122" s="185"/>
      <c r="H122" s="185"/>
      <c r="I122" s="189"/>
      <c r="J122" s="185"/>
      <c r="K122" s="185"/>
      <c r="L122" s="185"/>
      <c r="M122" s="185"/>
      <c r="N122" s="185"/>
      <c r="O122" s="185"/>
      <c r="P122" s="185"/>
      <c r="Q122" s="185"/>
      <c r="R122" s="185"/>
      <c r="S122" s="185"/>
      <c r="T122" s="185"/>
    </row>
    <row r="123" ht="14.25" customHeight="1">
      <c r="A123" s="185"/>
      <c r="B123" s="185"/>
      <c r="C123" s="185"/>
      <c r="D123" s="185"/>
      <c r="E123" s="185"/>
      <c r="F123" s="185"/>
      <c r="G123" s="185"/>
      <c r="H123" s="185"/>
      <c r="I123" s="189"/>
      <c r="J123" s="185"/>
      <c r="K123" s="185"/>
      <c r="L123" s="185"/>
      <c r="M123" s="185"/>
      <c r="N123" s="185"/>
      <c r="O123" s="185"/>
      <c r="P123" s="185"/>
      <c r="Q123" s="185"/>
      <c r="R123" s="185"/>
      <c r="S123" s="185"/>
      <c r="T123" s="185"/>
    </row>
    <row r="124" ht="14.25" customHeight="1">
      <c r="A124" s="185"/>
      <c r="B124" s="185"/>
      <c r="C124" s="185"/>
      <c r="D124" s="185"/>
      <c r="E124" s="185"/>
      <c r="F124" s="185"/>
      <c r="G124" s="185"/>
      <c r="H124" s="185"/>
      <c r="I124" s="189"/>
      <c r="J124" s="185"/>
      <c r="K124" s="185"/>
      <c r="L124" s="185"/>
      <c r="M124" s="185"/>
      <c r="N124" s="185"/>
      <c r="O124" s="185"/>
      <c r="P124" s="185"/>
      <c r="Q124" s="185"/>
      <c r="R124" s="185"/>
      <c r="S124" s="185"/>
      <c r="T124" s="185"/>
    </row>
    <row r="125" ht="14.25" customHeight="1">
      <c r="A125" s="185"/>
      <c r="B125" s="185"/>
      <c r="C125" s="185"/>
      <c r="D125" s="185"/>
      <c r="E125" s="185"/>
      <c r="F125" s="185"/>
      <c r="G125" s="185"/>
      <c r="H125" s="185"/>
      <c r="I125" s="189"/>
      <c r="J125" s="185"/>
      <c r="K125" s="185"/>
      <c r="L125" s="185"/>
      <c r="M125" s="185"/>
      <c r="N125" s="185"/>
      <c r="O125" s="185"/>
      <c r="P125" s="185"/>
      <c r="Q125" s="185"/>
      <c r="R125" s="185"/>
      <c r="S125" s="185"/>
      <c r="T125" s="185"/>
    </row>
    <row r="126" ht="14.25" customHeight="1">
      <c r="A126" s="185"/>
      <c r="B126" s="185"/>
      <c r="C126" s="185"/>
      <c r="D126" s="185"/>
      <c r="E126" s="185"/>
      <c r="F126" s="185"/>
      <c r="G126" s="185"/>
      <c r="H126" s="185"/>
      <c r="I126" s="189"/>
      <c r="J126" s="185"/>
      <c r="K126" s="185"/>
      <c r="L126" s="185"/>
      <c r="M126" s="185"/>
      <c r="N126" s="185"/>
      <c r="O126" s="185"/>
      <c r="P126" s="185"/>
      <c r="Q126" s="185"/>
      <c r="R126" s="185"/>
      <c r="S126" s="185"/>
      <c r="T126" s="185"/>
    </row>
    <row r="127" ht="14.25" customHeight="1">
      <c r="A127" s="185"/>
      <c r="B127" s="185"/>
      <c r="C127" s="185"/>
      <c r="D127" s="185"/>
      <c r="E127" s="185"/>
      <c r="F127" s="185"/>
      <c r="G127" s="185"/>
      <c r="H127" s="185"/>
      <c r="I127" s="189"/>
      <c r="J127" s="185"/>
      <c r="K127" s="185"/>
      <c r="L127" s="185"/>
      <c r="M127" s="185"/>
      <c r="N127" s="185"/>
      <c r="O127" s="185"/>
      <c r="P127" s="185"/>
      <c r="Q127" s="185"/>
      <c r="R127" s="185"/>
      <c r="S127" s="185"/>
      <c r="T127" s="185"/>
    </row>
    <row r="128" ht="14.25" customHeight="1">
      <c r="A128" s="185"/>
      <c r="B128" s="185"/>
      <c r="C128" s="185"/>
      <c r="D128" s="185"/>
      <c r="E128" s="185"/>
      <c r="F128" s="185"/>
      <c r="G128" s="185"/>
      <c r="H128" s="185"/>
      <c r="I128" s="189"/>
      <c r="J128" s="185"/>
      <c r="K128" s="185"/>
      <c r="L128" s="185"/>
      <c r="M128" s="185"/>
      <c r="N128" s="185"/>
      <c r="O128" s="185"/>
      <c r="P128" s="185"/>
      <c r="Q128" s="185"/>
      <c r="R128" s="185"/>
      <c r="S128" s="185"/>
      <c r="T128" s="185"/>
    </row>
    <row r="129" ht="14.25" customHeight="1">
      <c r="A129" s="185"/>
      <c r="B129" s="185"/>
      <c r="C129" s="185"/>
      <c r="D129" s="185"/>
      <c r="E129" s="185"/>
      <c r="F129" s="185"/>
      <c r="G129" s="185"/>
      <c r="H129" s="185"/>
      <c r="I129" s="189"/>
      <c r="J129" s="185"/>
      <c r="K129" s="185"/>
      <c r="L129" s="185"/>
      <c r="M129" s="185"/>
      <c r="N129" s="185"/>
      <c r="O129" s="185"/>
      <c r="P129" s="185"/>
      <c r="Q129" s="185"/>
      <c r="R129" s="185"/>
      <c r="S129" s="185"/>
      <c r="T129" s="185"/>
    </row>
    <row r="130" ht="14.25" customHeight="1">
      <c r="A130" s="185"/>
      <c r="B130" s="185"/>
      <c r="C130" s="185"/>
      <c r="D130" s="185"/>
      <c r="E130" s="185"/>
      <c r="F130" s="185"/>
      <c r="G130" s="185"/>
      <c r="H130" s="185"/>
      <c r="I130" s="189"/>
      <c r="J130" s="185"/>
      <c r="K130" s="185"/>
      <c r="L130" s="185"/>
      <c r="M130" s="185"/>
      <c r="N130" s="185"/>
      <c r="O130" s="185"/>
      <c r="P130" s="185"/>
      <c r="Q130" s="185"/>
      <c r="R130" s="185"/>
      <c r="S130" s="185"/>
      <c r="T130" s="185"/>
    </row>
    <row r="131" ht="14.25" customHeight="1">
      <c r="A131" s="185"/>
      <c r="B131" s="185"/>
      <c r="C131" s="185"/>
      <c r="D131" s="185"/>
      <c r="E131" s="185"/>
      <c r="F131" s="185"/>
      <c r="G131" s="185"/>
      <c r="H131" s="185"/>
      <c r="I131" s="189"/>
      <c r="J131" s="185"/>
      <c r="K131" s="185"/>
      <c r="L131" s="185"/>
      <c r="M131" s="185"/>
      <c r="N131" s="185"/>
      <c r="O131" s="185"/>
      <c r="P131" s="185"/>
      <c r="Q131" s="185"/>
      <c r="R131" s="185"/>
      <c r="S131" s="185"/>
      <c r="T131" s="185"/>
    </row>
    <row r="132" ht="14.25" customHeight="1">
      <c r="A132" s="185"/>
      <c r="B132" s="185"/>
      <c r="C132" s="185"/>
      <c r="D132" s="185"/>
      <c r="E132" s="185"/>
      <c r="F132" s="185"/>
      <c r="G132" s="185"/>
      <c r="H132" s="185"/>
      <c r="I132" s="189"/>
      <c r="J132" s="185"/>
      <c r="K132" s="185"/>
      <c r="L132" s="185"/>
      <c r="M132" s="185"/>
      <c r="N132" s="185"/>
      <c r="O132" s="185"/>
      <c r="P132" s="185"/>
      <c r="Q132" s="185"/>
      <c r="R132" s="185"/>
      <c r="S132" s="185"/>
      <c r="T132" s="185"/>
    </row>
    <row r="133" ht="14.25" customHeight="1">
      <c r="A133" s="185"/>
      <c r="B133" s="185"/>
      <c r="C133" s="185"/>
      <c r="D133" s="185"/>
      <c r="E133" s="185"/>
      <c r="F133" s="185"/>
      <c r="G133" s="185"/>
      <c r="H133" s="185"/>
      <c r="I133" s="189"/>
      <c r="J133" s="185"/>
      <c r="K133" s="185"/>
      <c r="L133" s="185"/>
      <c r="M133" s="185"/>
      <c r="N133" s="185"/>
      <c r="O133" s="185"/>
      <c r="P133" s="185"/>
      <c r="Q133" s="185"/>
      <c r="R133" s="185"/>
      <c r="S133" s="185"/>
      <c r="T133" s="185"/>
    </row>
    <row r="134" ht="14.25" customHeight="1">
      <c r="A134" s="185"/>
      <c r="B134" s="185"/>
      <c r="C134" s="185"/>
      <c r="D134" s="185"/>
      <c r="E134" s="185"/>
      <c r="F134" s="185"/>
      <c r="G134" s="185"/>
      <c r="H134" s="185"/>
      <c r="I134" s="189"/>
      <c r="J134" s="185"/>
      <c r="K134" s="185"/>
      <c r="L134" s="185"/>
      <c r="M134" s="185"/>
      <c r="N134" s="185"/>
      <c r="O134" s="185"/>
      <c r="P134" s="185"/>
      <c r="Q134" s="185"/>
      <c r="R134" s="185"/>
      <c r="S134" s="185"/>
      <c r="T134" s="185"/>
    </row>
    <row r="135" ht="14.25" customHeight="1">
      <c r="A135" s="185"/>
      <c r="B135" s="185"/>
      <c r="C135" s="185"/>
      <c r="D135" s="185"/>
      <c r="E135" s="185"/>
      <c r="F135" s="185"/>
      <c r="G135" s="185"/>
      <c r="H135" s="185"/>
      <c r="I135" s="189"/>
      <c r="J135" s="185"/>
      <c r="K135" s="185"/>
      <c r="L135" s="185"/>
      <c r="M135" s="185"/>
      <c r="N135" s="185"/>
      <c r="O135" s="185"/>
      <c r="P135" s="185"/>
      <c r="Q135" s="185"/>
      <c r="R135" s="185"/>
      <c r="S135" s="185"/>
      <c r="T135" s="185"/>
    </row>
    <row r="136" ht="14.25" customHeight="1">
      <c r="A136" s="185"/>
      <c r="B136" s="185"/>
      <c r="C136" s="185"/>
      <c r="D136" s="185"/>
      <c r="E136" s="185"/>
      <c r="F136" s="185"/>
      <c r="G136" s="185"/>
      <c r="H136" s="185"/>
      <c r="I136" s="189"/>
      <c r="J136" s="185"/>
      <c r="K136" s="185"/>
      <c r="L136" s="185"/>
      <c r="M136" s="185"/>
      <c r="N136" s="185"/>
      <c r="O136" s="185"/>
      <c r="P136" s="185"/>
      <c r="Q136" s="185"/>
      <c r="R136" s="185"/>
      <c r="S136" s="185"/>
      <c r="T136" s="185"/>
    </row>
    <row r="137" ht="14.25" customHeight="1">
      <c r="A137" s="185"/>
      <c r="B137" s="185"/>
      <c r="C137" s="185"/>
      <c r="D137" s="185"/>
      <c r="E137" s="185"/>
      <c r="F137" s="185"/>
      <c r="G137" s="185"/>
      <c r="H137" s="185"/>
      <c r="I137" s="189"/>
      <c r="J137" s="185"/>
      <c r="K137" s="185"/>
      <c r="L137" s="185"/>
      <c r="M137" s="185"/>
      <c r="N137" s="185"/>
      <c r="O137" s="185"/>
      <c r="P137" s="185"/>
      <c r="Q137" s="185"/>
      <c r="R137" s="185"/>
      <c r="S137" s="185"/>
      <c r="T137" s="185"/>
    </row>
    <row r="138" ht="14.25" customHeight="1">
      <c r="A138" s="185"/>
      <c r="B138" s="185"/>
      <c r="C138" s="185"/>
      <c r="D138" s="185"/>
      <c r="E138" s="185"/>
      <c r="F138" s="185"/>
      <c r="G138" s="185"/>
      <c r="H138" s="185"/>
      <c r="I138" s="189"/>
      <c r="J138" s="185"/>
      <c r="K138" s="185"/>
      <c r="L138" s="185"/>
      <c r="M138" s="185"/>
      <c r="N138" s="185"/>
      <c r="O138" s="185"/>
      <c r="P138" s="185"/>
      <c r="Q138" s="185"/>
      <c r="R138" s="185"/>
      <c r="S138" s="185"/>
      <c r="T138" s="185"/>
    </row>
    <row r="139" ht="14.25" customHeight="1">
      <c r="A139" s="185"/>
      <c r="B139" s="185"/>
      <c r="C139" s="185"/>
      <c r="D139" s="185"/>
      <c r="E139" s="185"/>
      <c r="F139" s="185"/>
      <c r="G139" s="185"/>
      <c r="H139" s="185"/>
      <c r="I139" s="189"/>
      <c r="J139" s="185"/>
      <c r="K139" s="185"/>
      <c r="L139" s="185"/>
      <c r="M139" s="185"/>
      <c r="N139" s="185"/>
      <c r="O139" s="185"/>
      <c r="P139" s="185"/>
      <c r="Q139" s="185"/>
      <c r="R139" s="185"/>
      <c r="S139" s="185"/>
      <c r="T139" s="185"/>
    </row>
    <row r="140" ht="14.25" customHeight="1">
      <c r="A140" s="185"/>
      <c r="B140" s="185"/>
      <c r="C140" s="185"/>
      <c r="D140" s="185"/>
      <c r="E140" s="185"/>
      <c r="F140" s="185"/>
      <c r="G140" s="185"/>
      <c r="H140" s="185"/>
      <c r="I140" s="189"/>
      <c r="J140" s="185"/>
      <c r="K140" s="185"/>
      <c r="L140" s="185"/>
      <c r="M140" s="185"/>
      <c r="N140" s="185"/>
      <c r="O140" s="185"/>
      <c r="P140" s="185"/>
      <c r="Q140" s="185"/>
      <c r="R140" s="185"/>
      <c r="S140" s="185"/>
      <c r="T140" s="185"/>
    </row>
    <row r="141" ht="14.25" customHeight="1">
      <c r="A141" s="185"/>
      <c r="B141" s="185"/>
      <c r="C141" s="185"/>
      <c r="D141" s="185"/>
      <c r="E141" s="185"/>
      <c r="F141" s="185"/>
      <c r="G141" s="185"/>
      <c r="H141" s="185"/>
      <c r="I141" s="189"/>
      <c r="J141" s="185"/>
      <c r="K141" s="185"/>
      <c r="L141" s="185"/>
      <c r="M141" s="185"/>
      <c r="N141" s="185"/>
      <c r="O141" s="185"/>
      <c r="P141" s="185"/>
      <c r="Q141" s="185"/>
      <c r="R141" s="185"/>
      <c r="S141" s="185"/>
      <c r="T141" s="185"/>
    </row>
    <row r="142" ht="14.25" customHeight="1">
      <c r="A142" s="185"/>
      <c r="B142" s="185"/>
      <c r="C142" s="185"/>
      <c r="D142" s="185"/>
      <c r="E142" s="185"/>
      <c r="F142" s="185"/>
      <c r="G142" s="185"/>
      <c r="H142" s="185"/>
      <c r="I142" s="189"/>
      <c r="J142" s="185"/>
      <c r="K142" s="185"/>
      <c r="L142" s="185"/>
      <c r="M142" s="185"/>
      <c r="N142" s="185"/>
      <c r="O142" s="185"/>
      <c r="P142" s="185"/>
      <c r="Q142" s="185"/>
      <c r="R142" s="185"/>
      <c r="S142" s="185"/>
      <c r="T142" s="185"/>
    </row>
    <row r="143" ht="14.25" customHeight="1">
      <c r="A143" s="185"/>
      <c r="B143" s="185"/>
      <c r="C143" s="185"/>
      <c r="D143" s="185"/>
      <c r="E143" s="185"/>
      <c r="F143" s="185"/>
      <c r="G143" s="185"/>
      <c r="H143" s="185"/>
      <c r="I143" s="189"/>
      <c r="J143" s="185"/>
      <c r="K143" s="185"/>
      <c r="L143" s="185"/>
      <c r="M143" s="185"/>
      <c r="N143" s="185"/>
      <c r="O143" s="185"/>
      <c r="P143" s="185"/>
      <c r="Q143" s="185"/>
      <c r="R143" s="185"/>
      <c r="S143" s="185"/>
      <c r="T143" s="185"/>
    </row>
    <row r="144" ht="14.25" customHeight="1">
      <c r="A144" s="185"/>
      <c r="B144" s="185"/>
      <c r="C144" s="185"/>
      <c r="D144" s="185"/>
      <c r="E144" s="185"/>
      <c r="F144" s="185"/>
      <c r="G144" s="185"/>
      <c r="H144" s="185"/>
      <c r="I144" s="189"/>
      <c r="J144" s="185"/>
      <c r="K144" s="185"/>
      <c r="L144" s="185"/>
      <c r="M144" s="185"/>
      <c r="N144" s="185"/>
      <c r="O144" s="185"/>
      <c r="P144" s="185"/>
      <c r="Q144" s="185"/>
      <c r="R144" s="185"/>
      <c r="S144" s="185"/>
      <c r="T144" s="185"/>
    </row>
    <row r="145" ht="14.25" customHeight="1">
      <c r="A145" s="185"/>
      <c r="B145" s="185"/>
      <c r="C145" s="185"/>
      <c r="D145" s="185"/>
      <c r="E145" s="185"/>
      <c r="F145" s="185"/>
      <c r="G145" s="185"/>
      <c r="H145" s="185"/>
      <c r="I145" s="189"/>
      <c r="J145" s="185"/>
      <c r="K145" s="185"/>
      <c r="L145" s="185"/>
      <c r="M145" s="185"/>
      <c r="N145" s="185"/>
      <c r="O145" s="185"/>
      <c r="P145" s="185"/>
      <c r="Q145" s="185"/>
      <c r="R145" s="185"/>
      <c r="S145" s="185"/>
      <c r="T145" s="185"/>
    </row>
    <row r="146" ht="14.25" customHeight="1">
      <c r="A146" s="185"/>
      <c r="B146" s="185"/>
      <c r="C146" s="185"/>
      <c r="D146" s="185"/>
      <c r="E146" s="185"/>
      <c r="F146" s="185"/>
      <c r="G146" s="185"/>
      <c r="H146" s="185"/>
      <c r="I146" s="189"/>
      <c r="J146" s="185"/>
      <c r="K146" s="185"/>
      <c r="L146" s="185"/>
      <c r="M146" s="185"/>
      <c r="N146" s="185"/>
      <c r="O146" s="185"/>
      <c r="P146" s="185"/>
      <c r="Q146" s="185"/>
      <c r="R146" s="185"/>
      <c r="S146" s="185"/>
      <c r="T146" s="185"/>
    </row>
    <row r="147" ht="14.25" customHeight="1">
      <c r="A147" s="185"/>
      <c r="B147" s="185"/>
      <c r="C147" s="185"/>
      <c r="D147" s="185"/>
      <c r="E147" s="185"/>
      <c r="F147" s="185"/>
      <c r="G147" s="185"/>
      <c r="H147" s="185"/>
      <c r="I147" s="189"/>
      <c r="J147" s="185"/>
      <c r="K147" s="185"/>
      <c r="L147" s="185"/>
      <c r="M147" s="185"/>
      <c r="N147" s="185"/>
      <c r="O147" s="185"/>
      <c r="P147" s="185"/>
      <c r="Q147" s="185"/>
      <c r="R147" s="185"/>
      <c r="S147" s="185"/>
      <c r="T147" s="185"/>
    </row>
    <row r="148" ht="14.25" customHeight="1">
      <c r="A148" s="185"/>
      <c r="B148" s="185"/>
      <c r="C148" s="185"/>
      <c r="D148" s="185"/>
      <c r="E148" s="185"/>
      <c r="F148" s="185"/>
      <c r="G148" s="185"/>
      <c r="H148" s="185"/>
      <c r="I148" s="189"/>
      <c r="J148" s="185"/>
      <c r="K148" s="185"/>
      <c r="L148" s="185"/>
      <c r="M148" s="185"/>
      <c r="N148" s="185"/>
      <c r="O148" s="185"/>
      <c r="P148" s="185"/>
      <c r="Q148" s="185"/>
      <c r="R148" s="185"/>
      <c r="S148" s="185"/>
      <c r="T148" s="185"/>
    </row>
    <row r="149" ht="14.25" customHeight="1">
      <c r="A149" s="185"/>
      <c r="B149" s="185"/>
      <c r="C149" s="185"/>
      <c r="D149" s="185"/>
      <c r="E149" s="185"/>
      <c r="F149" s="185"/>
      <c r="G149" s="185"/>
      <c r="H149" s="185"/>
      <c r="I149" s="189"/>
      <c r="J149" s="185"/>
      <c r="K149" s="185"/>
      <c r="L149" s="185"/>
      <c r="M149" s="185"/>
      <c r="N149" s="185"/>
      <c r="O149" s="185"/>
      <c r="P149" s="185"/>
      <c r="Q149" s="185"/>
      <c r="R149" s="185"/>
      <c r="S149" s="185"/>
      <c r="T149" s="185"/>
    </row>
    <row r="150" ht="14.25" customHeight="1">
      <c r="A150" s="185"/>
      <c r="B150" s="185"/>
      <c r="C150" s="185"/>
      <c r="D150" s="185"/>
      <c r="E150" s="185"/>
      <c r="F150" s="185"/>
      <c r="G150" s="185"/>
      <c r="H150" s="185"/>
      <c r="I150" s="189"/>
      <c r="J150" s="185"/>
      <c r="K150" s="185"/>
      <c r="L150" s="185"/>
      <c r="M150" s="185"/>
      <c r="N150" s="185"/>
      <c r="O150" s="185"/>
      <c r="P150" s="185"/>
      <c r="Q150" s="185"/>
      <c r="R150" s="185"/>
      <c r="S150" s="185"/>
      <c r="T150" s="185"/>
    </row>
    <row r="151" ht="14.25" customHeight="1">
      <c r="I151" s="216"/>
    </row>
    <row r="152" ht="14.25" customHeight="1">
      <c r="I152" s="216"/>
    </row>
    <row r="153" ht="14.25" customHeight="1">
      <c r="I153" s="216"/>
    </row>
    <row r="154" ht="14.25" customHeight="1">
      <c r="I154" s="216"/>
    </row>
    <row r="155" ht="14.25" customHeight="1">
      <c r="I155" s="216"/>
    </row>
    <row r="156" ht="14.25" customHeight="1">
      <c r="I156" s="216"/>
    </row>
    <row r="157" ht="14.25" customHeight="1">
      <c r="I157" s="216"/>
    </row>
    <row r="158" ht="14.25" customHeight="1">
      <c r="I158" s="216"/>
    </row>
    <row r="159" ht="14.25" customHeight="1">
      <c r="I159" s="216"/>
    </row>
    <row r="160" ht="14.25" customHeight="1">
      <c r="I160" s="216"/>
    </row>
    <row r="161" ht="14.25" customHeight="1">
      <c r="I161" s="216"/>
    </row>
    <row r="162" ht="14.25" customHeight="1">
      <c r="I162" s="216"/>
    </row>
    <row r="163" ht="14.25" customHeight="1">
      <c r="I163" s="216"/>
    </row>
    <row r="164" ht="14.25" customHeight="1">
      <c r="I164" s="216"/>
    </row>
    <row r="165" ht="14.25" customHeight="1">
      <c r="I165" s="216"/>
    </row>
    <row r="166" ht="14.25" customHeight="1">
      <c r="I166" s="216"/>
    </row>
    <row r="167" ht="14.25" customHeight="1">
      <c r="I167" s="216"/>
    </row>
    <row r="168" ht="14.25" customHeight="1">
      <c r="I168" s="216"/>
    </row>
    <row r="169" ht="14.25" customHeight="1">
      <c r="I169" s="216"/>
    </row>
    <row r="170" ht="14.25" customHeight="1">
      <c r="I170" s="216"/>
    </row>
    <row r="171" ht="14.25" customHeight="1">
      <c r="I171" s="216"/>
    </row>
    <row r="172" ht="14.25" customHeight="1">
      <c r="I172" s="216"/>
    </row>
    <row r="173" ht="14.25" customHeight="1">
      <c r="I173" s="216"/>
    </row>
    <row r="174" ht="14.25" customHeight="1">
      <c r="I174" s="216"/>
    </row>
    <row r="175" ht="14.25" customHeight="1">
      <c r="I175" s="216"/>
    </row>
    <row r="176" ht="14.25" customHeight="1">
      <c r="I176" s="216"/>
    </row>
    <row r="177" ht="14.25" customHeight="1">
      <c r="I177" s="216"/>
    </row>
    <row r="178" ht="14.25" customHeight="1">
      <c r="I178" s="216"/>
    </row>
    <row r="179" ht="14.25" customHeight="1">
      <c r="I179" s="216"/>
    </row>
    <row r="180" ht="14.25" customHeight="1">
      <c r="I180" s="216"/>
    </row>
    <row r="181" ht="14.25" customHeight="1">
      <c r="I181" s="216"/>
    </row>
    <row r="182" ht="14.25" customHeight="1">
      <c r="I182" s="216"/>
    </row>
    <row r="183" ht="14.25" customHeight="1">
      <c r="I183" s="216"/>
    </row>
    <row r="184" ht="14.25" customHeight="1">
      <c r="I184" s="216"/>
    </row>
    <row r="185" ht="14.25" customHeight="1">
      <c r="I185" s="216"/>
    </row>
    <row r="186" ht="14.25" customHeight="1">
      <c r="I186" s="216"/>
    </row>
    <row r="187" ht="14.25" customHeight="1">
      <c r="I187" s="216"/>
    </row>
    <row r="188" ht="14.25" customHeight="1">
      <c r="I188" s="216"/>
    </row>
    <row r="189" ht="14.25" customHeight="1">
      <c r="I189" s="216"/>
    </row>
    <row r="190" ht="14.25" customHeight="1">
      <c r="I190" s="216"/>
    </row>
    <row r="191" ht="14.25" customHeight="1">
      <c r="I191" s="216"/>
    </row>
    <row r="192" ht="14.25" customHeight="1">
      <c r="I192" s="216"/>
    </row>
    <row r="193" ht="14.25" customHeight="1">
      <c r="I193" s="216"/>
    </row>
    <row r="194" ht="14.25" customHeight="1">
      <c r="I194" s="216"/>
    </row>
    <row r="195" ht="14.25" customHeight="1">
      <c r="I195" s="216"/>
    </row>
    <row r="196" ht="14.25" customHeight="1">
      <c r="I196" s="216"/>
    </row>
    <row r="197" ht="14.25" customHeight="1">
      <c r="I197" s="216"/>
    </row>
    <row r="198" ht="14.25" customHeight="1">
      <c r="I198" s="216"/>
    </row>
    <row r="199" ht="14.25" customHeight="1">
      <c r="I199" s="216"/>
    </row>
    <row r="200" ht="14.25" customHeight="1">
      <c r="I200" s="216"/>
    </row>
    <row r="201" ht="14.25" customHeight="1">
      <c r="I201" s="216"/>
    </row>
    <row r="202" ht="14.25" customHeight="1">
      <c r="I202" s="216"/>
    </row>
    <row r="203" ht="14.25" customHeight="1">
      <c r="I203" s="216"/>
    </row>
    <row r="204" ht="14.25" customHeight="1">
      <c r="I204" s="216"/>
    </row>
    <row r="205" ht="14.25" customHeight="1">
      <c r="I205" s="216"/>
    </row>
    <row r="206" ht="14.25" customHeight="1">
      <c r="I206" s="216"/>
    </row>
    <row r="207" ht="14.25" customHeight="1">
      <c r="I207" s="216"/>
    </row>
    <row r="208" ht="14.25" customHeight="1">
      <c r="I208" s="216"/>
    </row>
    <row r="209" ht="14.25" customHeight="1">
      <c r="I209" s="216"/>
    </row>
    <row r="210" ht="14.25" customHeight="1">
      <c r="I210" s="216"/>
    </row>
    <row r="211" ht="14.25" customHeight="1">
      <c r="I211" s="216"/>
    </row>
    <row r="212" ht="14.25" customHeight="1">
      <c r="I212" s="216"/>
    </row>
    <row r="213" ht="14.25" customHeight="1">
      <c r="I213" s="216"/>
    </row>
    <row r="214" ht="14.25" customHeight="1">
      <c r="I214" s="216"/>
    </row>
    <row r="215" ht="14.25" customHeight="1">
      <c r="I215" s="216"/>
    </row>
    <row r="216" ht="14.25" customHeight="1">
      <c r="I216" s="216"/>
    </row>
    <row r="217" ht="14.25" customHeight="1">
      <c r="I217" s="216"/>
    </row>
    <row r="218" ht="14.25" customHeight="1">
      <c r="I218" s="216"/>
    </row>
    <row r="219" ht="14.25" customHeight="1">
      <c r="I219" s="216"/>
    </row>
    <row r="220" ht="14.25" customHeight="1">
      <c r="I220" s="216"/>
    </row>
    <row r="221" ht="14.25" customHeight="1">
      <c r="I221" s="216"/>
    </row>
    <row r="222" ht="14.25" customHeight="1">
      <c r="I222" s="216"/>
    </row>
    <row r="223" ht="14.25" customHeight="1">
      <c r="I223" s="216"/>
    </row>
    <row r="224" ht="14.25" customHeight="1">
      <c r="I224" s="216"/>
    </row>
    <row r="225" ht="14.25" customHeight="1">
      <c r="I225" s="216"/>
    </row>
    <row r="226" ht="14.25" customHeight="1">
      <c r="I226" s="216"/>
    </row>
    <row r="227" ht="14.25" customHeight="1">
      <c r="I227" s="216"/>
    </row>
    <row r="228" ht="14.25" customHeight="1">
      <c r="I228" s="216"/>
    </row>
    <row r="229" ht="14.25" customHeight="1">
      <c r="I229" s="216"/>
    </row>
    <row r="230" ht="14.25" customHeight="1">
      <c r="I230" s="216"/>
    </row>
    <row r="231" ht="14.25" customHeight="1">
      <c r="I231" s="216"/>
    </row>
    <row r="232" ht="14.25" customHeight="1">
      <c r="I232" s="216"/>
    </row>
    <row r="233" ht="14.25" customHeight="1">
      <c r="I233" s="216"/>
    </row>
    <row r="234" ht="14.25" customHeight="1">
      <c r="I234" s="216"/>
    </row>
    <row r="235" ht="14.25" customHeight="1">
      <c r="I235" s="216"/>
    </row>
    <row r="236" ht="14.25" customHeight="1">
      <c r="I236" s="216"/>
    </row>
    <row r="237" ht="14.25" customHeight="1">
      <c r="I237" s="216"/>
    </row>
    <row r="238" ht="14.25" customHeight="1">
      <c r="I238" s="216"/>
    </row>
    <row r="239" ht="14.25" customHeight="1">
      <c r="I239" s="216"/>
    </row>
    <row r="240" ht="14.25" customHeight="1">
      <c r="I240" s="216"/>
    </row>
    <row r="241" ht="14.25" customHeight="1">
      <c r="I241" s="216"/>
    </row>
    <row r="242" ht="14.25" customHeight="1">
      <c r="I242" s="216"/>
    </row>
    <row r="243" ht="14.25" customHeight="1">
      <c r="I243" s="216"/>
    </row>
    <row r="244" ht="14.25" customHeight="1">
      <c r="I244" s="216"/>
    </row>
    <row r="245" ht="14.25" customHeight="1">
      <c r="I245" s="216"/>
    </row>
    <row r="246" ht="14.25" customHeight="1">
      <c r="I246" s="216"/>
    </row>
    <row r="247" ht="14.25" customHeight="1">
      <c r="I247" s="216"/>
    </row>
    <row r="248" ht="14.25" customHeight="1">
      <c r="I248" s="216"/>
    </row>
    <row r="249" ht="14.25" customHeight="1">
      <c r="I249" s="216"/>
    </row>
    <row r="250" ht="14.25" customHeight="1">
      <c r="I250" s="216"/>
    </row>
    <row r="251" ht="14.25" customHeight="1">
      <c r="I251" s="216"/>
    </row>
    <row r="252" ht="14.25" customHeight="1">
      <c r="I252" s="216"/>
    </row>
    <row r="253" ht="14.25" customHeight="1">
      <c r="I253" s="216"/>
    </row>
    <row r="254" ht="14.25" customHeight="1">
      <c r="I254" s="216"/>
    </row>
    <row r="255" ht="14.25" customHeight="1">
      <c r="I255" s="216"/>
    </row>
    <row r="256" ht="14.25" customHeight="1">
      <c r="I256" s="216"/>
    </row>
    <row r="257" ht="14.25" customHeight="1">
      <c r="I257" s="216"/>
    </row>
    <row r="258" ht="14.25" customHeight="1">
      <c r="I258" s="216"/>
    </row>
    <row r="259" ht="14.25" customHeight="1">
      <c r="I259" s="216"/>
    </row>
    <row r="260" ht="14.25" customHeight="1">
      <c r="I260" s="216"/>
    </row>
    <row r="261" ht="14.25" customHeight="1">
      <c r="I261" s="216"/>
    </row>
    <row r="262" ht="14.25" customHeight="1">
      <c r="I262" s="216"/>
    </row>
    <row r="263" ht="14.25" customHeight="1">
      <c r="I263" s="216"/>
    </row>
    <row r="264" ht="14.25" customHeight="1">
      <c r="I264" s="216"/>
    </row>
    <row r="265" ht="14.25" customHeight="1">
      <c r="I265" s="216"/>
    </row>
    <row r="266" ht="14.25" customHeight="1">
      <c r="I266" s="216"/>
    </row>
    <row r="267" ht="14.25" customHeight="1">
      <c r="I267" s="216"/>
    </row>
    <row r="268" ht="14.25" customHeight="1">
      <c r="I268" s="216"/>
    </row>
    <row r="269" ht="14.25" customHeight="1">
      <c r="I269" s="216"/>
    </row>
    <row r="270" ht="14.25" customHeight="1">
      <c r="I270" s="216"/>
    </row>
    <row r="271" ht="14.25" customHeight="1">
      <c r="I271" s="216"/>
    </row>
    <row r="272" ht="14.25" customHeight="1">
      <c r="I272" s="216"/>
    </row>
    <row r="273" ht="14.25" customHeight="1">
      <c r="I273" s="216"/>
    </row>
    <row r="274" ht="14.25" customHeight="1">
      <c r="I274" s="216"/>
    </row>
    <row r="275" ht="14.25" customHeight="1">
      <c r="I275" s="216"/>
    </row>
    <row r="276" ht="14.25" customHeight="1">
      <c r="I276" s="216"/>
    </row>
    <row r="277" ht="14.25" customHeight="1">
      <c r="I277" s="216"/>
    </row>
    <row r="278" ht="14.25" customHeight="1">
      <c r="I278" s="216"/>
    </row>
    <row r="279" ht="14.25" customHeight="1">
      <c r="I279" s="216"/>
    </row>
    <row r="280" ht="14.25" customHeight="1">
      <c r="I280" s="216"/>
    </row>
    <row r="281" ht="14.25" customHeight="1">
      <c r="I281" s="216"/>
    </row>
    <row r="282" ht="14.25" customHeight="1">
      <c r="I282" s="216"/>
    </row>
    <row r="283" ht="14.25" customHeight="1">
      <c r="I283" s="216"/>
    </row>
    <row r="284" ht="14.25" customHeight="1">
      <c r="I284" s="216"/>
    </row>
    <row r="285" ht="14.25" customHeight="1">
      <c r="I285" s="216"/>
    </row>
    <row r="286" ht="14.25" customHeight="1">
      <c r="I286" s="216"/>
    </row>
    <row r="287" ht="14.25" customHeight="1">
      <c r="I287" s="216"/>
    </row>
    <row r="288" ht="14.25" customHeight="1">
      <c r="I288" s="216"/>
    </row>
    <row r="289" ht="14.25" customHeight="1">
      <c r="I289" s="216"/>
    </row>
    <row r="290" ht="14.25" customHeight="1">
      <c r="I290" s="216"/>
    </row>
    <row r="291" ht="14.25" customHeight="1">
      <c r="I291" s="216"/>
    </row>
    <row r="292" ht="14.25" customHeight="1">
      <c r="I292" s="216"/>
    </row>
    <row r="293" ht="14.25" customHeight="1">
      <c r="I293" s="216"/>
    </row>
    <row r="294" ht="14.25" customHeight="1">
      <c r="I294" s="216"/>
    </row>
    <row r="295" ht="14.25" customHeight="1">
      <c r="I295" s="216"/>
    </row>
    <row r="296" ht="14.25" customHeight="1">
      <c r="I296" s="216"/>
    </row>
    <row r="297" ht="14.25" customHeight="1">
      <c r="I297" s="216"/>
    </row>
    <row r="298" ht="14.25" customHeight="1">
      <c r="I298" s="216"/>
    </row>
    <row r="299" ht="14.25" customHeight="1">
      <c r="I299" s="216"/>
    </row>
    <row r="300" ht="14.25" customHeight="1">
      <c r="I300" s="216"/>
    </row>
    <row r="301" ht="14.25" customHeight="1">
      <c r="I301" s="216"/>
    </row>
    <row r="302" ht="14.25" customHeight="1">
      <c r="I302" s="216"/>
    </row>
    <row r="303" ht="14.25" customHeight="1">
      <c r="I303" s="216"/>
    </row>
    <row r="304" ht="14.25" customHeight="1">
      <c r="I304" s="216"/>
    </row>
    <row r="305" ht="14.25" customHeight="1">
      <c r="I305" s="216"/>
    </row>
    <row r="306" ht="14.25" customHeight="1">
      <c r="I306" s="216"/>
    </row>
    <row r="307" ht="14.25" customHeight="1">
      <c r="I307" s="216"/>
    </row>
    <row r="308" ht="14.25" customHeight="1">
      <c r="I308" s="216"/>
    </row>
    <row r="309" ht="14.25" customHeight="1">
      <c r="I309" s="216"/>
    </row>
    <row r="310" ht="14.25" customHeight="1">
      <c r="I310" s="216"/>
    </row>
    <row r="311" ht="14.25" customHeight="1">
      <c r="I311" s="216"/>
    </row>
    <row r="312" ht="14.25" customHeight="1">
      <c r="I312" s="216"/>
    </row>
    <row r="313" ht="14.25" customHeight="1">
      <c r="I313" s="216"/>
    </row>
    <row r="314" ht="14.25" customHeight="1">
      <c r="I314" s="216"/>
    </row>
    <row r="315" ht="14.25" customHeight="1">
      <c r="I315" s="216"/>
    </row>
    <row r="316" ht="14.25" customHeight="1">
      <c r="I316" s="216"/>
    </row>
    <row r="317" ht="14.25" customHeight="1">
      <c r="I317" s="216"/>
    </row>
    <row r="318" ht="14.25" customHeight="1">
      <c r="I318" s="216"/>
    </row>
    <row r="319" ht="14.25" customHeight="1">
      <c r="I319" s="216"/>
    </row>
    <row r="320" ht="14.25" customHeight="1">
      <c r="I320" s="216"/>
    </row>
    <row r="321" ht="14.25" customHeight="1">
      <c r="I321" s="216"/>
    </row>
    <row r="322" ht="14.25" customHeight="1">
      <c r="I322" s="216"/>
    </row>
    <row r="323" ht="14.25" customHeight="1">
      <c r="I323" s="216"/>
    </row>
    <row r="324" ht="14.25" customHeight="1">
      <c r="I324" s="216"/>
    </row>
    <row r="325" ht="14.25" customHeight="1">
      <c r="I325" s="216"/>
    </row>
    <row r="326" ht="14.25" customHeight="1">
      <c r="I326" s="216"/>
    </row>
    <row r="327" ht="14.25" customHeight="1">
      <c r="I327" s="216"/>
    </row>
    <row r="328" ht="14.25" customHeight="1">
      <c r="I328" s="216"/>
    </row>
    <row r="329" ht="14.25" customHeight="1">
      <c r="I329" s="216"/>
    </row>
    <row r="330" ht="14.25" customHeight="1">
      <c r="I330" s="216"/>
    </row>
    <row r="331" ht="14.25" customHeight="1">
      <c r="I331" s="216"/>
    </row>
    <row r="332" ht="14.25" customHeight="1">
      <c r="I332" s="216"/>
    </row>
    <row r="333" ht="14.25" customHeight="1">
      <c r="I333" s="216"/>
    </row>
    <row r="334" ht="14.25" customHeight="1">
      <c r="I334" s="216"/>
    </row>
    <row r="335" ht="14.25" customHeight="1">
      <c r="I335" s="216"/>
    </row>
    <row r="336" ht="14.25" customHeight="1">
      <c r="I336" s="216"/>
    </row>
    <row r="337" ht="14.25" customHeight="1">
      <c r="I337" s="216"/>
    </row>
    <row r="338" ht="14.25" customHeight="1">
      <c r="I338" s="216"/>
    </row>
    <row r="339" ht="14.25" customHeight="1">
      <c r="I339" s="216"/>
    </row>
    <row r="340" ht="14.25" customHeight="1">
      <c r="I340" s="216"/>
    </row>
    <row r="341" ht="14.25" customHeight="1">
      <c r="I341" s="216"/>
    </row>
    <row r="342" ht="14.25" customHeight="1">
      <c r="I342" s="216"/>
    </row>
    <row r="343" ht="14.25" customHeight="1">
      <c r="I343" s="216"/>
    </row>
    <row r="344" ht="14.25" customHeight="1">
      <c r="I344" s="216"/>
    </row>
    <row r="345" ht="14.25" customHeight="1">
      <c r="I345" s="216"/>
    </row>
    <row r="346" ht="14.25" customHeight="1">
      <c r="I346" s="216"/>
    </row>
    <row r="347" ht="14.25" customHeight="1">
      <c r="I347" s="216"/>
    </row>
    <row r="348" ht="14.25" customHeight="1">
      <c r="I348" s="216"/>
    </row>
    <row r="349" ht="14.25" customHeight="1">
      <c r="I349" s="216"/>
    </row>
    <row r="350" ht="14.25" customHeight="1">
      <c r="I350" s="216"/>
    </row>
    <row r="351" ht="14.25" customHeight="1">
      <c r="I351" s="216"/>
    </row>
    <row r="352" ht="14.25" customHeight="1">
      <c r="I352" s="216"/>
    </row>
    <row r="353" ht="14.25" customHeight="1">
      <c r="I353" s="216"/>
    </row>
    <row r="354" ht="14.25" customHeight="1">
      <c r="I354" s="216"/>
    </row>
    <row r="355" ht="14.25" customHeight="1">
      <c r="I355" s="216"/>
    </row>
    <row r="356" ht="14.25" customHeight="1">
      <c r="I356" s="216"/>
    </row>
    <row r="357" ht="14.25" customHeight="1">
      <c r="I357" s="216"/>
    </row>
    <row r="358" ht="14.25" customHeight="1">
      <c r="I358" s="216"/>
    </row>
    <row r="359" ht="14.25" customHeight="1">
      <c r="I359" s="216"/>
    </row>
    <row r="360" ht="14.25" customHeight="1">
      <c r="I360" s="216"/>
    </row>
    <row r="361" ht="14.25" customHeight="1">
      <c r="I361" s="216"/>
    </row>
    <row r="362" ht="14.25" customHeight="1">
      <c r="I362" s="216"/>
    </row>
    <row r="363" ht="14.25" customHeight="1">
      <c r="I363" s="216"/>
    </row>
    <row r="364" ht="14.25" customHeight="1">
      <c r="I364" s="216"/>
    </row>
    <row r="365" ht="14.25" customHeight="1">
      <c r="I365" s="216"/>
    </row>
    <row r="366" ht="14.25" customHeight="1">
      <c r="I366" s="216"/>
    </row>
    <row r="367" ht="14.25" customHeight="1">
      <c r="I367" s="216"/>
    </row>
    <row r="368" ht="14.25" customHeight="1">
      <c r="I368" s="216"/>
    </row>
    <row r="369" ht="14.25" customHeight="1">
      <c r="I369" s="216"/>
    </row>
    <row r="370" ht="14.25" customHeight="1">
      <c r="I370" s="216"/>
    </row>
    <row r="371" ht="14.25" customHeight="1">
      <c r="I371" s="216"/>
    </row>
    <row r="372" ht="14.25" customHeight="1">
      <c r="I372" s="216"/>
    </row>
    <row r="373" ht="14.25" customHeight="1">
      <c r="I373" s="216"/>
    </row>
    <row r="374" ht="14.25" customHeight="1">
      <c r="I374" s="216"/>
    </row>
    <row r="375" ht="14.25" customHeight="1">
      <c r="I375" s="216"/>
    </row>
    <row r="376" ht="14.25" customHeight="1">
      <c r="I376" s="216"/>
    </row>
    <row r="377" ht="14.25" customHeight="1">
      <c r="I377" s="216"/>
    </row>
    <row r="378" ht="14.25" customHeight="1">
      <c r="I378" s="216"/>
    </row>
    <row r="379" ht="14.25" customHeight="1">
      <c r="I379" s="216"/>
    </row>
    <row r="380" ht="14.25" customHeight="1">
      <c r="I380" s="216"/>
    </row>
    <row r="381" ht="14.25" customHeight="1">
      <c r="I381" s="216"/>
    </row>
    <row r="382" ht="14.25" customHeight="1">
      <c r="I382" s="216"/>
    </row>
    <row r="383" ht="14.25" customHeight="1">
      <c r="I383" s="216"/>
    </row>
    <row r="384" ht="14.25" customHeight="1">
      <c r="I384" s="216"/>
    </row>
    <row r="385" ht="14.25" customHeight="1">
      <c r="I385" s="216"/>
    </row>
    <row r="386" ht="14.25" customHeight="1">
      <c r="I386" s="216"/>
    </row>
    <row r="387" ht="14.25" customHeight="1">
      <c r="I387" s="216"/>
    </row>
    <row r="388" ht="14.25" customHeight="1">
      <c r="I388" s="216"/>
    </row>
    <row r="389" ht="14.25" customHeight="1">
      <c r="I389" s="216"/>
    </row>
    <row r="390" ht="14.25" customHeight="1">
      <c r="I390" s="216"/>
    </row>
    <row r="391" ht="14.25" customHeight="1">
      <c r="I391" s="216"/>
    </row>
    <row r="392" ht="14.25" customHeight="1">
      <c r="I392" s="216"/>
    </row>
    <row r="393" ht="14.25" customHeight="1">
      <c r="I393" s="216"/>
    </row>
    <row r="394" ht="14.25" customHeight="1">
      <c r="I394" s="216"/>
    </row>
    <row r="395" ht="14.25" customHeight="1">
      <c r="I395" s="216"/>
    </row>
    <row r="396" ht="14.25" customHeight="1">
      <c r="I396" s="216"/>
    </row>
    <row r="397" ht="14.25" customHeight="1">
      <c r="I397" s="216"/>
    </row>
    <row r="398" ht="14.25" customHeight="1">
      <c r="I398" s="216"/>
    </row>
    <row r="399" ht="14.25" customHeight="1">
      <c r="I399" s="216"/>
    </row>
    <row r="400" ht="14.25" customHeight="1">
      <c r="I400" s="216"/>
    </row>
    <row r="401" ht="14.25" customHeight="1">
      <c r="I401" s="216"/>
    </row>
    <row r="402" ht="14.25" customHeight="1">
      <c r="I402" s="216"/>
    </row>
    <row r="403" ht="14.25" customHeight="1">
      <c r="I403" s="216"/>
    </row>
    <row r="404" ht="14.25" customHeight="1">
      <c r="I404" s="216"/>
    </row>
    <row r="405" ht="14.25" customHeight="1">
      <c r="I405" s="216"/>
    </row>
    <row r="406" ht="14.25" customHeight="1">
      <c r="I406" s="216"/>
    </row>
    <row r="407" ht="14.25" customHeight="1">
      <c r="I407" s="216"/>
    </row>
    <row r="408" ht="14.25" customHeight="1">
      <c r="I408" s="216"/>
    </row>
    <row r="409" ht="14.25" customHeight="1">
      <c r="I409" s="216"/>
    </row>
    <row r="410" ht="14.25" customHeight="1">
      <c r="I410" s="216"/>
    </row>
    <row r="411" ht="14.25" customHeight="1">
      <c r="I411" s="216"/>
    </row>
    <row r="412" ht="14.25" customHeight="1">
      <c r="I412" s="216"/>
    </row>
    <row r="413" ht="14.25" customHeight="1">
      <c r="I413" s="216"/>
    </row>
    <row r="414" ht="14.25" customHeight="1">
      <c r="I414" s="216"/>
    </row>
    <row r="415" ht="14.25" customHeight="1">
      <c r="I415" s="216"/>
    </row>
    <row r="416" ht="14.25" customHeight="1">
      <c r="I416" s="216"/>
    </row>
    <row r="417" ht="14.25" customHeight="1">
      <c r="I417" s="216"/>
    </row>
    <row r="418" ht="14.25" customHeight="1">
      <c r="I418" s="216"/>
    </row>
    <row r="419" ht="14.25" customHeight="1">
      <c r="I419" s="216"/>
    </row>
    <row r="420" ht="14.25" customHeight="1">
      <c r="I420" s="216"/>
    </row>
    <row r="421" ht="14.25" customHeight="1">
      <c r="I421" s="216"/>
    </row>
    <row r="422" ht="14.25" customHeight="1">
      <c r="I422" s="216"/>
    </row>
    <row r="423" ht="14.25" customHeight="1">
      <c r="I423" s="216"/>
    </row>
    <row r="424" ht="14.25" customHeight="1">
      <c r="I424" s="216"/>
    </row>
    <row r="425" ht="14.25" customHeight="1">
      <c r="I425" s="216"/>
    </row>
    <row r="426" ht="14.25" customHeight="1">
      <c r="I426" s="216"/>
    </row>
    <row r="427" ht="14.25" customHeight="1">
      <c r="I427" s="216"/>
    </row>
    <row r="428" ht="14.25" customHeight="1">
      <c r="I428" s="216"/>
    </row>
    <row r="429" ht="14.25" customHeight="1">
      <c r="I429" s="216"/>
    </row>
    <row r="430" ht="14.25" customHeight="1">
      <c r="I430" s="216"/>
    </row>
    <row r="431" ht="14.25" customHeight="1">
      <c r="I431" s="216"/>
    </row>
    <row r="432" ht="14.25" customHeight="1">
      <c r="I432" s="216"/>
    </row>
    <row r="433" ht="14.25" customHeight="1">
      <c r="I433" s="216"/>
    </row>
    <row r="434" ht="14.25" customHeight="1">
      <c r="I434" s="216"/>
    </row>
    <row r="435" ht="14.25" customHeight="1">
      <c r="I435" s="216"/>
    </row>
    <row r="436" ht="14.25" customHeight="1">
      <c r="I436" s="216"/>
    </row>
    <row r="437" ht="14.25" customHeight="1">
      <c r="I437" s="216"/>
    </row>
    <row r="438" ht="14.25" customHeight="1">
      <c r="I438" s="216"/>
    </row>
    <row r="439" ht="14.25" customHeight="1">
      <c r="I439" s="216"/>
    </row>
    <row r="440" ht="14.25" customHeight="1">
      <c r="I440" s="216"/>
    </row>
    <row r="441" ht="14.25" customHeight="1">
      <c r="I441" s="216"/>
    </row>
    <row r="442" ht="14.25" customHeight="1">
      <c r="I442" s="216"/>
    </row>
    <row r="443" ht="14.25" customHeight="1">
      <c r="I443" s="216"/>
    </row>
    <row r="444" ht="14.25" customHeight="1">
      <c r="I444" s="216"/>
    </row>
    <row r="445" ht="14.25" customHeight="1">
      <c r="I445" s="216"/>
    </row>
    <row r="446" ht="14.25" customHeight="1">
      <c r="I446" s="216"/>
    </row>
    <row r="447" ht="14.25" customHeight="1">
      <c r="I447" s="216"/>
    </row>
    <row r="448" ht="14.25" customHeight="1">
      <c r="I448" s="216"/>
    </row>
    <row r="449" ht="14.25" customHeight="1">
      <c r="I449" s="216"/>
    </row>
    <row r="450" ht="14.25" customHeight="1">
      <c r="I450" s="216"/>
    </row>
    <row r="451" ht="14.25" customHeight="1">
      <c r="I451" s="216"/>
    </row>
    <row r="452" ht="14.25" customHeight="1">
      <c r="I452" s="216"/>
    </row>
    <row r="453" ht="14.25" customHeight="1">
      <c r="I453" s="216"/>
    </row>
    <row r="454" ht="14.25" customHeight="1">
      <c r="I454" s="216"/>
    </row>
    <row r="455" ht="14.25" customHeight="1">
      <c r="I455" s="216"/>
    </row>
    <row r="456" ht="14.25" customHeight="1">
      <c r="I456" s="216"/>
    </row>
    <row r="457" ht="14.25" customHeight="1">
      <c r="I457" s="216"/>
    </row>
    <row r="458" ht="14.25" customHeight="1">
      <c r="I458" s="216"/>
    </row>
    <row r="459" ht="14.25" customHeight="1">
      <c r="I459" s="216"/>
    </row>
    <row r="460" ht="14.25" customHeight="1">
      <c r="I460" s="216"/>
    </row>
    <row r="461" ht="14.25" customHeight="1">
      <c r="I461" s="216"/>
    </row>
    <row r="462" ht="14.25" customHeight="1">
      <c r="I462" s="216"/>
    </row>
    <row r="463" ht="14.25" customHeight="1">
      <c r="I463" s="216"/>
    </row>
    <row r="464" ht="14.25" customHeight="1">
      <c r="I464" s="216"/>
    </row>
    <row r="465" ht="14.25" customHeight="1">
      <c r="I465" s="216"/>
    </row>
    <row r="466" ht="14.25" customHeight="1">
      <c r="I466" s="216"/>
    </row>
    <row r="467" ht="14.25" customHeight="1">
      <c r="I467" s="216"/>
    </row>
    <row r="468" ht="14.25" customHeight="1">
      <c r="I468" s="216"/>
    </row>
    <row r="469" ht="14.25" customHeight="1">
      <c r="I469" s="216"/>
    </row>
    <row r="470" ht="14.25" customHeight="1">
      <c r="I470" s="216"/>
    </row>
    <row r="471" ht="14.25" customHeight="1">
      <c r="I471" s="216"/>
    </row>
    <row r="472" ht="14.25" customHeight="1">
      <c r="I472" s="216"/>
    </row>
    <row r="473" ht="14.25" customHeight="1">
      <c r="I473" s="216"/>
    </row>
    <row r="474" ht="14.25" customHeight="1">
      <c r="I474" s="216"/>
    </row>
    <row r="475" ht="14.25" customHeight="1">
      <c r="I475" s="216"/>
    </row>
    <row r="476" ht="14.25" customHeight="1">
      <c r="I476" s="216"/>
    </row>
    <row r="477" ht="14.25" customHeight="1">
      <c r="I477" s="216"/>
    </row>
    <row r="478" ht="14.25" customHeight="1">
      <c r="I478" s="216"/>
    </row>
    <row r="479" ht="14.25" customHeight="1">
      <c r="I479" s="216"/>
    </row>
    <row r="480" ht="14.25" customHeight="1">
      <c r="I480" s="216"/>
    </row>
    <row r="481" ht="14.25" customHeight="1">
      <c r="I481" s="216"/>
    </row>
    <row r="482" ht="14.25" customHeight="1">
      <c r="I482" s="216"/>
    </row>
    <row r="483" ht="14.25" customHeight="1">
      <c r="I483" s="216"/>
    </row>
    <row r="484" ht="14.25" customHeight="1">
      <c r="I484" s="216"/>
    </row>
    <row r="485" ht="14.25" customHeight="1">
      <c r="I485" s="216"/>
    </row>
    <row r="486" ht="14.25" customHeight="1">
      <c r="I486" s="216"/>
    </row>
    <row r="487" ht="14.25" customHeight="1">
      <c r="I487" s="216"/>
    </row>
    <row r="488" ht="14.25" customHeight="1">
      <c r="I488" s="216"/>
    </row>
    <row r="489" ht="14.25" customHeight="1">
      <c r="I489" s="216"/>
    </row>
    <row r="490" ht="14.25" customHeight="1">
      <c r="I490" s="216"/>
    </row>
    <row r="491" ht="14.25" customHeight="1">
      <c r="I491" s="216"/>
    </row>
    <row r="492" ht="14.25" customHeight="1">
      <c r="I492" s="216"/>
    </row>
    <row r="493" ht="14.25" customHeight="1">
      <c r="I493" s="216"/>
    </row>
    <row r="494" ht="14.25" customHeight="1">
      <c r="I494" s="216"/>
    </row>
    <row r="495" ht="14.25" customHeight="1">
      <c r="I495" s="216"/>
    </row>
    <row r="496" ht="14.25" customHeight="1">
      <c r="I496" s="216"/>
    </row>
    <row r="497" ht="14.25" customHeight="1">
      <c r="I497" s="216"/>
    </row>
    <row r="498" ht="14.25" customHeight="1">
      <c r="I498" s="216"/>
    </row>
    <row r="499" ht="14.25" customHeight="1">
      <c r="I499" s="216"/>
    </row>
    <row r="500" ht="14.25" customHeight="1">
      <c r="I500" s="216"/>
    </row>
    <row r="501" ht="14.25" customHeight="1">
      <c r="I501" s="216"/>
    </row>
    <row r="502" ht="14.25" customHeight="1">
      <c r="I502" s="216"/>
    </row>
    <row r="503" ht="14.25" customHeight="1">
      <c r="I503" s="216"/>
    </row>
    <row r="504" ht="14.25" customHeight="1">
      <c r="I504" s="216"/>
    </row>
    <row r="505" ht="14.25" customHeight="1">
      <c r="I505" s="216"/>
    </row>
    <row r="506" ht="14.25" customHeight="1">
      <c r="I506" s="216"/>
    </row>
    <row r="507" ht="14.25" customHeight="1">
      <c r="I507" s="216"/>
    </row>
    <row r="508" ht="14.25" customHeight="1">
      <c r="I508" s="216"/>
    </row>
    <row r="509" ht="14.25" customHeight="1">
      <c r="I509" s="216"/>
    </row>
    <row r="510" ht="14.25" customHeight="1">
      <c r="I510" s="216"/>
    </row>
    <row r="511" ht="14.25" customHeight="1">
      <c r="I511" s="216"/>
    </row>
    <row r="512" ht="14.25" customHeight="1">
      <c r="I512" s="216"/>
    </row>
    <row r="513" ht="14.25" customHeight="1">
      <c r="I513" s="216"/>
    </row>
    <row r="514" ht="14.25" customHeight="1">
      <c r="I514" s="216"/>
    </row>
    <row r="515" ht="14.25" customHeight="1">
      <c r="I515" s="216"/>
    </row>
    <row r="516" ht="14.25" customHeight="1">
      <c r="I516" s="216"/>
    </row>
    <row r="517" ht="14.25" customHeight="1">
      <c r="I517" s="216"/>
    </row>
    <row r="518" ht="14.25" customHeight="1">
      <c r="I518" s="216"/>
    </row>
    <row r="519" ht="14.25" customHeight="1">
      <c r="I519" s="216"/>
    </row>
    <row r="520" ht="14.25" customHeight="1">
      <c r="I520" s="216"/>
    </row>
    <row r="521" ht="14.25" customHeight="1">
      <c r="I521" s="216"/>
    </row>
    <row r="522" ht="14.25" customHeight="1">
      <c r="I522" s="216"/>
    </row>
    <row r="523" ht="14.25" customHeight="1">
      <c r="I523" s="216"/>
    </row>
    <row r="524" ht="14.25" customHeight="1">
      <c r="I524" s="216"/>
    </row>
    <row r="525" ht="14.25" customHeight="1">
      <c r="I525" s="216"/>
    </row>
    <row r="526" ht="14.25" customHeight="1">
      <c r="I526" s="216"/>
    </row>
    <row r="527" ht="14.25" customHeight="1">
      <c r="I527" s="216"/>
    </row>
    <row r="528" ht="14.25" customHeight="1">
      <c r="I528" s="216"/>
    </row>
    <row r="529" ht="14.25" customHeight="1">
      <c r="I529" s="216"/>
    </row>
    <row r="530" ht="14.25" customHeight="1">
      <c r="I530" s="216"/>
    </row>
    <row r="531" ht="14.25" customHeight="1">
      <c r="I531" s="216"/>
    </row>
    <row r="532" ht="14.25" customHeight="1">
      <c r="I532" s="216"/>
    </row>
    <row r="533" ht="14.25" customHeight="1">
      <c r="I533" s="216"/>
    </row>
    <row r="534" ht="14.25" customHeight="1">
      <c r="I534" s="216"/>
    </row>
    <row r="535" ht="14.25" customHeight="1">
      <c r="I535" s="216"/>
    </row>
    <row r="536" ht="14.25" customHeight="1">
      <c r="I536" s="216"/>
    </row>
    <row r="537" ht="14.25" customHeight="1">
      <c r="I537" s="216"/>
    </row>
    <row r="538" ht="14.25" customHeight="1">
      <c r="I538" s="216"/>
    </row>
    <row r="539" ht="14.25" customHeight="1">
      <c r="I539" s="216"/>
    </row>
    <row r="540" ht="14.25" customHeight="1">
      <c r="I540" s="216"/>
    </row>
    <row r="541" ht="14.25" customHeight="1">
      <c r="I541" s="216"/>
    </row>
    <row r="542" ht="14.25" customHeight="1">
      <c r="I542" s="216"/>
    </row>
    <row r="543" ht="14.25" customHeight="1">
      <c r="I543" s="216"/>
    </row>
    <row r="544" ht="14.25" customHeight="1">
      <c r="I544" s="216"/>
    </row>
    <row r="545" ht="14.25" customHeight="1">
      <c r="I545" s="216"/>
    </row>
    <row r="546" ht="14.25" customHeight="1">
      <c r="I546" s="216"/>
    </row>
    <row r="547" ht="14.25" customHeight="1">
      <c r="I547" s="216"/>
    </row>
    <row r="548" ht="14.25" customHeight="1">
      <c r="I548" s="216"/>
    </row>
    <row r="549" ht="14.25" customHeight="1">
      <c r="I549" s="216"/>
    </row>
    <row r="550" ht="14.25" customHeight="1">
      <c r="I550" s="216"/>
    </row>
    <row r="551" ht="14.25" customHeight="1">
      <c r="I551" s="216"/>
    </row>
    <row r="552" ht="14.25" customHeight="1">
      <c r="I552" s="216"/>
    </row>
    <row r="553" ht="14.25" customHeight="1">
      <c r="I553" s="216"/>
    </row>
    <row r="554" ht="14.25" customHeight="1">
      <c r="I554" s="216"/>
    </row>
    <row r="555" ht="14.25" customHeight="1">
      <c r="I555" s="216"/>
    </row>
    <row r="556" ht="14.25" customHeight="1">
      <c r="I556" s="216"/>
    </row>
    <row r="557" ht="14.25" customHeight="1">
      <c r="I557" s="216"/>
    </row>
    <row r="558" ht="14.25" customHeight="1">
      <c r="I558" s="216"/>
    </row>
    <row r="559" ht="14.25" customHeight="1">
      <c r="I559" s="216"/>
    </row>
    <row r="560" ht="14.25" customHeight="1">
      <c r="I560" s="216"/>
    </row>
    <row r="561" ht="14.25" customHeight="1">
      <c r="I561" s="216"/>
    </row>
    <row r="562" ht="14.25" customHeight="1">
      <c r="I562" s="216"/>
    </row>
    <row r="563" ht="14.25" customHeight="1">
      <c r="I563" s="216"/>
    </row>
    <row r="564" ht="14.25" customHeight="1">
      <c r="I564" s="216"/>
    </row>
    <row r="565" ht="14.25" customHeight="1">
      <c r="I565" s="216"/>
    </row>
    <row r="566" ht="14.25" customHeight="1">
      <c r="I566" s="216"/>
    </row>
    <row r="567" ht="14.25" customHeight="1">
      <c r="I567" s="216"/>
    </row>
    <row r="568" ht="14.25" customHeight="1">
      <c r="I568" s="216"/>
    </row>
    <row r="569" ht="14.25" customHeight="1">
      <c r="I569" s="216"/>
    </row>
    <row r="570" ht="14.25" customHeight="1">
      <c r="I570" s="216"/>
    </row>
    <row r="571" ht="14.25" customHeight="1">
      <c r="I571" s="216"/>
    </row>
    <row r="572" ht="14.25" customHeight="1">
      <c r="I572" s="216"/>
    </row>
    <row r="573" ht="14.25" customHeight="1">
      <c r="I573" s="216"/>
    </row>
    <row r="574" ht="14.25" customHeight="1">
      <c r="I574" s="216"/>
    </row>
    <row r="575" ht="14.25" customHeight="1">
      <c r="I575" s="216"/>
    </row>
    <row r="576" ht="14.25" customHeight="1">
      <c r="I576" s="216"/>
    </row>
    <row r="577" ht="14.25" customHeight="1">
      <c r="I577" s="216"/>
    </row>
    <row r="578" ht="14.25" customHeight="1">
      <c r="I578" s="216"/>
    </row>
    <row r="579" ht="14.25" customHeight="1">
      <c r="I579" s="216"/>
    </row>
    <row r="580" ht="14.25" customHeight="1">
      <c r="I580" s="216"/>
    </row>
    <row r="581" ht="14.25" customHeight="1">
      <c r="I581" s="216"/>
    </row>
    <row r="582" ht="14.25" customHeight="1">
      <c r="I582" s="216"/>
    </row>
    <row r="583" ht="14.25" customHeight="1">
      <c r="I583" s="216"/>
    </row>
    <row r="584" ht="14.25" customHeight="1">
      <c r="I584" s="216"/>
    </row>
    <row r="585" ht="14.25" customHeight="1">
      <c r="I585" s="216"/>
    </row>
    <row r="586" ht="14.25" customHeight="1">
      <c r="I586" s="216"/>
    </row>
    <row r="587" ht="14.25" customHeight="1">
      <c r="I587" s="216"/>
    </row>
    <row r="588" ht="14.25" customHeight="1">
      <c r="I588" s="216"/>
    </row>
    <row r="589" ht="14.25" customHeight="1">
      <c r="I589" s="216"/>
    </row>
    <row r="590" ht="14.25" customHeight="1">
      <c r="I590" s="216"/>
    </row>
    <row r="591" ht="14.25" customHeight="1">
      <c r="I591" s="216"/>
    </row>
    <row r="592" ht="14.25" customHeight="1">
      <c r="I592" s="216"/>
    </row>
    <row r="593" ht="14.25" customHeight="1">
      <c r="I593" s="216"/>
    </row>
    <row r="594" ht="14.25" customHeight="1">
      <c r="I594" s="216"/>
    </row>
    <row r="595" ht="14.25" customHeight="1">
      <c r="I595" s="216"/>
    </row>
    <row r="596" ht="14.25" customHeight="1">
      <c r="I596" s="216"/>
    </row>
    <row r="597" ht="14.25" customHeight="1">
      <c r="I597" s="216"/>
    </row>
    <row r="598" ht="14.25" customHeight="1">
      <c r="I598" s="216"/>
    </row>
    <row r="599" ht="14.25" customHeight="1">
      <c r="I599" s="216"/>
    </row>
    <row r="600" ht="14.25" customHeight="1">
      <c r="I600" s="216"/>
    </row>
    <row r="601" ht="14.25" customHeight="1">
      <c r="I601" s="216"/>
    </row>
    <row r="602" ht="14.25" customHeight="1">
      <c r="I602" s="216"/>
    </row>
    <row r="603" ht="14.25" customHeight="1">
      <c r="I603" s="216"/>
    </row>
    <row r="604" ht="14.25" customHeight="1">
      <c r="I604" s="216"/>
    </row>
    <row r="605" ht="14.25" customHeight="1">
      <c r="I605" s="216"/>
    </row>
    <row r="606" ht="14.25" customHeight="1">
      <c r="I606" s="216"/>
    </row>
    <row r="607" ht="14.25" customHeight="1">
      <c r="I607" s="216"/>
    </row>
    <row r="608" ht="14.25" customHeight="1">
      <c r="I608" s="216"/>
    </row>
    <row r="609" ht="14.25" customHeight="1">
      <c r="I609" s="216"/>
    </row>
    <row r="610" ht="14.25" customHeight="1">
      <c r="I610" s="216"/>
    </row>
    <row r="611" ht="14.25" customHeight="1">
      <c r="I611" s="216"/>
    </row>
    <row r="612" ht="14.25" customHeight="1">
      <c r="I612" s="216"/>
    </row>
    <row r="613" ht="14.25" customHeight="1">
      <c r="I613" s="216"/>
    </row>
    <row r="614" ht="14.25" customHeight="1">
      <c r="I614" s="216"/>
    </row>
    <row r="615" ht="14.25" customHeight="1">
      <c r="I615" s="216"/>
    </row>
    <row r="616" ht="14.25" customHeight="1">
      <c r="I616" s="216"/>
    </row>
    <row r="617" ht="14.25" customHeight="1">
      <c r="I617" s="216"/>
    </row>
    <row r="618" ht="14.25" customHeight="1">
      <c r="I618" s="216"/>
    </row>
    <row r="619" ht="14.25" customHeight="1">
      <c r="I619" s="216"/>
    </row>
    <row r="620" ht="14.25" customHeight="1">
      <c r="I620" s="216"/>
    </row>
    <row r="621" ht="14.25" customHeight="1">
      <c r="I621" s="216"/>
    </row>
    <row r="622" ht="14.25" customHeight="1">
      <c r="I622" s="216"/>
    </row>
    <row r="623" ht="14.25" customHeight="1">
      <c r="I623" s="216"/>
    </row>
    <row r="624" ht="14.25" customHeight="1">
      <c r="I624" s="216"/>
    </row>
    <row r="625" ht="14.25" customHeight="1">
      <c r="I625" s="216"/>
    </row>
    <row r="626" ht="14.25" customHeight="1">
      <c r="I626" s="216"/>
    </row>
    <row r="627" ht="14.25" customHeight="1">
      <c r="I627" s="216"/>
    </row>
    <row r="628" ht="14.25" customHeight="1">
      <c r="I628" s="216"/>
    </row>
    <row r="629" ht="14.25" customHeight="1">
      <c r="I629" s="216"/>
    </row>
    <row r="630" ht="14.25" customHeight="1">
      <c r="I630" s="216"/>
    </row>
    <row r="631" ht="14.25" customHeight="1">
      <c r="I631" s="216"/>
    </row>
    <row r="632" ht="14.25" customHeight="1">
      <c r="I632" s="216"/>
    </row>
    <row r="633" ht="14.25" customHeight="1">
      <c r="I633" s="216"/>
    </row>
    <row r="634" ht="14.25" customHeight="1">
      <c r="I634" s="216"/>
    </row>
    <row r="635" ht="14.25" customHeight="1">
      <c r="I635" s="216"/>
    </row>
    <row r="636" ht="14.25" customHeight="1">
      <c r="I636" s="216"/>
    </row>
    <row r="637" ht="14.25" customHeight="1">
      <c r="I637" s="216"/>
    </row>
    <row r="638" ht="14.25" customHeight="1">
      <c r="I638" s="216"/>
    </row>
    <row r="639" ht="14.25" customHeight="1">
      <c r="I639" s="216"/>
    </row>
    <row r="640" ht="14.25" customHeight="1">
      <c r="I640" s="216"/>
    </row>
    <row r="641" ht="14.25" customHeight="1">
      <c r="I641" s="216"/>
    </row>
    <row r="642" ht="14.25" customHeight="1">
      <c r="I642" s="216"/>
    </row>
    <row r="643" ht="14.25" customHeight="1">
      <c r="I643" s="216"/>
    </row>
    <row r="644" ht="14.25" customHeight="1">
      <c r="I644" s="216"/>
    </row>
    <row r="645" ht="14.25" customHeight="1">
      <c r="I645" s="216"/>
    </row>
    <row r="646" ht="14.25" customHeight="1">
      <c r="I646" s="216"/>
    </row>
    <row r="647" ht="14.25" customHeight="1">
      <c r="I647" s="216"/>
    </row>
    <row r="648" ht="14.25" customHeight="1">
      <c r="I648" s="216"/>
    </row>
    <row r="649" ht="14.25" customHeight="1">
      <c r="I649" s="216"/>
    </row>
    <row r="650" ht="14.25" customHeight="1">
      <c r="I650" s="216"/>
    </row>
    <row r="651" ht="14.25" customHeight="1">
      <c r="I651" s="216"/>
    </row>
    <row r="652" ht="14.25" customHeight="1">
      <c r="I652" s="216"/>
    </row>
    <row r="653" ht="14.25" customHeight="1">
      <c r="I653" s="216"/>
    </row>
    <row r="654" ht="14.25" customHeight="1">
      <c r="I654" s="216"/>
    </row>
    <row r="655" ht="14.25" customHeight="1">
      <c r="I655" s="216"/>
    </row>
    <row r="656" ht="14.25" customHeight="1">
      <c r="I656" s="216"/>
    </row>
    <row r="657" ht="14.25" customHeight="1">
      <c r="I657" s="216"/>
    </row>
    <row r="658" ht="14.25" customHeight="1">
      <c r="I658" s="216"/>
    </row>
    <row r="659" ht="14.25" customHeight="1">
      <c r="I659" s="216"/>
    </row>
    <row r="660" ht="14.25" customHeight="1">
      <c r="I660" s="216"/>
    </row>
    <row r="661" ht="14.25" customHeight="1">
      <c r="I661" s="216"/>
    </row>
    <row r="662" ht="14.25" customHeight="1">
      <c r="I662" s="216"/>
    </row>
    <row r="663" ht="14.25" customHeight="1">
      <c r="I663" s="216"/>
    </row>
    <row r="664" ht="14.25" customHeight="1">
      <c r="I664" s="216"/>
    </row>
    <row r="665" ht="14.25" customHeight="1">
      <c r="I665" s="216"/>
    </row>
    <row r="666" ht="14.25" customHeight="1">
      <c r="I666" s="216"/>
    </row>
    <row r="667" ht="14.25" customHeight="1">
      <c r="I667" s="216"/>
    </row>
    <row r="668" ht="14.25" customHeight="1">
      <c r="I668" s="216"/>
    </row>
    <row r="669" ht="14.25" customHeight="1">
      <c r="I669" s="216"/>
    </row>
    <row r="670" ht="14.25" customHeight="1">
      <c r="I670" s="216"/>
    </row>
    <row r="671" ht="14.25" customHeight="1">
      <c r="I671" s="216"/>
    </row>
    <row r="672" ht="14.25" customHeight="1">
      <c r="I672" s="216"/>
    </row>
    <row r="673" ht="14.25" customHeight="1">
      <c r="I673" s="216"/>
    </row>
    <row r="674" ht="14.25" customHeight="1">
      <c r="I674" s="216"/>
    </row>
    <row r="675" ht="14.25" customHeight="1">
      <c r="I675" s="216"/>
    </row>
    <row r="676" ht="14.25" customHeight="1">
      <c r="I676" s="216"/>
    </row>
    <row r="677" ht="14.25" customHeight="1">
      <c r="I677" s="216"/>
    </row>
    <row r="678" ht="14.25" customHeight="1">
      <c r="I678" s="216"/>
    </row>
    <row r="679" ht="14.25" customHeight="1">
      <c r="I679" s="216"/>
    </row>
    <row r="680" ht="14.25" customHeight="1">
      <c r="I680" s="216"/>
    </row>
    <row r="681" ht="14.25" customHeight="1">
      <c r="I681" s="216"/>
    </row>
    <row r="682" ht="14.25" customHeight="1">
      <c r="I682" s="216"/>
    </row>
    <row r="683" ht="14.25" customHeight="1">
      <c r="I683" s="216"/>
    </row>
    <row r="684" ht="14.25" customHeight="1">
      <c r="I684" s="216"/>
    </row>
    <row r="685" ht="14.25" customHeight="1">
      <c r="I685" s="216"/>
    </row>
    <row r="686" ht="14.25" customHeight="1">
      <c r="I686" s="216"/>
    </row>
    <row r="687" ht="14.25" customHeight="1">
      <c r="I687" s="216"/>
    </row>
    <row r="688" ht="14.25" customHeight="1">
      <c r="I688" s="216"/>
    </row>
    <row r="689" ht="14.25" customHeight="1">
      <c r="I689" s="216"/>
    </row>
    <row r="690" ht="14.25" customHeight="1">
      <c r="I690" s="216"/>
    </row>
    <row r="691" ht="14.25" customHeight="1">
      <c r="I691" s="216"/>
    </row>
    <row r="692" ht="14.25" customHeight="1">
      <c r="I692" s="216"/>
    </row>
    <row r="693" ht="14.25" customHeight="1">
      <c r="I693" s="216"/>
    </row>
    <row r="694" ht="14.25" customHeight="1">
      <c r="I694" s="216"/>
    </row>
    <row r="695" ht="14.25" customHeight="1">
      <c r="I695" s="216"/>
    </row>
    <row r="696" ht="14.25" customHeight="1">
      <c r="I696" s="216"/>
    </row>
    <row r="697" ht="14.25" customHeight="1">
      <c r="I697" s="216"/>
    </row>
    <row r="698" ht="14.25" customHeight="1">
      <c r="I698" s="216"/>
    </row>
    <row r="699" ht="14.25" customHeight="1">
      <c r="I699" s="216"/>
    </row>
    <row r="700" ht="14.25" customHeight="1">
      <c r="I700" s="216"/>
    </row>
    <row r="701" ht="14.25" customHeight="1">
      <c r="I701" s="216"/>
    </row>
    <row r="702" ht="14.25" customHeight="1">
      <c r="I702" s="216"/>
    </row>
    <row r="703" ht="14.25" customHeight="1">
      <c r="I703" s="216"/>
    </row>
    <row r="704" ht="14.25" customHeight="1">
      <c r="I704" s="216"/>
    </row>
    <row r="705" ht="14.25" customHeight="1">
      <c r="I705" s="216"/>
    </row>
    <row r="706" ht="14.25" customHeight="1">
      <c r="I706" s="216"/>
    </row>
    <row r="707" ht="14.25" customHeight="1">
      <c r="I707" s="216"/>
    </row>
    <row r="708" ht="14.25" customHeight="1">
      <c r="I708" s="216"/>
    </row>
    <row r="709" ht="14.25" customHeight="1">
      <c r="I709" s="216"/>
    </row>
    <row r="710" ht="14.25" customHeight="1">
      <c r="I710" s="216"/>
    </row>
    <row r="711" ht="14.25" customHeight="1">
      <c r="I711" s="216"/>
    </row>
    <row r="712" ht="14.25" customHeight="1">
      <c r="I712" s="216"/>
    </row>
    <row r="713" ht="14.25" customHeight="1">
      <c r="I713" s="216"/>
    </row>
    <row r="714" ht="14.25" customHeight="1">
      <c r="I714" s="216"/>
    </row>
    <row r="715" ht="14.25" customHeight="1">
      <c r="I715" s="216"/>
    </row>
    <row r="716" ht="14.25" customHeight="1">
      <c r="I716" s="216"/>
    </row>
    <row r="717" ht="14.25" customHeight="1">
      <c r="I717" s="216"/>
    </row>
    <row r="718" ht="14.25" customHeight="1">
      <c r="I718" s="216"/>
    </row>
    <row r="719" ht="14.25" customHeight="1">
      <c r="I719" s="216"/>
    </row>
    <row r="720" ht="14.25" customHeight="1">
      <c r="I720" s="216"/>
    </row>
    <row r="721" ht="14.25" customHeight="1">
      <c r="I721" s="216"/>
    </row>
    <row r="722" ht="14.25" customHeight="1">
      <c r="I722" s="216"/>
    </row>
    <row r="723" ht="14.25" customHeight="1">
      <c r="I723" s="216"/>
    </row>
    <row r="724" ht="14.25" customHeight="1">
      <c r="I724" s="216"/>
    </row>
    <row r="725" ht="14.25" customHeight="1">
      <c r="I725" s="216"/>
    </row>
    <row r="726" ht="14.25" customHeight="1">
      <c r="I726" s="216"/>
    </row>
    <row r="727" ht="14.25" customHeight="1">
      <c r="I727" s="216"/>
    </row>
    <row r="728" ht="14.25" customHeight="1">
      <c r="I728" s="216"/>
    </row>
    <row r="729" ht="14.25" customHeight="1">
      <c r="I729" s="216"/>
    </row>
    <row r="730" ht="14.25" customHeight="1">
      <c r="I730" s="216"/>
    </row>
    <row r="731" ht="14.25" customHeight="1">
      <c r="I731" s="216"/>
    </row>
    <row r="732" ht="14.25" customHeight="1">
      <c r="I732" s="216"/>
    </row>
    <row r="733" ht="14.25" customHeight="1">
      <c r="I733" s="216"/>
    </row>
    <row r="734" ht="14.25" customHeight="1">
      <c r="I734" s="216"/>
    </row>
    <row r="735" ht="14.25" customHeight="1">
      <c r="I735" s="216"/>
    </row>
    <row r="736" ht="14.25" customHeight="1">
      <c r="I736" s="216"/>
    </row>
    <row r="737" ht="14.25" customHeight="1">
      <c r="I737" s="216"/>
    </row>
    <row r="738" ht="14.25" customHeight="1">
      <c r="I738" s="216"/>
    </row>
    <row r="739" ht="14.25" customHeight="1">
      <c r="I739" s="216"/>
    </row>
    <row r="740" ht="14.25" customHeight="1">
      <c r="I740" s="216"/>
    </row>
    <row r="741" ht="14.25" customHeight="1">
      <c r="I741" s="216"/>
    </row>
    <row r="742" ht="14.25" customHeight="1">
      <c r="I742" s="216"/>
    </row>
    <row r="743" ht="14.25" customHeight="1">
      <c r="I743" s="216"/>
    </row>
    <row r="744" ht="14.25" customHeight="1">
      <c r="I744" s="216"/>
    </row>
    <row r="745" ht="14.25" customHeight="1">
      <c r="I745" s="216"/>
    </row>
    <row r="746" ht="14.25" customHeight="1">
      <c r="I746" s="216"/>
    </row>
    <row r="747" ht="14.25" customHeight="1">
      <c r="I747" s="216"/>
    </row>
    <row r="748" ht="14.25" customHeight="1">
      <c r="I748" s="216"/>
    </row>
    <row r="749" ht="14.25" customHeight="1">
      <c r="I749" s="216"/>
    </row>
    <row r="750" ht="14.25" customHeight="1">
      <c r="I750" s="216"/>
    </row>
    <row r="751" ht="14.25" customHeight="1">
      <c r="I751" s="216"/>
    </row>
    <row r="752" ht="14.25" customHeight="1">
      <c r="I752" s="216"/>
    </row>
    <row r="753" ht="14.25" customHeight="1">
      <c r="I753" s="216"/>
    </row>
    <row r="754" ht="14.25" customHeight="1">
      <c r="I754" s="216"/>
    </row>
    <row r="755" ht="14.25" customHeight="1">
      <c r="I755" s="216"/>
    </row>
    <row r="756" ht="14.25" customHeight="1">
      <c r="I756" s="216"/>
    </row>
    <row r="757" ht="14.25" customHeight="1">
      <c r="I757" s="216"/>
    </row>
    <row r="758" ht="14.25" customHeight="1">
      <c r="I758" s="216"/>
    </row>
    <row r="759" ht="14.25" customHeight="1">
      <c r="I759" s="216"/>
    </row>
    <row r="760" ht="14.25" customHeight="1">
      <c r="I760" s="216"/>
    </row>
    <row r="761" ht="14.25" customHeight="1">
      <c r="I761" s="216"/>
    </row>
    <row r="762" ht="14.25" customHeight="1">
      <c r="I762" s="216"/>
    </row>
    <row r="763" ht="14.25" customHeight="1">
      <c r="I763" s="216"/>
    </row>
    <row r="764" ht="14.25" customHeight="1">
      <c r="I764" s="216"/>
    </row>
    <row r="765" ht="14.25" customHeight="1">
      <c r="I765" s="216"/>
    </row>
    <row r="766" ht="14.25" customHeight="1">
      <c r="I766" s="216"/>
    </row>
    <row r="767" ht="14.25" customHeight="1">
      <c r="I767" s="216"/>
    </row>
    <row r="768" ht="14.25" customHeight="1">
      <c r="I768" s="216"/>
    </row>
    <row r="769" ht="14.25" customHeight="1">
      <c r="I769" s="216"/>
    </row>
    <row r="770" ht="14.25" customHeight="1">
      <c r="I770" s="216"/>
    </row>
    <row r="771" ht="14.25" customHeight="1">
      <c r="I771" s="216"/>
    </row>
    <row r="772" ht="14.25" customHeight="1">
      <c r="I772" s="216"/>
    </row>
    <row r="773" ht="14.25" customHeight="1">
      <c r="I773" s="216"/>
    </row>
    <row r="774" ht="14.25" customHeight="1">
      <c r="I774" s="216"/>
    </row>
    <row r="775" ht="14.25" customHeight="1">
      <c r="I775" s="216"/>
    </row>
    <row r="776" ht="14.25" customHeight="1">
      <c r="I776" s="216"/>
    </row>
    <row r="777" ht="14.25" customHeight="1">
      <c r="I777" s="216"/>
    </row>
    <row r="778" ht="14.25" customHeight="1">
      <c r="I778" s="216"/>
    </row>
    <row r="779" ht="14.25" customHeight="1">
      <c r="I779" s="216"/>
    </row>
    <row r="780" ht="14.25" customHeight="1">
      <c r="I780" s="216"/>
    </row>
    <row r="781" ht="14.25" customHeight="1">
      <c r="I781" s="216"/>
    </row>
    <row r="782" ht="14.25" customHeight="1">
      <c r="I782" s="216"/>
    </row>
    <row r="783" ht="14.25" customHeight="1">
      <c r="I783" s="216"/>
    </row>
    <row r="784" ht="14.25" customHeight="1">
      <c r="I784" s="216"/>
    </row>
    <row r="785" ht="14.25" customHeight="1">
      <c r="I785" s="216"/>
    </row>
    <row r="786" ht="14.25" customHeight="1">
      <c r="I786" s="216"/>
    </row>
    <row r="787" ht="14.25" customHeight="1">
      <c r="I787" s="216"/>
    </row>
    <row r="788" ht="14.25" customHeight="1">
      <c r="I788" s="216"/>
    </row>
    <row r="789" ht="14.25" customHeight="1">
      <c r="I789" s="216"/>
    </row>
    <row r="790" ht="14.25" customHeight="1">
      <c r="I790" s="216"/>
    </row>
    <row r="791" ht="14.25" customHeight="1">
      <c r="I791" s="216"/>
    </row>
    <row r="792" ht="14.25" customHeight="1">
      <c r="I792" s="216"/>
    </row>
    <row r="793" ht="14.25" customHeight="1">
      <c r="I793" s="216"/>
    </row>
    <row r="794" ht="14.25" customHeight="1">
      <c r="I794" s="216"/>
    </row>
    <row r="795" ht="14.25" customHeight="1">
      <c r="I795" s="216"/>
    </row>
    <row r="796" ht="14.25" customHeight="1">
      <c r="I796" s="216"/>
    </row>
    <row r="797" ht="14.25" customHeight="1">
      <c r="I797" s="216"/>
    </row>
    <row r="798" ht="14.25" customHeight="1">
      <c r="I798" s="216"/>
    </row>
    <row r="799" ht="14.25" customHeight="1">
      <c r="I799" s="216"/>
    </row>
    <row r="800" ht="14.25" customHeight="1">
      <c r="I800" s="216"/>
    </row>
    <row r="801" ht="14.25" customHeight="1">
      <c r="I801" s="216"/>
    </row>
    <row r="802" ht="14.25" customHeight="1">
      <c r="I802" s="216"/>
    </row>
    <row r="803" ht="14.25" customHeight="1">
      <c r="I803" s="216"/>
    </row>
    <row r="804" ht="14.25" customHeight="1">
      <c r="I804" s="216"/>
    </row>
    <row r="805" ht="14.25" customHeight="1">
      <c r="I805" s="216"/>
    </row>
    <row r="806" ht="14.25" customHeight="1">
      <c r="I806" s="216"/>
    </row>
    <row r="807" ht="14.25" customHeight="1">
      <c r="I807" s="216"/>
    </row>
    <row r="808" ht="14.25" customHeight="1">
      <c r="I808" s="216"/>
    </row>
    <row r="809" ht="14.25" customHeight="1">
      <c r="I809" s="216"/>
    </row>
    <row r="810" ht="14.25" customHeight="1">
      <c r="I810" s="216"/>
    </row>
    <row r="811" ht="14.25" customHeight="1">
      <c r="I811" s="216"/>
    </row>
    <row r="812" ht="14.25" customHeight="1">
      <c r="I812" s="216"/>
    </row>
    <row r="813" ht="14.25" customHeight="1">
      <c r="I813" s="216"/>
    </row>
    <row r="814" ht="14.25" customHeight="1">
      <c r="I814" s="216"/>
    </row>
    <row r="815" ht="14.25" customHeight="1">
      <c r="I815" s="216"/>
    </row>
    <row r="816" ht="14.25" customHeight="1">
      <c r="I816" s="216"/>
    </row>
    <row r="817" ht="14.25" customHeight="1">
      <c r="I817" s="216"/>
    </row>
    <row r="818" ht="14.25" customHeight="1">
      <c r="I818" s="216"/>
    </row>
    <row r="819" ht="14.25" customHeight="1">
      <c r="I819" s="216"/>
    </row>
    <row r="820" ht="14.25" customHeight="1">
      <c r="I820" s="216"/>
    </row>
    <row r="821" ht="14.25" customHeight="1">
      <c r="I821" s="216"/>
    </row>
    <row r="822" ht="14.25" customHeight="1">
      <c r="I822" s="216"/>
    </row>
    <row r="823" ht="14.25" customHeight="1">
      <c r="I823" s="216"/>
    </row>
    <row r="824" ht="14.25" customHeight="1">
      <c r="I824" s="216"/>
    </row>
    <row r="825" ht="14.25" customHeight="1">
      <c r="I825" s="216"/>
    </row>
    <row r="826" ht="14.25" customHeight="1">
      <c r="I826" s="216"/>
    </row>
    <row r="827" ht="14.25" customHeight="1">
      <c r="I827" s="216"/>
    </row>
    <row r="828" ht="14.25" customHeight="1">
      <c r="I828" s="216"/>
    </row>
    <row r="829" ht="14.25" customHeight="1">
      <c r="I829" s="216"/>
    </row>
    <row r="830" ht="14.25" customHeight="1">
      <c r="I830" s="216"/>
    </row>
    <row r="831" ht="14.25" customHeight="1">
      <c r="I831" s="216"/>
    </row>
    <row r="832" ht="14.25" customHeight="1">
      <c r="I832" s="216"/>
    </row>
    <row r="833" ht="14.25" customHeight="1">
      <c r="I833" s="216"/>
    </row>
    <row r="834" ht="14.25" customHeight="1">
      <c r="I834" s="216"/>
    </row>
    <row r="835" ht="14.25" customHeight="1">
      <c r="I835" s="216"/>
    </row>
    <row r="836" ht="14.25" customHeight="1">
      <c r="I836" s="216"/>
    </row>
    <row r="837" ht="14.25" customHeight="1">
      <c r="I837" s="216"/>
    </row>
    <row r="838" ht="14.25" customHeight="1">
      <c r="I838" s="216"/>
    </row>
    <row r="839" ht="14.25" customHeight="1">
      <c r="I839" s="216"/>
    </row>
    <row r="840" ht="14.25" customHeight="1">
      <c r="I840" s="216"/>
    </row>
    <row r="841" ht="14.25" customHeight="1">
      <c r="I841" s="216"/>
    </row>
    <row r="842" ht="14.25" customHeight="1">
      <c r="I842" s="216"/>
    </row>
    <row r="843" ht="14.25" customHeight="1">
      <c r="I843" s="216"/>
    </row>
    <row r="844" ht="14.25" customHeight="1">
      <c r="I844" s="216"/>
    </row>
    <row r="845" ht="14.25" customHeight="1">
      <c r="I845" s="216"/>
    </row>
    <row r="846" ht="14.25" customHeight="1">
      <c r="I846" s="216"/>
    </row>
    <row r="847" ht="14.25" customHeight="1">
      <c r="I847" s="216"/>
    </row>
    <row r="848" ht="14.25" customHeight="1">
      <c r="I848" s="216"/>
    </row>
    <row r="849" ht="14.25" customHeight="1">
      <c r="I849" s="216"/>
    </row>
    <row r="850" ht="14.25" customHeight="1">
      <c r="I850" s="216"/>
    </row>
    <row r="851" ht="14.25" customHeight="1">
      <c r="I851" s="216"/>
    </row>
    <row r="852" ht="14.25" customHeight="1">
      <c r="I852" s="216"/>
    </row>
    <row r="853" ht="14.25" customHeight="1">
      <c r="I853" s="216"/>
    </row>
    <row r="854" ht="14.25" customHeight="1">
      <c r="I854" s="216"/>
    </row>
    <row r="855" ht="14.25" customHeight="1">
      <c r="I855" s="216"/>
    </row>
    <row r="856" ht="14.25" customHeight="1">
      <c r="I856" s="216"/>
    </row>
    <row r="857" ht="14.25" customHeight="1">
      <c r="I857" s="216"/>
    </row>
    <row r="858" ht="14.25" customHeight="1">
      <c r="I858" s="216"/>
    </row>
    <row r="859" ht="14.25" customHeight="1">
      <c r="I859" s="216"/>
    </row>
    <row r="860" ht="14.25" customHeight="1">
      <c r="I860" s="216"/>
    </row>
    <row r="861" ht="14.25" customHeight="1">
      <c r="I861" s="216"/>
    </row>
    <row r="862" ht="14.25" customHeight="1">
      <c r="I862" s="216"/>
    </row>
    <row r="863" ht="14.25" customHeight="1">
      <c r="I863" s="216"/>
    </row>
    <row r="864" ht="14.25" customHeight="1">
      <c r="I864" s="216"/>
    </row>
    <row r="865" ht="14.25" customHeight="1">
      <c r="I865" s="216"/>
    </row>
    <row r="866" ht="14.25" customHeight="1">
      <c r="I866" s="216"/>
    </row>
    <row r="867" ht="14.25" customHeight="1">
      <c r="I867" s="216"/>
    </row>
    <row r="868" ht="14.25" customHeight="1">
      <c r="I868" s="216"/>
    </row>
    <row r="869" ht="14.25" customHeight="1">
      <c r="I869" s="216"/>
    </row>
    <row r="870" ht="14.25" customHeight="1">
      <c r="I870" s="216"/>
    </row>
    <row r="871" ht="14.25" customHeight="1">
      <c r="I871" s="216"/>
    </row>
    <row r="872" ht="14.25" customHeight="1">
      <c r="I872" s="216"/>
    </row>
    <row r="873" ht="14.25" customHeight="1">
      <c r="I873" s="216"/>
    </row>
    <row r="874" ht="14.25" customHeight="1">
      <c r="I874" s="216"/>
    </row>
    <row r="875" ht="14.25" customHeight="1">
      <c r="I875" s="216"/>
    </row>
    <row r="876" ht="14.25" customHeight="1">
      <c r="I876" s="216"/>
    </row>
    <row r="877" ht="14.25" customHeight="1">
      <c r="I877" s="216"/>
    </row>
    <row r="878" ht="14.25" customHeight="1">
      <c r="I878" s="216"/>
    </row>
    <row r="879" ht="14.25" customHeight="1">
      <c r="I879" s="216"/>
    </row>
    <row r="880" ht="14.25" customHeight="1">
      <c r="I880" s="216"/>
    </row>
    <row r="881" ht="14.25" customHeight="1">
      <c r="I881" s="216"/>
    </row>
    <row r="882" ht="14.25" customHeight="1">
      <c r="I882" s="216"/>
    </row>
    <row r="883" ht="14.25" customHeight="1">
      <c r="I883" s="216"/>
    </row>
    <row r="884" ht="14.25" customHeight="1">
      <c r="I884" s="216"/>
    </row>
    <row r="885" ht="14.25" customHeight="1">
      <c r="I885" s="216"/>
    </row>
    <row r="886" ht="14.25" customHeight="1">
      <c r="I886" s="216"/>
    </row>
    <row r="887" ht="14.25" customHeight="1">
      <c r="I887" s="216"/>
    </row>
    <row r="888" ht="14.25" customHeight="1">
      <c r="I888" s="216"/>
    </row>
    <row r="889" ht="14.25" customHeight="1">
      <c r="I889" s="216"/>
    </row>
    <row r="890" ht="14.25" customHeight="1">
      <c r="I890" s="216"/>
    </row>
    <row r="891" ht="14.25" customHeight="1">
      <c r="I891" s="216"/>
    </row>
    <row r="892" ht="14.25" customHeight="1">
      <c r="I892" s="216"/>
    </row>
    <row r="893" ht="14.25" customHeight="1">
      <c r="I893" s="216"/>
    </row>
    <row r="894" ht="14.25" customHeight="1">
      <c r="I894" s="216"/>
    </row>
    <row r="895" ht="14.25" customHeight="1">
      <c r="I895" s="216"/>
    </row>
    <row r="896" ht="14.25" customHeight="1">
      <c r="I896" s="216"/>
    </row>
    <row r="897" ht="14.25" customHeight="1">
      <c r="I897" s="216"/>
    </row>
    <row r="898" ht="14.25" customHeight="1">
      <c r="I898" s="216"/>
    </row>
    <row r="899" ht="14.25" customHeight="1">
      <c r="I899" s="216"/>
    </row>
    <row r="900" ht="14.25" customHeight="1">
      <c r="I900" s="216"/>
    </row>
    <row r="901" ht="14.25" customHeight="1">
      <c r="I901" s="216"/>
    </row>
    <row r="902" ht="14.25" customHeight="1">
      <c r="I902" s="216"/>
    </row>
    <row r="903" ht="14.25" customHeight="1">
      <c r="I903" s="216"/>
    </row>
    <row r="904" ht="14.25" customHeight="1">
      <c r="I904" s="216"/>
    </row>
    <row r="905" ht="14.25" customHeight="1">
      <c r="I905" s="216"/>
    </row>
    <row r="906" ht="14.25" customHeight="1">
      <c r="I906" s="216"/>
    </row>
    <row r="907" ht="14.25" customHeight="1">
      <c r="I907" s="216"/>
    </row>
    <row r="908" ht="14.25" customHeight="1">
      <c r="I908" s="216"/>
    </row>
    <row r="909" ht="14.25" customHeight="1">
      <c r="I909" s="216"/>
    </row>
    <row r="910" ht="14.25" customHeight="1">
      <c r="I910" s="216"/>
    </row>
    <row r="911" ht="14.25" customHeight="1">
      <c r="I911" s="216"/>
    </row>
    <row r="912" ht="14.25" customHeight="1">
      <c r="I912" s="216"/>
    </row>
    <row r="913" ht="14.25" customHeight="1">
      <c r="I913" s="216"/>
    </row>
    <row r="914" ht="14.25" customHeight="1">
      <c r="I914" s="216"/>
    </row>
    <row r="915" ht="14.25" customHeight="1">
      <c r="I915" s="216"/>
    </row>
    <row r="916" ht="14.25" customHeight="1">
      <c r="I916" s="216"/>
    </row>
    <row r="917" ht="14.25" customHeight="1">
      <c r="I917" s="216"/>
    </row>
    <row r="918" ht="14.25" customHeight="1">
      <c r="I918" s="216"/>
    </row>
    <row r="919" ht="14.25" customHeight="1">
      <c r="I919" s="216"/>
    </row>
    <row r="920" ht="14.25" customHeight="1">
      <c r="I920" s="216"/>
    </row>
    <row r="921" ht="14.25" customHeight="1">
      <c r="I921" s="216"/>
    </row>
    <row r="922" ht="14.25" customHeight="1">
      <c r="I922" s="216"/>
    </row>
    <row r="923" ht="14.25" customHeight="1">
      <c r="I923" s="216"/>
    </row>
    <row r="924" ht="14.25" customHeight="1">
      <c r="I924" s="216"/>
    </row>
    <row r="925" ht="14.25" customHeight="1">
      <c r="I925" s="216"/>
    </row>
    <row r="926" ht="14.25" customHeight="1">
      <c r="I926" s="216"/>
    </row>
    <row r="927" ht="14.25" customHeight="1">
      <c r="I927" s="216"/>
    </row>
    <row r="928" ht="14.25" customHeight="1">
      <c r="I928" s="216"/>
    </row>
    <row r="929" ht="14.25" customHeight="1">
      <c r="I929" s="216"/>
    </row>
    <row r="930" ht="14.25" customHeight="1">
      <c r="I930" s="216"/>
    </row>
    <row r="931" ht="14.25" customHeight="1">
      <c r="I931" s="216"/>
    </row>
    <row r="932" ht="14.25" customHeight="1">
      <c r="I932" s="216"/>
    </row>
    <row r="933" ht="14.25" customHeight="1">
      <c r="I933" s="216"/>
    </row>
    <row r="934" ht="14.25" customHeight="1">
      <c r="I934" s="216"/>
    </row>
    <row r="935" ht="14.25" customHeight="1">
      <c r="I935" s="216"/>
    </row>
    <row r="936" ht="14.25" customHeight="1">
      <c r="I936" s="216"/>
    </row>
    <row r="937" ht="14.25" customHeight="1">
      <c r="I937" s="216"/>
    </row>
    <row r="938" ht="14.25" customHeight="1">
      <c r="I938" s="216"/>
    </row>
    <row r="939" ht="14.25" customHeight="1">
      <c r="I939" s="216"/>
    </row>
    <row r="940" ht="14.25" customHeight="1">
      <c r="I940" s="216"/>
    </row>
    <row r="941" ht="14.25" customHeight="1">
      <c r="I941" s="216"/>
    </row>
    <row r="942" ht="14.25" customHeight="1">
      <c r="I942" s="216"/>
    </row>
    <row r="943" ht="14.25" customHeight="1">
      <c r="I943" s="216"/>
    </row>
    <row r="944" ht="14.25" customHeight="1">
      <c r="I944" s="216"/>
    </row>
    <row r="945" ht="14.25" customHeight="1">
      <c r="I945" s="216"/>
    </row>
    <row r="946" ht="14.25" customHeight="1">
      <c r="I946" s="216"/>
    </row>
    <row r="947" ht="14.25" customHeight="1">
      <c r="I947" s="216"/>
    </row>
    <row r="948" ht="14.25" customHeight="1">
      <c r="I948" s="216"/>
    </row>
    <row r="949" ht="14.25" customHeight="1">
      <c r="I949" s="216"/>
    </row>
    <row r="950" ht="14.25" customHeight="1">
      <c r="I950" s="216"/>
    </row>
    <row r="951" ht="14.25" customHeight="1">
      <c r="I951" s="216"/>
    </row>
    <row r="952" ht="14.25" customHeight="1">
      <c r="I952" s="216"/>
    </row>
    <row r="953" ht="14.25" customHeight="1">
      <c r="I953" s="216"/>
    </row>
    <row r="954" ht="14.25" customHeight="1">
      <c r="I954" s="216"/>
    </row>
    <row r="955" ht="14.25" customHeight="1">
      <c r="I955" s="216"/>
    </row>
    <row r="956" ht="14.25" customHeight="1">
      <c r="I956" s="216"/>
    </row>
    <row r="957" ht="14.25" customHeight="1">
      <c r="I957" s="216"/>
    </row>
    <row r="958" ht="14.25" customHeight="1">
      <c r="I958" s="216"/>
    </row>
    <row r="959" ht="14.25" customHeight="1">
      <c r="I959" s="216"/>
    </row>
    <row r="960" ht="14.25" customHeight="1">
      <c r="I960" s="216"/>
    </row>
    <row r="961" ht="14.25" customHeight="1">
      <c r="I961" s="216"/>
    </row>
    <row r="962" ht="14.25" customHeight="1">
      <c r="I962" s="216"/>
    </row>
    <row r="963" ht="14.25" customHeight="1">
      <c r="I963" s="216"/>
    </row>
    <row r="964" ht="14.25" customHeight="1">
      <c r="I964" s="216"/>
    </row>
    <row r="965" ht="14.25" customHeight="1">
      <c r="I965" s="216"/>
    </row>
    <row r="966" ht="14.25" customHeight="1">
      <c r="I966" s="216"/>
    </row>
    <row r="967" ht="14.25" customHeight="1">
      <c r="I967" s="216"/>
    </row>
    <row r="968" ht="14.25" customHeight="1">
      <c r="I968" s="216"/>
    </row>
    <row r="969" ht="14.25" customHeight="1">
      <c r="I969" s="216"/>
    </row>
    <row r="970" ht="14.25" customHeight="1">
      <c r="I970" s="216"/>
    </row>
    <row r="971" ht="14.25" customHeight="1">
      <c r="I971" s="216"/>
    </row>
    <row r="972" ht="14.25" customHeight="1">
      <c r="I972" s="216"/>
    </row>
    <row r="973" ht="14.25" customHeight="1">
      <c r="I973" s="216"/>
    </row>
    <row r="974" ht="14.25" customHeight="1">
      <c r="I974" s="216"/>
    </row>
    <row r="975" ht="14.25" customHeight="1">
      <c r="I975" s="216"/>
    </row>
    <row r="976" ht="14.25" customHeight="1">
      <c r="I976" s="216"/>
    </row>
    <row r="977" ht="14.25" customHeight="1">
      <c r="I977" s="216"/>
    </row>
    <row r="978" ht="14.25" customHeight="1">
      <c r="I978" s="216"/>
    </row>
    <row r="979" ht="14.25" customHeight="1">
      <c r="I979" s="216"/>
    </row>
    <row r="980" ht="14.25" customHeight="1">
      <c r="I980" s="216"/>
    </row>
    <row r="981" ht="14.25" customHeight="1">
      <c r="I981" s="216"/>
    </row>
    <row r="982" ht="14.25" customHeight="1">
      <c r="I982" s="216"/>
    </row>
    <row r="983" ht="14.25" customHeight="1">
      <c r="I983" s="216"/>
    </row>
    <row r="984" ht="14.25" customHeight="1">
      <c r="I984" s="216"/>
    </row>
    <row r="985" ht="14.25" customHeight="1">
      <c r="I985" s="216"/>
    </row>
    <row r="986" ht="14.25" customHeight="1">
      <c r="I986" s="216"/>
    </row>
    <row r="987" ht="14.25" customHeight="1">
      <c r="I987" s="216"/>
    </row>
    <row r="988" ht="14.25" customHeight="1">
      <c r="I988" s="216"/>
    </row>
    <row r="989" ht="14.25" customHeight="1">
      <c r="I989" s="216"/>
    </row>
    <row r="990" ht="14.25" customHeight="1">
      <c r="I990" s="216"/>
    </row>
    <row r="991" ht="14.25" customHeight="1">
      <c r="I991" s="216"/>
    </row>
    <row r="992" ht="14.25" customHeight="1">
      <c r="I992" s="216"/>
    </row>
    <row r="993" ht="14.25" customHeight="1">
      <c r="I993" s="216"/>
    </row>
    <row r="994" ht="14.25" customHeight="1">
      <c r="I994" s="216"/>
    </row>
    <row r="995" ht="14.25" customHeight="1">
      <c r="I995" s="216"/>
    </row>
    <row r="996" ht="14.25" customHeight="1">
      <c r="I996" s="216"/>
    </row>
    <row r="997" ht="14.25" customHeight="1">
      <c r="I997" s="216"/>
    </row>
    <row r="998" ht="14.25" customHeight="1">
      <c r="I998" s="216"/>
    </row>
    <row r="999" ht="14.25" customHeight="1">
      <c r="I999" s="216"/>
    </row>
    <row r="1000" ht="14.25" customHeight="1">
      <c r="I1000" s="216"/>
    </row>
  </sheetData>
  <autoFilter ref="$B$10:$G$64"/>
  <mergeCells count="5">
    <mergeCell ref="B1:C1"/>
    <mergeCell ref="F1:G1"/>
    <mergeCell ref="B6:G6"/>
    <mergeCell ref="B7:G7"/>
    <mergeCell ref="B8:G8"/>
  </mergeCells>
  <printOptions horizontalCentered="1"/>
  <pageMargins bottom="0.196850393700787" footer="0.0" header="0.0" left="0.118110236220472" right="0.118110236220472" top="0.275590551181102"/>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8.71"/>
    <col customWidth="1" min="2" max="2" width="30.71"/>
    <col customWidth="1" min="3" max="7" width="20.71"/>
    <col customWidth="1" min="8" max="8" width="8.71"/>
    <col customWidth="1" min="9" max="9" width="16.57"/>
    <col customWidth="1" min="10" max="10" width="10.29"/>
    <col customWidth="1" min="11" max="12" width="8.71"/>
    <col customWidth="1" min="13" max="13" width="13.71"/>
    <col customWidth="1" min="14" max="26" width="8.71"/>
  </cols>
  <sheetData>
    <row r="1" ht="14.25" customHeight="1">
      <c r="B1" s="217"/>
      <c r="D1" s="218"/>
      <c r="E1" s="218"/>
      <c r="F1" s="219"/>
      <c r="G1" s="220" t="str">
        <f>[1]Status!C1</f>
        <v>#ERROR!</v>
      </c>
    </row>
    <row r="2" ht="14.25" customHeight="1">
      <c r="B2" s="217"/>
      <c r="C2" s="218"/>
      <c r="D2" s="218"/>
      <c r="E2" s="218"/>
      <c r="F2" s="219"/>
      <c r="G2" s="220" t="s">
        <v>1</v>
      </c>
    </row>
    <row r="3" ht="14.25" customHeight="1">
      <c r="B3" s="221"/>
      <c r="C3" s="218"/>
      <c r="D3" s="218"/>
      <c r="E3" s="218"/>
      <c r="F3" s="220"/>
      <c r="G3" s="220" t="s">
        <v>160</v>
      </c>
    </row>
    <row r="4" ht="14.25" customHeight="1">
      <c r="B4" s="222"/>
      <c r="C4" s="218"/>
      <c r="D4" s="218"/>
      <c r="E4" s="218"/>
      <c r="F4" s="218"/>
      <c r="G4" s="218"/>
    </row>
    <row r="5" ht="19.5" customHeight="1">
      <c r="B5" s="223" t="s">
        <v>148</v>
      </c>
    </row>
    <row r="6" ht="14.25" customHeight="1">
      <c r="B6" s="224" t="s">
        <v>161</v>
      </c>
    </row>
    <row r="7" ht="14.25" customHeight="1">
      <c r="B7" s="225" t="str">
        <f>[1]Status!A6</f>
        <v>#ERROR!</v>
      </c>
    </row>
    <row r="8" ht="14.25" customHeight="1">
      <c r="B8" s="225"/>
      <c r="C8" s="225"/>
      <c r="D8" s="225"/>
      <c r="E8" s="225"/>
      <c r="F8" s="225"/>
      <c r="G8" s="225"/>
    </row>
    <row r="9" ht="14.25" customHeight="1">
      <c r="B9" s="226" t="s">
        <v>79</v>
      </c>
      <c r="C9" s="227" t="s">
        <v>80</v>
      </c>
      <c r="D9" s="227" t="s">
        <v>81</v>
      </c>
      <c r="E9" s="228" t="s">
        <v>82</v>
      </c>
      <c r="F9" s="227" t="s">
        <v>83</v>
      </c>
      <c r="G9" s="229" t="s">
        <v>84</v>
      </c>
    </row>
    <row r="10" ht="14.25" customHeight="1">
      <c r="B10" s="230" t="s">
        <v>86</v>
      </c>
      <c r="C10" s="231">
        <v>14842.0</v>
      </c>
      <c r="D10" s="231">
        <f>10817+4025</f>
        <v>14842</v>
      </c>
      <c r="E10" s="232"/>
      <c r="F10" s="233"/>
      <c r="G10" s="234">
        <f t="shared" ref="G10:G58" si="1">C10-D10-E10-F10</f>
        <v>0</v>
      </c>
      <c r="H10" s="235"/>
    </row>
    <row r="11" ht="14.25" customHeight="1">
      <c r="B11" s="236" t="s">
        <v>150</v>
      </c>
      <c r="C11" s="237">
        <v>6266282.0</v>
      </c>
      <c r="D11" s="237">
        <f>8225550.168</f>
        <v>8225550.168</v>
      </c>
      <c r="E11" s="237"/>
      <c r="F11" s="237"/>
      <c r="G11" s="238">
        <f t="shared" si="1"/>
        <v>-1959268.168</v>
      </c>
      <c r="H11" s="235"/>
    </row>
    <row r="12" ht="14.25" customHeight="1">
      <c r="B12" s="236" t="s">
        <v>88</v>
      </c>
      <c r="C12" s="237">
        <v>2015540.0</v>
      </c>
      <c r="D12" s="237"/>
      <c r="E12" s="237"/>
      <c r="F12" s="237"/>
      <c r="G12" s="238">
        <f t="shared" si="1"/>
        <v>2015540</v>
      </c>
      <c r="H12" s="235"/>
    </row>
    <row r="13" ht="14.25" customHeight="1">
      <c r="B13" s="239" t="s">
        <v>89</v>
      </c>
      <c r="C13" s="237">
        <v>89052.0</v>
      </c>
      <c r="D13" s="237"/>
      <c r="E13" s="237"/>
      <c r="F13" s="237"/>
      <c r="G13" s="238">
        <f t="shared" si="1"/>
        <v>89052</v>
      </c>
      <c r="H13" s="235"/>
    </row>
    <row r="14" ht="14.25" customHeight="1">
      <c r="B14" s="236" t="s">
        <v>90</v>
      </c>
      <c r="C14" s="237">
        <v>121704.0</v>
      </c>
      <c r="D14" s="237"/>
      <c r="E14" s="237"/>
      <c r="F14" s="237"/>
      <c r="G14" s="238">
        <f t="shared" si="1"/>
        <v>121704</v>
      </c>
      <c r="H14" s="235"/>
    </row>
    <row r="15" ht="14.25" customHeight="1">
      <c r="B15" s="236" t="s">
        <v>91</v>
      </c>
      <c r="C15" s="237">
        <v>2457831.0</v>
      </c>
      <c r="D15" s="237">
        <v>2457831.0</v>
      </c>
      <c r="E15" s="237"/>
      <c r="F15" s="237"/>
      <c r="G15" s="238">
        <f t="shared" si="1"/>
        <v>0</v>
      </c>
      <c r="H15" s="235"/>
    </row>
    <row r="16" ht="14.25" customHeight="1">
      <c r="B16" s="236" t="s">
        <v>92</v>
      </c>
      <c r="C16" s="237">
        <v>166230.0</v>
      </c>
      <c r="D16" s="237"/>
      <c r="E16" s="237"/>
      <c r="F16" s="237"/>
      <c r="G16" s="238">
        <f t="shared" si="1"/>
        <v>166230</v>
      </c>
      <c r="H16" s="235"/>
    </row>
    <row r="17" ht="14.25" customHeight="1">
      <c r="B17" s="236" t="s">
        <v>151</v>
      </c>
      <c r="C17" s="237">
        <v>7800942.0</v>
      </c>
      <c r="D17" s="240"/>
      <c r="E17" s="237"/>
      <c r="F17" s="237"/>
      <c r="G17" s="238">
        <f t="shared" si="1"/>
        <v>7800942</v>
      </c>
      <c r="H17" s="235"/>
    </row>
    <row r="18" ht="14.25" customHeight="1">
      <c r="B18" s="236" t="s">
        <v>94</v>
      </c>
      <c r="C18" s="237">
        <v>270124.0</v>
      </c>
      <c r="D18" s="237"/>
      <c r="E18" s="237"/>
      <c r="F18" s="237"/>
      <c r="G18" s="238">
        <f t="shared" si="1"/>
        <v>270124</v>
      </c>
      <c r="H18" s="235"/>
    </row>
    <row r="19" ht="14.25" customHeight="1">
      <c r="B19" s="236" t="s">
        <v>95</v>
      </c>
      <c r="C19" s="237">
        <v>106862.0</v>
      </c>
      <c r="D19" s="237"/>
      <c r="E19" s="237"/>
      <c r="F19" s="237"/>
      <c r="G19" s="238">
        <f t="shared" si="1"/>
        <v>106862</v>
      </c>
      <c r="H19" s="235"/>
    </row>
    <row r="20" ht="14.25" customHeight="1">
      <c r="B20" s="236" t="s">
        <v>96</v>
      </c>
      <c r="C20" s="237">
        <v>1009254.0</v>
      </c>
      <c r="D20" s="237">
        <v>1009254.0</v>
      </c>
      <c r="E20" s="237"/>
      <c r="F20" s="237"/>
      <c r="G20" s="238">
        <f t="shared" si="1"/>
        <v>0</v>
      </c>
      <c r="H20" s="235"/>
    </row>
    <row r="21" ht="14.25" customHeight="1">
      <c r="B21" s="236" t="s">
        <v>97</v>
      </c>
      <c r="C21" s="237">
        <v>1641522.0</v>
      </c>
      <c r="D21" s="237"/>
      <c r="E21" s="237"/>
      <c r="F21" s="237"/>
      <c r="G21" s="238">
        <f t="shared" si="1"/>
        <v>1641522</v>
      </c>
      <c r="H21" s="235"/>
    </row>
    <row r="22" ht="14.25" customHeight="1">
      <c r="B22" s="236" t="s">
        <v>98</v>
      </c>
      <c r="C22" s="237">
        <v>130609.0</v>
      </c>
      <c r="D22" s="237">
        <v>130609.0</v>
      </c>
      <c r="E22" s="237"/>
      <c r="F22" s="237"/>
      <c r="G22" s="238">
        <f t="shared" si="1"/>
        <v>0</v>
      </c>
      <c r="H22" s="235"/>
    </row>
    <row r="23" ht="14.25" customHeight="1">
      <c r="B23" s="236" t="s">
        <v>99</v>
      </c>
      <c r="C23" s="237">
        <v>1237821.0</v>
      </c>
      <c r="D23" s="237"/>
      <c r="E23" s="237"/>
      <c r="F23" s="237"/>
      <c r="G23" s="238">
        <f t="shared" si="1"/>
        <v>1237821</v>
      </c>
      <c r="H23" s="235"/>
    </row>
    <row r="24" ht="14.25" customHeight="1">
      <c r="B24" s="236" t="s">
        <v>152</v>
      </c>
      <c r="C24" s="237">
        <v>1.281753E7</v>
      </c>
      <c r="D24" s="237"/>
      <c r="E24" s="237"/>
      <c r="F24" s="237"/>
      <c r="G24" s="238">
        <f t="shared" si="1"/>
        <v>12817530</v>
      </c>
      <c r="H24" s="235"/>
    </row>
    <row r="25" ht="14.25" customHeight="1">
      <c r="B25" s="236" t="s">
        <v>153</v>
      </c>
      <c r="C25" s="237">
        <v>1.8139862E7</v>
      </c>
      <c r="D25" s="237"/>
      <c r="E25" s="237"/>
      <c r="F25" s="237"/>
      <c r="G25" s="238">
        <f t="shared" si="1"/>
        <v>18139862</v>
      </c>
      <c r="H25" s="235"/>
      <c r="I25" s="216"/>
      <c r="J25" s="216" t="s">
        <v>162</v>
      </c>
      <c r="M25" s="216">
        <f>I25*20%</f>
        <v>0</v>
      </c>
      <c r="N25" s="241" t="s">
        <v>163</v>
      </c>
    </row>
    <row r="26" ht="14.25" customHeight="1">
      <c r="B26" s="236" t="s">
        <v>102</v>
      </c>
      <c r="C26" s="237">
        <v>964728.0</v>
      </c>
      <c r="D26" s="237">
        <v>964728.0</v>
      </c>
      <c r="E26" s="237"/>
      <c r="F26" s="237"/>
      <c r="G26" s="238">
        <f t="shared" si="1"/>
        <v>0</v>
      </c>
      <c r="H26" s="235"/>
    </row>
    <row r="27" ht="14.25" customHeight="1">
      <c r="B27" s="236" t="s">
        <v>103</v>
      </c>
      <c r="C27" s="237">
        <v>2968.0</v>
      </c>
      <c r="D27" s="237">
        <v>2968.0</v>
      </c>
      <c r="E27" s="237"/>
      <c r="F27" s="237"/>
      <c r="G27" s="238">
        <f t="shared" si="1"/>
        <v>0</v>
      </c>
      <c r="H27" s="235"/>
      <c r="M27" s="216"/>
    </row>
    <row r="28" ht="14.25" customHeight="1">
      <c r="B28" s="236" t="s">
        <v>104</v>
      </c>
      <c r="C28" s="237">
        <v>676794.0</v>
      </c>
      <c r="D28" s="237">
        <v>676794.0</v>
      </c>
      <c r="E28" s="237"/>
      <c r="F28" s="237"/>
      <c r="G28" s="238">
        <f t="shared" si="1"/>
        <v>0</v>
      </c>
      <c r="H28" s="235"/>
      <c r="J28" s="235">
        <f>E25+'YR2022'!D24+'YR2021'!D24</f>
        <v>8569769</v>
      </c>
    </row>
    <row r="29" ht="14.25" customHeight="1">
      <c r="B29" s="236" t="s">
        <v>105</v>
      </c>
      <c r="C29" s="237">
        <v>106862.0</v>
      </c>
      <c r="D29" s="237"/>
      <c r="E29" s="237"/>
      <c r="F29" s="237"/>
      <c r="G29" s="238">
        <f t="shared" si="1"/>
        <v>106862</v>
      </c>
      <c r="H29" s="235"/>
    </row>
    <row r="30" ht="14.25" customHeight="1">
      <c r="B30" s="236" t="s">
        <v>154</v>
      </c>
      <c r="C30" s="237">
        <v>1303125.0</v>
      </c>
      <c r="D30" s="237">
        <v>1303125.0</v>
      </c>
      <c r="E30" s="237"/>
      <c r="F30" s="237"/>
      <c r="G30" s="238">
        <f t="shared" si="1"/>
        <v>0</v>
      </c>
      <c r="H30" s="235"/>
    </row>
    <row r="31" ht="14.25" customHeight="1">
      <c r="B31" s="236" t="s">
        <v>107</v>
      </c>
      <c r="C31" s="237">
        <v>1665270.0</v>
      </c>
      <c r="D31" s="237"/>
      <c r="E31" s="237"/>
      <c r="F31" s="237"/>
      <c r="G31" s="238">
        <f t="shared" si="1"/>
        <v>1665270</v>
      </c>
      <c r="H31" s="235"/>
    </row>
    <row r="32" ht="14.25" customHeight="1">
      <c r="B32" s="236" t="s">
        <v>108</v>
      </c>
      <c r="C32" s="237">
        <v>9466212.0</v>
      </c>
      <c r="D32" s="237">
        <v>9466212.0</v>
      </c>
      <c r="E32" s="237"/>
      <c r="F32" s="237"/>
      <c r="G32" s="238">
        <f t="shared" si="1"/>
        <v>0</v>
      </c>
      <c r="H32" s="235"/>
    </row>
    <row r="33" ht="14.25" customHeight="1">
      <c r="B33" s="236" t="s">
        <v>155</v>
      </c>
      <c r="C33" s="237">
        <v>2.3845117E7</v>
      </c>
      <c r="D33" s="237"/>
      <c r="E33" s="237"/>
      <c r="F33" s="237"/>
      <c r="G33" s="238">
        <f t="shared" si="1"/>
        <v>23845117</v>
      </c>
      <c r="H33" s="235"/>
    </row>
    <row r="34" ht="14.25" customHeight="1">
      <c r="B34" s="236" t="s">
        <v>110</v>
      </c>
      <c r="C34" s="237">
        <v>394797.0</v>
      </c>
      <c r="D34" s="237"/>
      <c r="E34" s="237"/>
      <c r="F34" s="237"/>
      <c r="G34" s="238">
        <f t="shared" si="1"/>
        <v>394797</v>
      </c>
      <c r="H34" s="235"/>
    </row>
    <row r="35" ht="14.25" customHeight="1">
      <c r="B35" s="236" t="s">
        <v>112</v>
      </c>
      <c r="C35" s="237">
        <v>148420.0</v>
      </c>
      <c r="D35" s="237">
        <v>148420.0</v>
      </c>
      <c r="E35" s="237"/>
      <c r="F35" s="237"/>
      <c r="G35" s="238">
        <f t="shared" si="1"/>
        <v>0</v>
      </c>
      <c r="H35" s="235"/>
    </row>
    <row r="36" ht="14.25" customHeight="1">
      <c r="B36" s="236" t="s">
        <v>113</v>
      </c>
      <c r="C36" s="237">
        <v>29684.0</v>
      </c>
      <c r="D36" s="237">
        <v>29684.0</v>
      </c>
      <c r="E36" s="237"/>
      <c r="F36" s="237"/>
      <c r="G36" s="238">
        <f t="shared" si="1"/>
        <v>0</v>
      </c>
      <c r="H36" s="235"/>
    </row>
    <row r="37" ht="14.25" customHeight="1">
      <c r="B37" s="236" t="s">
        <v>114</v>
      </c>
      <c r="C37" s="237">
        <v>228566.0</v>
      </c>
      <c r="D37" s="237"/>
      <c r="E37" s="237"/>
      <c r="F37" s="237"/>
      <c r="G37" s="238">
        <f t="shared" si="1"/>
        <v>228566</v>
      </c>
      <c r="H37" s="235"/>
    </row>
    <row r="38" ht="14.25" customHeight="1">
      <c r="B38" s="236" t="s">
        <v>115</v>
      </c>
      <c r="C38" s="237">
        <v>201851.0</v>
      </c>
      <c r="D38" s="237"/>
      <c r="E38" s="237"/>
      <c r="F38" s="237"/>
      <c r="G38" s="238">
        <f t="shared" si="1"/>
        <v>201851</v>
      </c>
      <c r="H38" s="235"/>
    </row>
    <row r="39" ht="14.25" customHeight="1">
      <c r="B39" s="236" t="s">
        <v>116</v>
      </c>
      <c r="C39" s="237">
        <v>56400.0</v>
      </c>
      <c r="D39" s="237"/>
      <c r="E39" s="237"/>
      <c r="F39" s="237"/>
      <c r="G39" s="238">
        <f t="shared" si="1"/>
        <v>56400</v>
      </c>
      <c r="H39" s="235"/>
    </row>
    <row r="40" ht="14.25" customHeight="1">
      <c r="B40" s="236" t="s">
        <v>117</v>
      </c>
      <c r="C40" s="237">
        <v>32652.0</v>
      </c>
      <c r="D40" s="237">
        <v>32652.0</v>
      </c>
      <c r="E40" s="237"/>
      <c r="F40" s="237"/>
      <c r="G40" s="238">
        <f t="shared" si="1"/>
        <v>0</v>
      </c>
      <c r="H40" s="235"/>
    </row>
    <row r="41" ht="14.25" customHeight="1">
      <c r="B41" s="236" t="s">
        <v>118</v>
      </c>
      <c r="C41" s="237">
        <v>4087480.0</v>
      </c>
      <c r="D41" s="237"/>
      <c r="E41" s="237"/>
      <c r="F41" s="237"/>
      <c r="G41" s="238">
        <f t="shared" si="1"/>
        <v>4087480</v>
      </c>
      <c r="H41" s="235"/>
    </row>
    <row r="42" ht="14.25" customHeight="1">
      <c r="B42" s="236" t="s">
        <v>119</v>
      </c>
      <c r="C42" s="237">
        <v>917234.0</v>
      </c>
      <c r="D42" s="237"/>
      <c r="E42" s="237"/>
      <c r="F42" s="237"/>
      <c r="G42" s="238">
        <f t="shared" si="1"/>
        <v>917234</v>
      </c>
      <c r="H42" s="235"/>
    </row>
    <row r="43" ht="14.25" customHeight="1">
      <c r="B43" s="236" t="s">
        <v>120</v>
      </c>
      <c r="C43" s="237">
        <v>2015540.0</v>
      </c>
      <c r="D43" s="237"/>
      <c r="E43" s="237"/>
      <c r="F43" s="237"/>
      <c r="G43" s="238">
        <f t="shared" si="1"/>
        <v>2015540</v>
      </c>
      <c r="H43" s="235"/>
    </row>
    <row r="44" ht="14.25" customHeight="1">
      <c r="B44" s="236" t="s">
        <v>122</v>
      </c>
      <c r="C44" s="237">
        <v>2484547.0</v>
      </c>
      <c r="D44" s="237">
        <v>2484547.0</v>
      </c>
      <c r="E44" s="237"/>
      <c r="F44" s="237"/>
      <c r="G44" s="238">
        <f t="shared" si="1"/>
        <v>0</v>
      </c>
      <c r="H44" s="235"/>
    </row>
    <row r="45" ht="14.25" customHeight="1">
      <c r="B45" s="236" t="s">
        <v>123</v>
      </c>
      <c r="C45" s="237">
        <v>1047843.0</v>
      </c>
      <c r="D45" s="237">
        <v>1047843.0</v>
      </c>
      <c r="E45" s="237"/>
      <c r="F45" s="237"/>
      <c r="G45" s="238">
        <f t="shared" si="1"/>
        <v>0</v>
      </c>
      <c r="H45" s="235"/>
    </row>
    <row r="46" ht="14.25" customHeight="1">
      <c r="B46" s="236" t="s">
        <v>124</v>
      </c>
      <c r="C46" s="237">
        <v>926139.0</v>
      </c>
      <c r="D46" s="237"/>
      <c r="E46" s="237"/>
      <c r="F46" s="237"/>
      <c r="G46" s="238">
        <f t="shared" si="1"/>
        <v>926139</v>
      </c>
      <c r="H46" s="235"/>
    </row>
    <row r="47" ht="14.25" customHeight="1">
      <c r="B47" s="236" t="s">
        <v>125</v>
      </c>
      <c r="C47" s="237">
        <v>5539025.0</v>
      </c>
      <c r="D47" s="237">
        <v>1500000.0</v>
      </c>
      <c r="E47" s="237"/>
      <c r="F47" s="237"/>
      <c r="G47" s="238">
        <f t="shared" si="1"/>
        <v>4039025</v>
      </c>
      <c r="H47" s="235"/>
    </row>
    <row r="48" ht="14.25" customHeight="1">
      <c r="B48" s="236" t="s">
        <v>126</v>
      </c>
      <c r="C48" s="237">
        <v>5937.0</v>
      </c>
      <c r="D48" s="237">
        <v>5937.0</v>
      </c>
      <c r="E48" s="237"/>
      <c r="F48" s="237"/>
      <c r="G48" s="238">
        <f t="shared" si="1"/>
        <v>0</v>
      </c>
      <c r="H48" s="235"/>
    </row>
    <row r="49" ht="14.25" customHeight="1">
      <c r="B49" s="236" t="s">
        <v>128</v>
      </c>
      <c r="C49" s="237">
        <v>460101.0</v>
      </c>
      <c r="D49" s="237">
        <v>460101.0</v>
      </c>
      <c r="E49" s="237"/>
      <c r="F49" s="237"/>
      <c r="G49" s="238">
        <f t="shared" si="1"/>
        <v>0</v>
      </c>
      <c r="H49" s="235"/>
    </row>
    <row r="50" ht="14.25" customHeight="1">
      <c r="B50" s="236" t="s">
        <v>129</v>
      </c>
      <c r="C50" s="237">
        <v>234503.0</v>
      </c>
      <c r="D50" s="237"/>
      <c r="E50" s="237"/>
      <c r="F50" s="237"/>
      <c r="G50" s="238">
        <f t="shared" si="1"/>
        <v>234503</v>
      </c>
      <c r="H50" s="235"/>
    </row>
    <row r="51" ht="14.25" customHeight="1">
      <c r="B51" s="236" t="s">
        <v>131</v>
      </c>
      <c r="C51" s="237">
        <v>6334555.0</v>
      </c>
      <c r="D51" s="237">
        <v>6334555.0</v>
      </c>
      <c r="E51" s="237"/>
      <c r="F51" s="237"/>
      <c r="G51" s="238">
        <f t="shared" si="1"/>
        <v>0</v>
      </c>
      <c r="H51" s="235"/>
    </row>
    <row r="52" ht="14.25" customHeight="1">
      <c r="B52" s="236" t="s">
        <v>156</v>
      </c>
      <c r="C52" s="237">
        <v>2585472.0</v>
      </c>
      <c r="D52" s="237">
        <v>2585472.0</v>
      </c>
      <c r="E52" s="237"/>
      <c r="F52" s="237"/>
      <c r="G52" s="238">
        <f t="shared" si="1"/>
        <v>0</v>
      </c>
      <c r="H52" s="235"/>
    </row>
    <row r="53" ht="14.25" customHeight="1">
      <c r="B53" s="236" t="s">
        <v>133</v>
      </c>
      <c r="C53" s="237">
        <v>3366160.0</v>
      </c>
      <c r="D53" s="237">
        <v>3366160.0</v>
      </c>
      <c r="E53" s="237"/>
      <c r="F53" s="237"/>
      <c r="G53" s="238">
        <f t="shared" si="1"/>
        <v>0</v>
      </c>
      <c r="H53" s="235"/>
    </row>
    <row r="54" ht="18.0" customHeight="1">
      <c r="B54" s="236" t="s">
        <v>134</v>
      </c>
      <c r="C54" s="237">
        <v>8905.0</v>
      </c>
      <c r="D54" s="237"/>
      <c r="E54" s="237"/>
      <c r="F54" s="237"/>
      <c r="G54" s="238">
        <f t="shared" si="1"/>
        <v>8905</v>
      </c>
      <c r="H54" s="235"/>
    </row>
    <row r="55" ht="14.25" customHeight="1">
      <c r="B55" s="236" t="s">
        <v>136</v>
      </c>
      <c r="C55" s="237">
        <v>166230.0</v>
      </c>
      <c r="D55" s="237"/>
      <c r="E55" s="237"/>
      <c r="F55" s="237"/>
      <c r="G55" s="238">
        <f t="shared" si="1"/>
        <v>166230</v>
      </c>
      <c r="H55" s="235"/>
    </row>
    <row r="56" ht="14.25" customHeight="1">
      <c r="B56" s="236" t="s">
        <v>138</v>
      </c>
      <c r="C56" s="237">
        <v>1.2986728E7</v>
      </c>
      <c r="D56" s="237"/>
      <c r="E56" s="237"/>
      <c r="F56" s="237"/>
      <c r="G56" s="238">
        <f t="shared" si="1"/>
        <v>12986728</v>
      </c>
      <c r="H56" s="235"/>
    </row>
    <row r="57" ht="14.25" customHeight="1">
      <c r="B57" s="236" t="s">
        <v>139</v>
      </c>
      <c r="C57" s="237">
        <v>3.8544E7</v>
      </c>
      <c r="D57" s="237">
        <f>88012896-49468896</f>
        <v>38544000</v>
      </c>
      <c r="E57" s="237"/>
      <c r="F57" s="237"/>
      <c r="G57" s="238">
        <f t="shared" si="1"/>
        <v>0</v>
      </c>
      <c r="H57" s="235"/>
      <c r="I57" s="242"/>
      <c r="J57" s="242"/>
      <c r="K57" s="242"/>
    </row>
    <row r="58" ht="14.25" customHeight="1">
      <c r="B58" s="243" t="s">
        <v>140</v>
      </c>
      <c r="C58" s="244">
        <v>80147.0</v>
      </c>
      <c r="D58" s="244"/>
      <c r="E58" s="244"/>
      <c r="F58" s="244"/>
      <c r="G58" s="245">
        <f t="shared" si="1"/>
        <v>80147</v>
      </c>
      <c r="H58" s="235"/>
    </row>
    <row r="59" ht="14.25" customHeight="1">
      <c r="B59" s="246" t="s">
        <v>143</v>
      </c>
      <c r="C59" s="247">
        <f t="shared" ref="C59:G59" si="2">SUM(C10:C58)</f>
        <v>175199999</v>
      </c>
      <c r="D59" s="247">
        <f t="shared" si="2"/>
        <v>80791284.17</v>
      </c>
      <c r="E59" s="247">
        <f t="shared" si="2"/>
        <v>0</v>
      </c>
      <c r="F59" s="248">
        <f t="shared" si="2"/>
        <v>0</v>
      </c>
      <c r="G59" s="249">
        <f t="shared" si="2"/>
        <v>94408714.83</v>
      </c>
      <c r="H59" s="235"/>
      <c r="I59" s="250">
        <f>D59/C59</f>
        <v>0.4611374693</v>
      </c>
    </row>
    <row r="60" ht="14.25" customHeight="1">
      <c r="B60" s="251" t="s">
        <v>157</v>
      </c>
      <c r="C60" s="252"/>
      <c r="D60" s="252"/>
      <c r="E60" s="252"/>
      <c r="F60" s="252"/>
      <c r="G60" s="253">
        <f>C60-D60-E60-F60</f>
        <v>0</v>
      </c>
      <c r="H60" s="235"/>
    </row>
    <row r="61" ht="14.25" customHeight="1">
      <c r="B61" s="254" t="s">
        <v>158</v>
      </c>
      <c r="C61" s="255">
        <f t="shared" ref="C61:G61" si="3">C59+C60</f>
        <v>175199999</v>
      </c>
      <c r="D61" s="255">
        <f t="shared" si="3"/>
        <v>80791284.17</v>
      </c>
      <c r="E61" s="255">
        <f t="shared" si="3"/>
        <v>0</v>
      </c>
      <c r="F61" s="256">
        <f t="shared" si="3"/>
        <v>0</v>
      </c>
      <c r="G61" s="257">
        <f t="shared" si="3"/>
        <v>94408714.83</v>
      </c>
      <c r="H61" s="235"/>
      <c r="J61" s="258"/>
    </row>
    <row r="62" ht="14.25" customHeight="1">
      <c r="B62" s="259"/>
      <c r="C62" s="260"/>
      <c r="D62" s="260"/>
      <c r="E62" s="260"/>
      <c r="F62" s="260"/>
      <c r="G62" s="260"/>
      <c r="H62" s="235"/>
    </row>
    <row r="63" ht="14.25" customHeight="1">
      <c r="B63" s="259"/>
      <c r="C63" s="260"/>
      <c r="D63" s="260"/>
      <c r="E63" s="260"/>
      <c r="F63" s="260"/>
      <c r="G63" s="260"/>
      <c r="H63" s="235"/>
    </row>
    <row r="64" ht="14.25" customHeight="1">
      <c r="B64" s="261" t="s">
        <v>159</v>
      </c>
      <c r="C64" s="262">
        <f t="shared" ref="C64:D64" si="4">C13+C14+C16+C20+C22+C28+C34+C37+C44+C47+C49+C50+C54+C55+C58</f>
        <v>11790464</v>
      </c>
      <c r="D64" s="262">
        <f t="shared" si="4"/>
        <v>6261305</v>
      </c>
      <c r="E64" s="262">
        <f t="shared" ref="E64:F64" si="5">E13+E14+E16+E20+E22+E27+E35+E37+E44+E47+E49+E50+E54+E55+E58</f>
        <v>0</v>
      </c>
      <c r="F64" s="263">
        <f t="shared" si="5"/>
        <v>0</v>
      </c>
      <c r="G64" s="264">
        <f>C64-D64-E64-F64</f>
        <v>5529159</v>
      </c>
      <c r="H64" s="235"/>
    </row>
    <row r="65" ht="14.25" customHeight="1">
      <c r="B65" s="235"/>
      <c r="C65" s="235"/>
      <c r="D65" s="235"/>
      <c r="E65" s="235"/>
      <c r="F65" s="235"/>
      <c r="G65" s="235"/>
      <c r="H65" s="235"/>
    </row>
    <row r="66" ht="14.25" customHeight="1">
      <c r="B66" s="235"/>
      <c r="C66" s="235"/>
      <c r="D66" s="235"/>
      <c r="E66" s="235"/>
      <c r="F66" s="235"/>
      <c r="G66" s="235"/>
      <c r="H66" s="235"/>
    </row>
    <row r="67" ht="14.25" customHeight="1">
      <c r="B67" s="235"/>
      <c r="C67" s="235"/>
      <c r="D67" s="235"/>
      <c r="E67" s="235"/>
      <c r="F67" s="235"/>
      <c r="G67" s="235"/>
      <c r="H67" s="235"/>
    </row>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B1:C1"/>
    <mergeCell ref="B5:G5"/>
    <mergeCell ref="B6:G6"/>
    <mergeCell ref="B7:G7"/>
  </mergeCells>
  <printOptions horizontalCentered="1"/>
  <pageMargins bottom="0.1968503937007874" footer="0.0" header="0.0" left="0.11811023622047245" right="0.11811023622047245" top="0.2755905511811024"/>
  <pageSetup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13.71"/>
    <col customWidth="1" min="8" max="8" width="14.29"/>
    <col customWidth="1" min="9" max="26" width="8.71"/>
  </cols>
  <sheetData>
    <row r="1" ht="14.25" customHeight="1">
      <c r="A1" s="217" t="str">
        <f>[1]Status!C1</f>
        <v>#ERROR!</v>
      </c>
      <c r="C1" s="218"/>
      <c r="D1" s="218"/>
      <c r="E1" s="218"/>
      <c r="F1" s="218"/>
      <c r="H1" s="216"/>
    </row>
    <row r="2" ht="14.25" customHeight="1">
      <c r="A2" s="217" t="s">
        <v>1</v>
      </c>
      <c r="B2" s="218"/>
      <c r="C2" s="218"/>
      <c r="D2" s="218"/>
      <c r="E2" s="218"/>
      <c r="F2" s="218"/>
      <c r="H2" s="216"/>
    </row>
    <row r="3" ht="14.25" customHeight="1">
      <c r="A3" s="221" t="s">
        <v>164</v>
      </c>
      <c r="B3" s="218"/>
      <c r="C3" s="218"/>
      <c r="D3" s="218"/>
      <c r="E3" s="218"/>
      <c r="F3" s="218"/>
      <c r="H3" s="216"/>
    </row>
    <row r="4" ht="14.25" customHeight="1">
      <c r="A4" s="222"/>
      <c r="B4" s="218"/>
      <c r="C4" s="218"/>
      <c r="D4" s="218"/>
      <c r="E4" s="218"/>
      <c r="F4" s="218"/>
      <c r="H4" s="216"/>
    </row>
    <row r="5" ht="22.5" customHeight="1">
      <c r="A5" s="223" t="s">
        <v>148</v>
      </c>
      <c r="H5" s="216"/>
    </row>
    <row r="6" ht="14.25" customHeight="1">
      <c r="A6" s="224" t="s">
        <v>165</v>
      </c>
      <c r="H6" s="216"/>
    </row>
    <row r="7" ht="14.25" customHeight="1">
      <c r="A7" s="225" t="str">
        <f>[1]Status!A6</f>
        <v>#ERROR!</v>
      </c>
      <c r="H7" s="216"/>
    </row>
    <row r="8" ht="30.75" customHeight="1">
      <c r="A8" s="226" t="s">
        <v>79</v>
      </c>
      <c r="B8" s="227" t="s">
        <v>80</v>
      </c>
      <c r="C8" s="227" t="s">
        <v>81</v>
      </c>
      <c r="D8" s="228" t="s">
        <v>82</v>
      </c>
      <c r="E8" s="265" t="s">
        <v>83</v>
      </c>
      <c r="F8" s="229" t="s">
        <v>84</v>
      </c>
      <c r="H8" s="216"/>
    </row>
    <row r="9" ht="14.25" customHeight="1">
      <c r="A9" s="266" t="s">
        <v>86</v>
      </c>
      <c r="B9" s="267">
        <f>'YR2021'!B9+'YR2022'!B9+'YR2023'!B9</f>
        <v>38976</v>
      </c>
      <c r="C9" s="268">
        <f>'YR2021'!C9+'YR2022'!C9+'YR2023'!C9</f>
        <v>38976</v>
      </c>
      <c r="D9" s="269">
        <f>'YR2021'!D9+'YR2022'!D9</f>
        <v>0</v>
      </c>
      <c r="E9" s="267"/>
      <c r="F9" s="270">
        <f t="shared" ref="F9:F57" si="1">B9-C9-D9-E9</f>
        <v>0</v>
      </c>
    </row>
    <row r="10" ht="14.25" customHeight="1">
      <c r="A10" s="243" t="s">
        <v>150</v>
      </c>
      <c r="B10" s="271">
        <f>'YR2021'!B10+'YR2022'!B10+'YR2023'!B10</f>
        <v>17227482</v>
      </c>
      <c r="C10" s="271">
        <f>'YR2021'!C10+'YR2022'!C10+'YR2023'!C10</f>
        <v>16675094</v>
      </c>
      <c r="D10" s="240">
        <f>'YR2021'!D10+'YR2022'!D10+'YR2023'!D10</f>
        <v>552388</v>
      </c>
      <c r="E10" s="240"/>
      <c r="F10" s="245">
        <f t="shared" si="1"/>
        <v>0</v>
      </c>
    </row>
    <row r="11" ht="14.25" customHeight="1">
      <c r="A11" s="236" t="s">
        <v>88</v>
      </c>
      <c r="B11" s="240">
        <f>'YR2021'!B11+'YR2022'!B11+'YR2023'!B11</f>
        <v>5277378</v>
      </c>
      <c r="C11" s="240">
        <f>'YR2021'!C11+'YR2022'!C11+'YR2023'!C11</f>
        <v>4590376.47</v>
      </c>
      <c r="D11" s="272">
        <f>'YR2021'!D11+'YR2022'!D11+'YR2023'!D11</f>
        <v>391833</v>
      </c>
      <c r="E11" s="273"/>
      <c r="F11" s="238">
        <f t="shared" si="1"/>
        <v>295168.53</v>
      </c>
    </row>
    <row r="12" ht="14.25" customHeight="1">
      <c r="A12" s="274" t="s">
        <v>89</v>
      </c>
      <c r="B12" s="231">
        <f>'YR2021'!B12+'YR2022'!B12+'YR2023'!B12</f>
        <v>381967</v>
      </c>
      <c r="C12" s="231">
        <f>'YR2021'!C12+'YR2022'!C12+'YR2023'!C12</f>
        <v>0</v>
      </c>
      <c r="D12" s="272">
        <f>'YR2021'!D12+'YR2022'!D12</f>
        <v>0</v>
      </c>
      <c r="E12" s="273"/>
      <c r="F12" s="234">
        <f t="shared" si="1"/>
        <v>381967</v>
      </c>
    </row>
    <row r="13" ht="14.25" customHeight="1">
      <c r="A13" s="236" t="s">
        <v>90</v>
      </c>
      <c r="B13" s="237">
        <f>'YR2021'!B13+'YR2022'!B13+'YR2023'!B13</f>
        <v>381967</v>
      </c>
      <c r="C13" s="237">
        <f>'YR2021'!C13+'YR2022'!C13+'YR2023'!C13</f>
        <v>384309</v>
      </c>
      <c r="D13" s="272">
        <f>'YR2021'!D13+'YR2022'!D13</f>
        <v>0</v>
      </c>
      <c r="E13" s="273"/>
      <c r="F13" s="238">
        <f t="shared" si="1"/>
        <v>-2342</v>
      </c>
    </row>
    <row r="14" ht="14.25" customHeight="1">
      <c r="A14" s="266" t="s">
        <v>91</v>
      </c>
      <c r="B14" s="275">
        <f>'YR2021'!B14+'YR2022'!B14+'YR2023'!B14</f>
        <v>6399893</v>
      </c>
      <c r="C14" s="275">
        <f>'YR2021'!C14+'YR2022'!C14+'YR2023'!C14</f>
        <v>6399893</v>
      </c>
      <c r="D14" s="240">
        <f>'YR2021'!D14+'YR2022'!D14</f>
        <v>0</v>
      </c>
      <c r="E14" s="240"/>
      <c r="F14" s="270">
        <f t="shared" si="1"/>
        <v>0</v>
      </c>
    </row>
    <row r="15" ht="14.25" customHeight="1">
      <c r="A15" s="243" t="s">
        <v>92</v>
      </c>
      <c r="B15" s="244">
        <f>'YR2021'!B15+'YR2022'!B15+'YR2023'!B15</f>
        <v>358581</v>
      </c>
      <c r="C15" s="244">
        <f>'YR2021'!C15+'YR2022'!C15+'YR2023'!C15</f>
        <v>358581</v>
      </c>
      <c r="D15" s="272">
        <f>'YR2021'!D15+'YR2022'!D15</f>
        <v>0</v>
      </c>
      <c r="E15" s="273"/>
      <c r="F15" s="245">
        <f t="shared" si="1"/>
        <v>0</v>
      </c>
    </row>
    <row r="16" ht="14.25" customHeight="1">
      <c r="A16" s="236" t="s">
        <v>151</v>
      </c>
      <c r="B16" s="240">
        <f>'YR2021'!B16+'YR2022'!B16+'YR2023'!B16</f>
        <v>21312188</v>
      </c>
      <c r="C16" s="240">
        <f>'YR2021'!C16+'YR2022'!C16+'YR2023'!C16</f>
        <v>21211314.81</v>
      </c>
      <c r="D16" s="272">
        <f>'YR2021'!D16+'YR2022'!D16</f>
        <v>0</v>
      </c>
      <c r="E16" s="273"/>
      <c r="F16" s="276">
        <f t="shared" si="1"/>
        <v>100873.19</v>
      </c>
    </row>
    <row r="17" ht="14.25" customHeight="1">
      <c r="A17" s="230" t="s">
        <v>94</v>
      </c>
      <c r="B17" s="268">
        <f>'YR2021'!B17+'YR2022'!B17+'YR2023'!B17</f>
        <v>600234</v>
      </c>
      <c r="C17" s="268">
        <f>'YR2021'!C17+'YR2022'!C17+'YR2023'!C17</f>
        <v>600234</v>
      </c>
      <c r="D17" s="240">
        <f>'YR2021'!D17+'YR2022'!D17</f>
        <v>0</v>
      </c>
      <c r="E17" s="240"/>
      <c r="F17" s="234">
        <f t="shared" si="1"/>
        <v>0</v>
      </c>
    </row>
    <row r="18" ht="14.25" customHeight="1">
      <c r="A18" s="243" t="s">
        <v>95</v>
      </c>
      <c r="B18" s="271">
        <f>'YR2021'!B18+'YR2022'!B18+'YR2023'!B18</f>
        <v>280629</v>
      </c>
      <c r="C18" s="271">
        <f>'YR2021'!C18+'YR2022'!C18+'YR2023'!C18</f>
        <v>280629.02</v>
      </c>
      <c r="D18" s="240">
        <f>'YR2021'!D18+'YR2022'!D18</f>
        <v>0</v>
      </c>
      <c r="E18" s="240"/>
      <c r="F18" s="245">
        <f t="shared" si="1"/>
        <v>-0.02000000002</v>
      </c>
    </row>
    <row r="19" ht="14.25" customHeight="1">
      <c r="A19" s="236" t="s">
        <v>96</v>
      </c>
      <c r="B19" s="237">
        <f>'YR2021'!B19+'YR2022'!B19+'YR2023'!B19</f>
        <v>2424320</v>
      </c>
      <c r="C19" s="237">
        <f>'YR2021'!C19+'YR2022'!C19+'YR2023'!C19</f>
        <v>2424320</v>
      </c>
      <c r="D19" s="272">
        <f>'YR2021'!D19+'YR2022'!D19</f>
        <v>0</v>
      </c>
      <c r="E19" s="273"/>
      <c r="F19" s="238">
        <f t="shared" si="1"/>
        <v>0</v>
      </c>
    </row>
    <row r="20" ht="14.25" customHeight="1">
      <c r="A20" s="266" t="s">
        <v>97</v>
      </c>
      <c r="B20" s="275">
        <f>'YR2021'!B20+'YR2022'!B20+'YR2023'!B20</f>
        <v>4318563</v>
      </c>
      <c r="C20" s="275">
        <f>'YR2021'!C20+'YR2022'!C20+'YR2023'!C20</f>
        <v>4318563</v>
      </c>
      <c r="D20" s="240">
        <f>'YR2021'!D20+'YR2022'!D20</f>
        <v>0</v>
      </c>
      <c r="E20" s="240"/>
      <c r="F20" s="270">
        <f t="shared" si="1"/>
        <v>0</v>
      </c>
    </row>
    <row r="21" ht="14.25" customHeight="1">
      <c r="A21" s="243" t="s">
        <v>98</v>
      </c>
      <c r="B21" s="244">
        <f>'YR2021'!B21+'YR2022'!B21+'YR2023'!B21</f>
        <v>304014</v>
      </c>
      <c r="C21" s="244">
        <f>'YR2021'!C21+'YR2022'!C21+'YR2023'!C21</f>
        <v>304013.57</v>
      </c>
      <c r="D21" s="272">
        <f>'YR2021'!D21+'YR2022'!D21</f>
        <v>0</v>
      </c>
      <c r="E21" s="273"/>
      <c r="F21" s="245">
        <f t="shared" si="1"/>
        <v>0.43</v>
      </c>
    </row>
    <row r="22" ht="14.25" customHeight="1">
      <c r="A22" s="236" t="s">
        <v>99</v>
      </c>
      <c r="B22" s="240">
        <f>'YR2021'!B22+'YR2022'!B22+'YR2023'!B22</f>
        <v>3281796</v>
      </c>
      <c r="C22" s="240">
        <f>'YR2021'!C22+'YR2022'!C22+'YR2023'!C22</f>
        <v>3281795.8</v>
      </c>
      <c r="D22" s="272">
        <f>'YR2021'!D22+'YR2022'!D22</f>
        <v>0</v>
      </c>
      <c r="E22" s="273"/>
      <c r="F22" s="238">
        <f t="shared" si="1"/>
        <v>0.2000000002</v>
      </c>
    </row>
    <row r="23" ht="14.25" customHeight="1">
      <c r="A23" s="266" t="s">
        <v>152</v>
      </c>
      <c r="B23" s="275">
        <f>'YR2021'!B23+'YR2022'!B23+'YR2023'!B23</f>
        <v>34509531</v>
      </c>
      <c r="C23" s="275">
        <f>'YR2021'!C23+'YR2022'!C23+'YR2023'!C23</f>
        <v>33819417.27</v>
      </c>
      <c r="D23" s="240">
        <f>'YR2021'!D23+'YR2022'!D23+'YR2023'!D23</f>
        <v>690114</v>
      </c>
      <c r="E23" s="240"/>
      <c r="F23" s="270">
        <f t="shared" si="1"/>
        <v>-0.2699999958</v>
      </c>
    </row>
    <row r="24" ht="14.25" customHeight="1">
      <c r="A24" s="236" t="s">
        <v>153</v>
      </c>
      <c r="B24" s="240">
        <f>'YR2021'!B24+'YR2022'!B24+'YR2023'!B24</f>
        <v>47473016</v>
      </c>
      <c r="C24" s="240">
        <f>'YR2021'!C24+'YR2022'!C24+'YR2023'!C24</f>
        <v>37978412.55</v>
      </c>
      <c r="D24" s="272">
        <f>'YR2021'!D24+'YR2022'!D24+'YR2023'!D24</f>
        <v>9494603</v>
      </c>
      <c r="E24" s="273"/>
      <c r="F24" s="238">
        <f t="shared" si="1"/>
        <v>0.450000003</v>
      </c>
      <c r="H24" s="216"/>
    </row>
    <row r="25" ht="14.25" customHeight="1">
      <c r="A25" s="236" t="s">
        <v>102</v>
      </c>
      <c r="B25" s="240">
        <f>'YR2021'!B25+'YR2022'!B25+'YR2023'!B25</f>
        <v>2853058</v>
      </c>
      <c r="C25" s="240">
        <f>'YR2021'!C25+'YR2022'!C25+'YR2023'!C25</f>
        <v>2853058</v>
      </c>
      <c r="D25" s="272">
        <f>'YR2021'!D25+'YR2022'!D25</f>
        <v>0</v>
      </c>
      <c r="E25" s="273"/>
      <c r="F25" s="238">
        <f t="shared" si="1"/>
        <v>0</v>
      </c>
    </row>
    <row r="26" ht="14.25" customHeight="1">
      <c r="A26" s="266" t="s">
        <v>103</v>
      </c>
      <c r="B26" s="275">
        <f>'YR2021'!B26+'YR2022'!B26+'YR2023'!B26</f>
        <v>7795</v>
      </c>
      <c r="C26" s="275">
        <f>'YR2021'!C26+'YR2022'!C26+'YR2023'!C26</f>
        <v>7795</v>
      </c>
      <c r="D26" s="240">
        <f>'YR2021'!D26+'YR2022'!D26</f>
        <v>0</v>
      </c>
      <c r="E26" s="240"/>
      <c r="F26" s="270">
        <f t="shared" si="1"/>
        <v>0</v>
      </c>
    </row>
    <row r="27" ht="14.25" customHeight="1">
      <c r="A27" s="243" t="s">
        <v>104</v>
      </c>
      <c r="B27" s="244">
        <f>'YR2021'!B27+'YR2022'!B27+'YR2023'!B27</f>
        <v>1605820</v>
      </c>
      <c r="C27" s="244">
        <f>'YR2021'!C27+'YR2022'!C27+'YR2023'!C27</f>
        <v>1605820</v>
      </c>
      <c r="D27" s="272">
        <f>'YR2021'!D27+'YR2022'!D27</f>
        <v>0</v>
      </c>
      <c r="E27" s="273"/>
      <c r="F27" s="245">
        <f t="shared" si="1"/>
        <v>0</v>
      </c>
    </row>
    <row r="28" ht="14.25" customHeight="1">
      <c r="A28" s="236" t="s">
        <v>105</v>
      </c>
      <c r="B28" s="240">
        <f>'YR2021'!B28+'YR2022'!B28+'YR2023'!B28</f>
        <v>218267</v>
      </c>
      <c r="C28" s="240">
        <f>'YR2021'!C28+'YR2022'!C28+'YR2023'!C28</f>
        <v>0</v>
      </c>
      <c r="D28" s="272">
        <f>'YR2021'!D28+'YR2022'!E28</f>
        <v>0</v>
      </c>
      <c r="E28" s="273"/>
      <c r="F28" s="238">
        <f t="shared" si="1"/>
        <v>218267</v>
      </c>
    </row>
    <row r="29" ht="14.25" customHeight="1">
      <c r="A29" s="266" t="s">
        <v>154</v>
      </c>
      <c r="B29" s="275">
        <f>'YR2021'!B29+'YR2022'!B29+'YR2023'!B29</f>
        <v>2892034</v>
      </c>
      <c r="C29" s="275">
        <f>'YR2021'!C29+'YR2022'!C29+'YR2023'!C29</f>
        <v>2892034</v>
      </c>
      <c r="D29" s="240">
        <f>'YR2021'!D29+'YR2022'!D29</f>
        <v>0</v>
      </c>
      <c r="E29" s="240"/>
      <c r="F29" s="270">
        <f t="shared" si="1"/>
        <v>0</v>
      </c>
    </row>
    <row r="30" ht="14.25" customHeight="1">
      <c r="A30" s="236" t="s">
        <v>107</v>
      </c>
      <c r="B30" s="240">
        <f>'YR2021'!B30+'YR2022'!B30+'YR2023'!B30</f>
        <v>3819668</v>
      </c>
      <c r="C30" s="240">
        <f>'YR2021'!C30+'YR2022'!C30+'YR2023'!C30</f>
        <v>0</v>
      </c>
      <c r="D30" s="272">
        <f>'YR2021'!D30+'YR2022'!D30</f>
        <v>0</v>
      </c>
      <c r="E30" s="273"/>
      <c r="F30" s="238">
        <f t="shared" si="1"/>
        <v>3819668</v>
      </c>
    </row>
    <row r="31" ht="14.25" customHeight="1">
      <c r="A31" s="266" t="s">
        <v>108</v>
      </c>
      <c r="B31" s="275">
        <f>'YR2021'!B31+'YR2022'!B31+'YR2023'!B31</f>
        <v>25778861</v>
      </c>
      <c r="C31" s="275">
        <f>'YR2021'!C31+'YR2022'!C31+'YR2023'!C31</f>
        <v>25514021.43</v>
      </c>
      <c r="D31" s="240">
        <f>'YR2021'!D31+'YR2022'!D31+'YR2023'!D31</f>
        <v>264840</v>
      </c>
      <c r="E31" s="240"/>
      <c r="F31" s="270">
        <f t="shared" si="1"/>
        <v>-0.4299999997</v>
      </c>
    </row>
    <row r="32" ht="14.25" customHeight="1">
      <c r="A32" s="236" t="s">
        <v>155</v>
      </c>
      <c r="B32" s="240">
        <f>'YR2021'!B32+'YR2022'!B32+'YR2023'!B32</f>
        <v>66758442</v>
      </c>
      <c r="C32" s="240">
        <f>'YR2021'!C32+'YR2022'!C32+'YR2023'!C32</f>
        <v>66389610</v>
      </c>
      <c r="D32" s="272">
        <f>'YR2021'!D32+'YR2022'!D32+'YR2023'!D32</f>
        <v>368832</v>
      </c>
      <c r="E32" s="273"/>
      <c r="F32" s="238">
        <f t="shared" si="1"/>
        <v>0</v>
      </c>
      <c r="H32" s="216"/>
    </row>
    <row r="33" ht="14.25" customHeight="1">
      <c r="A33" s="230" t="s">
        <v>110</v>
      </c>
      <c r="B33" s="231">
        <f>'YR2021'!B33+'YR2022'!B33+'YR2023'!B33</f>
        <v>1387553</v>
      </c>
      <c r="C33" s="231">
        <f>'YR2021'!C33+'YR2022'!C33+'YR2023'!C33</f>
        <v>100000</v>
      </c>
      <c r="D33" s="272">
        <f>'YR2021'!D33+'YR2022'!D33</f>
        <v>0</v>
      </c>
      <c r="E33" s="273"/>
      <c r="F33" s="234">
        <f t="shared" si="1"/>
        <v>1287553</v>
      </c>
      <c r="H33" s="216"/>
    </row>
    <row r="34" ht="14.25" customHeight="1">
      <c r="A34" s="230" t="s">
        <v>112</v>
      </c>
      <c r="B34" s="268">
        <f>'YR2021'!B34+'YR2022'!B34+'YR2023'!B34</f>
        <v>366376</v>
      </c>
      <c r="C34" s="268">
        <f>'YR2021'!C34+'YR2022'!C34+'YR2023'!C34</f>
        <v>366376.4</v>
      </c>
      <c r="D34" s="240">
        <f>'YR2021'!D34+'YR2022'!D34</f>
        <v>0</v>
      </c>
      <c r="E34" s="240"/>
      <c r="F34" s="234">
        <f t="shared" si="1"/>
        <v>-0.4</v>
      </c>
      <c r="H34" s="216"/>
    </row>
    <row r="35" ht="14.25" customHeight="1">
      <c r="A35" s="243" t="s">
        <v>113</v>
      </c>
      <c r="B35" s="271">
        <f>'YR2021'!B35+'YR2022'!B35+'YR2023'!B35</f>
        <v>70157</v>
      </c>
      <c r="C35" s="271">
        <f>'YR2021'!C35+'YR2022'!C35+'YR2023'!C35</f>
        <v>70157</v>
      </c>
      <c r="D35" s="240">
        <f>'YR2021'!D35+'YR2022'!D35</f>
        <v>0</v>
      </c>
      <c r="E35" s="240"/>
      <c r="F35" s="245">
        <f t="shared" si="1"/>
        <v>0</v>
      </c>
      <c r="H35" s="216"/>
    </row>
    <row r="36" ht="14.25" customHeight="1">
      <c r="A36" s="243" t="s">
        <v>114</v>
      </c>
      <c r="B36" s="244">
        <f>'YR2021'!B36+'YR2022'!B36+'YR2023'!B36</f>
        <v>553462</v>
      </c>
      <c r="C36" s="244">
        <f>'YR2021'!C36+'YR2022'!C36+'YR2023'!C36</f>
        <v>553462.28</v>
      </c>
      <c r="D36" s="272">
        <f>'YR2021'!D36+'YR2022'!D36</f>
        <v>0</v>
      </c>
      <c r="E36" s="273"/>
      <c r="F36" s="245">
        <f t="shared" si="1"/>
        <v>-0.28</v>
      </c>
      <c r="H36" s="216"/>
    </row>
    <row r="37" ht="14.25" customHeight="1">
      <c r="A37" s="236" t="s">
        <v>115</v>
      </c>
      <c r="B37" s="240">
        <f>'YR2021'!B37+'YR2022'!B37+'YR2023'!B37</f>
        <v>522281</v>
      </c>
      <c r="C37" s="240">
        <f>'YR2021'!C37+'YR2022'!C37+'YR2023'!C37</f>
        <v>522281.36</v>
      </c>
      <c r="D37" s="272">
        <f>'YR2021'!D37+'YR2022'!D37</f>
        <v>0</v>
      </c>
      <c r="E37" s="273"/>
      <c r="F37" s="238">
        <f t="shared" si="1"/>
        <v>-0.36</v>
      </c>
      <c r="H37" s="216"/>
    </row>
    <row r="38" ht="14.25" customHeight="1">
      <c r="A38" s="236" t="s">
        <v>116</v>
      </c>
      <c r="B38" s="240">
        <f>'YR2021'!B38+'YR2022'!B38+'YR2023'!B38</f>
        <v>132519</v>
      </c>
      <c r="C38" s="240">
        <f>'YR2021'!C38+'YR2022'!C38+'YR2023'!C38</f>
        <v>0</v>
      </c>
      <c r="D38" s="272">
        <f>'YR2021'!D38+'YR2022'!D38</f>
        <v>0</v>
      </c>
      <c r="E38" s="273"/>
      <c r="F38" s="238">
        <f t="shared" si="1"/>
        <v>132519</v>
      </c>
      <c r="H38" s="216"/>
    </row>
    <row r="39" ht="14.25" customHeight="1">
      <c r="A39" s="230" t="s">
        <v>117</v>
      </c>
      <c r="B39" s="268">
        <f>'YR2021'!B39+'YR2022'!B39+'YR2023'!B39</f>
        <v>85748</v>
      </c>
      <c r="C39" s="268">
        <f>'YR2021'!C39+'YR2022'!C39+'YR2023'!C39</f>
        <v>85748</v>
      </c>
      <c r="D39" s="240">
        <f>'YR2021'!D39+'YR2022'!D39</f>
        <v>0</v>
      </c>
      <c r="E39" s="240"/>
      <c r="F39" s="234">
        <f t="shared" si="1"/>
        <v>0</v>
      </c>
      <c r="H39" s="216"/>
    </row>
    <row r="40" ht="14.25" customHeight="1">
      <c r="A40" s="236" t="s">
        <v>118</v>
      </c>
      <c r="B40" s="240">
        <f>'YR2021'!B40+'YR2022'!B40+'YR2023'!B40</f>
        <v>10570347</v>
      </c>
      <c r="C40" s="240">
        <f>'YR2021'!C40+'YR2022'!C40+'YR2023'!C40</f>
        <v>10570347</v>
      </c>
      <c r="D40" s="240">
        <f>'YR2021'!D40+'YR2022'!D40</f>
        <v>0</v>
      </c>
      <c r="E40" s="240"/>
      <c r="F40" s="238">
        <f t="shared" si="1"/>
        <v>0</v>
      </c>
      <c r="H40" s="216"/>
    </row>
    <row r="41" ht="14.25" customHeight="1">
      <c r="A41" s="236" t="s">
        <v>119</v>
      </c>
      <c r="B41" s="240">
        <f>'YR2021'!B41+'YR2022'!B41+'YR2023'!B41</f>
        <v>2268415</v>
      </c>
      <c r="C41" s="240">
        <f>'YR2021'!C41+'YR2022'!C41+'YR2023'!C41</f>
        <v>2268415</v>
      </c>
      <c r="D41" s="240">
        <f>'YR2021'!D41+'YR2022'!D41</f>
        <v>0</v>
      </c>
      <c r="E41" s="240"/>
      <c r="F41" s="238">
        <f t="shared" si="1"/>
        <v>0</v>
      </c>
      <c r="H41" s="216"/>
    </row>
    <row r="42" ht="14.25" customHeight="1">
      <c r="A42" s="243" t="s">
        <v>120</v>
      </c>
      <c r="B42" s="271">
        <f>'YR2021'!B42+'YR2022'!B42+'YR2023'!B42</f>
        <v>5877612</v>
      </c>
      <c r="C42" s="271">
        <f>'YR2021'!C42+'YR2022'!C42+'YR2023'!C42</f>
        <v>5877612</v>
      </c>
      <c r="D42" s="240">
        <f>'YR2021'!D42+'YR2022'!D42</f>
        <v>0</v>
      </c>
      <c r="E42" s="240"/>
      <c r="F42" s="245">
        <f t="shared" si="1"/>
        <v>0</v>
      </c>
      <c r="H42" s="216"/>
    </row>
    <row r="43" ht="14.25" customHeight="1">
      <c r="A43" s="236" t="s">
        <v>122</v>
      </c>
      <c r="B43" s="237">
        <f>'YR2021'!B43+'YR2022'!B43+'YR2023'!B43</f>
        <v>6251783</v>
      </c>
      <c r="C43" s="237">
        <f>'YR2021'!C43+'YR2022'!C43+'YR2023'!C43</f>
        <v>6251783.08</v>
      </c>
      <c r="D43" s="272">
        <f>'YR2021'!D43+'YR2022'!D43</f>
        <v>0</v>
      </c>
      <c r="E43" s="273"/>
      <c r="F43" s="238">
        <f t="shared" si="1"/>
        <v>-0.08000000007</v>
      </c>
      <c r="H43" s="216"/>
    </row>
    <row r="44" ht="14.25" customHeight="1">
      <c r="A44" s="266" t="s">
        <v>123</v>
      </c>
      <c r="B44" s="275">
        <f>'YR2021'!B44+'YR2022'!B44+'YR2023'!B44</f>
        <v>2728334</v>
      </c>
      <c r="C44" s="275">
        <f>'YR2021'!C44+'YR2022'!C44+'YR2023'!C44</f>
        <v>2728334</v>
      </c>
      <c r="D44" s="240">
        <f>'YR2021'!D44+'YR2022'!D44</f>
        <v>0</v>
      </c>
      <c r="E44" s="240"/>
      <c r="F44" s="270">
        <f t="shared" si="1"/>
        <v>0</v>
      </c>
      <c r="H44" s="216"/>
    </row>
    <row r="45" ht="14.25" customHeight="1">
      <c r="A45" s="236" t="s">
        <v>124</v>
      </c>
      <c r="B45" s="240">
        <f>'YR2021'!B45+'YR2022'!B45+'YR2023'!B45</f>
        <v>1543458</v>
      </c>
      <c r="C45" s="240">
        <f>'YR2021'!C45+'YR2022'!C45+'YR2023'!C45</f>
        <v>443942</v>
      </c>
      <c r="D45" s="272">
        <f>'YR2021'!D45+'YR2022'!D45</f>
        <v>0</v>
      </c>
      <c r="E45" s="273"/>
      <c r="F45" s="238">
        <f t="shared" si="1"/>
        <v>1099516</v>
      </c>
      <c r="H45" s="216"/>
    </row>
    <row r="46" ht="14.25" customHeight="1">
      <c r="A46" s="266" t="s">
        <v>125</v>
      </c>
      <c r="B46" s="277">
        <f>'YR2021'!B46+'YR2022'!B46+'YR2023'!B46</f>
        <v>18747554</v>
      </c>
      <c r="C46" s="277">
        <f>'YR2021'!C46+'YR2022'!C46+'YR2023'!C46</f>
        <v>1500000</v>
      </c>
      <c r="D46" s="272">
        <f>'YR2021'!D46+'YR2022'!D46</f>
        <v>0</v>
      </c>
      <c r="E46" s="273"/>
      <c r="F46" s="270">
        <f t="shared" si="1"/>
        <v>17247554</v>
      </c>
      <c r="H46" s="216"/>
    </row>
    <row r="47" ht="14.25" customHeight="1">
      <c r="A47" s="236" t="s">
        <v>126</v>
      </c>
      <c r="B47" s="240">
        <f>'YR2021'!B47+'YR2022'!B47+'YR2023'!B47</f>
        <v>15590</v>
      </c>
      <c r="C47" s="240">
        <f>'YR2021'!C47+'YR2022'!C47+'YR2023'!C47</f>
        <v>15591</v>
      </c>
      <c r="D47" s="272">
        <f>'YR2021'!D47+'YR2022'!D47</f>
        <v>0</v>
      </c>
      <c r="E47" s="273"/>
      <c r="F47" s="238">
        <f t="shared" si="1"/>
        <v>-1</v>
      </c>
      <c r="H47" s="216"/>
    </row>
    <row r="48" ht="14.25" customHeight="1">
      <c r="A48" s="230" t="s">
        <v>128</v>
      </c>
      <c r="B48" s="231">
        <f>'YR2021'!B48+'YR2022'!B48+'YR2023'!B48</f>
        <v>1192672</v>
      </c>
      <c r="C48" s="231">
        <f>'YR2021'!C48+'YR2022'!C48+'YR2023'!C48</f>
        <v>1192672.43</v>
      </c>
      <c r="D48" s="272">
        <f>'YR2021'!D48+'YR2022'!D48</f>
        <v>0</v>
      </c>
      <c r="E48" s="273"/>
      <c r="F48" s="234">
        <f t="shared" si="1"/>
        <v>-0.4299999999</v>
      </c>
      <c r="H48" s="216"/>
    </row>
    <row r="49" ht="14.25" customHeight="1">
      <c r="A49" s="236" t="s">
        <v>129</v>
      </c>
      <c r="B49" s="237">
        <f>'YR2021'!B49+'YR2022'!B49+'YR2023'!B49</f>
        <v>592438</v>
      </c>
      <c r="C49" s="237">
        <f>'YR2021'!C49+'YR2022'!C49+'YR2023'!C49</f>
        <v>592438.21</v>
      </c>
      <c r="D49" s="272">
        <f>'YR2021'!D49+'YR2022'!D49</f>
        <v>0</v>
      </c>
      <c r="E49" s="273"/>
      <c r="F49" s="238">
        <f t="shared" si="1"/>
        <v>-0.21</v>
      </c>
    </row>
    <row r="50" ht="14.25" customHeight="1">
      <c r="A50" s="230" t="s">
        <v>131</v>
      </c>
      <c r="B50" s="268">
        <f>'YR2021'!B50+'YR2022'!B50+'YR2023'!B50</f>
        <v>16728587</v>
      </c>
      <c r="C50" s="268">
        <f>'YR2021'!C50+'YR2022'!C50+'YR2023'!C50</f>
        <v>16728587</v>
      </c>
      <c r="D50" s="240">
        <f>'YR2021'!D50+'YR2022'!D50</f>
        <v>0</v>
      </c>
      <c r="E50" s="240"/>
      <c r="F50" s="234">
        <f t="shared" si="1"/>
        <v>0</v>
      </c>
    </row>
    <row r="51" ht="14.25" customHeight="1">
      <c r="A51" s="236" t="s">
        <v>156</v>
      </c>
      <c r="B51" s="240">
        <f>'YR2021'!B51+'YR2022'!B51+'YR2023'!B51</f>
        <v>7062488</v>
      </c>
      <c r="C51" s="240">
        <f>'YR2021'!C51+'YR2022'!C51+'YR2023'!C51</f>
        <v>7062488</v>
      </c>
      <c r="D51" s="240">
        <f>'YR2021'!D51+'YR2022'!D51</f>
        <v>0</v>
      </c>
      <c r="E51" s="240"/>
      <c r="F51" s="238">
        <f t="shared" si="1"/>
        <v>0</v>
      </c>
    </row>
    <row r="52" ht="14.25" customHeight="1">
      <c r="A52" s="243" t="s">
        <v>133</v>
      </c>
      <c r="B52" s="271">
        <f>'YR2021'!B52+'YR2022'!B52+'YR2023'!B52</f>
        <v>8972322</v>
      </c>
      <c r="C52" s="271">
        <f>'YR2021'!C52+'YR2022'!C52+'YR2023'!C52</f>
        <v>8972321.54</v>
      </c>
      <c r="D52" s="240">
        <f>'YR2021'!D52+'YR2022'!D52</f>
        <v>0</v>
      </c>
      <c r="E52" s="240"/>
      <c r="F52" s="245">
        <f t="shared" si="1"/>
        <v>0.459999999</v>
      </c>
    </row>
    <row r="53" ht="14.25" customHeight="1">
      <c r="A53" s="278" t="s">
        <v>134</v>
      </c>
      <c r="B53" s="237">
        <f>'YR2021'!B53+'YR2022'!B53+'YR2023'!B53</f>
        <v>31181</v>
      </c>
      <c r="C53" s="237">
        <f>'YR2021'!C53+'YR2022'!C53+'YR2023'!C53</f>
        <v>0</v>
      </c>
      <c r="D53" s="272">
        <f>'YR2021'!D53+'YR2022'!D53</f>
        <v>0</v>
      </c>
      <c r="E53" s="273"/>
      <c r="F53" s="238">
        <f t="shared" si="1"/>
        <v>31181</v>
      </c>
    </row>
    <row r="54" ht="14.25" customHeight="1">
      <c r="A54" s="236" t="s">
        <v>136</v>
      </c>
      <c r="B54" s="237">
        <f>'YR2021'!B54+'YR2022'!B54+'YR2023'!B54</f>
        <v>444329</v>
      </c>
      <c r="C54" s="237">
        <f>'YR2021'!C54+'YR2022'!C54+'YR2023'!C54</f>
        <v>0</v>
      </c>
      <c r="D54" s="272">
        <f>'YR2021'!D54+'YR2022'!D54</f>
        <v>0</v>
      </c>
      <c r="E54" s="273"/>
      <c r="F54" s="238">
        <f t="shared" si="1"/>
        <v>444329</v>
      </c>
    </row>
    <row r="55" ht="14.25" customHeight="1">
      <c r="A55" s="230" t="s">
        <v>138</v>
      </c>
      <c r="B55" s="268">
        <f>'YR2021'!B55+'YR2022'!B55+'YR2023'!B55</f>
        <v>35600865</v>
      </c>
      <c r="C55" s="268">
        <f>'YR2021'!C55+'YR2022'!C55+'YR2023'!C55</f>
        <v>35600864.81</v>
      </c>
      <c r="D55" s="240">
        <f>'YR2021'!D55+'YR2022'!D55</f>
        <v>0</v>
      </c>
      <c r="E55" s="240"/>
      <c r="F55" s="234">
        <f t="shared" si="1"/>
        <v>0.1899999976</v>
      </c>
    </row>
    <row r="56" ht="14.25" customHeight="1">
      <c r="A56" s="243" t="s">
        <v>139</v>
      </c>
      <c r="B56" s="271">
        <f>'YR2021'!B56+'YR2022'!B56+'YR2023'!B56</f>
        <v>103214768</v>
      </c>
      <c r="C56" s="271">
        <f>'YR2021'!C56+'YR2022'!C56+'YR2023'!C56</f>
        <v>103214767</v>
      </c>
      <c r="D56" s="240">
        <f>'YR2021'!D56+'YR2022'!D56</f>
        <v>0</v>
      </c>
      <c r="E56" s="240"/>
      <c r="F56" s="245">
        <f t="shared" si="1"/>
        <v>0.9999998957</v>
      </c>
    </row>
    <row r="57" ht="14.25" customHeight="1">
      <c r="A57" s="236" t="s">
        <v>140</v>
      </c>
      <c r="B57" s="237">
        <f>'YR2021'!B57+'YR2022'!B57+'YR2023'!B57</f>
        <v>249448</v>
      </c>
      <c r="C57" s="237">
        <f>'YR2021'!C57+'YR2022'!C57+'YR2023'!C57</f>
        <v>167900</v>
      </c>
      <c r="D57" s="269">
        <f>'YR2021'!D57+'YR2022'!D57</f>
        <v>0</v>
      </c>
      <c r="E57" s="267"/>
      <c r="F57" s="238">
        <f t="shared" si="1"/>
        <v>81548</v>
      </c>
    </row>
    <row r="58" ht="14.25" customHeight="1">
      <c r="A58" s="246" t="s">
        <v>143</v>
      </c>
      <c r="B58" s="247">
        <f t="shared" ref="B58:F58" si="2">SUM(B9:B57)</f>
        <v>473714767</v>
      </c>
      <c r="C58" s="247">
        <f t="shared" si="2"/>
        <v>436814356</v>
      </c>
      <c r="D58" s="247">
        <f t="shared" si="2"/>
        <v>11762610</v>
      </c>
      <c r="E58" s="248">
        <f t="shared" si="2"/>
        <v>0</v>
      </c>
      <c r="F58" s="249">
        <f t="shared" si="2"/>
        <v>25137800.97</v>
      </c>
      <c r="H58" s="279">
        <f>F58-D58</f>
        <v>13375190.97</v>
      </c>
    </row>
    <row r="59" ht="14.25" customHeight="1">
      <c r="A59" s="251" t="s">
        <v>157</v>
      </c>
      <c r="B59" s="252">
        <f>'YR2021'!B59+'YR2022'!B59+'YR2023'!B59</f>
        <v>1285232</v>
      </c>
      <c r="C59" s="273">
        <v>0.0</v>
      </c>
      <c r="D59" s="273">
        <v>0.0</v>
      </c>
      <c r="E59" s="280">
        <v>0.0</v>
      </c>
      <c r="F59" s="264">
        <f>B59-C59-D59-E59</f>
        <v>1285232</v>
      </c>
    </row>
    <row r="60" ht="14.25" customHeight="1">
      <c r="A60" s="281" t="s">
        <v>158</v>
      </c>
      <c r="B60" s="247">
        <f t="shared" ref="B60:F60" si="3">B58+B59</f>
        <v>474999999</v>
      </c>
      <c r="C60" s="247">
        <f t="shared" si="3"/>
        <v>436814356</v>
      </c>
      <c r="D60" s="247">
        <f t="shared" si="3"/>
        <v>11762610</v>
      </c>
      <c r="E60" s="248">
        <f t="shared" si="3"/>
        <v>0</v>
      </c>
      <c r="F60" s="249">
        <f t="shared" si="3"/>
        <v>26423032.97</v>
      </c>
    </row>
    <row r="61" ht="14.25" customHeight="1">
      <c r="A61" s="282" t="s">
        <v>166</v>
      </c>
      <c r="B61" s="260"/>
      <c r="C61" s="260"/>
      <c r="D61" s="260"/>
      <c r="E61" s="260"/>
      <c r="F61" s="260"/>
    </row>
    <row r="62" ht="14.25" customHeight="1">
      <c r="A62" s="283"/>
      <c r="B62" s="235"/>
      <c r="C62" s="235"/>
      <c r="D62" s="235"/>
      <c r="E62" s="235"/>
      <c r="F62" s="235"/>
      <c r="H62" s="216"/>
    </row>
    <row r="63" ht="14.25" customHeight="1">
      <c r="A63" s="284" t="s">
        <v>159</v>
      </c>
      <c r="B63" s="285">
        <f>B12+B13+B15+B19+B21+B27+B33+B34+B36+B43+B46+B48+B49+B53+B54+B57</f>
        <v>35273465</v>
      </c>
      <c r="C63" s="285">
        <f>C12+C13+C15+C19+C21+C27+C33+C36+C43+C46+C48+C49+C53+C54+C57</f>
        <v>15435299.57</v>
      </c>
      <c r="D63" s="285">
        <f t="shared" ref="D63:E63" si="4">D12+D13+D15+D19+D21+D26+D34+D36+D43+D46+D48+D49+D53+D54+D57</f>
        <v>0</v>
      </c>
      <c r="E63" s="286">
        <f t="shared" si="4"/>
        <v>0</v>
      </c>
      <c r="F63" s="287">
        <f>B63-C63-D63-E63</f>
        <v>19838165.43</v>
      </c>
      <c r="H63" s="216"/>
    </row>
    <row r="64" ht="14.25" customHeight="1">
      <c r="B64" s="242"/>
      <c r="C64" s="242"/>
      <c r="D64" s="242"/>
      <c r="H64" s="216"/>
    </row>
    <row r="65" ht="14.25" customHeight="1">
      <c r="H65" s="216"/>
    </row>
    <row r="66" ht="14.25" customHeight="1">
      <c r="G66" s="216"/>
      <c r="H66" s="216"/>
    </row>
    <row r="67" ht="14.25" customHeight="1">
      <c r="H67" s="216"/>
    </row>
    <row r="68" ht="14.25" customHeight="1">
      <c r="H68" s="216"/>
    </row>
    <row r="69" ht="14.25" customHeight="1">
      <c r="E69" s="216"/>
      <c r="F69" s="216"/>
      <c r="G69" s="216"/>
      <c r="H69" s="216"/>
    </row>
    <row r="70" ht="14.25" customHeight="1">
      <c r="E70" s="216"/>
      <c r="F70" s="216"/>
      <c r="G70" s="216"/>
      <c r="H70" s="216"/>
    </row>
    <row r="71" ht="14.25" customHeight="1">
      <c r="H71" s="216"/>
    </row>
    <row r="72" ht="14.25" customHeight="1">
      <c r="H72" s="216"/>
    </row>
    <row r="73" ht="14.25" customHeight="1">
      <c r="H73" s="216"/>
    </row>
    <row r="74" ht="14.25" customHeight="1">
      <c r="H74" s="216"/>
    </row>
    <row r="75" ht="14.25" customHeight="1">
      <c r="H75" s="216"/>
    </row>
    <row r="76" ht="14.25" customHeight="1">
      <c r="H76" s="216"/>
    </row>
    <row r="77" ht="14.25" customHeight="1">
      <c r="H77" s="216"/>
    </row>
    <row r="78" ht="14.25" customHeight="1">
      <c r="H78" s="216"/>
    </row>
    <row r="79" ht="14.25" customHeight="1">
      <c r="H79" s="216"/>
    </row>
    <row r="80" ht="14.25" customHeight="1">
      <c r="H80" s="216"/>
    </row>
    <row r="81" ht="14.25" customHeight="1">
      <c r="H81" s="216"/>
    </row>
    <row r="82" ht="14.25" customHeight="1">
      <c r="H82" s="216"/>
    </row>
    <row r="83" ht="14.25" customHeight="1">
      <c r="H83" s="216"/>
    </row>
    <row r="84" ht="14.25" customHeight="1">
      <c r="H84" s="216"/>
    </row>
    <row r="85" ht="14.25" customHeight="1">
      <c r="H85" s="216"/>
    </row>
    <row r="86" ht="14.25" customHeight="1">
      <c r="H86" s="216"/>
    </row>
    <row r="87" ht="14.25" customHeight="1">
      <c r="H87" s="216"/>
    </row>
    <row r="88" ht="14.25" customHeight="1">
      <c r="H88" s="216"/>
    </row>
    <row r="89" ht="14.25" customHeight="1">
      <c r="H89" s="216"/>
    </row>
    <row r="90" ht="14.25" customHeight="1">
      <c r="H90" s="216"/>
    </row>
    <row r="91" ht="14.25" customHeight="1">
      <c r="H91" s="216"/>
    </row>
    <row r="92" ht="14.25" customHeight="1">
      <c r="H92" s="216"/>
    </row>
    <row r="93" ht="14.25" customHeight="1">
      <c r="H93" s="216"/>
    </row>
    <row r="94" ht="14.25" customHeight="1">
      <c r="H94" s="216"/>
    </row>
    <row r="95" ht="14.25" customHeight="1">
      <c r="H95" s="216"/>
    </row>
    <row r="96" ht="14.25" customHeight="1">
      <c r="H96" s="216"/>
    </row>
    <row r="97" ht="14.25" customHeight="1">
      <c r="H97" s="216"/>
    </row>
    <row r="98" ht="14.25" customHeight="1">
      <c r="H98" s="216"/>
    </row>
    <row r="99" ht="14.25" customHeight="1">
      <c r="H99" s="216"/>
    </row>
    <row r="100" ht="14.25" customHeight="1">
      <c r="H100" s="216"/>
    </row>
    <row r="101" ht="14.25" customHeight="1">
      <c r="H101" s="216"/>
    </row>
    <row r="102" ht="14.25" customHeight="1">
      <c r="H102" s="216"/>
    </row>
    <row r="103" ht="14.25" customHeight="1">
      <c r="H103" s="216"/>
    </row>
    <row r="104" ht="14.25" customHeight="1">
      <c r="H104" s="216"/>
    </row>
    <row r="105" ht="14.25" customHeight="1">
      <c r="H105" s="216"/>
    </row>
    <row r="106" ht="14.25" customHeight="1">
      <c r="H106" s="216"/>
    </row>
    <row r="107" ht="14.25" customHeight="1">
      <c r="H107" s="216"/>
    </row>
    <row r="108" ht="14.25" customHeight="1">
      <c r="H108" s="216"/>
    </row>
    <row r="109" ht="14.25" customHeight="1">
      <c r="H109" s="216"/>
    </row>
    <row r="110" ht="14.25" customHeight="1">
      <c r="H110" s="216"/>
    </row>
    <row r="111" ht="14.25" customHeight="1">
      <c r="H111" s="216"/>
    </row>
    <row r="112" ht="14.25" customHeight="1">
      <c r="H112" s="216"/>
    </row>
    <row r="113" ht="14.25" customHeight="1">
      <c r="H113" s="216"/>
    </row>
    <row r="114" ht="14.25" customHeight="1">
      <c r="H114" s="216"/>
    </row>
    <row r="115" ht="14.25" customHeight="1">
      <c r="H115" s="216"/>
    </row>
    <row r="116" ht="14.25" customHeight="1">
      <c r="H116" s="216"/>
    </row>
    <row r="117" ht="14.25" customHeight="1">
      <c r="H117" s="216"/>
    </row>
    <row r="118" ht="14.25" customHeight="1">
      <c r="H118" s="216"/>
    </row>
    <row r="119" ht="14.25" customHeight="1">
      <c r="H119" s="216"/>
    </row>
    <row r="120" ht="14.25" customHeight="1">
      <c r="H120" s="216"/>
    </row>
    <row r="121" ht="14.25" customHeight="1">
      <c r="H121" s="216"/>
    </row>
    <row r="122" ht="14.25" customHeight="1">
      <c r="H122" s="216"/>
    </row>
    <row r="123" ht="14.25" customHeight="1">
      <c r="H123" s="216"/>
    </row>
    <row r="124" ht="14.25" customHeight="1">
      <c r="H124" s="216"/>
    </row>
    <row r="125" ht="14.25" customHeight="1">
      <c r="H125" s="216"/>
    </row>
    <row r="126" ht="14.25" customHeight="1">
      <c r="H126" s="216"/>
    </row>
    <row r="127" ht="14.25" customHeight="1">
      <c r="H127" s="216"/>
    </row>
    <row r="128" ht="14.25" customHeight="1">
      <c r="H128" s="216"/>
    </row>
    <row r="129" ht="14.25" customHeight="1">
      <c r="H129" s="216"/>
    </row>
    <row r="130" ht="14.25" customHeight="1">
      <c r="H130" s="216"/>
    </row>
    <row r="131" ht="14.25" customHeight="1">
      <c r="H131" s="216"/>
    </row>
    <row r="132" ht="14.25" customHeight="1">
      <c r="H132" s="216"/>
    </row>
    <row r="133" ht="14.25" customHeight="1">
      <c r="H133" s="216"/>
    </row>
    <row r="134" ht="14.25" customHeight="1">
      <c r="H134" s="216"/>
    </row>
    <row r="135" ht="14.25" customHeight="1">
      <c r="H135" s="216"/>
    </row>
    <row r="136" ht="14.25" customHeight="1">
      <c r="H136" s="216"/>
    </row>
    <row r="137" ht="14.25" customHeight="1">
      <c r="H137" s="216"/>
    </row>
    <row r="138" ht="14.25" customHeight="1">
      <c r="H138" s="216"/>
    </row>
    <row r="139" ht="14.25" customHeight="1">
      <c r="H139" s="216"/>
    </row>
    <row r="140" ht="14.25" customHeight="1">
      <c r="H140" s="216"/>
    </row>
    <row r="141" ht="14.25" customHeight="1">
      <c r="H141" s="216"/>
    </row>
    <row r="142" ht="14.25" customHeight="1">
      <c r="H142" s="216"/>
    </row>
    <row r="143" ht="14.25" customHeight="1">
      <c r="H143" s="216"/>
    </row>
    <row r="144" ht="14.25" customHeight="1">
      <c r="H144" s="216"/>
    </row>
    <row r="145" ht="14.25" customHeight="1">
      <c r="H145" s="216"/>
    </row>
    <row r="146" ht="14.25" customHeight="1">
      <c r="H146" s="216"/>
    </row>
    <row r="147" ht="14.25" customHeight="1">
      <c r="H147" s="216"/>
    </row>
    <row r="148" ht="14.25" customHeight="1">
      <c r="H148" s="216"/>
    </row>
    <row r="149" ht="14.25" customHeight="1">
      <c r="H149" s="216"/>
    </row>
    <row r="150" ht="14.25" customHeight="1">
      <c r="H150" s="216"/>
    </row>
    <row r="151" ht="14.25" customHeight="1">
      <c r="H151" s="216"/>
    </row>
    <row r="152" ht="14.25" customHeight="1">
      <c r="H152" s="216"/>
    </row>
    <row r="153" ht="14.25" customHeight="1">
      <c r="H153" s="216"/>
    </row>
    <row r="154" ht="14.25" customHeight="1">
      <c r="H154" s="216"/>
    </row>
    <row r="155" ht="14.25" customHeight="1">
      <c r="H155" s="216"/>
    </row>
    <row r="156" ht="14.25" customHeight="1">
      <c r="H156" s="216"/>
    </row>
    <row r="157" ht="14.25" customHeight="1">
      <c r="H157" s="216"/>
    </row>
    <row r="158" ht="14.25" customHeight="1">
      <c r="H158" s="216"/>
    </row>
    <row r="159" ht="14.25" customHeight="1">
      <c r="H159" s="216"/>
    </row>
    <row r="160" ht="14.25" customHeight="1">
      <c r="H160" s="216"/>
    </row>
    <row r="161" ht="14.25" customHeight="1">
      <c r="H161" s="216"/>
    </row>
    <row r="162" ht="14.25" customHeight="1">
      <c r="H162" s="216"/>
    </row>
    <row r="163" ht="14.25" customHeight="1">
      <c r="H163" s="216"/>
    </row>
    <row r="164" ht="14.25" customHeight="1">
      <c r="H164" s="216"/>
    </row>
    <row r="165" ht="14.25" customHeight="1">
      <c r="H165" s="216"/>
    </row>
    <row r="166" ht="14.25" customHeight="1">
      <c r="H166" s="216"/>
    </row>
    <row r="167" ht="14.25" customHeight="1">
      <c r="H167" s="216"/>
    </row>
    <row r="168" ht="14.25" customHeight="1">
      <c r="H168" s="216"/>
    </row>
    <row r="169" ht="14.25" customHeight="1">
      <c r="H169" s="216"/>
    </row>
    <row r="170" ht="14.25" customHeight="1">
      <c r="H170" s="216"/>
    </row>
    <row r="171" ht="14.25" customHeight="1">
      <c r="H171" s="216"/>
    </row>
    <row r="172" ht="14.25" customHeight="1">
      <c r="H172" s="216"/>
    </row>
    <row r="173" ht="14.25" customHeight="1">
      <c r="H173" s="216"/>
    </row>
    <row r="174" ht="14.25" customHeight="1">
      <c r="H174" s="216"/>
    </row>
    <row r="175" ht="14.25" customHeight="1">
      <c r="H175" s="216"/>
    </row>
    <row r="176" ht="14.25" customHeight="1">
      <c r="H176" s="216"/>
    </row>
    <row r="177" ht="14.25" customHeight="1">
      <c r="H177" s="216"/>
    </row>
    <row r="178" ht="14.25" customHeight="1">
      <c r="H178" s="216"/>
    </row>
    <row r="179" ht="14.25" customHeight="1">
      <c r="H179" s="216"/>
    </row>
    <row r="180" ht="14.25" customHeight="1">
      <c r="H180" s="216"/>
    </row>
    <row r="181" ht="14.25" customHeight="1">
      <c r="H181" s="216"/>
    </row>
    <row r="182" ht="14.25" customHeight="1">
      <c r="H182" s="216"/>
    </row>
    <row r="183" ht="14.25" customHeight="1">
      <c r="H183" s="216"/>
    </row>
    <row r="184" ht="14.25" customHeight="1">
      <c r="H184" s="216"/>
    </row>
    <row r="185" ht="14.25" customHeight="1">
      <c r="H185" s="216"/>
    </row>
    <row r="186" ht="14.25" customHeight="1">
      <c r="H186" s="216"/>
    </row>
    <row r="187" ht="14.25" customHeight="1">
      <c r="H187" s="216"/>
    </row>
    <row r="188" ht="14.25" customHeight="1">
      <c r="H188" s="216"/>
    </row>
    <row r="189" ht="14.25" customHeight="1">
      <c r="H189" s="216"/>
    </row>
    <row r="190" ht="14.25" customHeight="1">
      <c r="H190" s="216"/>
    </row>
    <row r="191" ht="14.25" customHeight="1">
      <c r="H191" s="216"/>
    </row>
    <row r="192" ht="14.25" customHeight="1">
      <c r="H192" s="216"/>
    </row>
    <row r="193" ht="14.25" customHeight="1">
      <c r="H193" s="216"/>
    </row>
    <row r="194" ht="14.25" customHeight="1">
      <c r="H194" s="216"/>
    </row>
    <row r="195" ht="14.25" customHeight="1">
      <c r="H195" s="216"/>
    </row>
    <row r="196" ht="14.25" customHeight="1">
      <c r="H196" s="216"/>
    </row>
    <row r="197" ht="14.25" customHeight="1">
      <c r="H197" s="216"/>
    </row>
    <row r="198" ht="14.25" customHeight="1">
      <c r="H198" s="216"/>
    </row>
    <row r="199" ht="14.25" customHeight="1">
      <c r="H199" s="216"/>
    </row>
    <row r="200" ht="14.25" customHeight="1">
      <c r="H200" s="216"/>
    </row>
    <row r="201" ht="14.25" customHeight="1">
      <c r="H201" s="216"/>
    </row>
    <row r="202" ht="14.25" customHeight="1">
      <c r="H202" s="216"/>
    </row>
    <row r="203" ht="14.25" customHeight="1">
      <c r="H203" s="216"/>
    </row>
    <row r="204" ht="14.25" customHeight="1">
      <c r="H204" s="216"/>
    </row>
    <row r="205" ht="14.25" customHeight="1">
      <c r="H205" s="216"/>
    </row>
    <row r="206" ht="14.25" customHeight="1">
      <c r="H206" s="216"/>
    </row>
    <row r="207" ht="14.25" customHeight="1">
      <c r="H207" s="216"/>
    </row>
    <row r="208" ht="14.25" customHeight="1">
      <c r="H208" s="216"/>
    </row>
    <row r="209" ht="14.25" customHeight="1">
      <c r="H209" s="216"/>
    </row>
    <row r="210" ht="14.25" customHeight="1">
      <c r="H210" s="216"/>
    </row>
    <row r="211" ht="14.25" customHeight="1">
      <c r="H211" s="216"/>
    </row>
    <row r="212" ht="14.25" customHeight="1">
      <c r="H212" s="216"/>
    </row>
    <row r="213" ht="14.25" customHeight="1">
      <c r="H213" s="216"/>
    </row>
    <row r="214" ht="14.25" customHeight="1">
      <c r="H214" s="216"/>
    </row>
    <row r="215" ht="14.25" customHeight="1">
      <c r="H215" s="216"/>
    </row>
    <row r="216" ht="14.25" customHeight="1">
      <c r="H216" s="216"/>
    </row>
    <row r="217" ht="14.25" customHeight="1">
      <c r="H217" s="216"/>
    </row>
    <row r="218" ht="14.25" customHeight="1">
      <c r="H218" s="216"/>
    </row>
    <row r="219" ht="14.25" customHeight="1">
      <c r="H219" s="216"/>
    </row>
    <row r="220" ht="14.25" customHeight="1">
      <c r="H220" s="216"/>
    </row>
    <row r="221" ht="14.25" customHeight="1">
      <c r="H221" s="216"/>
    </row>
    <row r="222" ht="14.25" customHeight="1">
      <c r="H222" s="216"/>
    </row>
    <row r="223" ht="14.25" customHeight="1">
      <c r="H223" s="216"/>
    </row>
    <row r="224" ht="14.25" customHeight="1">
      <c r="H224" s="216"/>
    </row>
    <row r="225" ht="14.25" customHeight="1">
      <c r="H225" s="216"/>
    </row>
    <row r="226" ht="14.25" customHeight="1">
      <c r="H226" s="216"/>
    </row>
    <row r="227" ht="14.25" customHeight="1">
      <c r="H227" s="216"/>
    </row>
    <row r="228" ht="14.25" customHeight="1">
      <c r="H228" s="216"/>
    </row>
    <row r="229" ht="14.25" customHeight="1">
      <c r="H229" s="216"/>
    </row>
    <row r="230" ht="14.25" customHeight="1">
      <c r="H230" s="216"/>
    </row>
    <row r="231" ht="14.25" customHeight="1">
      <c r="H231" s="216"/>
    </row>
    <row r="232" ht="14.25" customHeight="1">
      <c r="H232" s="216"/>
    </row>
    <row r="233" ht="14.25" customHeight="1">
      <c r="H233" s="216"/>
    </row>
    <row r="234" ht="14.25" customHeight="1">
      <c r="H234" s="216"/>
    </row>
    <row r="235" ht="14.25" customHeight="1">
      <c r="H235" s="216"/>
    </row>
    <row r="236" ht="14.25" customHeight="1">
      <c r="H236" s="216"/>
    </row>
    <row r="237" ht="14.25" customHeight="1">
      <c r="H237" s="216"/>
    </row>
    <row r="238" ht="14.25" customHeight="1">
      <c r="H238" s="216"/>
    </row>
    <row r="239" ht="14.25" customHeight="1">
      <c r="H239" s="216"/>
    </row>
    <row r="240" ht="14.25" customHeight="1">
      <c r="H240" s="216"/>
    </row>
    <row r="241" ht="14.25" customHeight="1">
      <c r="H241" s="216"/>
    </row>
    <row r="242" ht="14.25" customHeight="1">
      <c r="H242" s="216"/>
    </row>
    <row r="243" ht="14.25" customHeight="1">
      <c r="H243" s="216"/>
    </row>
    <row r="244" ht="14.25" customHeight="1">
      <c r="H244" s="216"/>
    </row>
    <row r="245" ht="14.25" customHeight="1">
      <c r="H245" s="216"/>
    </row>
    <row r="246" ht="14.25" customHeight="1">
      <c r="H246" s="216"/>
    </row>
    <row r="247" ht="14.25" customHeight="1">
      <c r="H247" s="216"/>
    </row>
    <row r="248" ht="14.25" customHeight="1">
      <c r="H248" s="216"/>
    </row>
    <row r="249" ht="14.25" customHeight="1">
      <c r="H249" s="216"/>
    </row>
    <row r="250" ht="14.25" customHeight="1">
      <c r="H250" s="216"/>
    </row>
    <row r="251" ht="14.25" customHeight="1">
      <c r="H251" s="216"/>
    </row>
    <row r="252" ht="14.25" customHeight="1">
      <c r="H252" s="216"/>
    </row>
    <row r="253" ht="14.25" customHeight="1">
      <c r="H253" s="216"/>
    </row>
    <row r="254" ht="14.25" customHeight="1">
      <c r="H254" s="216"/>
    </row>
    <row r="255" ht="14.25" customHeight="1">
      <c r="H255" s="216"/>
    </row>
    <row r="256" ht="14.25" customHeight="1">
      <c r="H256" s="216"/>
    </row>
    <row r="257" ht="14.25" customHeight="1">
      <c r="H257" s="216"/>
    </row>
    <row r="258" ht="14.25" customHeight="1">
      <c r="H258" s="216"/>
    </row>
    <row r="259" ht="14.25" customHeight="1">
      <c r="H259" s="216"/>
    </row>
    <row r="260" ht="14.25" customHeight="1">
      <c r="H260" s="216"/>
    </row>
    <row r="261" ht="14.25" customHeight="1">
      <c r="H261" s="216"/>
    </row>
    <row r="262" ht="14.25" customHeight="1">
      <c r="H262" s="216"/>
    </row>
    <row r="263" ht="14.25" customHeight="1">
      <c r="H263" s="216"/>
    </row>
    <row r="264" ht="14.25" customHeight="1">
      <c r="H264" s="216"/>
    </row>
    <row r="265" ht="14.25" customHeight="1">
      <c r="H265" s="216"/>
    </row>
    <row r="266" ht="14.25" customHeight="1">
      <c r="H266" s="216"/>
    </row>
    <row r="267" ht="14.25" customHeight="1">
      <c r="H267" s="216"/>
    </row>
    <row r="268" ht="14.25" customHeight="1">
      <c r="H268" s="216"/>
    </row>
    <row r="269" ht="14.25" customHeight="1">
      <c r="H269" s="216"/>
    </row>
    <row r="270" ht="14.25" customHeight="1">
      <c r="H270" s="216"/>
    </row>
    <row r="271" ht="14.25" customHeight="1">
      <c r="H271" s="216"/>
    </row>
    <row r="272" ht="14.25" customHeight="1">
      <c r="H272" s="216"/>
    </row>
    <row r="273" ht="14.25" customHeight="1">
      <c r="H273" s="216"/>
    </row>
    <row r="274" ht="14.25" customHeight="1">
      <c r="H274" s="216"/>
    </row>
    <row r="275" ht="14.25" customHeight="1">
      <c r="H275" s="216"/>
    </row>
    <row r="276" ht="14.25" customHeight="1">
      <c r="H276" s="216"/>
    </row>
    <row r="277" ht="14.25" customHeight="1">
      <c r="H277" s="216"/>
    </row>
    <row r="278" ht="14.25" customHeight="1">
      <c r="H278" s="216"/>
    </row>
    <row r="279" ht="14.25" customHeight="1">
      <c r="H279" s="216"/>
    </row>
    <row r="280" ht="14.25" customHeight="1">
      <c r="H280" s="216"/>
    </row>
    <row r="281" ht="14.25" customHeight="1">
      <c r="H281" s="216"/>
    </row>
    <row r="282" ht="14.25" customHeight="1">
      <c r="H282" s="216"/>
    </row>
    <row r="283" ht="14.25" customHeight="1">
      <c r="H283" s="216"/>
    </row>
    <row r="284" ht="14.25" customHeight="1">
      <c r="H284" s="216"/>
    </row>
    <row r="285" ht="14.25" customHeight="1">
      <c r="H285" s="216"/>
    </row>
    <row r="286" ht="14.25" customHeight="1">
      <c r="H286" s="216"/>
    </row>
    <row r="287" ht="14.25" customHeight="1">
      <c r="H287" s="216"/>
    </row>
    <row r="288" ht="14.25" customHeight="1">
      <c r="H288" s="216"/>
    </row>
    <row r="289" ht="14.25" customHeight="1">
      <c r="H289" s="216"/>
    </row>
    <row r="290" ht="14.25" customHeight="1">
      <c r="H290" s="216"/>
    </row>
    <row r="291" ht="14.25" customHeight="1">
      <c r="H291" s="216"/>
    </row>
    <row r="292" ht="14.25" customHeight="1">
      <c r="H292" s="216"/>
    </row>
    <row r="293" ht="14.25" customHeight="1">
      <c r="H293" s="216"/>
    </row>
    <row r="294" ht="14.25" customHeight="1">
      <c r="H294" s="216"/>
    </row>
    <row r="295" ht="14.25" customHeight="1">
      <c r="H295" s="216"/>
    </row>
    <row r="296" ht="14.25" customHeight="1">
      <c r="H296" s="216"/>
    </row>
    <row r="297" ht="14.25" customHeight="1">
      <c r="H297" s="216"/>
    </row>
    <row r="298" ht="14.25" customHeight="1">
      <c r="H298" s="216"/>
    </row>
    <row r="299" ht="14.25" customHeight="1">
      <c r="H299" s="216"/>
    </row>
    <row r="300" ht="14.25" customHeight="1">
      <c r="H300" s="216"/>
    </row>
    <row r="301" ht="14.25" customHeight="1">
      <c r="H301" s="216"/>
    </row>
    <row r="302" ht="14.25" customHeight="1">
      <c r="H302" s="216"/>
    </row>
    <row r="303" ht="14.25" customHeight="1">
      <c r="H303" s="216"/>
    </row>
    <row r="304" ht="14.25" customHeight="1">
      <c r="H304" s="216"/>
    </row>
    <row r="305" ht="14.25" customHeight="1">
      <c r="H305" s="216"/>
    </row>
    <row r="306" ht="14.25" customHeight="1">
      <c r="H306" s="216"/>
    </row>
    <row r="307" ht="14.25" customHeight="1">
      <c r="H307" s="216"/>
    </row>
    <row r="308" ht="14.25" customHeight="1">
      <c r="H308" s="216"/>
    </row>
    <row r="309" ht="14.25" customHeight="1">
      <c r="H309" s="216"/>
    </row>
    <row r="310" ht="14.25" customHeight="1">
      <c r="H310" s="216"/>
    </row>
    <row r="311" ht="14.25" customHeight="1">
      <c r="H311" s="216"/>
    </row>
    <row r="312" ht="14.25" customHeight="1">
      <c r="H312" s="216"/>
    </row>
    <row r="313" ht="14.25" customHeight="1">
      <c r="H313" s="216"/>
    </row>
    <row r="314" ht="14.25" customHeight="1">
      <c r="H314" s="216"/>
    </row>
    <row r="315" ht="14.25" customHeight="1">
      <c r="H315" s="216"/>
    </row>
    <row r="316" ht="14.25" customHeight="1">
      <c r="H316" s="216"/>
    </row>
    <row r="317" ht="14.25" customHeight="1">
      <c r="H317" s="216"/>
    </row>
    <row r="318" ht="14.25" customHeight="1">
      <c r="H318" s="216"/>
    </row>
    <row r="319" ht="14.25" customHeight="1">
      <c r="H319" s="216"/>
    </row>
    <row r="320" ht="14.25" customHeight="1">
      <c r="H320" s="216"/>
    </row>
    <row r="321" ht="14.25" customHeight="1">
      <c r="H321" s="216"/>
    </row>
    <row r="322" ht="14.25" customHeight="1">
      <c r="H322" s="216"/>
    </row>
    <row r="323" ht="14.25" customHeight="1">
      <c r="H323" s="216"/>
    </row>
    <row r="324" ht="14.25" customHeight="1">
      <c r="H324" s="216"/>
    </row>
    <row r="325" ht="14.25" customHeight="1">
      <c r="H325" s="216"/>
    </row>
    <row r="326" ht="14.25" customHeight="1">
      <c r="H326" s="216"/>
    </row>
    <row r="327" ht="14.25" customHeight="1">
      <c r="H327" s="216"/>
    </row>
    <row r="328" ht="14.25" customHeight="1">
      <c r="H328" s="216"/>
    </row>
    <row r="329" ht="14.25" customHeight="1">
      <c r="H329" s="216"/>
    </row>
    <row r="330" ht="14.25" customHeight="1">
      <c r="H330" s="216"/>
    </row>
    <row r="331" ht="14.25" customHeight="1">
      <c r="H331" s="216"/>
    </row>
    <row r="332" ht="14.25" customHeight="1">
      <c r="H332" s="216"/>
    </row>
    <row r="333" ht="14.25" customHeight="1">
      <c r="H333" s="216"/>
    </row>
    <row r="334" ht="14.25" customHeight="1">
      <c r="H334" s="216"/>
    </row>
    <row r="335" ht="14.25" customHeight="1">
      <c r="H335" s="216"/>
    </row>
    <row r="336" ht="14.25" customHeight="1">
      <c r="H336" s="216"/>
    </row>
    <row r="337" ht="14.25" customHeight="1">
      <c r="H337" s="216"/>
    </row>
    <row r="338" ht="14.25" customHeight="1">
      <c r="H338" s="216"/>
    </row>
    <row r="339" ht="14.25" customHeight="1">
      <c r="H339" s="216"/>
    </row>
    <row r="340" ht="14.25" customHeight="1">
      <c r="H340" s="216"/>
    </row>
    <row r="341" ht="14.25" customHeight="1">
      <c r="H341" s="216"/>
    </row>
    <row r="342" ht="14.25" customHeight="1">
      <c r="H342" s="216"/>
    </row>
    <row r="343" ht="14.25" customHeight="1">
      <c r="H343" s="216"/>
    </row>
    <row r="344" ht="14.25" customHeight="1">
      <c r="H344" s="216"/>
    </row>
    <row r="345" ht="14.25" customHeight="1">
      <c r="H345" s="216"/>
    </row>
    <row r="346" ht="14.25" customHeight="1">
      <c r="H346" s="216"/>
    </row>
    <row r="347" ht="14.25" customHeight="1">
      <c r="H347" s="216"/>
    </row>
    <row r="348" ht="14.25" customHeight="1">
      <c r="H348" s="216"/>
    </row>
    <row r="349" ht="14.25" customHeight="1">
      <c r="H349" s="216"/>
    </row>
    <row r="350" ht="14.25" customHeight="1">
      <c r="H350" s="216"/>
    </row>
    <row r="351" ht="14.25" customHeight="1">
      <c r="H351" s="216"/>
    </row>
    <row r="352" ht="14.25" customHeight="1">
      <c r="H352" s="216"/>
    </row>
    <row r="353" ht="14.25" customHeight="1">
      <c r="H353" s="216"/>
    </row>
    <row r="354" ht="14.25" customHeight="1">
      <c r="H354" s="216"/>
    </row>
    <row r="355" ht="14.25" customHeight="1">
      <c r="H355" s="216"/>
    </row>
    <row r="356" ht="14.25" customHeight="1">
      <c r="H356" s="216"/>
    </row>
    <row r="357" ht="14.25" customHeight="1">
      <c r="H357" s="216"/>
    </row>
    <row r="358" ht="14.25" customHeight="1">
      <c r="H358" s="216"/>
    </row>
    <row r="359" ht="14.25" customHeight="1">
      <c r="H359" s="216"/>
    </row>
    <row r="360" ht="14.25" customHeight="1">
      <c r="H360" s="216"/>
    </row>
    <row r="361" ht="14.25" customHeight="1">
      <c r="H361" s="216"/>
    </row>
    <row r="362" ht="14.25" customHeight="1">
      <c r="H362" s="216"/>
    </row>
    <row r="363" ht="14.25" customHeight="1">
      <c r="H363" s="216"/>
    </row>
    <row r="364" ht="14.25" customHeight="1">
      <c r="H364" s="216"/>
    </row>
    <row r="365" ht="14.25" customHeight="1">
      <c r="H365" s="216"/>
    </row>
    <row r="366" ht="14.25" customHeight="1">
      <c r="H366" s="216"/>
    </row>
    <row r="367" ht="14.25" customHeight="1">
      <c r="H367" s="216"/>
    </row>
    <row r="368" ht="14.25" customHeight="1">
      <c r="H368" s="216"/>
    </row>
    <row r="369" ht="14.25" customHeight="1">
      <c r="H369" s="216"/>
    </row>
    <row r="370" ht="14.25" customHeight="1">
      <c r="H370" s="216"/>
    </row>
    <row r="371" ht="14.25" customHeight="1">
      <c r="H371" s="216"/>
    </row>
    <row r="372" ht="14.25" customHeight="1">
      <c r="H372" s="216"/>
    </row>
    <row r="373" ht="14.25" customHeight="1">
      <c r="H373" s="216"/>
    </row>
    <row r="374" ht="14.25" customHeight="1">
      <c r="H374" s="216"/>
    </row>
    <row r="375" ht="14.25" customHeight="1">
      <c r="H375" s="216"/>
    </row>
    <row r="376" ht="14.25" customHeight="1">
      <c r="H376" s="216"/>
    </row>
    <row r="377" ht="14.25" customHeight="1">
      <c r="H377" s="216"/>
    </row>
    <row r="378" ht="14.25" customHeight="1">
      <c r="H378" s="216"/>
    </row>
    <row r="379" ht="14.25" customHeight="1">
      <c r="H379" s="216"/>
    </row>
    <row r="380" ht="14.25" customHeight="1">
      <c r="H380" s="216"/>
    </row>
    <row r="381" ht="14.25" customHeight="1">
      <c r="H381" s="216"/>
    </row>
    <row r="382" ht="14.25" customHeight="1">
      <c r="H382" s="216"/>
    </row>
    <row r="383" ht="14.25" customHeight="1">
      <c r="H383" s="216"/>
    </row>
    <row r="384" ht="14.25" customHeight="1">
      <c r="H384" s="216"/>
    </row>
    <row r="385" ht="14.25" customHeight="1">
      <c r="H385" s="216"/>
    </row>
    <row r="386" ht="14.25" customHeight="1">
      <c r="H386" s="216"/>
    </row>
    <row r="387" ht="14.25" customHeight="1">
      <c r="H387" s="216"/>
    </row>
    <row r="388" ht="14.25" customHeight="1">
      <c r="H388" s="216"/>
    </row>
    <row r="389" ht="14.25" customHeight="1">
      <c r="H389" s="216"/>
    </row>
    <row r="390" ht="14.25" customHeight="1">
      <c r="H390" s="216"/>
    </row>
    <row r="391" ht="14.25" customHeight="1">
      <c r="H391" s="216"/>
    </row>
    <row r="392" ht="14.25" customHeight="1">
      <c r="H392" s="216"/>
    </row>
    <row r="393" ht="14.25" customHeight="1">
      <c r="H393" s="216"/>
    </row>
    <row r="394" ht="14.25" customHeight="1">
      <c r="H394" s="216"/>
    </row>
    <row r="395" ht="14.25" customHeight="1">
      <c r="H395" s="216"/>
    </row>
    <row r="396" ht="14.25" customHeight="1">
      <c r="H396" s="216"/>
    </row>
    <row r="397" ht="14.25" customHeight="1">
      <c r="H397" s="216"/>
    </row>
    <row r="398" ht="14.25" customHeight="1">
      <c r="H398" s="216"/>
    </row>
    <row r="399" ht="14.25" customHeight="1">
      <c r="H399" s="216"/>
    </row>
    <row r="400" ht="14.25" customHeight="1">
      <c r="H400" s="216"/>
    </row>
    <row r="401" ht="14.25" customHeight="1">
      <c r="H401" s="216"/>
    </row>
    <row r="402" ht="14.25" customHeight="1">
      <c r="H402" s="216"/>
    </row>
    <row r="403" ht="14.25" customHeight="1">
      <c r="H403" s="216"/>
    </row>
    <row r="404" ht="14.25" customHeight="1">
      <c r="H404" s="216"/>
    </row>
    <row r="405" ht="14.25" customHeight="1">
      <c r="H405" s="216"/>
    </row>
    <row r="406" ht="14.25" customHeight="1">
      <c r="H406" s="216"/>
    </row>
    <row r="407" ht="14.25" customHeight="1">
      <c r="H407" s="216"/>
    </row>
    <row r="408" ht="14.25" customHeight="1">
      <c r="H408" s="216"/>
    </row>
    <row r="409" ht="14.25" customHeight="1">
      <c r="H409" s="216"/>
    </row>
    <row r="410" ht="14.25" customHeight="1">
      <c r="H410" s="216"/>
    </row>
    <row r="411" ht="14.25" customHeight="1">
      <c r="H411" s="216"/>
    </row>
    <row r="412" ht="14.25" customHeight="1">
      <c r="H412" s="216"/>
    </row>
    <row r="413" ht="14.25" customHeight="1">
      <c r="H413" s="216"/>
    </row>
    <row r="414" ht="14.25" customHeight="1">
      <c r="H414" s="216"/>
    </row>
    <row r="415" ht="14.25" customHeight="1">
      <c r="H415" s="216"/>
    </row>
    <row r="416" ht="14.25" customHeight="1">
      <c r="H416" s="216"/>
    </row>
    <row r="417" ht="14.25" customHeight="1">
      <c r="H417" s="216"/>
    </row>
    <row r="418" ht="14.25" customHeight="1">
      <c r="H418" s="216"/>
    </row>
    <row r="419" ht="14.25" customHeight="1">
      <c r="H419" s="216"/>
    </row>
    <row r="420" ht="14.25" customHeight="1">
      <c r="H420" s="216"/>
    </row>
    <row r="421" ht="14.25" customHeight="1">
      <c r="H421" s="216"/>
    </row>
    <row r="422" ht="14.25" customHeight="1">
      <c r="H422" s="216"/>
    </row>
    <row r="423" ht="14.25" customHeight="1">
      <c r="H423" s="216"/>
    </row>
    <row r="424" ht="14.25" customHeight="1">
      <c r="H424" s="216"/>
    </row>
    <row r="425" ht="14.25" customHeight="1">
      <c r="H425" s="216"/>
    </row>
    <row r="426" ht="14.25" customHeight="1">
      <c r="H426" s="216"/>
    </row>
    <row r="427" ht="14.25" customHeight="1">
      <c r="H427" s="216"/>
    </row>
    <row r="428" ht="14.25" customHeight="1">
      <c r="H428" s="216"/>
    </row>
    <row r="429" ht="14.25" customHeight="1">
      <c r="H429" s="216"/>
    </row>
    <row r="430" ht="14.25" customHeight="1">
      <c r="H430" s="216"/>
    </row>
    <row r="431" ht="14.25" customHeight="1">
      <c r="H431" s="216"/>
    </row>
    <row r="432" ht="14.25" customHeight="1">
      <c r="H432" s="216"/>
    </row>
    <row r="433" ht="14.25" customHeight="1">
      <c r="H433" s="216"/>
    </row>
    <row r="434" ht="14.25" customHeight="1">
      <c r="H434" s="216"/>
    </row>
    <row r="435" ht="14.25" customHeight="1">
      <c r="H435" s="216"/>
    </row>
    <row r="436" ht="14.25" customHeight="1">
      <c r="H436" s="216"/>
    </row>
    <row r="437" ht="14.25" customHeight="1">
      <c r="H437" s="216"/>
    </row>
    <row r="438" ht="14.25" customHeight="1">
      <c r="H438" s="216"/>
    </row>
    <row r="439" ht="14.25" customHeight="1">
      <c r="H439" s="216"/>
    </row>
    <row r="440" ht="14.25" customHeight="1">
      <c r="H440" s="216"/>
    </row>
    <row r="441" ht="14.25" customHeight="1">
      <c r="H441" s="216"/>
    </row>
    <row r="442" ht="14.25" customHeight="1">
      <c r="H442" s="216"/>
    </row>
    <row r="443" ht="14.25" customHeight="1">
      <c r="H443" s="216"/>
    </row>
    <row r="444" ht="14.25" customHeight="1">
      <c r="H444" s="216"/>
    </row>
    <row r="445" ht="14.25" customHeight="1">
      <c r="H445" s="216"/>
    </row>
    <row r="446" ht="14.25" customHeight="1">
      <c r="H446" s="216"/>
    </row>
    <row r="447" ht="14.25" customHeight="1">
      <c r="H447" s="216"/>
    </row>
    <row r="448" ht="14.25" customHeight="1">
      <c r="H448" s="216"/>
    </row>
    <row r="449" ht="14.25" customHeight="1">
      <c r="H449" s="216"/>
    </row>
    <row r="450" ht="14.25" customHeight="1">
      <c r="H450" s="216"/>
    </row>
    <row r="451" ht="14.25" customHeight="1">
      <c r="H451" s="216"/>
    </row>
    <row r="452" ht="14.25" customHeight="1">
      <c r="H452" s="216"/>
    </row>
    <row r="453" ht="14.25" customHeight="1">
      <c r="H453" s="216"/>
    </row>
    <row r="454" ht="14.25" customHeight="1">
      <c r="H454" s="216"/>
    </row>
    <row r="455" ht="14.25" customHeight="1">
      <c r="H455" s="216"/>
    </row>
    <row r="456" ht="14.25" customHeight="1">
      <c r="H456" s="216"/>
    </row>
    <row r="457" ht="14.25" customHeight="1">
      <c r="H457" s="216"/>
    </row>
    <row r="458" ht="14.25" customHeight="1">
      <c r="H458" s="216"/>
    </row>
    <row r="459" ht="14.25" customHeight="1">
      <c r="H459" s="216"/>
    </row>
    <row r="460" ht="14.25" customHeight="1">
      <c r="H460" s="216"/>
    </row>
    <row r="461" ht="14.25" customHeight="1">
      <c r="H461" s="216"/>
    </row>
    <row r="462" ht="14.25" customHeight="1">
      <c r="H462" s="216"/>
    </row>
    <row r="463" ht="14.25" customHeight="1">
      <c r="H463" s="216"/>
    </row>
    <row r="464" ht="14.25" customHeight="1">
      <c r="H464" s="216"/>
    </row>
    <row r="465" ht="14.25" customHeight="1">
      <c r="H465" s="216"/>
    </row>
    <row r="466" ht="14.25" customHeight="1">
      <c r="H466" s="216"/>
    </row>
    <row r="467" ht="14.25" customHeight="1">
      <c r="H467" s="216"/>
    </row>
    <row r="468" ht="14.25" customHeight="1">
      <c r="H468" s="216"/>
    </row>
    <row r="469" ht="14.25" customHeight="1">
      <c r="H469" s="216"/>
    </row>
    <row r="470" ht="14.25" customHeight="1">
      <c r="H470" s="216"/>
    </row>
    <row r="471" ht="14.25" customHeight="1">
      <c r="H471" s="216"/>
    </row>
    <row r="472" ht="14.25" customHeight="1">
      <c r="H472" s="216"/>
    </row>
    <row r="473" ht="14.25" customHeight="1">
      <c r="H473" s="216"/>
    </row>
    <row r="474" ht="14.25" customHeight="1">
      <c r="H474" s="216"/>
    </row>
    <row r="475" ht="14.25" customHeight="1">
      <c r="H475" s="216"/>
    </row>
    <row r="476" ht="14.25" customHeight="1">
      <c r="H476" s="216"/>
    </row>
    <row r="477" ht="14.25" customHeight="1">
      <c r="H477" s="216"/>
    </row>
    <row r="478" ht="14.25" customHeight="1">
      <c r="H478" s="216"/>
    </row>
    <row r="479" ht="14.25" customHeight="1">
      <c r="H479" s="216"/>
    </row>
    <row r="480" ht="14.25" customHeight="1">
      <c r="H480" s="216"/>
    </row>
    <row r="481" ht="14.25" customHeight="1">
      <c r="H481" s="216"/>
    </row>
    <row r="482" ht="14.25" customHeight="1">
      <c r="H482" s="216"/>
    </row>
    <row r="483" ht="14.25" customHeight="1">
      <c r="H483" s="216"/>
    </row>
    <row r="484" ht="14.25" customHeight="1">
      <c r="H484" s="216"/>
    </row>
    <row r="485" ht="14.25" customHeight="1">
      <c r="H485" s="216"/>
    </row>
    <row r="486" ht="14.25" customHeight="1">
      <c r="H486" s="216"/>
    </row>
    <row r="487" ht="14.25" customHeight="1">
      <c r="H487" s="216"/>
    </row>
    <row r="488" ht="14.25" customHeight="1">
      <c r="H488" s="216"/>
    </row>
    <row r="489" ht="14.25" customHeight="1">
      <c r="H489" s="216"/>
    </row>
    <row r="490" ht="14.25" customHeight="1">
      <c r="H490" s="216"/>
    </row>
    <row r="491" ht="14.25" customHeight="1">
      <c r="H491" s="216"/>
    </row>
    <row r="492" ht="14.25" customHeight="1">
      <c r="H492" s="216"/>
    </row>
    <row r="493" ht="14.25" customHeight="1">
      <c r="H493" s="216"/>
    </row>
    <row r="494" ht="14.25" customHeight="1">
      <c r="H494" s="216"/>
    </row>
    <row r="495" ht="14.25" customHeight="1">
      <c r="H495" s="216"/>
    </row>
    <row r="496" ht="14.25" customHeight="1">
      <c r="H496" s="216"/>
    </row>
    <row r="497" ht="14.25" customHeight="1">
      <c r="H497" s="216"/>
    </row>
    <row r="498" ht="14.25" customHeight="1">
      <c r="H498" s="216"/>
    </row>
    <row r="499" ht="14.25" customHeight="1">
      <c r="H499" s="216"/>
    </row>
    <row r="500" ht="14.25" customHeight="1">
      <c r="H500" s="216"/>
    </row>
    <row r="501" ht="14.25" customHeight="1">
      <c r="H501" s="216"/>
    </row>
    <row r="502" ht="14.25" customHeight="1">
      <c r="H502" s="216"/>
    </row>
    <row r="503" ht="14.25" customHeight="1">
      <c r="H503" s="216"/>
    </row>
    <row r="504" ht="14.25" customHeight="1">
      <c r="H504" s="216"/>
    </row>
    <row r="505" ht="14.25" customHeight="1">
      <c r="H505" s="216"/>
    </row>
    <row r="506" ht="14.25" customHeight="1">
      <c r="H506" s="216"/>
    </row>
    <row r="507" ht="14.25" customHeight="1">
      <c r="H507" s="216"/>
    </row>
    <row r="508" ht="14.25" customHeight="1">
      <c r="H508" s="216"/>
    </row>
    <row r="509" ht="14.25" customHeight="1">
      <c r="H509" s="216"/>
    </row>
    <row r="510" ht="14.25" customHeight="1">
      <c r="H510" s="216"/>
    </row>
    <row r="511" ht="14.25" customHeight="1">
      <c r="H511" s="216"/>
    </row>
    <row r="512" ht="14.25" customHeight="1">
      <c r="H512" s="216"/>
    </row>
    <row r="513" ht="14.25" customHeight="1">
      <c r="H513" s="216"/>
    </row>
    <row r="514" ht="14.25" customHeight="1">
      <c r="H514" s="216"/>
    </row>
    <row r="515" ht="14.25" customHeight="1">
      <c r="H515" s="216"/>
    </row>
    <row r="516" ht="14.25" customHeight="1">
      <c r="H516" s="216"/>
    </row>
    <row r="517" ht="14.25" customHeight="1">
      <c r="H517" s="216"/>
    </row>
    <row r="518" ht="14.25" customHeight="1">
      <c r="H518" s="216"/>
    </row>
    <row r="519" ht="14.25" customHeight="1">
      <c r="H519" s="216"/>
    </row>
    <row r="520" ht="14.25" customHeight="1">
      <c r="H520" s="216"/>
    </row>
    <row r="521" ht="14.25" customHeight="1">
      <c r="H521" s="216"/>
    </row>
    <row r="522" ht="14.25" customHeight="1">
      <c r="H522" s="216"/>
    </row>
    <row r="523" ht="14.25" customHeight="1">
      <c r="H523" s="216"/>
    </row>
    <row r="524" ht="14.25" customHeight="1">
      <c r="H524" s="216"/>
    </row>
    <row r="525" ht="14.25" customHeight="1">
      <c r="H525" s="216"/>
    </row>
    <row r="526" ht="14.25" customHeight="1">
      <c r="H526" s="216"/>
    </row>
    <row r="527" ht="14.25" customHeight="1">
      <c r="H527" s="216"/>
    </row>
    <row r="528" ht="14.25" customHeight="1">
      <c r="H528" s="216"/>
    </row>
    <row r="529" ht="14.25" customHeight="1">
      <c r="H529" s="216"/>
    </row>
    <row r="530" ht="14.25" customHeight="1">
      <c r="H530" s="216"/>
    </row>
    <row r="531" ht="14.25" customHeight="1">
      <c r="H531" s="216"/>
    </row>
    <row r="532" ht="14.25" customHeight="1">
      <c r="H532" s="216"/>
    </row>
    <row r="533" ht="14.25" customHeight="1">
      <c r="H533" s="216"/>
    </row>
    <row r="534" ht="14.25" customHeight="1">
      <c r="H534" s="216"/>
    </row>
    <row r="535" ht="14.25" customHeight="1">
      <c r="H535" s="216"/>
    </row>
    <row r="536" ht="14.25" customHeight="1">
      <c r="H536" s="216"/>
    </row>
    <row r="537" ht="14.25" customHeight="1">
      <c r="H537" s="216"/>
    </row>
    <row r="538" ht="14.25" customHeight="1">
      <c r="H538" s="216"/>
    </row>
    <row r="539" ht="14.25" customHeight="1">
      <c r="H539" s="216"/>
    </row>
    <row r="540" ht="14.25" customHeight="1">
      <c r="H540" s="216"/>
    </row>
    <row r="541" ht="14.25" customHeight="1">
      <c r="H541" s="216"/>
    </row>
    <row r="542" ht="14.25" customHeight="1">
      <c r="H542" s="216"/>
    </row>
    <row r="543" ht="14.25" customHeight="1">
      <c r="H543" s="216"/>
    </row>
    <row r="544" ht="14.25" customHeight="1">
      <c r="H544" s="216"/>
    </row>
    <row r="545" ht="14.25" customHeight="1">
      <c r="H545" s="216"/>
    </row>
    <row r="546" ht="14.25" customHeight="1">
      <c r="H546" s="216"/>
    </row>
    <row r="547" ht="14.25" customHeight="1">
      <c r="H547" s="216"/>
    </row>
    <row r="548" ht="14.25" customHeight="1">
      <c r="H548" s="216"/>
    </row>
    <row r="549" ht="14.25" customHeight="1">
      <c r="H549" s="216"/>
    </row>
    <row r="550" ht="14.25" customHeight="1">
      <c r="H550" s="216"/>
    </row>
    <row r="551" ht="14.25" customHeight="1">
      <c r="H551" s="216"/>
    </row>
    <row r="552" ht="14.25" customHeight="1">
      <c r="H552" s="216"/>
    </row>
    <row r="553" ht="14.25" customHeight="1">
      <c r="H553" s="216"/>
    </row>
    <row r="554" ht="14.25" customHeight="1">
      <c r="H554" s="216"/>
    </row>
    <row r="555" ht="14.25" customHeight="1">
      <c r="H555" s="216"/>
    </row>
    <row r="556" ht="14.25" customHeight="1">
      <c r="H556" s="216"/>
    </row>
    <row r="557" ht="14.25" customHeight="1">
      <c r="H557" s="216"/>
    </row>
    <row r="558" ht="14.25" customHeight="1">
      <c r="H558" s="216"/>
    </row>
    <row r="559" ht="14.25" customHeight="1">
      <c r="H559" s="216"/>
    </row>
    <row r="560" ht="14.25" customHeight="1">
      <c r="H560" s="216"/>
    </row>
    <row r="561" ht="14.25" customHeight="1">
      <c r="H561" s="216"/>
    </row>
    <row r="562" ht="14.25" customHeight="1">
      <c r="H562" s="216"/>
    </row>
    <row r="563" ht="14.25" customHeight="1">
      <c r="H563" s="216"/>
    </row>
    <row r="564" ht="14.25" customHeight="1">
      <c r="H564" s="216"/>
    </row>
    <row r="565" ht="14.25" customHeight="1">
      <c r="H565" s="216"/>
    </row>
    <row r="566" ht="14.25" customHeight="1">
      <c r="H566" s="216"/>
    </row>
    <row r="567" ht="14.25" customHeight="1">
      <c r="H567" s="216"/>
    </row>
    <row r="568" ht="14.25" customHeight="1">
      <c r="H568" s="216"/>
    </row>
    <row r="569" ht="14.25" customHeight="1">
      <c r="H569" s="216"/>
    </row>
    <row r="570" ht="14.25" customHeight="1">
      <c r="H570" s="216"/>
    </row>
    <row r="571" ht="14.25" customHeight="1">
      <c r="H571" s="216"/>
    </row>
    <row r="572" ht="14.25" customHeight="1">
      <c r="H572" s="216"/>
    </row>
    <row r="573" ht="14.25" customHeight="1">
      <c r="H573" s="216"/>
    </row>
    <row r="574" ht="14.25" customHeight="1">
      <c r="H574" s="216"/>
    </row>
    <row r="575" ht="14.25" customHeight="1">
      <c r="H575" s="216"/>
    </row>
    <row r="576" ht="14.25" customHeight="1">
      <c r="H576" s="216"/>
    </row>
    <row r="577" ht="14.25" customHeight="1">
      <c r="H577" s="216"/>
    </row>
    <row r="578" ht="14.25" customHeight="1">
      <c r="H578" s="216"/>
    </row>
    <row r="579" ht="14.25" customHeight="1">
      <c r="H579" s="216"/>
    </row>
    <row r="580" ht="14.25" customHeight="1">
      <c r="H580" s="216"/>
    </row>
    <row r="581" ht="14.25" customHeight="1">
      <c r="H581" s="216"/>
    </row>
    <row r="582" ht="14.25" customHeight="1">
      <c r="H582" s="216"/>
    </row>
    <row r="583" ht="14.25" customHeight="1">
      <c r="H583" s="216"/>
    </row>
    <row r="584" ht="14.25" customHeight="1">
      <c r="H584" s="216"/>
    </row>
    <row r="585" ht="14.25" customHeight="1">
      <c r="H585" s="216"/>
    </row>
    <row r="586" ht="14.25" customHeight="1">
      <c r="H586" s="216"/>
    </row>
    <row r="587" ht="14.25" customHeight="1">
      <c r="H587" s="216"/>
    </row>
    <row r="588" ht="14.25" customHeight="1">
      <c r="H588" s="216"/>
    </row>
    <row r="589" ht="14.25" customHeight="1">
      <c r="H589" s="216"/>
    </row>
    <row r="590" ht="14.25" customHeight="1">
      <c r="H590" s="216"/>
    </row>
    <row r="591" ht="14.25" customHeight="1">
      <c r="H591" s="216"/>
    </row>
    <row r="592" ht="14.25" customHeight="1">
      <c r="H592" s="216"/>
    </row>
    <row r="593" ht="14.25" customHeight="1">
      <c r="H593" s="216"/>
    </row>
    <row r="594" ht="14.25" customHeight="1">
      <c r="H594" s="216"/>
    </row>
    <row r="595" ht="14.25" customHeight="1">
      <c r="H595" s="216"/>
    </row>
    <row r="596" ht="14.25" customHeight="1">
      <c r="H596" s="216"/>
    </row>
    <row r="597" ht="14.25" customHeight="1">
      <c r="H597" s="216"/>
    </row>
    <row r="598" ht="14.25" customHeight="1">
      <c r="H598" s="216"/>
    </row>
    <row r="599" ht="14.25" customHeight="1">
      <c r="H599" s="216"/>
    </row>
    <row r="600" ht="14.25" customHeight="1">
      <c r="H600" s="216"/>
    </row>
    <row r="601" ht="14.25" customHeight="1">
      <c r="H601" s="216"/>
    </row>
    <row r="602" ht="14.25" customHeight="1">
      <c r="H602" s="216"/>
    </row>
    <row r="603" ht="14.25" customHeight="1">
      <c r="H603" s="216"/>
    </row>
    <row r="604" ht="14.25" customHeight="1">
      <c r="H604" s="216"/>
    </row>
    <row r="605" ht="14.25" customHeight="1">
      <c r="H605" s="216"/>
    </row>
    <row r="606" ht="14.25" customHeight="1">
      <c r="H606" s="216"/>
    </row>
    <row r="607" ht="14.25" customHeight="1">
      <c r="H607" s="216"/>
    </row>
    <row r="608" ht="14.25" customHeight="1">
      <c r="H608" s="216"/>
    </row>
    <row r="609" ht="14.25" customHeight="1">
      <c r="H609" s="216"/>
    </row>
    <row r="610" ht="14.25" customHeight="1">
      <c r="H610" s="216"/>
    </row>
    <row r="611" ht="14.25" customHeight="1">
      <c r="H611" s="216"/>
    </row>
    <row r="612" ht="14.25" customHeight="1">
      <c r="H612" s="216"/>
    </row>
    <row r="613" ht="14.25" customHeight="1">
      <c r="H613" s="216"/>
    </row>
    <row r="614" ht="14.25" customHeight="1">
      <c r="H614" s="216"/>
    </row>
    <row r="615" ht="14.25" customHeight="1">
      <c r="H615" s="216"/>
    </row>
    <row r="616" ht="14.25" customHeight="1">
      <c r="H616" s="216"/>
    </row>
    <row r="617" ht="14.25" customHeight="1">
      <c r="H617" s="216"/>
    </row>
    <row r="618" ht="14.25" customHeight="1">
      <c r="H618" s="216"/>
    </row>
    <row r="619" ht="14.25" customHeight="1">
      <c r="H619" s="216"/>
    </row>
    <row r="620" ht="14.25" customHeight="1">
      <c r="H620" s="216"/>
    </row>
    <row r="621" ht="14.25" customHeight="1">
      <c r="H621" s="216"/>
    </row>
    <row r="622" ht="14.25" customHeight="1">
      <c r="H622" s="216"/>
    </row>
    <row r="623" ht="14.25" customHeight="1">
      <c r="H623" s="216"/>
    </row>
    <row r="624" ht="14.25" customHeight="1">
      <c r="H624" s="216"/>
    </row>
    <row r="625" ht="14.25" customHeight="1">
      <c r="H625" s="216"/>
    </row>
    <row r="626" ht="14.25" customHeight="1">
      <c r="H626" s="216"/>
    </row>
    <row r="627" ht="14.25" customHeight="1">
      <c r="H627" s="216"/>
    </row>
    <row r="628" ht="14.25" customHeight="1">
      <c r="H628" s="216"/>
    </row>
    <row r="629" ht="14.25" customHeight="1">
      <c r="H629" s="216"/>
    </row>
    <row r="630" ht="14.25" customHeight="1">
      <c r="H630" s="216"/>
    </row>
    <row r="631" ht="14.25" customHeight="1">
      <c r="H631" s="216"/>
    </row>
    <row r="632" ht="14.25" customHeight="1">
      <c r="H632" s="216"/>
    </row>
    <row r="633" ht="14.25" customHeight="1">
      <c r="H633" s="216"/>
    </row>
    <row r="634" ht="14.25" customHeight="1">
      <c r="H634" s="216"/>
    </row>
    <row r="635" ht="14.25" customHeight="1">
      <c r="H635" s="216"/>
    </row>
    <row r="636" ht="14.25" customHeight="1">
      <c r="H636" s="216"/>
    </row>
    <row r="637" ht="14.25" customHeight="1">
      <c r="H637" s="216"/>
    </row>
    <row r="638" ht="14.25" customHeight="1">
      <c r="H638" s="216"/>
    </row>
    <row r="639" ht="14.25" customHeight="1">
      <c r="H639" s="216"/>
    </row>
    <row r="640" ht="14.25" customHeight="1">
      <c r="H640" s="216"/>
    </row>
    <row r="641" ht="14.25" customHeight="1">
      <c r="H641" s="216"/>
    </row>
    <row r="642" ht="14.25" customHeight="1">
      <c r="H642" s="216"/>
    </row>
    <row r="643" ht="14.25" customHeight="1">
      <c r="H643" s="216"/>
    </row>
    <row r="644" ht="14.25" customHeight="1">
      <c r="H644" s="216"/>
    </row>
    <row r="645" ht="14.25" customHeight="1">
      <c r="H645" s="216"/>
    </row>
    <row r="646" ht="14.25" customHeight="1">
      <c r="H646" s="216"/>
    </row>
    <row r="647" ht="14.25" customHeight="1">
      <c r="H647" s="216"/>
    </row>
    <row r="648" ht="14.25" customHeight="1">
      <c r="H648" s="216"/>
    </row>
    <row r="649" ht="14.25" customHeight="1">
      <c r="H649" s="216"/>
    </row>
    <row r="650" ht="14.25" customHeight="1">
      <c r="H650" s="216"/>
    </row>
    <row r="651" ht="14.25" customHeight="1">
      <c r="H651" s="216"/>
    </row>
    <row r="652" ht="14.25" customHeight="1">
      <c r="H652" s="216"/>
    </row>
    <row r="653" ht="14.25" customHeight="1">
      <c r="H653" s="216"/>
    </row>
    <row r="654" ht="14.25" customHeight="1">
      <c r="H654" s="216"/>
    </row>
    <row r="655" ht="14.25" customHeight="1">
      <c r="H655" s="216"/>
    </row>
    <row r="656" ht="14.25" customHeight="1">
      <c r="H656" s="216"/>
    </row>
    <row r="657" ht="14.25" customHeight="1">
      <c r="H657" s="216"/>
    </row>
    <row r="658" ht="14.25" customHeight="1">
      <c r="H658" s="216"/>
    </row>
    <row r="659" ht="14.25" customHeight="1">
      <c r="H659" s="216"/>
    </row>
    <row r="660" ht="14.25" customHeight="1">
      <c r="H660" s="216"/>
    </row>
    <row r="661" ht="14.25" customHeight="1">
      <c r="H661" s="216"/>
    </row>
    <row r="662" ht="14.25" customHeight="1">
      <c r="H662" s="216"/>
    </row>
    <row r="663" ht="14.25" customHeight="1">
      <c r="H663" s="216"/>
    </row>
    <row r="664" ht="14.25" customHeight="1">
      <c r="H664" s="216"/>
    </row>
    <row r="665" ht="14.25" customHeight="1">
      <c r="H665" s="216"/>
    </row>
    <row r="666" ht="14.25" customHeight="1">
      <c r="H666" s="216"/>
    </row>
    <row r="667" ht="14.25" customHeight="1">
      <c r="H667" s="216"/>
    </row>
    <row r="668" ht="14.25" customHeight="1">
      <c r="H668" s="216"/>
    </row>
    <row r="669" ht="14.25" customHeight="1">
      <c r="H669" s="216"/>
    </row>
    <row r="670" ht="14.25" customHeight="1">
      <c r="H670" s="216"/>
    </row>
    <row r="671" ht="14.25" customHeight="1">
      <c r="H671" s="216"/>
    </row>
    <row r="672" ht="14.25" customHeight="1">
      <c r="H672" s="216"/>
    </row>
    <row r="673" ht="14.25" customHeight="1">
      <c r="H673" s="216"/>
    </row>
    <row r="674" ht="14.25" customHeight="1">
      <c r="H674" s="216"/>
    </row>
    <row r="675" ht="14.25" customHeight="1">
      <c r="H675" s="216"/>
    </row>
    <row r="676" ht="14.25" customHeight="1">
      <c r="H676" s="216"/>
    </row>
    <row r="677" ht="14.25" customHeight="1">
      <c r="H677" s="216"/>
    </row>
    <row r="678" ht="14.25" customHeight="1">
      <c r="H678" s="216"/>
    </row>
    <row r="679" ht="14.25" customHeight="1">
      <c r="H679" s="216"/>
    </row>
    <row r="680" ht="14.25" customHeight="1">
      <c r="H680" s="216"/>
    </row>
    <row r="681" ht="14.25" customHeight="1">
      <c r="H681" s="216"/>
    </row>
    <row r="682" ht="14.25" customHeight="1">
      <c r="H682" s="216"/>
    </row>
    <row r="683" ht="14.25" customHeight="1">
      <c r="H683" s="216"/>
    </row>
    <row r="684" ht="14.25" customHeight="1">
      <c r="H684" s="216"/>
    </row>
    <row r="685" ht="14.25" customHeight="1">
      <c r="H685" s="216"/>
    </row>
    <row r="686" ht="14.25" customHeight="1">
      <c r="H686" s="216"/>
    </row>
    <row r="687" ht="14.25" customHeight="1">
      <c r="H687" s="216"/>
    </row>
    <row r="688" ht="14.25" customHeight="1">
      <c r="H688" s="216"/>
    </row>
    <row r="689" ht="14.25" customHeight="1">
      <c r="H689" s="216"/>
    </row>
    <row r="690" ht="14.25" customHeight="1">
      <c r="H690" s="216"/>
    </row>
    <row r="691" ht="14.25" customHeight="1">
      <c r="H691" s="216"/>
    </row>
    <row r="692" ht="14.25" customHeight="1">
      <c r="H692" s="216"/>
    </row>
    <row r="693" ht="14.25" customHeight="1">
      <c r="H693" s="216"/>
    </row>
    <row r="694" ht="14.25" customHeight="1">
      <c r="H694" s="216"/>
    </row>
    <row r="695" ht="14.25" customHeight="1">
      <c r="H695" s="216"/>
    </row>
    <row r="696" ht="14.25" customHeight="1">
      <c r="H696" s="216"/>
    </row>
    <row r="697" ht="14.25" customHeight="1">
      <c r="H697" s="216"/>
    </row>
    <row r="698" ht="14.25" customHeight="1">
      <c r="H698" s="216"/>
    </row>
    <row r="699" ht="14.25" customHeight="1">
      <c r="H699" s="216"/>
    </row>
    <row r="700" ht="14.25" customHeight="1">
      <c r="H700" s="216"/>
    </row>
    <row r="701" ht="14.25" customHeight="1">
      <c r="H701" s="216"/>
    </row>
    <row r="702" ht="14.25" customHeight="1">
      <c r="H702" s="216"/>
    </row>
    <row r="703" ht="14.25" customHeight="1">
      <c r="H703" s="216"/>
    </row>
    <row r="704" ht="14.25" customHeight="1">
      <c r="H704" s="216"/>
    </row>
    <row r="705" ht="14.25" customHeight="1">
      <c r="H705" s="216"/>
    </row>
    <row r="706" ht="14.25" customHeight="1">
      <c r="H706" s="216"/>
    </row>
    <row r="707" ht="14.25" customHeight="1">
      <c r="H707" s="216"/>
    </row>
    <row r="708" ht="14.25" customHeight="1">
      <c r="H708" s="216"/>
    </row>
    <row r="709" ht="14.25" customHeight="1">
      <c r="H709" s="216"/>
    </row>
    <row r="710" ht="14.25" customHeight="1">
      <c r="H710" s="216"/>
    </row>
    <row r="711" ht="14.25" customHeight="1">
      <c r="H711" s="216"/>
    </row>
    <row r="712" ht="14.25" customHeight="1">
      <c r="H712" s="216"/>
    </row>
    <row r="713" ht="14.25" customHeight="1">
      <c r="H713" s="216"/>
    </row>
    <row r="714" ht="14.25" customHeight="1">
      <c r="H714" s="216"/>
    </row>
    <row r="715" ht="14.25" customHeight="1">
      <c r="H715" s="216"/>
    </row>
    <row r="716" ht="14.25" customHeight="1">
      <c r="H716" s="216"/>
    </row>
    <row r="717" ht="14.25" customHeight="1">
      <c r="H717" s="216"/>
    </row>
    <row r="718" ht="14.25" customHeight="1">
      <c r="H718" s="216"/>
    </row>
    <row r="719" ht="14.25" customHeight="1">
      <c r="H719" s="216"/>
    </row>
    <row r="720" ht="14.25" customHeight="1">
      <c r="H720" s="216"/>
    </row>
    <row r="721" ht="14.25" customHeight="1">
      <c r="H721" s="216"/>
    </row>
    <row r="722" ht="14.25" customHeight="1">
      <c r="H722" s="216"/>
    </row>
    <row r="723" ht="14.25" customHeight="1">
      <c r="H723" s="216"/>
    </row>
    <row r="724" ht="14.25" customHeight="1">
      <c r="H724" s="216"/>
    </row>
    <row r="725" ht="14.25" customHeight="1">
      <c r="H725" s="216"/>
    </row>
    <row r="726" ht="14.25" customHeight="1">
      <c r="H726" s="216"/>
    </row>
    <row r="727" ht="14.25" customHeight="1">
      <c r="H727" s="216"/>
    </row>
    <row r="728" ht="14.25" customHeight="1">
      <c r="H728" s="216"/>
    </row>
    <row r="729" ht="14.25" customHeight="1">
      <c r="H729" s="216"/>
    </row>
    <row r="730" ht="14.25" customHeight="1">
      <c r="H730" s="216"/>
    </row>
    <row r="731" ht="14.25" customHeight="1">
      <c r="H731" s="216"/>
    </row>
    <row r="732" ht="14.25" customHeight="1">
      <c r="H732" s="216"/>
    </row>
    <row r="733" ht="14.25" customHeight="1">
      <c r="H733" s="216"/>
    </row>
    <row r="734" ht="14.25" customHeight="1">
      <c r="H734" s="216"/>
    </row>
    <row r="735" ht="14.25" customHeight="1">
      <c r="H735" s="216"/>
    </row>
    <row r="736" ht="14.25" customHeight="1">
      <c r="H736" s="216"/>
    </row>
    <row r="737" ht="14.25" customHeight="1">
      <c r="H737" s="216"/>
    </row>
    <row r="738" ht="14.25" customHeight="1">
      <c r="H738" s="216"/>
    </row>
    <row r="739" ht="14.25" customHeight="1">
      <c r="H739" s="216"/>
    </row>
    <row r="740" ht="14.25" customHeight="1">
      <c r="H740" s="216"/>
    </row>
    <row r="741" ht="14.25" customHeight="1">
      <c r="H741" s="216"/>
    </row>
    <row r="742" ht="14.25" customHeight="1">
      <c r="H742" s="216"/>
    </row>
    <row r="743" ht="14.25" customHeight="1">
      <c r="H743" s="216"/>
    </row>
    <row r="744" ht="14.25" customHeight="1">
      <c r="H744" s="216"/>
    </row>
    <row r="745" ht="14.25" customHeight="1">
      <c r="H745" s="216"/>
    </row>
    <row r="746" ht="14.25" customHeight="1">
      <c r="H746" s="216"/>
    </row>
    <row r="747" ht="14.25" customHeight="1">
      <c r="H747" s="216"/>
    </row>
    <row r="748" ht="14.25" customHeight="1">
      <c r="H748" s="216"/>
    </row>
    <row r="749" ht="14.25" customHeight="1">
      <c r="H749" s="216"/>
    </row>
    <row r="750" ht="14.25" customHeight="1">
      <c r="H750" s="216"/>
    </row>
    <row r="751" ht="14.25" customHeight="1">
      <c r="H751" s="216"/>
    </row>
    <row r="752" ht="14.25" customHeight="1">
      <c r="H752" s="216"/>
    </row>
    <row r="753" ht="14.25" customHeight="1">
      <c r="H753" s="216"/>
    </row>
    <row r="754" ht="14.25" customHeight="1">
      <c r="H754" s="216"/>
    </row>
    <row r="755" ht="14.25" customHeight="1">
      <c r="H755" s="216"/>
    </row>
    <row r="756" ht="14.25" customHeight="1">
      <c r="H756" s="216"/>
    </row>
    <row r="757" ht="14.25" customHeight="1">
      <c r="H757" s="216"/>
    </row>
    <row r="758" ht="14.25" customHeight="1">
      <c r="H758" s="216"/>
    </row>
    <row r="759" ht="14.25" customHeight="1">
      <c r="H759" s="216"/>
    </row>
    <row r="760" ht="14.25" customHeight="1">
      <c r="H760" s="216"/>
    </row>
    <row r="761" ht="14.25" customHeight="1">
      <c r="H761" s="216"/>
    </row>
    <row r="762" ht="14.25" customHeight="1">
      <c r="H762" s="216"/>
    </row>
    <row r="763" ht="14.25" customHeight="1">
      <c r="H763" s="216"/>
    </row>
    <row r="764" ht="14.25" customHeight="1">
      <c r="H764" s="216"/>
    </row>
    <row r="765" ht="14.25" customHeight="1">
      <c r="H765" s="216"/>
    </row>
    <row r="766" ht="14.25" customHeight="1">
      <c r="H766" s="216"/>
    </row>
    <row r="767" ht="14.25" customHeight="1">
      <c r="H767" s="216"/>
    </row>
    <row r="768" ht="14.25" customHeight="1">
      <c r="H768" s="216"/>
    </row>
    <row r="769" ht="14.25" customHeight="1">
      <c r="H769" s="216"/>
    </row>
    <row r="770" ht="14.25" customHeight="1">
      <c r="H770" s="216"/>
    </row>
    <row r="771" ht="14.25" customHeight="1">
      <c r="H771" s="216"/>
    </row>
    <row r="772" ht="14.25" customHeight="1">
      <c r="H772" s="216"/>
    </row>
    <row r="773" ht="14.25" customHeight="1">
      <c r="H773" s="216"/>
    </row>
    <row r="774" ht="14.25" customHeight="1">
      <c r="H774" s="216"/>
    </row>
    <row r="775" ht="14.25" customHeight="1">
      <c r="H775" s="216"/>
    </row>
    <row r="776" ht="14.25" customHeight="1">
      <c r="H776" s="216"/>
    </row>
    <row r="777" ht="14.25" customHeight="1">
      <c r="H777" s="216"/>
    </row>
    <row r="778" ht="14.25" customHeight="1">
      <c r="H778" s="216"/>
    </row>
    <row r="779" ht="14.25" customHeight="1">
      <c r="H779" s="216"/>
    </row>
    <row r="780" ht="14.25" customHeight="1">
      <c r="H780" s="216"/>
    </row>
    <row r="781" ht="14.25" customHeight="1">
      <c r="H781" s="216"/>
    </row>
    <row r="782" ht="14.25" customHeight="1">
      <c r="H782" s="216"/>
    </row>
    <row r="783" ht="14.25" customHeight="1">
      <c r="H783" s="216"/>
    </row>
    <row r="784" ht="14.25" customHeight="1">
      <c r="H784" s="216"/>
    </row>
    <row r="785" ht="14.25" customHeight="1">
      <c r="H785" s="216"/>
    </row>
    <row r="786" ht="14.25" customHeight="1">
      <c r="H786" s="216"/>
    </row>
    <row r="787" ht="14.25" customHeight="1">
      <c r="H787" s="216"/>
    </row>
    <row r="788" ht="14.25" customHeight="1">
      <c r="H788" s="216"/>
    </row>
    <row r="789" ht="14.25" customHeight="1">
      <c r="H789" s="216"/>
    </row>
    <row r="790" ht="14.25" customHeight="1">
      <c r="H790" s="216"/>
    </row>
    <row r="791" ht="14.25" customHeight="1">
      <c r="H791" s="216"/>
    </row>
    <row r="792" ht="14.25" customHeight="1">
      <c r="H792" s="216"/>
    </row>
    <row r="793" ht="14.25" customHeight="1">
      <c r="H793" s="216"/>
    </row>
    <row r="794" ht="14.25" customHeight="1">
      <c r="H794" s="216"/>
    </row>
    <row r="795" ht="14.25" customHeight="1">
      <c r="H795" s="216"/>
    </row>
    <row r="796" ht="14.25" customHeight="1">
      <c r="H796" s="216"/>
    </row>
    <row r="797" ht="14.25" customHeight="1">
      <c r="H797" s="216"/>
    </row>
    <row r="798" ht="14.25" customHeight="1">
      <c r="H798" s="216"/>
    </row>
    <row r="799" ht="14.25" customHeight="1">
      <c r="H799" s="216"/>
    </row>
    <row r="800" ht="14.25" customHeight="1">
      <c r="H800" s="216"/>
    </row>
    <row r="801" ht="14.25" customHeight="1">
      <c r="H801" s="216"/>
    </row>
    <row r="802" ht="14.25" customHeight="1">
      <c r="H802" s="216"/>
    </row>
    <row r="803" ht="14.25" customHeight="1">
      <c r="H803" s="216"/>
    </row>
    <row r="804" ht="14.25" customHeight="1">
      <c r="H804" s="216"/>
    </row>
    <row r="805" ht="14.25" customHeight="1">
      <c r="H805" s="216"/>
    </row>
    <row r="806" ht="14.25" customHeight="1">
      <c r="H806" s="216"/>
    </row>
    <row r="807" ht="14.25" customHeight="1">
      <c r="H807" s="216"/>
    </row>
    <row r="808" ht="14.25" customHeight="1">
      <c r="H808" s="216"/>
    </row>
    <row r="809" ht="14.25" customHeight="1">
      <c r="H809" s="216"/>
    </row>
    <row r="810" ht="14.25" customHeight="1">
      <c r="H810" s="216"/>
    </row>
    <row r="811" ht="14.25" customHeight="1">
      <c r="H811" s="216"/>
    </row>
    <row r="812" ht="14.25" customHeight="1">
      <c r="H812" s="216"/>
    </row>
    <row r="813" ht="14.25" customHeight="1">
      <c r="H813" s="216"/>
    </row>
    <row r="814" ht="14.25" customHeight="1">
      <c r="H814" s="216"/>
    </row>
    <row r="815" ht="14.25" customHeight="1">
      <c r="H815" s="216"/>
    </row>
    <row r="816" ht="14.25" customHeight="1">
      <c r="H816" s="216"/>
    </row>
    <row r="817" ht="14.25" customHeight="1">
      <c r="H817" s="216"/>
    </row>
    <row r="818" ht="14.25" customHeight="1">
      <c r="H818" s="216"/>
    </row>
    <row r="819" ht="14.25" customHeight="1">
      <c r="H819" s="216"/>
    </row>
    <row r="820" ht="14.25" customHeight="1">
      <c r="H820" s="216"/>
    </row>
    <row r="821" ht="14.25" customHeight="1">
      <c r="H821" s="216"/>
    </row>
    <row r="822" ht="14.25" customHeight="1">
      <c r="H822" s="216"/>
    </row>
    <row r="823" ht="14.25" customHeight="1">
      <c r="H823" s="216"/>
    </row>
    <row r="824" ht="14.25" customHeight="1">
      <c r="H824" s="216"/>
    </row>
    <row r="825" ht="14.25" customHeight="1">
      <c r="H825" s="216"/>
    </row>
    <row r="826" ht="14.25" customHeight="1">
      <c r="H826" s="216"/>
    </row>
    <row r="827" ht="14.25" customHeight="1">
      <c r="H827" s="216"/>
    </row>
    <row r="828" ht="14.25" customHeight="1">
      <c r="H828" s="216"/>
    </row>
    <row r="829" ht="14.25" customHeight="1">
      <c r="H829" s="216"/>
    </row>
    <row r="830" ht="14.25" customHeight="1">
      <c r="H830" s="216"/>
    </row>
    <row r="831" ht="14.25" customHeight="1">
      <c r="H831" s="216"/>
    </row>
    <row r="832" ht="14.25" customHeight="1">
      <c r="H832" s="216"/>
    </row>
    <row r="833" ht="14.25" customHeight="1">
      <c r="H833" s="216"/>
    </row>
    <row r="834" ht="14.25" customHeight="1">
      <c r="H834" s="216"/>
    </row>
    <row r="835" ht="14.25" customHeight="1">
      <c r="H835" s="216"/>
    </row>
    <row r="836" ht="14.25" customHeight="1">
      <c r="H836" s="216"/>
    </row>
    <row r="837" ht="14.25" customHeight="1">
      <c r="H837" s="216"/>
    </row>
    <row r="838" ht="14.25" customHeight="1">
      <c r="H838" s="216"/>
    </row>
    <row r="839" ht="14.25" customHeight="1">
      <c r="H839" s="216"/>
    </row>
    <row r="840" ht="14.25" customHeight="1">
      <c r="H840" s="216"/>
    </row>
    <row r="841" ht="14.25" customHeight="1">
      <c r="H841" s="216"/>
    </row>
    <row r="842" ht="14.25" customHeight="1">
      <c r="H842" s="216"/>
    </row>
    <row r="843" ht="14.25" customHeight="1">
      <c r="H843" s="216"/>
    </row>
    <row r="844" ht="14.25" customHeight="1">
      <c r="H844" s="216"/>
    </row>
    <row r="845" ht="14.25" customHeight="1">
      <c r="H845" s="216"/>
    </row>
    <row r="846" ht="14.25" customHeight="1">
      <c r="H846" s="216"/>
    </row>
    <row r="847" ht="14.25" customHeight="1">
      <c r="H847" s="216"/>
    </row>
    <row r="848" ht="14.25" customHeight="1">
      <c r="H848" s="216"/>
    </row>
    <row r="849" ht="14.25" customHeight="1">
      <c r="H849" s="216"/>
    </row>
    <row r="850" ht="14.25" customHeight="1">
      <c r="H850" s="216"/>
    </row>
    <row r="851" ht="14.25" customHeight="1">
      <c r="H851" s="216"/>
    </row>
    <row r="852" ht="14.25" customHeight="1">
      <c r="H852" s="216"/>
    </row>
    <row r="853" ht="14.25" customHeight="1">
      <c r="H853" s="216"/>
    </row>
    <row r="854" ht="14.25" customHeight="1">
      <c r="H854" s="216"/>
    </row>
    <row r="855" ht="14.25" customHeight="1">
      <c r="H855" s="216"/>
    </row>
    <row r="856" ht="14.25" customHeight="1">
      <c r="H856" s="216"/>
    </row>
    <row r="857" ht="14.25" customHeight="1">
      <c r="H857" s="216"/>
    </row>
    <row r="858" ht="14.25" customHeight="1">
      <c r="H858" s="216"/>
    </row>
    <row r="859" ht="14.25" customHeight="1">
      <c r="H859" s="216"/>
    </row>
    <row r="860" ht="14.25" customHeight="1">
      <c r="H860" s="216"/>
    </row>
    <row r="861" ht="14.25" customHeight="1">
      <c r="H861" s="216"/>
    </row>
    <row r="862" ht="14.25" customHeight="1">
      <c r="H862" s="216"/>
    </row>
    <row r="863" ht="14.25" customHeight="1">
      <c r="H863" s="216"/>
    </row>
    <row r="864" ht="14.25" customHeight="1">
      <c r="H864" s="216"/>
    </row>
    <row r="865" ht="14.25" customHeight="1">
      <c r="H865" s="216"/>
    </row>
    <row r="866" ht="14.25" customHeight="1">
      <c r="H866" s="216"/>
    </row>
    <row r="867" ht="14.25" customHeight="1">
      <c r="H867" s="216"/>
    </row>
    <row r="868" ht="14.25" customHeight="1">
      <c r="H868" s="216"/>
    </row>
    <row r="869" ht="14.25" customHeight="1">
      <c r="H869" s="216"/>
    </row>
    <row r="870" ht="14.25" customHeight="1">
      <c r="H870" s="216"/>
    </row>
    <row r="871" ht="14.25" customHeight="1">
      <c r="H871" s="216"/>
    </row>
    <row r="872" ht="14.25" customHeight="1">
      <c r="H872" s="216"/>
    </row>
    <row r="873" ht="14.25" customHeight="1">
      <c r="H873" s="216"/>
    </row>
    <row r="874" ht="14.25" customHeight="1">
      <c r="H874" s="216"/>
    </row>
    <row r="875" ht="14.25" customHeight="1">
      <c r="H875" s="216"/>
    </row>
    <row r="876" ht="14.25" customHeight="1">
      <c r="H876" s="216"/>
    </row>
    <row r="877" ht="14.25" customHeight="1">
      <c r="H877" s="216"/>
    </row>
    <row r="878" ht="14.25" customHeight="1">
      <c r="H878" s="216"/>
    </row>
    <row r="879" ht="14.25" customHeight="1">
      <c r="H879" s="216"/>
    </row>
    <row r="880" ht="14.25" customHeight="1">
      <c r="H880" s="216"/>
    </row>
    <row r="881" ht="14.25" customHeight="1">
      <c r="H881" s="216"/>
    </row>
    <row r="882" ht="14.25" customHeight="1">
      <c r="H882" s="216"/>
    </row>
    <row r="883" ht="14.25" customHeight="1">
      <c r="H883" s="216"/>
    </row>
    <row r="884" ht="14.25" customHeight="1">
      <c r="H884" s="216"/>
    </row>
    <row r="885" ht="14.25" customHeight="1">
      <c r="H885" s="216"/>
    </row>
    <row r="886" ht="14.25" customHeight="1">
      <c r="H886" s="216"/>
    </row>
    <row r="887" ht="14.25" customHeight="1">
      <c r="H887" s="216"/>
    </row>
    <row r="888" ht="14.25" customHeight="1">
      <c r="H888" s="216"/>
    </row>
    <row r="889" ht="14.25" customHeight="1">
      <c r="H889" s="216"/>
    </row>
    <row r="890" ht="14.25" customHeight="1">
      <c r="H890" s="216"/>
    </row>
    <row r="891" ht="14.25" customHeight="1">
      <c r="H891" s="216"/>
    </row>
    <row r="892" ht="14.25" customHeight="1">
      <c r="H892" s="216"/>
    </row>
    <row r="893" ht="14.25" customHeight="1">
      <c r="H893" s="216"/>
    </row>
    <row r="894" ht="14.25" customHeight="1">
      <c r="H894" s="216"/>
    </row>
    <row r="895" ht="14.25" customHeight="1">
      <c r="H895" s="216"/>
    </row>
    <row r="896" ht="14.25" customHeight="1">
      <c r="H896" s="216"/>
    </row>
    <row r="897" ht="14.25" customHeight="1">
      <c r="H897" s="216"/>
    </row>
    <row r="898" ht="14.25" customHeight="1">
      <c r="H898" s="216"/>
    </row>
    <row r="899" ht="14.25" customHeight="1">
      <c r="H899" s="216"/>
    </row>
    <row r="900" ht="14.25" customHeight="1">
      <c r="H900" s="216"/>
    </row>
    <row r="901" ht="14.25" customHeight="1">
      <c r="H901" s="216"/>
    </row>
    <row r="902" ht="14.25" customHeight="1">
      <c r="H902" s="216"/>
    </row>
    <row r="903" ht="14.25" customHeight="1">
      <c r="H903" s="216"/>
    </row>
    <row r="904" ht="14.25" customHeight="1">
      <c r="H904" s="216"/>
    </row>
    <row r="905" ht="14.25" customHeight="1">
      <c r="H905" s="216"/>
    </row>
    <row r="906" ht="14.25" customHeight="1">
      <c r="H906" s="216"/>
    </row>
    <row r="907" ht="14.25" customHeight="1">
      <c r="H907" s="216"/>
    </row>
    <row r="908" ht="14.25" customHeight="1">
      <c r="H908" s="216"/>
    </row>
    <row r="909" ht="14.25" customHeight="1">
      <c r="H909" s="216"/>
    </row>
    <row r="910" ht="14.25" customHeight="1">
      <c r="H910" s="216"/>
    </row>
    <row r="911" ht="14.25" customHeight="1">
      <c r="H911" s="216"/>
    </row>
    <row r="912" ht="14.25" customHeight="1">
      <c r="H912" s="216"/>
    </row>
    <row r="913" ht="14.25" customHeight="1">
      <c r="H913" s="216"/>
    </row>
    <row r="914" ht="14.25" customHeight="1">
      <c r="H914" s="216"/>
    </row>
    <row r="915" ht="14.25" customHeight="1">
      <c r="H915" s="216"/>
    </row>
    <row r="916" ht="14.25" customHeight="1">
      <c r="H916" s="216"/>
    </row>
    <row r="917" ht="14.25" customHeight="1">
      <c r="H917" s="216"/>
    </row>
    <row r="918" ht="14.25" customHeight="1">
      <c r="H918" s="216"/>
    </row>
    <row r="919" ht="14.25" customHeight="1">
      <c r="H919" s="216"/>
    </row>
    <row r="920" ht="14.25" customHeight="1">
      <c r="H920" s="216"/>
    </row>
    <row r="921" ht="14.25" customHeight="1">
      <c r="H921" s="216"/>
    </row>
    <row r="922" ht="14.25" customHeight="1">
      <c r="H922" s="216"/>
    </row>
    <row r="923" ht="14.25" customHeight="1">
      <c r="H923" s="216"/>
    </row>
    <row r="924" ht="14.25" customHeight="1">
      <c r="H924" s="216"/>
    </row>
    <row r="925" ht="14.25" customHeight="1">
      <c r="H925" s="216"/>
    </row>
    <row r="926" ht="14.25" customHeight="1">
      <c r="H926" s="216"/>
    </row>
    <row r="927" ht="14.25" customHeight="1">
      <c r="H927" s="216"/>
    </row>
    <row r="928" ht="14.25" customHeight="1">
      <c r="H928" s="216"/>
    </row>
    <row r="929" ht="14.25" customHeight="1">
      <c r="H929" s="216"/>
    </row>
    <row r="930" ht="14.25" customHeight="1">
      <c r="H930" s="216"/>
    </row>
    <row r="931" ht="14.25" customHeight="1">
      <c r="H931" s="216"/>
    </row>
    <row r="932" ht="14.25" customHeight="1">
      <c r="H932" s="216"/>
    </row>
    <row r="933" ht="14.25" customHeight="1">
      <c r="H933" s="216"/>
    </row>
    <row r="934" ht="14.25" customHeight="1">
      <c r="H934" s="216"/>
    </row>
    <row r="935" ht="14.25" customHeight="1">
      <c r="H935" s="216"/>
    </row>
    <row r="936" ht="14.25" customHeight="1">
      <c r="H936" s="216"/>
    </row>
    <row r="937" ht="14.25" customHeight="1">
      <c r="H937" s="216"/>
    </row>
    <row r="938" ht="14.25" customHeight="1">
      <c r="H938" s="216"/>
    </row>
    <row r="939" ht="14.25" customHeight="1">
      <c r="H939" s="216"/>
    </row>
    <row r="940" ht="14.25" customHeight="1">
      <c r="H940" s="216"/>
    </row>
    <row r="941" ht="14.25" customHeight="1">
      <c r="H941" s="216"/>
    </row>
    <row r="942" ht="14.25" customHeight="1">
      <c r="H942" s="216"/>
    </row>
    <row r="943" ht="14.25" customHeight="1">
      <c r="H943" s="216"/>
    </row>
    <row r="944" ht="14.25" customHeight="1">
      <c r="H944" s="216"/>
    </row>
    <row r="945" ht="14.25" customHeight="1">
      <c r="H945" s="216"/>
    </row>
    <row r="946" ht="14.25" customHeight="1">
      <c r="H946" s="216"/>
    </row>
    <row r="947" ht="14.25" customHeight="1">
      <c r="H947" s="216"/>
    </row>
    <row r="948" ht="14.25" customHeight="1">
      <c r="H948" s="216"/>
    </row>
    <row r="949" ht="14.25" customHeight="1">
      <c r="H949" s="216"/>
    </row>
    <row r="950" ht="14.25" customHeight="1">
      <c r="H950" s="216"/>
    </row>
    <row r="951" ht="14.25" customHeight="1">
      <c r="H951" s="216"/>
    </row>
    <row r="952" ht="14.25" customHeight="1">
      <c r="H952" s="216"/>
    </row>
    <row r="953" ht="14.25" customHeight="1">
      <c r="H953" s="216"/>
    </row>
    <row r="954" ht="14.25" customHeight="1">
      <c r="H954" s="216"/>
    </row>
    <row r="955" ht="14.25" customHeight="1">
      <c r="H955" s="216"/>
    </row>
    <row r="956" ht="14.25" customHeight="1">
      <c r="H956" s="216"/>
    </row>
    <row r="957" ht="14.25" customHeight="1">
      <c r="H957" s="216"/>
    </row>
    <row r="958" ht="14.25" customHeight="1">
      <c r="H958" s="216"/>
    </row>
    <row r="959" ht="14.25" customHeight="1">
      <c r="H959" s="216"/>
    </row>
    <row r="960" ht="14.25" customHeight="1">
      <c r="H960" s="216"/>
    </row>
    <row r="961" ht="14.25" customHeight="1">
      <c r="H961" s="216"/>
    </row>
    <row r="962" ht="14.25" customHeight="1">
      <c r="H962" s="216"/>
    </row>
    <row r="963" ht="14.25" customHeight="1">
      <c r="H963" s="216"/>
    </row>
    <row r="964" ht="14.25" customHeight="1">
      <c r="H964" s="216"/>
    </row>
    <row r="965" ht="14.25" customHeight="1">
      <c r="H965" s="216"/>
    </row>
    <row r="966" ht="14.25" customHeight="1">
      <c r="H966" s="216"/>
    </row>
    <row r="967" ht="14.25" customHeight="1">
      <c r="H967" s="216"/>
    </row>
    <row r="968" ht="14.25" customHeight="1">
      <c r="H968" s="216"/>
    </row>
    <row r="969" ht="14.25" customHeight="1">
      <c r="H969" s="216"/>
    </row>
    <row r="970" ht="14.25" customHeight="1">
      <c r="H970" s="216"/>
    </row>
    <row r="971" ht="14.25" customHeight="1">
      <c r="H971" s="216"/>
    </row>
    <row r="972" ht="14.25" customHeight="1">
      <c r="H972" s="216"/>
    </row>
    <row r="973" ht="14.25" customHeight="1">
      <c r="H973" s="216"/>
    </row>
    <row r="974" ht="14.25" customHeight="1">
      <c r="H974" s="216"/>
    </row>
    <row r="975" ht="14.25" customHeight="1">
      <c r="H975" s="216"/>
    </row>
    <row r="976" ht="14.25" customHeight="1">
      <c r="H976" s="216"/>
    </row>
    <row r="977" ht="14.25" customHeight="1">
      <c r="H977" s="216"/>
    </row>
    <row r="978" ht="14.25" customHeight="1">
      <c r="H978" s="216"/>
    </row>
    <row r="979" ht="14.25" customHeight="1">
      <c r="H979" s="216"/>
    </row>
    <row r="980" ht="14.25" customHeight="1">
      <c r="H980" s="216"/>
    </row>
    <row r="981" ht="14.25" customHeight="1">
      <c r="H981" s="216"/>
    </row>
    <row r="982" ht="14.25" customHeight="1">
      <c r="H982" s="216"/>
    </row>
    <row r="983" ht="14.25" customHeight="1">
      <c r="H983" s="216"/>
    </row>
    <row r="984" ht="14.25" customHeight="1">
      <c r="H984" s="216"/>
    </row>
    <row r="985" ht="14.25" customHeight="1">
      <c r="H985" s="216"/>
    </row>
    <row r="986" ht="14.25" customHeight="1">
      <c r="H986" s="216"/>
    </row>
    <row r="987" ht="14.25" customHeight="1">
      <c r="H987" s="216"/>
    </row>
    <row r="988" ht="14.25" customHeight="1">
      <c r="H988" s="216"/>
    </row>
    <row r="989" ht="14.25" customHeight="1">
      <c r="H989" s="216"/>
    </row>
    <row r="990" ht="14.25" customHeight="1">
      <c r="H990" s="216"/>
    </row>
    <row r="991" ht="14.25" customHeight="1">
      <c r="H991" s="216"/>
    </row>
    <row r="992" ht="14.25" customHeight="1">
      <c r="H992" s="216"/>
    </row>
    <row r="993" ht="14.25" customHeight="1">
      <c r="H993" s="216"/>
    </row>
    <row r="994" ht="14.25" customHeight="1">
      <c r="H994" s="216"/>
    </row>
    <row r="995" ht="14.25" customHeight="1">
      <c r="H995" s="216"/>
    </row>
    <row r="996" ht="14.25" customHeight="1">
      <c r="H996" s="216"/>
    </row>
    <row r="997" ht="14.25" customHeight="1">
      <c r="H997" s="216"/>
    </row>
    <row r="998" ht="14.25" customHeight="1">
      <c r="H998" s="216"/>
    </row>
    <row r="999" ht="14.25" customHeight="1">
      <c r="H999" s="216"/>
    </row>
    <row r="1000" ht="14.25" customHeight="1">
      <c r="H1000" s="216"/>
    </row>
  </sheetData>
  <autoFilter ref="$A$8:$F$61"/>
  <mergeCells count="4">
    <mergeCell ref="A1:B1"/>
    <mergeCell ref="A5:F5"/>
    <mergeCell ref="A6:F6"/>
    <mergeCell ref="A7:F7"/>
  </mergeCells>
  <printOptions horizontalCentered="1"/>
  <pageMargins bottom="0.196850393700787" footer="0.0" header="0.0" left="0.118110236220472" right="0.118110236220472" top="0.275590551181102"/>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8.71"/>
    <col customWidth="1" min="8" max="8" width="16.57"/>
    <col customWidth="1" min="9" max="9" width="10.29"/>
    <col customWidth="1" min="10" max="11" width="8.71"/>
    <col customWidth="1" min="12" max="12" width="13.71"/>
    <col customWidth="1" min="13" max="26" width="8.71"/>
  </cols>
  <sheetData>
    <row r="1" ht="14.25" customHeight="1">
      <c r="A1" s="217"/>
      <c r="C1" s="218"/>
      <c r="D1" s="218"/>
      <c r="E1" s="219"/>
      <c r="F1" s="220" t="str">
        <f>[1]Status!C1</f>
        <v>#ERROR!</v>
      </c>
    </row>
    <row r="2" ht="14.25" customHeight="1">
      <c r="A2" s="217"/>
      <c r="B2" s="218"/>
      <c r="C2" s="218"/>
      <c r="D2" s="218"/>
      <c r="E2" s="219"/>
      <c r="F2" s="220" t="s">
        <v>1</v>
      </c>
    </row>
    <row r="3" ht="14.25" customHeight="1">
      <c r="A3" s="221"/>
      <c r="B3" s="218"/>
      <c r="C3" s="218"/>
      <c r="D3" s="218"/>
      <c r="E3" s="220"/>
      <c r="F3" s="220" t="s">
        <v>167</v>
      </c>
    </row>
    <row r="4" ht="14.25" customHeight="1">
      <c r="A4" s="222"/>
      <c r="B4" s="218"/>
      <c r="C4" s="218"/>
      <c r="D4" s="218"/>
      <c r="E4" s="218"/>
      <c r="F4" s="218"/>
    </row>
    <row r="5" ht="19.5" customHeight="1">
      <c r="A5" s="223" t="s">
        <v>148</v>
      </c>
    </row>
    <row r="6" ht="14.25" customHeight="1">
      <c r="A6" s="224" t="s">
        <v>168</v>
      </c>
    </row>
    <row r="7" ht="14.25" customHeight="1">
      <c r="A7" s="225" t="str">
        <f>[1]Status!A6</f>
        <v>#ERROR!</v>
      </c>
    </row>
    <row r="8" ht="14.25" customHeight="1">
      <c r="A8" s="226" t="s">
        <v>79</v>
      </c>
      <c r="B8" s="227" t="s">
        <v>80</v>
      </c>
      <c r="C8" s="227" t="s">
        <v>81</v>
      </c>
      <c r="D8" s="228" t="s">
        <v>82</v>
      </c>
      <c r="E8" s="227" t="s">
        <v>83</v>
      </c>
      <c r="F8" s="229" t="s">
        <v>84</v>
      </c>
    </row>
    <row r="9" ht="14.25" customHeight="1">
      <c r="A9" s="230" t="s">
        <v>86</v>
      </c>
      <c r="B9" s="231">
        <v>12992.0</v>
      </c>
      <c r="C9" s="231">
        <v>12992.0</v>
      </c>
      <c r="D9" s="232"/>
      <c r="E9" s="233"/>
      <c r="F9" s="234">
        <f t="shared" ref="F9:F57" si="1">B9-C9-D9-E9</f>
        <v>0</v>
      </c>
      <c r="G9" s="235"/>
    </row>
    <row r="10" ht="14.25" customHeight="1">
      <c r="A10" s="236" t="s">
        <v>150</v>
      </c>
      <c r="B10" s="237">
        <v>5742494.0</v>
      </c>
      <c r="C10" s="237">
        <f>6924274-552388</f>
        <v>6371886</v>
      </c>
      <c r="D10" s="237">
        <v>552388.0</v>
      </c>
      <c r="E10" s="237"/>
      <c r="F10" s="238">
        <f t="shared" si="1"/>
        <v>-1181780</v>
      </c>
      <c r="G10" s="235"/>
    </row>
    <row r="11" ht="14.25" customHeight="1">
      <c r="A11" s="236" t="s">
        <v>88</v>
      </c>
      <c r="B11" s="237">
        <v>1759126.0</v>
      </c>
      <c r="C11" s="237">
        <v>1415621.0</v>
      </c>
      <c r="D11" s="237"/>
      <c r="E11" s="237"/>
      <c r="F11" s="238">
        <f t="shared" si="1"/>
        <v>343505</v>
      </c>
      <c r="G11" s="235"/>
    </row>
    <row r="12" ht="14.25" customHeight="1">
      <c r="A12" s="239" t="s">
        <v>89</v>
      </c>
      <c r="B12" s="237">
        <v>127322.33333333333</v>
      </c>
      <c r="C12" s="237"/>
      <c r="D12" s="237"/>
      <c r="E12" s="237"/>
      <c r="F12" s="238">
        <f t="shared" si="1"/>
        <v>127322.3333</v>
      </c>
      <c r="G12" s="235"/>
    </row>
    <row r="13" ht="14.25" customHeight="1">
      <c r="A13" s="236" t="s">
        <v>90</v>
      </c>
      <c r="B13" s="237">
        <v>127322.33333333333</v>
      </c>
      <c r="C13" s="237">
        <v>129665.0</v>
      </c>
      <c r="D13" s="237"/>
      <c r="E13" s="237"/>
      <c r="F13" s="238">
        <f t="shared" si="1"/>
        <v>-2342.666667</v>
      </c>
      <c r="G13" s="235"/>
    </row>
    <row r="14" ht="14.25" customHeight="1">
      <c r="A14" s="236" t="s">
        <v>91</v>
      </c>
      <c r="B14" s="237">
        <v>2133297.6666666665</v>
      </c>
      <c r="C14" s="237">
        <v>1820103.0</v>
      </c>
      <c r="D14" s="237"/>
      <c r="E14" s="237"/>
      <c r="F14" s="238">
        <f t="shared" si="1"/>
        <v>313194.6667</v>
      </c>
      <c r="G14" s="235"/>
    </row>
    <row r="15" ht="14.25" customHeight="1">
      <c r="A15" s="236" t="s">
        <v>92</v>
      </c>
      <c r="B15" s="237">
        <v>119527.0</v>
      </c>
      <c r="C15" s="237">
        <v>131915.0</v>
      </c>
      <c r="D15" s="237"/>
      <c r="E15" s="237"/>
      <c r="F15" s="238">
        <f t="shared" si="1"/>
        <v>-12388</v>
      </c>
      <c r="G15" s="235"/>
    </row>
    <row r="16" ht="14.25" customHeight="1">
      <c r="A16" s="236" t="s">
        <v>151</v>
      </c>
      <c r="B16" s="237">
        <v>7104062.666666667</v>
      </c>
      <c r="C16" s="240">
        <f>1881838.87+3710478.48+1346706.05</f>
        <v>6939023.4</v>
      </c>
      <c r="D16" s="237"/>
      <c r="E16" s="237"/>
      <c r="F16" s="238">
        <f t="shared" si="1"/>
        <v>165039.2667</v>
      </c>
      <c r="G16" s="235"/>
    </row>
    <row r="17" ht="14.25" customHeight="1">
      <c r="A17" s="236" t="s">
        <v>94</v>
      </c>
      <c r="B17" s="237">
        <v>200078.0</v>
      </c>
      <c r="C17" s="237">
        <v>97650.0</v>
      </c>
      <c r="D17" s="237"/>
      <c r="E17" s="237"/>
      <c r="F17" s="238">
        <f t="shared" si="1"/>
        <v>102428</v>
      </c>
      <c r="G17" s="235"/>
    </row>
    <row r="18" ht="14.25" customHeight="1">
      <c r="A18" s="236" t="s">
        <v>95</v>
      </c>
      <c r="B18" s="237">
        <v>93543.0</v>
      </c>
      <c r="C18" s="237">
        <v>58173.0</v>
      </c>
      <c r="D18" s="237"/>
      <c r="E18" s="237"/>
      <c r="F18" s="238">
        <f t="shared" si="1"/>
        <v>35370</v>
      </c>
      <c r="G18" s="235"/>
    </row>
    <row r="19" ht="14.25" customHeight="1">
      <c r="A19" s="236" t="s">
        <v>96</v>
      </c>
      <c r="B19" s="237">
        <v>808106.6666666666</v>
      </c>
      <c r="C19" s="237">
        <v>690320.0</v>
      </c>
      <c r="D19" s="237"/>
      <c r="E19" s="237"/>
      <c r="F19" s="238">
        <f t="shared" si="1"/>
        <v>117786.6667</v>
      </c>
      <c r="G19" s="235"/>
    </row>
    <row r="20" ht="14.25" customHeight="1">
      <c r="A20" s="236" t="s">
        <v>97</v>
      </c>
      <c r="B20" s="237">
        <v>1439521.0</v>
      </c>
      <c r="C20" s="237">
        <v>1306566.0</v>
      </c>
      <c r="D20" s="237"/>
      <c r="E20" s="237"/>
      <c r="F20" s="238">
        <f t="shared" si="1"/>
        <v>132955</v>
      </c>
      <c r="G20" s="235"/>
    </row>
    <row r="21" ht="14.25" customHeight="1">
      <c r="A21" s="236" t="s">
        <v>98</v>
      </c>
      <c r="B21" s="237">
        <v>101338.0</v>
      </c>
      <c r="C21" s="237">
        <v>58241.0</v>
      </c>
      <c r="D21" s="237"/>
      <c r="E21" s="237"/>
      <c r="F21" s="238">
        <f t="shared" si="1"/>
        <v>43097</v>
      </c>
      <c r="G21" s="235"/>
    </row>
    <row r="22" ht="14.25" customHeight="1">
      <c r="A22" s="236" t="s">
        <v>99</v>
      </c>
      <c r="B22" s="237">
        <v>1093932.0</v>
      </c>
      <c r="C22" s="237">
        <f>1093936.8-14</f>
        <v>1093922.8</v>
      </c>
      <c r="D22" s="237"/>
      <c r="E22" s="237"/>
      <c r="F22" s="238">
        <f t="shared" si="1"/>
        <v>9.2</v>
      </c>
      <c r="G22" s="235"/>
    </row>
    <row r="23" ht="14.25" customHeight="1">
      <c r="A23" s="236" t="s">
        <v>152</v>
      </c>
      <c r="B23" s="237">
        <v>1.1503177E7</v>
      </c>
      <c r="C23" s="237">
        <v>1.1503177E7</v>
      </c>
      <c r="D23" s="237"/>
      <c r="E23" s="237"/>
      <c r="F23" s="238">
        <f t="shared" si="1"/>
        <v>0</v>
      </c>
      <c r="G23" s="235"/>
    </row>
    <row r="24" ht="14.25" customHeight="1">
      <c r="A24" s="236" t="s">
        <v>153</v>
      </c>
      <c r="B24" s="237">
        <v>1.5824338666666666E7</v>
      </c>
      <c r="C24" s="237">
        <f>5540534.55+7320474</f>
        <v>12861008.55</v>
      </c>
      <c r="D24" s="237">
        <f>305100-895306-33900+1548940</f>
        <v>924834</v>
      </c>
      <c r="E24" s="237"/>
      <c r="F24" s="238">
        <f t="shared" si="1"/>
        <v>2038496.117</v>
      </c>
      <c r="G24" s="235"/>
      <c r="H24" s="216"/>
      <c r="I24" s="216" t="s">
        <v>162</v>
      </c>
      <c r="L24" s="216">
        <f>H24*20%</f>
        <v>0</v>
      </c>
      <c r="M24" s="241" t="s">
        <v>163</v>
      </c>
    </row>
    <row r="25" ht="14.25" customHeight="1">
      <c r="A25" s="236" t="s">
        <v>102</v>
      </c>
      <c r="B25" s="237">
        <v>951019.3333333334</v>
      </c>
      <c r="C25" s="237">
        <f>683322-14</f>
        <v>683308</v>
      </c>
      <c r="D25" s="237"/>
      <c r="E25" s="237"/>
      <c r="F25" s="238">
        <f t="shared" si="1"/>
        <v>267711.3333</v>
      </c>
      <c r="G25" s="235"/>
    </row>
    <row r="26" ht="14.25" customHeight="1">
      <c r="A26" s="236" t="s">
        <v>103</v>
      </c>
      <c r="B26" s="237">
        <v>2598.3333333333335</v>
      </c>
      <c r="C26" s="237">
        <v>2599.0</v>
      </c>
      <c r="D26" s="237"/>
      <c r="E26" s="237"/>
      <c r="F26" s="238">
        <f t="shared" si="1"/>
        <v>-0.6666666667</v>
      </c>
      <c r="G26" s="235"/>
      <c r="L26" s="216"/>
    </row>
    <row r="27" ht="14.25" customHeight="1">
      <c r="A27" s="236" t="s">
        <v>104</v>
      </c>
      <c r="B27" s="237">
        <v>535273.3333333334</v>
      </c>
      <c r="C27" s="237">
        <v>757369.0</v>
      </c>
      <c r="D27" s="237"/>
      <c r="E27" s="237"/>
      <c r="F27" s="238">
        <f t="shared" si="1"/>
        <v>-222095.6667</v>
      </c>
      <c r="G27" s="235"/>
      <c r="I27" s="235">
        <f>D24+'YR2022'!D24+'YR2021'!D24</f>
        <v>9494603</v>
      </c>
    </row>
    <row r="28" ht="14.25" customHeight="1">
      <c r="A28" s="236" t="s">
        <v>105</v>
      </c>
      <c r="B28" s="237">
        <v>72755.66666666667</v>
      </c>
      <c r="C28" s="237"/>
      <c r="D28" s="237"/>
      <c r="E28" s="237"/>
      <c r="F28" s="238">
        <f t="shared" si="1"/>
        <v>72755.66667</v>
      </c>
      <c r="G28" s="235"/>
    </row>
    <row r="29" ht="14.25" customHeight="1">
      <c r="A29" s="236" t="s">
        <v>154</v>
      </c>
      <c r="B29" s="237">
        <v>964011.3333333334</v>
      </c>
      <c r="C29" s="237">
        <v>964003.0</v>
      </c>
      <c r="D29" s="237"/>
      <c r="E29" s="237"/>
      <c r="F29" s="238">
        <f t="shared" si="1"/>
        <v>8.333333333</v>
      </c>
      <c r="G29" s="235"/>
    </row>
    <row r="30" ht="14.25" customHeight="1">
      <c r="A30" s="236" t="s">
        <v>107</v>
      </c>
      <c r="B30" s="237">
        <v>1273222.6666666667</v>
      </c>
      <c r="C30" s="237"/>
      <c r="D30" s="237"/>
      <c r="E30" s="237"/>
      <c r="F30" s="238">
        <f t="shared" si="1"/>
        <v>1273222.667</v>
      </c>
      <c r="G30" s="235"/>
    </row>
    <row r="31" ht="14.25" customHeight="1">
      <c r="A31" s="236" t="s">
        <v>108</v>
      </c>
      <c r="B31" s="237">
        <v>8592953.666666666</v>
      </c>
      <c r="C31" s="237">
        <v>8592877.0</v>
      </c>
      <c r="D31" s="237"/>
      <c r="E31" s="237"/>
      <c r="F31" s="238">
        <f t="shared" si="1"/>
        <v>76.66666667</v>
      </c>
      <c r="G31" s="235"/>
    </row>
    <row r="32" ht="14.25" customHeight="1">
      <c r="A32" s="236" t="s">
        <v>155</v>
      </c>
      <c r="B32" s="237">
        <v>2.2252814E7</v>
      </c>
      <c r="C32" s="237">
        <f>16029773+431802+220216+8257344-67800</f>
        <v>24871335</v>
      </c>
      <c r="D32" s="237">
        <v>67800.0</v>
      </c>
      <c r="E32" s="237"/>
      <c r="F32" s="238">
        <f t="shared" si="1"/>
        <v>-2686321</v>
      </c>
      <c r="G32" s="235"/>
    </row>
    <row r="33" ht="14.25" customHeight="1">
      <c r="A33" s="236" t="s">
        <v>110</v>
      </c>
      <c r="B33" s="237">
        <v>462517.6666666667</v>
      </c>
      <c r="C33" s="237"/>
      <c r="D33" s="237"/>
      <c r="E33" s="237"/>
      <c r="F33" s="238">
        <f t="shared" si="1"/>
        <v>462517.6667</v>
      </c>
      <c r="G33" s="235"/>
    </row>
    <row r="34" ht="14.25" customHeight="1">
      <c r="A34" s="236" t="s">
        <v>112</v>
      </c>
      <c r="B34" s="237">
        <v>122125.33333333333</v>
      </c>
      <c r="C34" s="237">
        <v>107640.4</v>
      </c>
      <c r="D34" s="237"/>
      <c r="E34" s="237"/>
      <c r="F34" s="238">
        <f t="shared" si="1"/>
        <v>14484.93333</v>
      </c>
      <c r="G34" s="235"/>
    </row>
    <row r="35" ht="14.25" customHeight="1">
      <c r="A35" s="236" t="s">
        <v>113</v>
      </c>
      <c r="B35" s="237">
        <v>23385.666666666668</v>
      </c>
      <c r="C35" s="237">
        <v>23385.0</v>
      </c>
      <c r="D35" s="237"/>
      <c r="E35" s="237"/>
      <c r="F35" s="238">
        <f t="shared" si="1"/>
        <v>0.6666666667</v>
      </c>
      <c r="G35" s="235"/>
    </row>
    <row r="36" ht="14.25" customHeight="1">
      <c r="A36" s="236" t="s">
        <v>114</v>
      </c>
      <c r="B36" s="237">
        <v>184487.33333333334</v>
      </c>
      <c r="C36" s="237">
        <f>76248+104515.28-3</f>
        <v>180760.28</v>
      </c>
      <c r="D36" s="237"/>
      <c r="E36" s="237"/>
      <c r="F36" s="238">
        <f t="shared" si="1"/>
        <v>3727.053333</v>
      </c>
      <c r="G36" s="235"/>
    </row>
    <row r="37" ht="14.25" customHeight="1">
      <c r="A37" s="236" t="s">
        <v>115</v>
      </c>
      <c r="B37" s="237">
        <v>174093.66666666666</v>
      </c>
      <c r="C37" s="237">
        <v>190991.0</v>
      </c>
      <c r="D37" s="237"/>
      <c r="E37" s="237"/>
      <c r="F37" s="238">
        <f t="shared" si="1"/>
        <v>-16897.33333</v>
      </c>
      <c r="G37" s="235"/>
    </row>
    <row r="38" ht="14.25" customHeight="1">
      <c r="A38" s="236" t="s">
        <v>116</v>
      </c>
      <c r="B38" s="237">
        <v>44173.0</v>
      </c>
      <c r="C38" s="237"/>
      <c r="D38" s="237"/>
      <c r="E38" s="237"/>
      <c r="F38" s="238">
        <f t="shared" si="1"/>
        <v>44173</v>
      </c>
      <c r="G38" s="235"/>
    </row>
    <row r="39" ht="14.25" customHeight="1">
      <c r="A39" s="236" t="s">
        <v>117</v>
      </c>
      <c r="B39" s="237">
        <v>28582.666666666668</v>
      </c>
      <c r="C39" s="237">
        <v>28582.0</v>
      </c>
      <c r="D39" s="237"/>
      <c r="E39" s="237"/>
      <c r="F39" s="238">
        <f t="shared" si="1"/>
        <v>0.6666666667</v>
      </c>
      <c r="G39" s="235"/>
    </row>
    <row r="40" ht="14.25" customHeight="1">
      <c r="A40" s="236" t="s">
        <v>118</v>
      </c>
      <c r="B40" s="237">
        <v>3523449.0</v>
      </c>
      <c r="C40" s="237">
        <v>3100681.0</v>
      </c>
      <c r="D40" s="237"/>
      <c r="E40" s="237"/>
      <c r="F40" s="238">
        <f t="shared" si="1"/>
        <v>422768</v>
      </c>
      <c r="G40" s="235"/>
    </row>
    <row r="41" ht="14.25" customHeight="1">
      <c r="A41" s="236" t="s">
        <v>119</v>
      </c>
      <c r="B41" s="237">
        <v>756138.3333333334</v>
      </c>
      <c r="C41" s="237">
        <v>1068869.0</v>
      </c>
      <c r="D41" s="237"/>
      <c r="E41" s="237"/>
      <c r="F41" s="238">
        <f t="shared" si="1"/>
        <v>-312730.6667</v>
      </c>
      <c r="G41" s="235"/>
    </row>
    <row r="42" ht="14.25" customHeight="1">
      <c r="A42" s="236" t="s">
        <v>120</v>
      </c>
      <c r="B42" s="237">
        <v>1959204.0</v>
      </c>
      <c r="C42" s="237">
        <v>2178456.0</v>
      </c>
      <c r="D42" s="237"/>
      <c r="E42" s="237"/>
      <c r="F42" s="238">
        <f t="shared" si="1"/>
        <v>-219252</v>
      </c>
      <c r="G42" s="235"/>
    </row>
    <row r="43" ht="14.25" customHeight="1">
      <c r="A43" s="236" t="s">
        <v>122</v>
      </c>
      <c r="B43" s="237">
        <v>2083927.6666666667</v>
      </c>
      <c r="C43" s="237">
        <v>2083927.69</v>
      </c>
      <c r="D43" s="237"/>
      <c r="E43" s="237"/>
      <c r="F43" s="238">
        <f t="shared" si="1"/>
        <v>-0.0233333332</v>
      </c>
      <c r="G43" s="235"/>
    </row>
    <row r="44" ht="14.25" customHeight="1">
      <c r="A44" s="236" t="s">
        <v>123</v>
      </c>
      <c r="B44" s="237">
        <v>909444.6666666666</v>
      </c>
      <c r="C44" s="237">
        <v>700180.0</v>
      </c>
      <c r="D44" s="237"/>
      <c r="E44" s="237"/>
      <c r="F44" s="238">
        <f t="shared" si="1"/>
        <v>209264.6667</v>
      </c>
      <c r="G44" s="235"/>
    </row>
    <row r="45" ht="14.25" customHeight="1">
      <c r="A45" s="236" t="s">
        <v>124</v>
      </c>
      <c r="B45" s="237">
        <v>514486.0</v>
      </c>
      <c r="C45" s="237"/>
      <c r="D45" s="237"/>
      <c r="E45" s="237"/>
      <c r="F45" s="238">
        <f t="shared" si="1"/>
        <v>514486</v>
      </c>
      <c r="G45" s="235"/>
    </row>
    <row r="46" ht="14.25" customHeight="1">
      <c r="A46" s="236" t="s">
        <v>125</v>
      </c>
      <c r="B46" s="237">
        <v>6249184.666666667</v>
      </c>
      <c r="C46" s="237"/>
      <c r="D46" s="237"/>
      <c r="E46" s="237"/>
      <c r="F46" s="238">
        <f t="shared" si="1"/>
        <v>6249184.667</v>
      </c>
      <c r="G46" s="235"/>
    </row>
    <row r="47" ht="14.25" customHeight="1">
      <c r="A47" s="236" t="s">
        <v>126</v>
      </c>
      <c r="B47" s="237">
        <v>5196.666666666667</v>
      </c>
      <c r="C47" s="237">
        <v>5197.0</v>
      </c>
      <c r="D47" s="237"/>
      <c r="E47" s="237"/>
      <c r="F47" s="238">
        <f t="shared" si="1"/>
        <v>-0.3333333333</v>
      </c>
      <c r="G47" s="235"/>
    </row>
    <row r="48" ht="14.25" customHeight="1">
      <c r="A48" s="236" t="s">
        <v>128</v>
      </c>
      <c r="B48" s="237">
        <v>397557.3333333333</v>
      </c>
      <c r="C48" s="237">
        <v>364788.23</v>
      </c>
      <c r="D48" s="237"/>
      <c r="E48" s="237"/>
      <c r="F48" s="238">
        <f t="shared" si="1"/>
        <v>32769.10333</v>
      </c>
      <c r="G48" s="235"/>
    </row>
    <row r="49" ht="14.25" customHeight="1">
      <c r="A49" s="236" t="s">
        <v>129</v>
      </c>
      <c r="B49" s="237">
        <v>197479.33333333334</v>
      </c>
      <c r="C49" s="237">
        <v>157790.21</v>
      </c>
      <c r="D49" s="237"/>
      <c r="E49" s="237"/>
      <c r="F49" s="238">
        <f t="shared" si="1"/>
        <v>39689.12333</v>
      </c>
      <c r="G49" s="235"/>
    </row>
    <row r="50" ht="14.25" customHeight="1">
      <c r="A50" s="236" t="s">
        <v>131</v>
      </c>
      <c r="B50" s="237">
        <v>5576195.666666667</v>
      </c>
      <c r="C50" s="237">
        <v>4085805.0</v>
      </c>
      <c r="D50" s="237"/>
      <c r="E50" s="237"/>
      <c r="F50" s="238">
        <f t="shared" si="1"/>
        <v>1490390.667</v>
      </c>
      <c r="G50" s="235"/>
    </row>
    <row r="51" ht="14.25" customHeight="1">
      <c r="A51" s="236" t="s">
        <v>156</v>
      </c>
      <c r="B51" s="237">
        <v>2354162.6666666665</v>
      </c>
      <c r="C51" s="237">
        <v>2354186.0</v>
      </c>
      <c r="D51" s="237"/>
      <c r="E51" s="237"/>
      <c r="F51" s="238">
        <f t="shared" si="1"/>
        <v>-23.33333333</v>
      </c>
      <c r="G51" s="235"/>
    </row>
    <row r="52" ht="14.25" customHeight="1">
      <c r="A52" s="236" t="s">
        <v>133</v>
      </c>
      <c r="B52" s="237">
        <v>2990774.0</v>
      </c>
      <c r="C52" s="237">
        <v>1919582.14</v>
      </c>
      <c r="D52" s="237"/>
      <c r="E52" s="237"/>
      <c r="F52" s="238">
        <f t="shared" si="1"/>
        <v>1071191.86</v>
      </c>
      <c r="G52" s="235"/>
    </row>
    <row r="53" ht="18.0" customHeight="1">
      <c r="A53" s="236" t="s">
        <v>134</v>
      </c>
      <c r="B53" s="237">
        <v>10393.666666666666</v>
      </c>
      <c r="C53" s="237"/>
      <c r="D53" s="237"/>
      <c r="E53" s="237"/>
      <c r="F53" s="238">
        <f t="shared" si="1"/>
        <v>10393.66667</v>
      </c>
      <c r="G53" s="235"/>
    </row>
    <row r="54" ht="14.25" customHeight="1">
      <c r="A54" s="236" t="s">
        <v>136</v>
      </c>
      <c r="B54" s="237">
        <v>148109.66666666666</v>
      </c>
      <c r="C54" s="237"/>
      <c r="D54" s="237"/>
      <c r="E54" s="237"/>
      <c r="F54" s="238">
        <f t="shared" si="1"/>
        <v>148109.6667</v>
      </c>
      <c r="G54" s="235"/>
    </row>
    <row r="55" ht="14.25" customHeight="1">
      <c r="A55" s="236" t="s">
        <v>138</v>
      </c>
      <c r="B55" s="237">
        <v>1.1866955E7</v>
      </c>
      <c r="C55" s="237">
        <v>1.279260281E7</v>
      </c>
      <c r="D55" s="237"/>
      <c r="E55" s="237"/>
      <c r="F55" s="238">
        <f t="shared" si="1"/>
        <v>-925647.81</v>
      </c>
      <c r="G55" s="235"/>
    </row>
    <row r="56" ht="14.25" customHeight="1">
      <c r="A56" s="236" t="s">
        <v>139</v>
      </c>
      <c r="B56" s="237">
        <f>34833333.3333333-318459</f>
        <v>34514874.33</v>
      </c>
      <c r="C56" s="237">
        <f>64498573+8326000+303197+49400000-88012896</f>
        <v>34514874</v>
      </c>
      <c r="D56" s="237"/>
      <c r="E56" s="237"/>
      <c r="F56" s="238">
        <f t="shared" si="1"/>
        <v>0.3333332986</v>
      </c>
      <c r="G56" s="235"/>
      <c r="H56" s="242"/>
      <c r="I56" s="242"/>
      <c r="J56" s="242"/>
    </row>
    <row r="57" ht="14.25" customHeight="1">
      <c r="A57" s="243" t="s">
        <v>140</v>
      </c>
      <c r="B57" s="244">
        <v>83149.33333333333</v>
      </c>
      <c r="C57" s="244">
        <v>55200.0</v>
      </c>
      <c r="D57" s="244"/>
      <c r="E57" s="244"/>
      <c r="F57" s="245">
        <f t="shared" si="1"/>
        <v>27949.33333</v>
      </c>
      <c r="G57" s="235"/>
    </row>
    <row r="58" ht="14.25" customHeight="1">
      <c r="A58" s="246" t="s">
        <v>143</v>
      </c>
      <c r="B58" s="247">
        <f t="shared" ref="B58:F58" si="2">SUM(B9:B57)</f>
        <v>158014874</v>
      </c>
      <c r="C58" s="247">
        <f t="shared" si="2"/>
        <v>146275252.5</v>
      </c>
      <c r="D58" s="247">
        <f t="shared" si="2"/>
        <v>1545022</v>
      </c>
      <c r="E58" s="248">
        <f t="shared" si="2"/>
        <v>0</v>
      </c>
      <c r="F58" s="249">
        <f t="shared" si="2"/>
        <v>10194599.49</v>
      </c>
      <c r="G58" s="235"/>
      <c r="H58" s="250">
        <f>C58/B58</f>
        <v>0.9257055922</v>
      </c>
    </row>
    <row r="59" ht="14.25" customHeight="1">
      <c r="A59" s="251" t="s">
        <v>157</v>
      </c>
      <c r="B59" s="252">
        <f>318459</f>
        <v>318459</v>
      </c>
      <c r="C59" s="252"/>
      <c r="D59" s="252"/>
      <c r="E59" s="252"/>
      <c r="F59" s="253">
        <f>B59-C59-D59-E59</f>
        <v>318459</v>
      </c>
      <c r="G59" s="235"/>
    </row>
    <row r="60" ht="14.25" customHeight="1">
      <c r="A60" s="254" t="s">
        <v>158</v>
      </c>
      <c r="B60" s="255">
        <f t="shared" ref="B60:F60" si="3">B58+B59</f>
        <v>158333333</v>
      </c>
      <c r="C60" s="255">
        <f t="shared" si="3"/>
        <v>146275252.5</v>
      </c>
      <c r="D60" s="255">
        <f t="shared" si="3"/>
        <v>1545022</v>
      </c>
      <c r="E60" s="256">
        <f t="shared" si="3"/>
        <v>0</v>
      </c>
      <c r="F60" s="257">
        <f t="shared" si="3"/>
        <v>10513058.49</v>
      </c>
      <c r="G60" s="235"/>
      <c r="I60" s="258"/>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61" t="s">
        <v>159</v>
      </c>
      <c r="B63" s="262">
        <f t="shared" ref="B63:C63" si="4">B12+B13+B15+B19+B21+B27+B33+B36+B43+B46+B48+B49+B53+B54+B57</f>
        <v>11635696.33</v>
      </c>
      <c r="C63" s="262">
        <f t="shared" si="4"/>
        <v>4609976.41</v>
      </c>
      <c r="D63" s="262">
        <f t="shared" ref="D63:E63" si="5">D12+D13+D15+D19+D21+D26+D34+D36+D43+D46+D48+D49+D53+D54+D57</f>
        <v>0</v>
      </c>
      <c r="E63" s="263">
        <f t="shared" si="5"/>
        <v>0</v>
      </c>
      <c r="F63" s="264">
        <f>B63-C63-D63-E63</f>
        <v>7025719.923</v>
      </c>
      <c r="G63" s="235"/>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22.57"/>
    <col customWidth="1" min="2" max="6" width="20.71"/>
    <col customWidth="1" min="7" max="7" width="8.71"/>
    <col customWidth="1" hidden="1" min="8" max="8" width="16.57"/>
    <col customWidth="1" hidden="1" min="9" max="9" width="10.29"/>
    <col customWidth="1" hidden="1" min="10" max="11" width="8.71"/>
    <col customWidth="1" hidden="1" min="12" max="12" width="13.71"/>
    <col customWidth="1" hidden="1" min="13" max="13" width="8.71"/>
    <col customWidth="1" min="14" max="26" width="8.71"/>
  </cols>
  <sheetData>
    <row r="1" ht="14.25" customHeight="1">
      <c r="A1" s="219" t="str">
        <f>[1]Status!C1</f>
        <v>#ERROR!</v>
      </c>
      <c r="B1" s="219"/>
      <c r="C1" s="218"/>
      <c r="D1" s="218"/>
      <c r="F1" s="220"/>
    </row>
    <row r="2" ht="14.25" customHeight="1">
      <c r="A2" s="288" t="s">
        <v>1</v>
      </c>
      <c r="B2" s="219"/>
      <c r="C2" s="218"/>
      <c r="D2" s="218"/>
      <c r="E2" s="219"/>
      <c r="F2" s="220"/>
    </row>
    <row r="3" ht="14.25" customHeight="1">
      <c r="A3" s="288" t="s">
        <v>169</v>
      </c>
      <c r="B3" s="219"/>
      <c r="C3" s="218"/>
      <c r="D3" s="218"/>
      <c r="E3" s="220"/>
      <c r="F3" s="220"/>
    </row>
    <row r="4" ht="14.25" customHeight="1">
      <c r="A4" s="222"/>
      <c r="B4" s="218"/>
      <c r="C4" s="218"/>
      <c r="D4" s="218"/>
      <c r="E4" s="218"/>
      <c r="F4" s="218"/>
    </row>
    <row r="5" ht="17.25" customHeight="1">
      <c r="A5" s="223" t="s">
        <v>148</v>
      </c>
    </row>
    <row r="6" ht="14.25" customHeight="1">
      <c r="A6" s="224" t="s">
        <v>170</v>
      </c>
    </row>
    <row r="7" ht="14.25" customHeight="1">
      <c r="A7" s="225" t="str">
        <f>[1]Status!A6</f>
        <v>#ERROR!</v>
      </c>
    </row>
    <row r="8" ht="14.25" customHeight="1">
      <c r="A8" s="226" t="s">
        <v>79</v>
      </c>
      <c r="B8" s="227" t="s">
        <v>80</v>
      </c>
      <c r="C8" s="227" t="s">
        <v>81</v>
      </c>
      <c r="D8" s="228" t="s">
        <v>82</v>
      </c>
      <c r="E8" s="227" t="s">
        <v>83</v>
      </c>
      <c r="F8" s="229" t="s">
        <v>84</v>
      </c>
    </row>
    <row r="9" ht="14.25" customHeight="1">
      <c r="A9" s="230" t="s">
        <v>86</v>
      </c>
      <c r="B9" s="231">
        <v>12992.0</v>
      </c>
      <c r="C9" s="231">
        <v>10817.0</v>
      </c>
      <c r="D9" s="233"/>
      <c r="E9" s="233"/>
      <c r="F9" s="234">
        <f t="shared" ref="F9:F57" si="1">B9-C9-D9-E9</f>
        <v>2175</v>
      </c>
      <c r="G9" s="235"/>
    </row>
    <row r="10" ht="14.25" customHeight="1">
      <c r="A10" s="236" t="s">
        <v>150</v>
      </c>
      <c r="B10" s="237">
        <v>5742494.0</v>
      </c>
      <c r="C10" s="237">
        <v>5151604.0</v>
      </c>
      <c r="D10" s="237"/>
      <c r="E10" s="237"/>
      <c r="F10" s="238">
        <f t="shared" si="1"/>
        <v>590890</v>
      </c>
      <c r="G10" s="235"/>
    </row>
    <row r="11" ht="14.25" customHeight="1">
      <c r="A11" s="236" t="s">
        <v>88</v>
      </c>
      <c r="B11" s="237">
        <v>1759126.0</v>
      </c>
      <c r="C11" s="237">
        <v>1415620.98</v>
      </c>
      <c r="D11" s="237">
        <f>28933+362900</f>
        <v>391833</v>
      </c>
      <c r="E11" s="237"/>
      <c r="F11" s="238">
        <f t="shared" si="1"/>
        <v>-48327.98</v>
      </c>
      <c r="G11" s="235"/>
    </row>
    <row r="12" ht="14.25" customHeight="1">
      <c r="A12" s="239" t="s">
        <v>89</v>
      </c>
      <c r="B12" s="237">
        <v>127322.33333333333</v>
      </c>
      <c r="C12" s="237"/>
      <c r="D12" s="237"/>
      <c r="E12" s="237"/>
      <c r="F12" s="238">
        <f t="shared" si="1"/>
        <v>127322.3333</v>
      </c>
      <c r="G12" s="235"/>
    </row>
    <row r="13" ht="14.25" customHeight="1">
      <c r="A13" s="236" t="s">
        <v>90</v>
      </c>
      <c r="B13" s="237">
        <v>127322.33333333333</v>
      </c>
      <c r="C13" s="237">
        <v>113477.0</v>
      </c>
      <c r="D13" s="237"/>
      <c r="E13" s="237"/>
      <c r="F13" s="238">
        <f t="shared" si="1"/>
        <v>13845.33333</v>
      </c>
      <c r="G13" s="235"/>
    </row>
    <row r="14" ht="14.25" customHeight="1">
      <c r="A14" s="236" t="s">
        <v>91</v>
      </c>
      <c r="B14" s="237">
        <v>2133297.6666666665</v>
      </c>
      <c r="C14" s="237">
        <v>2289845.0</v>
      </c>
      <c r="D14" s="237"/>
      <c r="E14" s="237"/>
      <c r="F14" s="238">
        <f t="shared" si="1"/>
        <v>-156547.3333</v>
      </c>
      <c r="G14" s="235"/>
    </row>
    <row r="15" ht="14.25" customHeight="1">
      <c r="A15" s="236" t="s">
        <v>92</v>
      </c>
      <c r="B15" s="237">
        <v>119527.0</v>
      </c>
      <c r="C15" s="237">
        <v>113333.0</v>
      </c>
      <c r="D15" s="237"/>
      <c r="E15" s="237"/>
      <c r="F15" s="238">
        <f t="shared" si="1"/>
        <v>6194</v>
      </c>
      <c r="G15" s="235"/>
    </row>
    <row r="16" ht="14.25" customHeight="1">
      <c r="A16" s="236" t="s">
        <v>151</v>
      </c>
      <c r="B16" s="237">
        <v>7104062.666666667</v>
      </c>
      <c r="C16" s="240">
        <f>5728716.99+1382678</f>
        <v>7111394.99</v>
      </c>
      <c r="D16" s="237"/>
      <c r="E16" s="237"/>
      <c r="F16" s="238">
        <f t="shared" si="1"/>
        <v>-7332.323333</v>
      </c>
      <c r="G16" s="235"/>
    </row>
    <row r="17" ht="14.25" customHeight="1">
      <c r="A17" s="236" t="s">
        <v>94</v>
      </c>
      <c r="B17" s="237">
        <v>200078.0</v>
      </c>
      <c r="C17" s="237">
        <v>251292.0</v>
      </c>
      <c r="D17" s="237"/>
      <c r="E17" s="237"/>
      <c r="F17" s="238">
        <f t="shared" si="1"/>
        <v>-51214</v>
      </c>
      <c r="G17" s="235"/>
    </row>
    <row r="18" ht="14.25" customHeight="1">
      <c r="A18" s="236" t="s">
        <v>95</v>
      </c>
      <c r="B18" s="237">
        <v>93543.0</v>
      </c>
      <c r="C18" s="237">
        <v>111228.0</v>
      </c>
      <c r="D18" s="237"/>
      <c r="E18" s="237"/>
      <c r="F18" s="238">
        <f t="shared" si="1"/>
        <v>-17685</v>
      </c>
      <c r="G18" s="235"/>
    </row>
    <row r="19" ht="14.25" customHeight="1">
      <c r="A19" s="236" t="s">
        <v>96</v>
      </c>
      <c r="B19" s="237">
        <v>808106.6666666666</v>
      </c>
      <c r="C19" s="237">
        <v>867000.0</v>
      </c>
      <c r="D19" s="237"/>
      <c r="E19" s="237"/>
      <c r="F19" s="238">
        <f t="shared" si="1"/>
        <v>-58893.33333</v>
      </c>
      <c r="G19" s="235"/>
    </row>
    <row r="20" ht="14.25" customHeight="1">
      <c r="A20" s="236" t="s">
        <v>97</v>
      </c>
      <c r="B20" s="237">
        <v>1439521.0</v>
      </c>
      <c r="C20" s="237">
        <v>1505998.5</v>
      </c>
      <c r="D20" s="237"/>
      <c r="E20" s="237"/>
      <c r="F20" s="238">
        <f t="shared" si="1"/>
        <v>-66477.5</v>
      </c>
      <c r="G20" s="235"/>
    </row>
    <row r="21" ht="14.25" customHeight="1">
      <c r="A21" s="236" t="s">
        <v>98</v>
      </c>
      <c r="B21" s="237">
        <v>101338.0</v>
      </c>
      <c r="C21" s="237">
        <v>98394.35</v>
      </c>
      <c r="D21" s="237"/>
      <c r="E21" s="237"/>
      <c r="F21" s="238">
        <f t="shared" si="1"/>
        <v>2943.65</v>
      </c>
      <c r="G21" s="235"/>
    </row>
    <row r="22" ht="14.25" customHeight="1">
      <c r="A22" s="236" t="s">
        <v>99</v>
      </c>
      <c r="B22" s="237">
        <v>1093932.0</v>
      </c>
      <c r="C22" s="237">
        <v>1007992.0</v>
      </c>
      <c r="D22" s="237"/>
      <c r="E22" s="237"/>
      <c r="F22" s="238">
        <f t="shared" si="1"/>
        <v>85940</v>
      </c>
      <c r="G22" s="235"/>
    </row>
    <row r="23" ht="14.25" customHeight="1">
      <c r="A23" s="236" t="s">
        <v>152</v>
      </c>
      <c r="B23" s="237">
        <v>1.1503177E7</v>
      </c>
      <c r="C23" s="237">
        <v>1.0433663E7</v>
      </c>
      <c r="D23" s="237"/>
      <c r="E23" s="237"/>
      <c r="F23" s="238">
        <f t="shared" si="1"/>
        <v>1069514</v>
      </c>
      <c r="G23" s="235"/>
    </row>
    <row r="24" ht="14.25" customHeight="1">
      <c r="A24" s="236" t="s">
        <v>153</v>
      </c>
      <c r="B24" s="237">
        <v>1.5824338666666666E7</v>
      </c>
      <c r="C24" s="237">
        <v>5540479.0</v>
      </c>
      <c r="D24" s="237">
        <f>721388+3531749</f>
        <v>4253137</v>
      </c>
      <c r="E24" s="237"/>
      <c r="F24" s="238">
        <f t="shared" si="1"/>
        <v>6030722.667</v>
      </c>
      <c r="G24" s="235"/>
      <c r="H24" s="216">
        <f>B24*3</f>
        <v>47473016</v>
      </c>
      <c r="I24" s="216" t="s">
        <v>162</v>
      </c>
      <c r="L24" s="216">
        <f>H24*20%</f>
        <v>9494603.2</v>
      </c>
      <c r="M24" s="241" t="s">
        <v>163</v>
      </c>
    </row>
    <row r="25" ht="14.25" customHeight="1">
      <c r="A25" s="236" t="s">
        <v>102</v>
      </c>
      <c r="B25" s="237">
        <v>951019.3333333334</v>
      </c>
      <c r="C25" s="237">
        <v>951024.0</v>
      </c>
      <c r="D25" s="237"/>
      <c r="E25" s="237"/>
      <c r="F25" s="238">
        <f t="shared" si="1"/>
        <v>-4.666666667</v>
      </c>
      <c r="G25" s="235"/>
    </row>
    <row r="26" ht="14.25" customHeight="1">
      <c r="A26" s="236" t="s">
        <v>103</v>
      </c>
      <c r="B26" s="237">
        <v>2598.3333333333335</v>
      </c>
      <c r="C26" s="237">
        <v>2598.0</v>
      </c>
      <c r="D26" s="237"/>
      <c r="E26" s="237"/>
      <c r="F26" s="238">
        <f t="shared" si="1"/>
        <v>0.3333333333</v>
      </c>
      <c r="G26" s="235"/>
      <c r="L26" s="216"/>
    </row>
    <row r="27" ht="14.25" customHeight="1">
      <c r="A27" s="236" t="s">
        <v>104</v>
      </c>
      <c r="B27" s="237">
        <v>535273.3333333334</v>
      </c>
      <c r="C27" s="237">
        <v>428657.0</v>
      </c>
      <c r="D27" s="237"/>
      <c r="E27" s="237"/>
      <c r="F27" s="238">
        <f t="shared" si="1"/>
        <v>106616.3333</v>
      </c>
      <c r="G27" s="235"/>
    </row>
    <row r="28" ht="14.25" customHeight="1">
      <c r="A28" s="236" t="s">
        <v>105</v>
      </c>
      <c r="B28" s="237">
        <v>72755.66666666667</v>
      </c>
      <c r="C28" s="237"/>
      <c r="D28" s="237"/>
      <c r="E28" s="237"/>
      <c r="F28" s="238">
        <f t="shared" si="1"/>
        <v>72755.66667</v>
      </c>
      <c r="G28" s="235"/>
    </row>
    <row r="29" ht="14.25" customHeight="1">
      <c r="A29" s="236" t="s">
        <v>154</v>
      </c>
      <c r="B29" s="237">
        <v>964011.3333333334</v>
      </c>
      <c r="C29" s="237">
        <f>866900+194231</f>
        <v>1061131</v>
      </c>
      <c r="D29" s="237"/>
      <c r="E29" s="237"/>
      <c r="F29" s="238">
        <f t="shared" si="1"/>
        <v>-97119.66667</v>
      </c>
      <c r="G29" s="235"/>
    </row>
    <row r="30" ht="14.25" customHeight="1">
      <c r="A30" s="236" t="s">
        <v>107</v>
      </c>
      <c r="B30" s="237">
        <v>1273222.6666666667</v>
      </c>
      <c r="C30" s="237"/>
      <c r="D30" s="237"/>
      <c r="E30" s="237"/>
      <c r="F30" s="238">
        <f t="shared" si="1"/>
        <v>1273222.667</v>
      </c>
      <c r="G30" s="235"/>
    </row>
    <row r="31" ht="14.25" customHeight="1">
      <c r="A31" s="236" t="s">
        <v>108</v>
      </c>
      <c r="B31" s="237">
        <v>8592953.666666666</v>
      </c>
      <c r="C31" s="237">
        <f>6773573+714457</f>
        <v>7488030</v>
      </c>
      <c r="D31" s="237"/>
      <c r="E31" s="237"/>
      <c r="F31" s="238">
        <f t="shared" si="1"/>
        <v>1104923.667</v>
      </c>
      <c r="G31" s="235"/>
    </row>
    <row r="32" ht="14.25" customHeight="1">
      <c r="A32" s="236" t="s">
        <v>155</v>
      </c>
      <c r="B32" s="237">
        <v>2.2252814E7</v>
      </c>
      <c r="C32" s="237">
        <f>23743153+431796+220216</f>
        <v>24395165</v>
      </c>
      <c r="D32" s="237"/>
      <c r="E32" s="237"/>
      <c r="F32" s="238">
        <f t="shared" si="1"/>
        <v>-2142351</v>
      </c>
      <c r="G32" s="235"/>
    </row>
    <row r="33" ht="14.25" customHeight="1">
      <c r="A33" s="236" t="s">
        <v>110</v>
      </c>
      <c r="B33" s="237">
        <v>462517.6666666667</v>
      </c>
      <c r="C33" s="237"/>
      <c r="D33" s="237"/>
      <c r="E33" s="237"/>
      <c r="F33" s="238">
        <f t="shared" si="1"/>
        <v>462517.6667</v>
      </c>
      <c r="G33" s="235"/>
    </row>
    <row r="34" ht="14.25" customHeight="1">
      <c r="A34" s="236" t="s">
        <v>112</v>
      </c>
      <c r="B34" s="237">
        <v>122125.33333333333</v>
      </c>
      <c r="C34" s="237">
        <v>129368.0</v>
      </c>
      <c r="D34" s="237"/>
      <c r="E34" s="237"/>
      <c r="F34" s="238">
        <f t="shared" si="1"/>
        <v>-7242.666667</v>
      </c>
      <c r="G34" s="235"/>
    </row>
    <row r="35" ht="14.25" customHeight="1">
      <c r="A35" s="236" t="s">
        <v>113</v>
      </c>
      <c r="B35" s="237">
        <v>23385.666666666668</v>
      </c>
      <c r="C35" s="237">
        <v>23386.0</v>
      </c>
      <c r="D35" s="237"/>
      <c r="E35" s="237"/>
      <c r="F35" s="238">
        <f t="shared" si="1"/>
        <v>-0.3333333333</v>
      </c>
      <c r="G35" s="235"/>
    </row>
    <row r="36" ht="14.25" customHeight="1">
      <c r="A36" s="236" t="s">
        <v>114</v>
      </c>
      <c r="B36" s="237">
        <v>184487.33333333334</v>
      </c>
      <c r="C36" s="237">
        <v>186351.0</v>
      </c>
      <c r="D36" s="237"/>
      <c r="E36" s="237"/>
      <c r="F36" s="238">
        <f t="shared" si="1"/>
        <v>-1863.666667</v>
      </c>
      <c r="G36" s="235"/>
    </row>
    <row r="37" ht="14.25" customHeight="1">
      <c r="A37" s="236" t="s">
        <v>115</v>
      </c>
      <c r="B37" s="237">
        <v>174093.66666666666</v>
      </c>
      <c r="C37" s="237">
        <v>165645.0</v>
      </c>
      <c r="D37" s="237"/>
      <c r="E37" s="237"/>
      <c r="F37" s="238">
        <f t="shared" si="1"/>
        <v>8448.666667</v>
      </c>
      <c r="G37" s="235"/>
    </row>
    <row r="38" ht="14.25" customHeight="1">
      <c r="A38" s="236" t="s">
        <v>116</v>
      </c>
      <c r="B38" s="237">
        <v>44173.0</v>
      </c>
      <c r="C38" s="237"/>
      <c r="D38" s="237"/>
      <c r="E38" s="237"/>
      <c r="F38" s="238">
        <f t="shared" si="1"/>
        <v>44173</v>
      </c>
      <c r="G38" s="235"/>
    </row>
    <row r="39" ht="14.25" customHeight="1">
      <c r="A39" s="236" t="s">
        <v>117</v>
      </c>
      <c r="B39" s="237">
        <v>28582.666666666668</v>
      </c>
      <c r="C39" s="237">
        <v>28583.0</v>
      </c>
      <c r="D39" s="237"/>
      <c r="E39" s="237"/>
      <c r="F39" s="238">
        <f t="shared" si="1"/>
        <v>-0.3333333333</v>
      </c>
      <c r="G39" s="235"/>
    </row>
    <row r="40" ht="14.25" customHeight="1">
      <c r="A40" s="236" t="s">
        <v>118</v>
      </c>
      <c r="B40" s="237">
        <v>3523449.0</v>
      </c>
      <c r="C40" s="237">
        <v>3734833.0</v>
      </c>
      <c r="D40" s="237"/>
      <c r="E40" s="237"/>
      <c r="F40" s="238">
        <f t="shared" si="1"/>
        <v>-211384</v>
      </c>
      <c r="G40" s="235"/>
    </row>
    <row r="41" ht="14.25" customHeight="1">
      <c r="A41" s="236" t="s">
        <v>119</v>
      </c>
      <c r="B41" s="237">
        <v>756138.3333333334</v>
      </c>
      <c r="C41" s="237">
        <v>599773.0</v>
      </c>
      <c r="D41" s="237"/>
      <c r="E41" s="237"/>
      <c r="F41" s="238">
        <f t="shared" si="1"/>
        <v>156365.3333</v>
      </c>
      <c r="G41" s="235"/>
    </row>
    <row r="42" ht="14.25" customHeight="1">
      <c r="A42" s="236" t="s">
        <v>120</v>
      </c>
      <c r="B42" s="237">
        <v>1959204.0</v>
      </c>
      <c r="C42" s="237">
        <v>1849578.0</v>
      </c>
      <c r="D42" s="237"/>
      <c r="E42" s="237"/>
      <c r="F42" s="238">
        <f t="shared" si="1"/>
        <v>109626</v>
      </c>
      <c r="G42" s="235"/>
    </row>
    <row r="43" ht="14.25" customHeight="1">
      <c r="A43" s="236" t="s">
        <v>122</v>
      </c>
      <c r="B43" s="237">
        <v>2083927.6666666667</v>
      </c>
      <c r="C43" s="237">
        <v>2217357.14</v>
      </c>
      <c r="D43" s="237"/>
      <c r="E43" s="237"/>
      <c r="F43" s="238">
        <f t="shared" si="1"/>
        <v>-133429.4733</v>
      </c>
      <c r="G43" s="235"/>
    </row>
    <row r="44" ht="14.25" customHeight="1">
      <c r="A44" s="236" t="s">
        <v>123</v>
      </c>
      <c r="B44" s="237">
        <v>909444.6666666666</v>
      </c>
      <c r="C44" s="237">
        <v>1014236.0</v>
      </c>
      <c r="D44" s="237"/>
      <c r="E44" s="237"/>
      <c r="F44" s="238">
        <f t="shared" si="1"/>
        <v>-104791.3333</v>
      </c>
      <c r="G44" s="235"/>
    </row>
    <row r="45" ht="14.25" customHeight="1">
      <c r="A45" s="236" t="s">
        <v>124</v>
      </c>
      <c r="B45" s="237">
        <v>514486.0</v>
      </c>
      <c r="C45" s="237"/>
      <c r="D45" s="237"/>
      <c r="E45" s="237"/>
      <c r="F45" s="238">
        <f t="shared" si="1"/>
        <v>514486</v>
      </c>
      <c r="G45" s="235"/>
    </row>
    <row r="46" ht="14.25" customHeight="1">
      <c r="A46" s="236" t="s">
        <v>125</v>
      </c>
      <c r="B46" s="237">
        <v>6249184.666666667</v>
      </c>
      <c r="C46" s="237"/>
      <c r="D46" s="237"/>
      <c r="E46" s="237"/>
      <c r="F46" s="238">
        <f t="shared" si="1"/>
        <v>6249184.667</v>
      </c>
      <c r="G46" s="235"/>
    </row>
    <row r="47" ht="14.25" customHeight="1">
      <c r="A47" s="236" t="s">
        <v>126</v>
      </c>
      <c r="B47" s="237">
        <v>5196.666666666667</v>
      </c>
      <c r="C47" s="237">
        <v>5197.0</v>
      </c>
      <c r="D47" s="237"/>
      <c r="E47" s="237"/>
      <c r="F47" s="238">
        <f t="shared" si="1"/>
        <v>-0.3333333333</v>
      </c>
      <c r="G47" s="235"/>
    </row>
    <row r="48" ht="14.25" customHeight="1">
      <c r="A48" s="236" t="s">
        <v>128</v>
      </c>
      <c r="B48" s="237">
        <v>397557.3333333333</v>
      </c>
      <c r="C48" s="237">
        <v>413942.2</v>
      </c>
      <c r="D48" s="237"/>
      <c r="E48" s="237"/>
      <c r="F48" s="238">
        <f t="shared" si="1"/>
        <v>-16384.86667</v>
      </c>
      <c r="G48" s="235"/>
    </row>
    <row r="49" ht="14.25" customHeight="1">
      <c r="A49" s="236" t="s">
        <v>129</v>
      </c>
      <c r="B49" s="237">
        <v>197479.33333333334</v>
      </c>
      <c r="C49" s="237">
        <v>217324.0</v>
      </c>
      <c r="D49" s="237"/>
      <c r="E49" s="237"/>
      <c r="F49" s="238">
        <f t="shared" si="1"/>
        <v>-19844.66667</v>
      </c>
      <c r="G49" s="235"/>
    </row>
    <row r="50" ht="14.25" customHeight="1">
      <c r="A50" s="236" t="s">
        <v>131</v>
      </c>
      <c r="B50" s="237">
        <v>5576195.666666667</v>
      </c>
      <c r="C50" s="237">
        <v>6321391.0</v>
      </c>
      <c r="D50" s="237"/>
      <c r="E50" s="237"/>
      <c r="F50" s="238">
        <f t="shared" si="1"/>
        <v>-745195.3333</v>
      </c>
      <c r="G50" s="235"/>
    </row>
    <row r="51" ht="14.25" customHeight="1">
      <c r="A51" s="236" t="s">
        <v>156</v>
      </c>
      <c r="B51" s="237">
        <v>2354162.6666666665</v>
      </c>
      <c r="C51" s="237">
        <v>2493780.0</v>
      </c>
      <c r="D51" s="237"/>
      <c r="E51" s="237"/>
      <c r="F51" s="238">
        <f t="shared" si="1"/>
        <v>-139617.3333</v>
      </c>
      <c r="G51" s="235"/>
    </row>
    <row r="52" ht="14.25" customHeight="1">
      <c r="A52" s="236" t="s">
        <v>133</v>
      </c>
      <c r="B52" s="237">
        <v>2990774.0</v>
      </c>
      <c r="C52" s="237">
        <v>2990774.0</v>
      </c>
      <c r="D52" s="237"/>
      <c r="E52" s="237"/>
      <c r="F52" s="238">
        <f t="shared" si="1"/>
        <v>0</v>
      </c>
      <c r="G52" s="235"/>
    </row>
    <row r="53" ht="18.0" customHeight="1">
      <c r="A53" s="236" t="s">
        <v>134</v>
      </c>
      <c r="B53" s="237">
        <v>10393.666666666666</v>
      </c>
      <c r="C53" s="237"/>
      <c r="D53" s="237"/>
      <c r="E53" s="237"/>
      <c r="F53" s="238">
        <f t="shared" si="1"/>
        <v>10393.66667</v>
      </c>
      <c r="G53" s="235"/>
    </row>
    <row r="54" ht="14.25" customHeight="1">
      <c r="A54" s="236" t="s">
        <v>136</v>
      </c>
      <c r="B54" s="237">
        <v>148109.66666666666</v>
      </c>
      <c r="C54" s="237"/>
      <c r="D54" s="237"/>
      <c r="E54" s="237"/>
      <c r="F54" s="238">
        <f t="shared" si="1"/>
        <v>148109.6667</v>
      </c>
      <c r="G54" s="235"/>
    </row>
    <row r="55" ht="14.25" customHeight="1">
      <c r="A55" s="236" t="s">
        <v>138</v>
      </c>
      <c r="B55" s="237">
        <v>1.1866955E7</v>
      </c>
      <c r="C55" s="237">
        <v>1.261034E7</v>
      </c>
      <c r="D55" s="237"/>
      <c r="E55" s="237"/>
      <c r="F55" s="238">
        <f t="shared" si="1"/>
        <v>-743385</v>
      </c>
      <c r="G55" s="235"/>
    </row>
    <row r="56" ht="14.25" customHeight="1">
      <c r="A56" s="236" t="s">
        <v>139</v>
      </c>
      <c r="B56" s="237">
        <f>34833333.3333333-362134-608906+138586</f>
        <v>34000879.33</v>
      </c>
      <c r="C56" s="237">
        <f>39247184+8326000+776268+50150000-64498573</f>
        <v>34000879</v>
      </c>
      <c r="D56" s="237"/>
      <c r="E56" s="237"/>
      <c r="F56" s="238">
        <f t="shared" si="1"/>
        <v>0.3333332986</v>
      </c>
      <c r="G56" s="235"/>
      <c r="H56" s="242"/>
      <c r="I56" s="242"/>
      <c r="J56" s="242"/>
    </row>
    <row r="57" ht="14.25" customHeight="1">
      <c r="A57" s="243" t="s">
        <v>140</v>
      </c>
      <c r="B57" s="244">
        <v>83149.33333333333</v>
      </c>
      <c r="C57" s="244">
        <v>54700.0</v>
      </c>
      <c r="D57" s="244"/>
      <c r="E57" s="244"/>
      <c r="F57" s="245">
        <f t="shared" si="1"/>
        <v>28449.33333</v>
      </c>
      <c r="G57" s="235"/>
      <c r="H57" s="289"/>
    </row>
    <row r="58" ht="14.25" customHeight="1">
      <c r="A58" s="246" t="s">
        <v>143</v>
      </c>
      <c r="B58" s="247">
        <f t="shared" ref="B58:F58" si="2">SUM(B9:B57)</f>
        <v>157500879</v>
      </c>
      <c r="C58" s="247">
        <f t="shared" si="2"/>
        <v>139406181.2</v>
      </c>
      <c r="D58" s="247">
        <f t="shared" si="2"/>
        <v>4644970</v>
      </c>
      <c r="E58" s="248">
        <f t="shared" si="2"/>
        <v>0</v>
      </c>
      <c r="F58" s="249">
        <f t="shared" si="2"/>
        <v>13449727.84</v>
      </c>
      <c r="G58" s="235"/>
      <c r="H58" s="290">
        <f>(C58+D58)/B58</f>
        <v>0.9146053792</v>
      </c>
      <c r="I58" s="289">
        <f>C58/B58</f>
        <v>0.8851136708</v>
      </c>
    </row>
    <row r="59" ht="14.25" customHeight="1">
      <c r="A59" s="251" t="s">
        <v>157</v>
      </c>
      <c r="B59" s="252">
        <f>362134+608906-138586</f>
        <v>832454</v>
      </c>
      <c r="C59" s="252"/>
      <c r="D59" s="252"/>
      <c r="E59" s="252"/>
      <c r="F59" s="253">
        <f>B59-C59-D59-E59</f>
        <v>832454</v>
      </c>
      <c r="G59" s="235"/>
      <c r="H59" s="290"/>
      <c r="I59" s="289"/>
    </row>
    <row r="60" ht="14.25" customHeight="1">
      <c r="A60" s="254" t="s">
        <v>158</v>
      </c>
      <c r="B60" s="255">
        <f t="shared" ref="B60:F60" si="3">B58+B59</f>
        <v>158333333</v>
      </c>
      <c r="C60" s="255">
        <f t="shared" si="3"/>
        <v>139406181.2</v>
      </c>
      <c r="D60" s="255">
        <f t="shared" si="3"/>
        <v>4644970</v>
      </c>
      <c r="E60" s="256">
        <f t="shared" si="3"/>
        <v>0</v>
      </c>
      <c r="F60" s="257">
        <f t="shared" si="3"/>
        <v>14282181.84</v>
      </c>
      <c r="G60" s="235"/>
      <c r="H60" s="290">
        <f>(C60+D60)/B60</f>
        <v>0.9097967461</v>
      </c>
      <c r="I60" s="289">
        <f>C60/B60</f>
        <v>0.8804600934</v>
      </c>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61" t="s">
        <v>159</v>
      </c>
      <c r="B63" s="262">
        <f t="shared" ref="B63:C63" si="4">B12+B13+B15+B19+B21+B27+B33+B36+B43+B46+B48+B49+B53+B54+B57</f>
        <v>11635696.33</v>
      </c>
      <c r="C63" s="262">
        <f t="shared" si="4"/>
        <v>4710535.69</v>
      </c>
      <c r="D63" s="262">
        <f t="shared" ref="D63:E63" si="5">D12+D13+D15+D19+D21+D26+D34+D36+D43+D46+D48+D49+D53+D54+D57</f>
        <v>0</v>
      </c>
      <c r="E63" s="263">
        <f t="shared" si="5"/>
        <v>0</v>
      </c>
      <c r="F63" s="264">
        <f>B63-C63-D63-E63</f>
        <v>6925160.643</v>
      </c>
      <c r="G63" s="235"/>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8:$F$63"/>
  <mergeCells count="3">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8.71"/>
    <col customWidth="1" min="8" max="8" width="13.71"/>
    <col customWidth="1" min="9" max="9" width="8.71"/>
    <col customWidth="1" min="10" max="10" width="14.71"/>
    <col customWidth="1" min="11" max="26" width="8.71"/>
  </cols>
  <sheetData>
    <row r="1" ht="14.25" customHeight="1">
      <c r="A1" s="291"/>
      <c r="C1" s="218"/>
      <c r="D1" s="218"/>
      <c r="E1" s="219"/>
      <c r="F1" s="220" t="s">
        <v>171</v>
      </c>
    </row>
    <row r="2" ht="14.25" customHeight="1">
      <c r="B2" s="218"/>
      <c r="C2" s="218"/>
      <c r="D2" s="218"/>
      <c r="E2" s="219"/>
      <c r="F2" s="220" t="s">
        <v>1</v>
      </c>
    </row>
    <row r="3" ht="14.25" customHeight="1">
      <c r="B3" s="218"/>
      <c r="C3" s="218"/>
      <c r="D3" s="218"/>
      <c r="E3" s="220"/>
      <c r="F3" s="220" t="s">
        <v>172</v>
      </c>
    </row>
    <row r="4" ht="14.25" customHeight="1">
      <c r="A4" s="222"/>
      <c r="B4" s="218"/>
      <c r="C4" s="218"/>
      <c r="D4" s="218"/>
      <c r="E4" s="218"/>
      <c r="F4" s="218"/>
    </row>
    <row r="5" ht="21.0" customHeight="1">
      <c r="A5" s="223" t="s">
        <v>148</v>
      </c>
    </row>
    <row r="6" ht="14.25" customHeight="1">
      <c r="A6" s="224" t="s">
        <v>173</v>
      </c>
    </row>
    <row r="7" ht="14.25" customHeight="1">
      <c r="A7" s="225" t="str">
        <f>[1]Status!A6</f>
        <v>#ERROR!</v>
      </c>
    </row>
    <row r="8" ht="30.0" customHeight="1">
      <c r="A8" s="226" t="s">
        <v>79</v>
      </c>
      <c r="B8" s="227" t="s">
        <v>80</v>
      </c>
      <c r="C8" s="227" t="s">
        <v>81</v>
      </c>
      <c r="D8" s="228" t="s">
        <v>82</v>
      </c>
      <c r="E8" s="227" t="s">
        <v>83</v>
      </c>
      <c r="F8" s="229" t="s">
        <v>84</v>
      </c>
    </row>
    <row r="9" ht="14.25" customHeight="1">
      <c r="A9" s="230" t="s">
        <v>86</v>
      </c>
      <c r="B9" s="231">
        <v>12992.0</v>
      </c>
      <c r="C9" s="231">
        <v>15167.0</v>
      </c>
      <c r="D9" s="233"/>
      <c r="E9" s="233"/>
      <c r="F9" s="234">
        <f t="shared" ref="F9:F57" si="1">B9-C9-D9-E9</f>
        <v>-2175</v>
      </c>
      <c r="G9" s="235"/>
    </row>
    <row r="10" ht="14.25" customHeight="1">
      <c r="A10" s="236" t="s">
        <v>150</v>
      </c>
      <c r="B10" s="237">
        <v>5742494.0</v>
      </c>
      <c r="C10" s="237">
        <v>5151604.0</v>
      </c>
      <c r="D10" s="237"/>
      <c r="E10" s="237"/>
      <c r="F10" s="238">
        <f t="shared" si="1"/>
        <v>590890</v>
      </c>
      <c r="G10" s="235"/>
    </row>
    <row r="11" ht="14.25" customHeight="1">
      <c r="A11" s="236" t="s">
        <v>88</v>
      </c>
      <c r="B11" s="237">
        <v>1759126.0</v>
      </c>
      <c r="C11" s="237">
        <f>1385134+374000.49</f>
        <v>1759134.49</v>
      </c>
      <c r="D11" s="237">
        <f>362900-362900</f>
        <v>0</v>
      </c>
      <c r="E11" s="237"/>
      <c r="F11" s="238">
        <f t="shared" si="1"/>
        <v>-8.49</v>
      </c>
      <c r="G11" s="235" t="s">
        <v>174</v>
      </c>
    </row>
    <row r="12" ht="14.25" customHeight="1">
      <c r="A12" s="239" t="s">
        <v>89</v>
      </c>
      <c r="B12" s="237">
        <v>127322.33333333333</v>
      </c>
      <c r="C12" s="237"/>
      <c r="D12" s="237"/>
      <c r="E12" s="237"/>
      <c r="F12" s="238">
        <f t="shared" si="1"/>
        <v>127322.3333</v>
      </c>
      <c r="G12" s="235"/>
    </row>
    <row r="13" ht="14.25" customHeight="1">
      <c r="A13" s="236" t="s">
        <v>90</v>
      </c>
      <c r="B13" s="237">
        <v>127322.33333333333</v>
      </c>
      <c r="C13" s="237">
        <v>141167.0</v>
      </c>
      <c r="D13" s="237"/>
      <c r="E13" s="237"/>
      <c r="F13" s="238">
        <f t="shared" si="1"/>
        <v>-13844.66667</v>
      </c>
      <c r="G13" s="235"/>
    </row>
    <row r="14" ht="14.25" customHeight="1">
      <c r="A14" s="236" t="s">
        <v>91</v>
      </c>
      <c r="B14" s="237">
        <v>2133297.6666666665</v>
      </c>
      <c r="C14" s="237">
        <v>2289945.0</v>
      </c>
      <c r="D14" s="237"/>
      <c r="E14" s="237"/>
      <c r="F14" s="238">
        <f t="shared" si="1"/>
        <v>-156647.3333</v>
      </c>
      <c r="G14" s="235"/>
      <c r="H14" s="242"/>
    </row>
    <row r="15" ht="14.25" customHeight="1">
      <c r="A15" s="236" t="s">
        <v>92</v>
      </c>
      <c r="B15" s="237">
        <v>119527.0</v>
      </c>
      <c r="C15" s="237">
        <v>113333.0</v>
      </c>
      <c r="D15" s="237"/>
      <c r="E15" s="237"/>
      <c r="F15" s="238">
        <f t="shared" si="1"/>
        <v>6194</v>
      </c>
      <c r="G15" s="235"/>
    </row>
    <row r="16" ht="14.25" customHeight="1">
      <c r="A16" s="236" t="s">
        <v>151</v>
      </c>
      <c r="B16" s="237">
        <v>7104062.666666667</v>
      </c>
      <c r="C16" s="237">
        <f>5728716.99+1432179.43</f>
        <v>7160896.42</v>
      </c>
      <c r="D16" s="237"/>
      <c r="E16" s="237"/>
      <c r="F16" s="238">
        <f t="shared" si="1"/>
        <v>-56833.75333</v>
      </c>
      <c r="G16" s="235"/>
    </row>
    <row r="17" ht="14.25" customHeight="1">
      <c r="A17" s="236" t="s">
        <v>94</v>
      </c>
      <c r="B17" s="237">
        <v>200078.0</v>
      </c>
      <c r="C17" s="237">
        <v>251292.0</v>
      </c>
      <c r="D17" s="237"/>
      <c r="E17" s="237"/>
      <c r="F17" s="238">
        <f t="shared" si="1"/>
        <v>-51214</v>
      </c>
      <c r="G17" s="235"/>
    </row>
    <row r="18" ht="14.25" customHeight="1">
      <c r="A18" s="236" t="s">
        <v>95</v>
      </c>
      <c r="B18" s="237">
        <v>93543.0</v>
      </c>
      <c r="C18" s="237">
        <v>111228.02</v>
      </c>
      <c r="D18" s="237"/>
      <c r="E18" s="237"/>
      <c r="F18" s="238">
        <f t="shared" si="1"/>
        <v>-17685.02</v>
      </c>
      <c r="G18" s="235"/>
    </row>
    <row r="19" ht="14.25" customHeight="1">
      <c r="A19" s="236" t="s">
        <v>96</v>
      </c>
      <c r="B19" s="237">
        <v>808106.6666666666</v>
      </c>
      <c r="C19" s="237">
        <v>867000.0</v>
      </c>
      <c r="D19" s="237"/>
      <c r="E19" s="237"/>
      <c r="F19" s="238">
        <f t="shared" si="1"/>
        <v>-58893.33333</v>
      </c>
      <c r="G19" s="235"/>
    </row>
    <row r="20" ht="14.25" customHeight="1">
      <c r="A20" s="236" t="s">
        <v>97</v>
      </c>
      <c r="B20" s="237">
        <v>1439521.0</v>
      </c>
      <c r="C20" s="237">
        <v>1505998.5</v>
      </c>
      <c r="D20" s="237"/>
      <c r="E20" s="237"/>
      <c r="F20" s="238">
        <f t="shared" si="1"/>
        <v>-66477.5</v>
      </c>
      <c r="G20" s="235"/>
    </row>
    <row r="21" ht="14.25" customHeight="1">
      <c r="A21" s="236" t="s">
        <v>98</v>
      </c>
      <c r="B21" s="237">
        <v>101338.0</v>
      </c>
      <c r="C21" s="237">
        <v>147378.22</v>
      </c>
      <c r="D21" s="237"/>
      <c r="E21" s="237"/>
      <c r="F21" s="238">
        <f t="shared" si="1"/>
        <v>-46040.22</v>
      </c>
      <c r="G21" s="235"/>
    </row>
    <row r="22" ht="14.25" customHeight="1">
      <c r="A22" s="236" t="s">
        <v>99</v>
      </c>
      <c r="B22" s="237">
        <v>1093932.0</v>
      </c>
      <c r="C22" s="237">
        <v>1179881.0</v>
      </c>
      <c r="D22" s="237"/>
      <c r="E22" s="237"/>
      <c r="F22" s="238">
        <f t="shared" si="1"/>
        <v>-85949</v>
      </c>
      <c r="G22" s="235"/>
    </row>
    <row r="23" ht="14.25" customHeight="1">
      <c r="A23" s="236" t="s">
        <v>152</v>
      </c>
      <c r="B23" s="237">
        <v>1.1503177E7</v>
      </c>
      <c r="C23" s="237">
        <f>11861378.27+21199</f>
        <v>11882577.27</v>
      </c>
      <c r="D23" s="237">
        <f>687810-6747+30250-21199</f>
        <v>690114</v>
      </c>
      <c r="E23" s="237"/>
      <c r="F23" s="238">
        <f t="shared" si="1"/>
        <v>-1069514.27</v>
      </c>
      <c r="G23" s="235"/>
    </row>
    <row r="24" ht="14.25" customHeight="1">
      <c r="A24" s="236" t="s">
        <v>153</v>
      </c>
      <c r="B24" s="237">
        <v>1.5824338666666666E7</v>
      </c>
      <c r="C24" s="237">
        <v>1.9576925E7</v>
      </c>
      <c r="D24" s="237">
        <f>1102511+3214121</f>
        <v>4316632</v>
      </c>
      <c r="E24" s="237"/>
      <c r="F24" s="238">
        <f t="shared" si="1"/>
        <v>-8069218.333</v>
      </c>
      <c r="G24" s="235"/>
    </row>
    <row r="25" ht="14.25" customHeight="1">
      <c r="A25" s="236" t="s">
        <v>102</v>
      </c>
      <c r="B25" s="237">
        <v>951019.3333333334</v>
      </c>
      <c r="C25" s="237">
        <v>1218726.0</v>
      </c>
      <c r="D25" s="237"/>
      <c r="E25" s="237"/>
      <c r="F25" s="238">
        <f t="shared" si="1"/>
        <v>-267706.6667</v>
      </c>
      <c r="G25" s="235"/>
    </row>
    <row r="26" ht="14.25" customHeight="1">
      <c r="A26" s="236" t="s">
        <v>103</v>
      </c>
      <c r="B26" s="237">
        <v>2598.3333333333335</v>
      </c>
      <c r="C26" s="237">
        <v>2598.0</v>
      </c>
      <c r="D26" s="237"/>
      <c r="E26" s="237"/>
      <c r="F26" s="238">
        <f t="shared" si="1"/>
        <v>0.3333333333</v>
      </c>
      <c r="G26" s="235"/>
    </row>
    <row r="27" ht="14.25" customHeight="1">
      <c r="A27" s="236" t="s">
        <v>104</v>
      </c>
      <c r="B27" s="237">
        <v>535273.3333333334</v>
      </c>
      <c r="C27" s="237">
        <v>419794.0</v>
      </c>
      <c r="D27" s="237"/>
      <c r="E27" s="237"/>
      <c r="F27" s="238">
        <f t="shared" si="1"/>
        <v>115479.3333</v>
      </c>
      <c r="G27" s="235"/>
    </row>
    <row r="28" ht="14.25" customHeight="1">
      <c r="A28" s="236" t="s">
        <v>105</v>
      </c>
      <c r="B28" s="237">
        <v>72755.66666666667</v>
      </c>
      <c r="C28" s="237"/>
      <c r="D28" s="237"/>
      <c r="E28" s="237"/>
      <c r="F28" s="238">
        <f t="shared" si="1"/>
        <v>72755.66667</v>
      </c>
      <c r="G28" s="235"/>
    </row>
    <row r="29" ht="14.25" customHeight="1">
      <c r="A29" s="236" t="s">
        <v>154</v>
      </c>
      <c r="B29" s="237">
        <v>964011.3333333334</v>
      </c>
      <c r="C29" s="237">
        <v>866900.0</v>
      </c>
      <c r="D29" s="237"/>
      <c r="E29" s="237"/>
      <c r="F29" s="238">
        <f t="shared" si="1"/>
        <v>97111.33333</v>
      </c>
      <c r="G29" s="235"/>
    </row>
    <row r="30" ht="14.25" customHeight="1">
      <c r="A30" s="236" t="s">
        <v>107</v>
      </c>
      <c r="B30" s="237">
        <v>1273222.6666666667</v>
      </c>
      <c r="C30" s="237"/>
      <c r="D30" s="237"/>
      <c r="E30" s="237"/>
      <c r="F30" s="238">
        <f t="shared" si="1"/>
        <v>1273222.667</v>
      </c>
      <c r="G30" s="235"/>
    </row>
    <row r="31" ht="14.25" customHeight="1">
      <c r="A31" s="236" t="s">
        <v>108</v>
      </c>
      <c r="B31" s="237">
        <v>8592953.666666666</v>
      </c>
      <c r="C31" s="237">
        <f>9697954.43-264840</f>
        <v>9433114.43</v>
      </c>
      <c r="D31" s="237">
        <v>264840.0</v>
      </c>
      <c r="E31" s="237"/>
      <c r="F31" s="238">
        <f t="shared" si="1"/>
        <v>-1105000.763</v>
      </c>
      <c r="G31" s="235"/>
    </row>
    <row r="32" ht="14.25" customHeight="1">
      <c r="A32" s="236" t="s">
        <v>155</v>
      </c>
      <c r="B32" s="237">
        <v>2.2252814E7</v>
      </c>
      <c r="C32" s="237">
        <f>16772130+220216+431796-271200-29832</f>
        <v>17123110</v>
      </c>
      <c r="D32" s="237">
        <f>29832+271200</f>
        <v>301032</v>
      </c>
      <c r="E32" s="237"/>
      <c r="F32" s="238">
        <f t="shared" si="1"/>
        <v>4828672</v>
      </c>
      <c r="G32" s="235"/>
    </row>
    <row r="33" ht="14.25" customHeight="1">
      <c r="A33" s="236" t="s">
        <v>110</v>
      </c>
      <c r="B33" s="237">
        <v>462517.6666666667</v>
      </c>
      <c r="C33" s="237">
        <v>100000.0</v>
      </c>
      <c r="D33" s="237"/>
      <c r="E33" s="237"/>
      <c r="F33" s="238">
        <f t="shared" si="1"/>
        <v>362517.6667</v>
      </c>
      <c r="G33" s="235"/>
    </row>
    <row r="34" ht="14.25" customHeight="1">
      <c r="A34" s="236" t="s">
        <v>112</v>
      </c>
      <c r="B34" s="237">
        <v>122125.33333333333</v>
      </c>
      <c r="C34" s="237">
        <v>129368.0</v>
      </c>
      <c r="D34" s="237"/>
      <c r="E34" s="237"/>
      <c r="F34" s="238">
        <f t="shared" si="1"/>
        <v>-7242.666667</v>
      </c>
      <c r="G34" s="235"/>
    </row>
    <row r="35" ht="14.25" customHeight="1">
      <c r="A35" s="236" t="s">
        <v>113</v>
      </c>
      <c r="B35" s="237">
        <v>23385.666666666668</v>
      </c>
      <c r="C35" s="237">
        <v>23386.0</v>
      </c>
      <c r="D35" s="237"/>
      <c r="E35" s="237"/>
      <c r="F35" s="238">
        <f t="shared" si="1"/>
        <v>-0.3333333333</v>
      </c>
      <c r="G35" s="235"/>
    </row>
    <row r="36" ht="14.25" customHeight="1">
      <c r="A36" s="292" t="s">
        <v>114</v>
      </c>
      <c r="B36" s="237">
        <v>184487.33333333334</v>
      </c>
      <c r="C36" s="237">
        <v>186351.0</v>
      </c>
      <c r="D36" s="237"/>
      <c r="E36" s="237"/>
      <c r="F36" s="238">
        <f t="shared" si="1"/>
        <v>-1863.666667</v>
      </c>
      <c r="G36" s="235"/>
    </row>
    <row r="37" ht="14.25" customHeight="1">
      <c r="A37" s="236" t="s">
        <v>115</v>
      </c>
      <c r="B37" s="237">
        <v>174093.66666666666</v>
      </c>
      <c r="C37" s="237">
        <v>165645.36</v>
      </c>
      <c r="D37" s="237"/>
      <c r="E37" s="237"/>
      <c r="F37" s="238">
        <f t="shared" si="1"/>
        <v>8448.306667</v>
      </c>
      <c r="G37" s="235"/>
    </row>
    <row r="38" ht="14.25" customHeight="1">
      <c r="A38" s="236" t="s">
        <v>116</v>
      </c>
      <c r="B38" s="237">
        <v>44173.0</v>
      </c>
      <c r="C38" s="237"/>
      <c r="D38" s="237"/>
      <c r="E38" s="237"/>
      <c r="F38" s="238">
        <f t="shared" si="1"/>
        <v>44173</v>
      </c>
      <c r="G38" s="235"/>
    </row>
    <row r="39" ht="14.25" customHeight="1">
      <c r="A39" s="236" t="s">
        <v>117</v>
      </c>
      <c r="B39" s="237">
        <v>28582.666666666668</v>
      </c>
      <c r="C39" s="237">
        <v>28583.0</v>
      </c>
      <c r="D39" s="237"/>
      <c r="E39" s="237"/>
      <c r="F39" s="238">
        <f t="shared" si="1"/>
        <v>-0.3333333333</v>
      </c>
      <c r="G39" s="235"/>
    </row>
    <row r="40" ht="14.25" customHeight="1">
      <c r="A40" s="236" t="s">
        <v>118</v>
      </c>
      <c r="B40" s="237">
        <v>3523449.0</v>
      </c>
      <c r="C40" s="237">
        <v>3734833.0</v>
      </c>
      <c r="D40" s="237"/>
      <c r="E40" s="237"/>
      <c r="F40" s="238">
        <f t="shared" si="1"/>
        <v>-211384</v>
      </c>
      <c r="G40" s="235"/>
    </row>
    <row r="41" ht="14.25" customHeight="1">
      <c r="A41" s="236" t="s">
        <v>119</v>
      </c>
      <c r="B41" s="237">
        <v>756138.3333333334</v>
      </c>
      <c r="C41" s="237">
        <v>599773.0</v>
      </c>
      <c r="D41" s="237"/>
      <c r="E41" s="237"/>
      <c r="F41" s="238">
        <f t="shared" si="1"/>
        <v>156365.3333</v>
      </c>
      <c r="G41" s="235"/>
    </row>
    <row r="42" ht="14.25" customHeight="1">
      <c r="A42" s="236" t="s">
        <v>120</v>
      </c>
      <c r="B42" s="237">
        <v>1959204.0</v>
      </c>
      <c r="C42" s="237">
        <v>1849578.0</v>
      </c>
      <c r="D42" s="237"/>
      <c r="E42" s="237"/>
      <c r="F42" s="238">
        <f t="shared" si="1"/>
        <v>109626</v>
      </c>
      <c r="G42" s="235"/>
    </row>
    <row r="43" ht="14.25" customHeight="1">
      <c r="A43" s="236" t="s">
        <v>122</v>
      </c>
      <c r="B43" s="237">
        <v>2083927.6666666667</v>
      </c>
      <c r="C43" s="237">
        <v>1950498.25</v>
      </c>
      <c r="D43" s="237"/>
      <c r="E43" s="237"/>
      <c r="F43" s="238">
        <f t="shared" si="1"/>
        <v>133429.4167</v>
      </c>
      <c r="G43" s="235"/>
    </row>
    <row r="44" ht="14.25" customHeight="1">
      <c r="A44" s="236" t="s">
        <v>123</v>
      </c>
      <c r="B44" s="237">
        <v>909444.6666666666</v>
      </c>
      <c r="C44" s="237">
        <v>1013918.0</v>
      </c>
      <c r="D44" s="237"/>
      <c r="E44" s="237"/>
      <c r="F44" s="238">
        <f t="shared" si="1"/>
        <v>-104473.3333</v>
      </c>
      <c r="G44" s="235"/>
    </row>
    <row r="45" ht="14.25" customHeight="1">
      <c r="A45" s="236" t="s">
        <v>124</v>
      </c>
      <c r="B45" s="237">
        <v>514486.0</v>
      </c>
      <c r="C45" s="237">
        <v>443942.0</v>
      </c>
      <c r="D45" s="237"/>
      <c r="E45" s="237"/>
      <c r="F45" s="238">
        <f t="shared" si="1"/>
        <v>70544</v>
      </c>
      <c r="G45" s="235"/>
    </row>
    <row r="46" ht="14.25" customHeight="1">
      <c r="A46" s="236" t="s">
        <v>125</v>
      </c>
      <c r="B46" s="237">
        <v>6249184.666666667</v>
      </c>
      <c r="C46" s="237">
        <v>1500000.0</v>
      </c>
      <c r="D46" s="237"/>
      <c r="E46" s="237"/>
      <c r="F46" s="238">
        <f t="shared" si="1"/>
        <v>4749184.667</v>
      </c>
      <c r="G46" s="235"/>
    </row>
    <row r="47" ht="14.25" customHeight="1">
      <c r="A47" s="236" t="s">
        <v>126</v>
      </c>
      <c r="B47" s="237">
        <v>5196.666666666667</v>
      </c>
      <c r="C47" s="237">
        <v>5197.0</v>
      </c>
      <c r="D47" s="237"/>
      <c r="E47" s="237"/>
      <c r="F47" s="238">
        <f t="shared" si="1"/>
        <v>-0.3333333333</v>
      </c>
      <c r="G47" s="235"/>
    </row>
    <row r="48" ht="14.25" customHeight="1">
      <c r="A48" s="236" t="s">
        <v>128</v>
      </c>
      <c r="B48" s="237">
        <v>397557.3333333333</v>
      </c>
      <c r="C48" s="237">
        <v>413942.0</v>
      </c>
      <c r="D48" s="237"/>
      <c r="E48" s="237"/>
      <c r="F48" s="238">
        <f t="shared" si="1"/>
        <v>-16384.66667</v>
      </c>
      <c r="G48" s="235"/>
    </row>
    <row r="49" ht="14.25" customHeight="1">
      <c r="A49" s="236" t="s">
        <v>129</v>
      </c>
      <c r="B49" s="237">
        <v>197479.33333333334</v>
      </c>
      <c r="C49" s="237">
        <v>217324.0</v>
      </c>
      <c r="D49" s="237"/>
      <c r="E49" s="237"/>
      <c r="F49" s="238">
        <f t="shared" si="1"/>
        <v>-19844.66667</v>
      </c>
      <c r="G49" s="235"/>
    </row>
    <row r="50" ht="14.25" customHeight="1">
      <c r="A50" s="236" t="s">
        <v>131</v>
      </c>
      <c r="B50" s="237">
        <v>5576195.666666667</v>
      </c>
      <c r="C50" s="237">
        <v>6321391.0</v>
      </c>
      <c r="D50" s="237"/>
      <c r="E50" s="237"/>
      <c r="F50" s="238">
        <f t="shared" si="1"/>
        <v>-745195.3333</v>
      </c>
      <c r="G50" s="235"/>
    </row>
    <row r="51" ht="14.25" customHeight="1">
      <c r="A51" s="236" t="s">
        <v>156</v>
      </c>
      <c r="B51" s="237">
        <v>2354162.6666666665</v>
      </c>
      <c r="C51" s="237">
        <v>2214522.0</v>
      </c>
      <c r="D51" s="237"/>
      <c r="E51" s="237"/>
      <c r="F51" s="238">
        <f t="shared" si="1"/>
        <v>139640.6667</v>
      </c>
      <c r="G51" s="235"/>
    </row>
    <row r="52" ht="14.25" customHeight="1">
      <c r="A52" s="236" t="s">
        <v>133</v>
      </c>
      <c r="B52" s="237">
        <v>2990774.0</v>
      </c>
      <c r="C52" s="237">
        <v>4061965.4</v>
      </c>
      <c r="D52" s="237"/>
      <c r="E52" s="237"/>
      <c r="F52" s="238">
        <f t="shared" si="1"/>
        <v>-1071191.4</v>
      </c>
      <c r="G52" s="235"/>
    </row>
    <row r="53" ht="18.0" customHeight="1">
      <c r="A53" s="236" t="s">
        <v>134</v>
      </c>
      <c r="B53" s="237">
        <v>10393.666666666666</v>
      </c>
      <c r="C53" s="237"/>
      <c r="D53" s="237"/>
      <c r="E53" s="237"/>
      <c r="F53" s="238">
        <f t="shared" si="1"/>
        <v>10393.66667</v>
      </c>
      <c r="G53" s="235"/>
    </row>
    <row r="54" ht="14.25" customHeight="1">
      <c r="A54" s="236" t="s">
        <v>136</v>
      </c>
      <c r="B54" s="237">
        <v>148109.66666666666</v>
      </c>
      <c r="C54" s="237"/>
      <c r="D54" s="237"/>
      <c r="E54" s="237"/>
      <c r="F54" s="238">
        <f t="shared" si="1"/>
        <v>148109.6667</v>
      </c>
      <c r="G54" s="235"/>
    </row>
    <row r="55" ht="14.25" customHeight="1">
      <c r="A55" s="236" t="s">
        <v>138</v>
      </c>
      <c r="B55" s="237">
        <v>1.1866955E7</v>
      </c>
      <c r="C55" s="237">
        <v>1.0197922E7</v>
      </c>
      <c r="D55" s="237"/>
      <c r="E55" s="237"/>
      <c r="F55" s="238">
        <f t="shared" si="1"/>
        <v>1669033</v>
      </c>
      <c r="G55" s="235"/>
    </row>
    <row r="56" ht="14.25" customHeight="1">
      <c r="A56" s="236" t="s">
        <v>139</v>
      </c>
      <c r="B56" s="237">
        <f>34833333.3333333-134319</f>
        <v>34699014.33</v>
      </c>
      <c r="C56" s="237">
        <f>34041030+8326000+479168+31100000-39247184</f>
        <v>34699014</v>
      </c>
      <c r="D56" s="237"/>
      <c r="E56" s="237"/>
      <c r="F56" s="238">
        <f t="shared" si="1"/>
        <v>0.3333332986</v>
      </c>
      <c r="G56" s="235"/>
      <c r="H56" s="242"/>
    </row>
    <row r="57" ht="14.25" customHeight="1">
      <c r="A57" s="243" t="s">
        <v>140</v>
      </c>
      <c r="B57" s="244">
        <v>83149.33333333333</v>
      </c>
      <c r="C57" s="244">
        <v>58000.0</v>
      </c>
      <c r="D57" s="244"/>
      <c r="E57" s="244"/>
      <c r="F57" s="245">
        <f t="shared" si="1"/>
        <v>25149.33333</v>
      </c>
      <c r="G57" s="235"/>
    </row>
    <row r="58" ht="14.25" customHeight="1">
      <c r="A58" s="246" t="s">
        <v>143</v>
      </c>
      <c r="B58" s="247">
        <f t="shared" ref="B58:F58" si="2">SUM(B9:B57)</f>
        <v>158199014</v>
      </c>
      <c r="C58" s="247">
        <f t="shared" si="2"/>
        <v>151132922.4</v>
      </c>
      <c r="D58" s="247">
        <f t="shared" si="2"/>
        <v>5572618</v>
      </c>
      <c r="E58" s="247">
        <f t="shared" si="2"/>
        <v>0</v>
      </c>
      <c r="F58" s="249">
        <f t="shared" si="2"/>
        <v>1493473.64</v>
      </c>
      <c r="G58" s="235"/>
      <c r="I58" s="289"/>
    </row>
    <row r="59" ht="14.25" customHeight="1">
      <c r="A59" s="293" t="s">
        <v>157</v>
      </c>
      <c r="B59" s="260">
        <v>134319.0</v>
      </c>
      <c r="C59" s="260"/>
      <c r="D59" s="260"/>
      <c r="E59" s="260"/>
      <c r="F59" s="238">
        <f>B59-C59-D59-E59</f>
        <v>134319</v>
      </c>
      <c r="G59" s="235"/>
      <c r="K59" s="289"/>
    </row>
    <row r="60" ht="14.25" customHeight="1">
      <c r="A60" s="281" t="s">
        <v>158</v>
      </c>
      <c r="B60" s="294">
        <f t="shared" ref="B60:F60" si="3">B58+B59</f>
        <v>158333333</v>
      </c>
      <c r="C60" s="294">
        <f t="shared" si="3"/>
        <v>151132922.4</v>
      </c>
      <c r="D60" s="294">
        <f t="shared" si="3"/>
        <v>5572618</v>
      </c>
      <c r="E60" s="294">
        <f t="shared" si="3"/>
        <v>0</v>
      </c>
      <c r="F60" s="295">
        <f t="shared" si="3"/>
        <v>1627792.64</v>
      </c>
      <c r="G60" s="235"/>
      <c r="I60" s="289"/>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61" t="s">
        <v>159</v>
      </c>
      <c r="B63" s="262">
        <f t="shared" ref="B63:C63" si="4">B12+B13+B15+B19+B21+B27+B33+B36+B43+B46+B48+B49+B53+B54+B57</f>
        <v>11635696.33</v>
      </c>
      <c r="C63" s="262">
        <f t="shared" si="4"/>
        <v>6114787.47</v>
      </c>
      <c r="D63" s="262">
        <f t="shared" ref="D63:E63" si="5">D12+D13+D15+D19+D21+D26+D34+D36+D43+D46+D48+D49+D53+D54+D57</f>
        <v>0</v>
      </c>
      <c r="E63" s="262">
        <f t="shared" si="5"/>
        <v>0</v>
      </c>
      <c r="F63" s="264">
        <f>B63-C63-D63-E63</f>
        <v>5520908.863</v>
      </c>
      <c r="G63" s="235"/>
      <c r="H63" s="216"/>
      <c r="J63" s="216"/>
      <c r="K63" s="289"/>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8:$F$61"/>
  <mergeCells count="4">
    <mergeCell ref="A1:B1"/>
    <mergeCell ref="A5:F5"/>
    <mergeCell ref="A6:F6"/>
    <mergeCell ref="A7:F7"/>
  </mergeCells>
  <printOptions horizontalCentered="1"/>
  <pageMargins bottom="0.196850393700787" footer="0.0" header="0.0" left="0.118110236220472" right="0.118110236220472" top="0.275590551181102"/>
  <pageSetup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A1" s="291" t="str">
        <f>[1]Status!C1</f>
        <v>#ERROR!</v>
      </c>
      <c r="B1" s="291"/>
      <c r="C1" s="218"/>
      <c r="D1" s="218"/>
      <c r="E1" s="296"/>
      <c r="G1" s="291"/>
    </row>
    <row r="2" ht="14.25" customHeight="1">
      <c r="A2" s="217" t="s">
        <v>1</v>
      </c>
      <c r="B2" s="218"/>
      <c r="C2" s="218"/>
      <c r="D2" s="218"/>
      <c r="E2" s="218"/>
    </row>
    <row r="3" ht="14.25" customHeight="1">
      <c r="A3" s="221" t="s">
        <v>175</v>
      </c>
      <c r="B3" s="218"/>
      <c r="C3" s="218"/>
      <c r="D3" s="218"/>
      <c r="E3" s="218"/>
    </row>
    <row r="4" ht="14.25" customHeight="1">
      <c r="A4" s="222"/>
      <c r="B4" s="218"/>
      <c r="C4" s="218"/>
      <c r="D4" s="218"/>
      <c r="E4" s="218"/>
      <c r="F4" s="218"/>
    </row>
    <row r="5" ht="16.5" customHeight="1">
      <c r="A5" s="223" t="s">
        <v>148</v>
      </c>
    </row>
    <row r="6" ht="14.25" customHeight="1">
      <c r="A6" s="224" t="s">
        <v>176</v>
      </c>
    </row>
    <row r="7" ht="14.25" customHeight="1">
      <c r="A7" s="297" t="str">
        <f>[1]Status!A6</f>
        <v>#ERROR!</v>
      </c>
      <c r="B7" s="298"/>
      <c r="C7" s="298"/>
      <c r="D7" s="298"/>
      <c r="E7" s="298"/>
      <c r="F7" s="298"/>
    </row>
    <row r="8" ht="14.25" customHeight="1">
      <c r="A8" s="226" t="s">
        <v>79</v>
      </c>
      <c r="B8" s="227" t="s">
        <v>80</v>
      </c>
      <c r="C8" s="227" t="s">
        <v>81</v>
      </c>
      <c r="D8" s="228" t="s">
        <v>82</v>
      </c>
      <c r="E8" s="227" t="s">
        <v>83</v>
      </c>
      <c r="F8" s="229" t="s">
        <v>84</v>
      </c>
    </row>
    <row r="9" ht="14.25" customHeight="1">
      <c r="A9" s="230" t="s">
        <v>86</v>
      </c>
      <c r="B9" s="268">
        <f>'YR2018'!B9+'YR2019'!B9+'YR2020'!B9</f>
        <v>45501</v>
      </c>
      <c r="C9" s="268">
        <f>'YR2018'!C9+'YR2019'!C9+'YR2020'!C9</f>
        <v>45501</v>
      </c>
      <c r="D9" s="268">
        <f>'YR2018'!D9+'YR2019'!D9+'YR2020'!D9</f>
        <v>0</v>
      </c>
      <c r="E9" s="268">
        <f>'YR2018'!E9+'YR2019'!E9+'YR2020'!E9</f>
        <v>0</v>
      </c>
      <c r="F9" s="270">
        <f t="shared" ref="F9:F57" si="1">B9-C9-D9-E9</f>
        <v>0</v>
      </c>
      <c r="G9" s="235"/>
    </row>
    <row r="10" ht="14.25" customHeight="1">
      <c r="A10" s="236" t="s">
        <v>150</v>
      </c>
      <c r="B10" s="240">
        <f>'YR2018'!B10+'YR2019'!B10+'YR2020'!B10</f>
        <v>17669001</v>
      </c>
      <c r="C10" s="240">
        <f>'YR2018'!C10+'YR2019'!C10+'YR2020'!C10</f>
        <v>17247737</v>
      </c>
      <c r="D10" s="240">
        <f>'YR2018'!D10+'YR2019'!D10+'YR2020'!D10</f>
        <v>421264</v>
      </c>
      <c r="E10" s="240">
        <f>'YR2018'!E10+'YR2019'!E10+'YR2020'!E10</f>
        <v>0</v>
      </c>
      <c r="F10" s="238">
        <f t="shared" si="1"/>
        <v>0</v>
      </c>
      <c r="G10" s="235"/>
    </row>
    <row r="11" ht="14.25" customHeight="1">
      <c r="A11" s="236" t="s">
        <v>88</v>
      </c>
      <c r="B11" s="240">
        <f>'YR2018'!B11+'YR2019'!B11+'YR2020'!B11</f>
        <v>5443500</v>
      </c>
      <c r="C11" s="240">
        <f>'YR2018'!C11+'YR2019'!C11+'YR2020'!C11</f>
        <v>5443500</v>
      </c>
      <c r="D11" s="240">
        <f>'YR2018'!D11+'YR2019'!D11+'YR2020'!D11</f>
        <v>0</v>
      </c>
      <c r="E11" s="240">
        <f>'YR2018'!E11+'YR2019'!E11+'YR2020'!E11</f>
        <v>0</v>
      </c>
      <c r="F11" s="238">
        <f t="shared" si="1"/>
        <v>0</v>
      </c>
      <c r="G11" s="235"/>
    </row>
    <row r="12" ht="14.25" customHeight="1">
      <c r="A12" s="239" t="s">
        <v>89</v>
      </c>
      <c r="B12" s="240">
        <f>'YR2018'!B12+'YR2019'!B12+'YR2020'!B12</f>
        <v>453501</v>
      </c>
      <c r="C12" s="240">
        <f>'YR2018'!C12+'YR2019'!C12+'YR2020'!C12</f>
        <v>0</v>
      </c>
      <c r="D12" s="240">
        <f>'YR2018'!D12+'YR2019'!D12+'YR2020'!D12</f>
        <v>0</v>
      </c>
      <c r="E12" s="240">
        <f>'YR2018'!E12+'YR2019'!E12+'YR2020'!E12</f>
        <v>0</v>
      </c>
      <c r="F12" s="238">
        <f t="shared" si="1"/>
        <v>453501</v>
      </c>
      <c r="G12" s="235"/>
    </row>
    <row r="13" ht="14.25" customHeight="1">
      <c r="A13" s="236" t="s">
        <v>90</v>
      </c>
      <c r="B13" s="240">
        <f>'YR2018'!B13+'YR2019'!B13+'YR2020'!B13</f>
        <v>423501</v>
      </c>
      <c r="C13" s="240">
        <f>'YR2018'!C13+'YR2019'!C13+'YR2020'!C13</f>
        <v>359334</v>
      </c>
      <c r="D13" s="240">
        <f>'YR2018'!D13+'YR2019'!D13+'YR2020'!D13</f>
        <v>0</v>
      </c>
      <c r="E13" s="240">
        <f>'YR2018'!E13+'YR2019'!E13+'YR2020'!E13</f>
        <v>0</v>
      </c>
      <c r="F13" s="238">
        <f t="shared" si="1"/>
        <v>64167</v>
      </c>
      <c r="G13" s="235"/>
    </row>
    <row r="14" ht="14.25" customHeight="1">
      <c r="A14" s="236" t="s">
        <v>91</v>
      </c>
      <c r="B14" s="240">
        <f>'YR2018'!B14+'YR2019'!B14+'YR2020'!B14</f>
        <v>6690999</v>
      </c>
      <c r="C14" s="240">
        <f>'YR2018'!C14+'YR2019'!C14+'YR2020'!C14</f>
        <v>6690999</v>
      </c>
      <c r="D14" s="240">
        <f>'YR2018'!D14+'YR2019'!D14+'YR2020'!D14</f>
        <v>0</v>
      </c>
      <c r="E14" s="240">
        <f>'YR2018'!E14+'YR2019'!E14+'YR2020'!E14</f>
        <v>0</v>
      </c>
      <c r="F14" s="238">
        <f t="shared" si="1"/>
        <v>0</v>
      </c>
      <c r="G14" s="235"/>
    </row>
    <row r="15" ht="14.25" customHeight="1">
      <c r="A15" s="236" t="s">
        <v>92</v>
      </c>
      <c r="B15" s="240">
        <f>'YR2018'!B15+'YR2019'!B15+'YR2020'!B15</f>
        <v>339999</v>
      </c>
      <c r="C15" s="240">
        <f>'YR2018'!C15+'YR2019'!C15+'YR2020'!C15</f>
        <v>339999</v>
      </c>
      <c r="D15" s="240">
        <f>'YR2018'!D15+'YR2019'!D15+'YR2020'!D15</f>
        <v>0</v>
      </c>
      <c r="E15" s="240">
        <f>'YR2018'!E15+'YR2019'!E15+'YR2020'!E15</f>
        <v>0</v>
      </c>
      <c r="F15" s="238">
        <f t="shared" si="1"/>
        <v>0</v>
      </c>
      <c r="G15" s="235"/>
    </row>
    <row r="16" ht="14.25" customHeight="1">
      <c r="A16" s="236" t="s">
        <v>151</v>
      </c>
      <c r="B16" s="240">
        <f>'YR2018'!B16+'YR2019'!B16+'YR2020'!B16</f>
        <v>22083999</v>
      </c>
      <c r="C16" s="240">
        <f>'YR2018'!C16+'YR2019'!C16+'YR2020'!C16</f>
        <v>21029237.01</v>
      </c>
      <c r="D16" s="240">
        <f>'YR2018'!D16+'YR2019'!D16+'YR2020'!D16</f>
        <v>1054762</v>
      </c>
      <c r="E16" s="240">
        <f>'YR2018'!E16+'YR2019'!E16+'YR2020'!E16</f>
        <v>0</v>
      </c>
      <c r="F16" s="238">
        <f t="shared" si="1"/>
        <v>-0.009999997914</v>
      </c>
      <c r="G16" s="235"/>
    </row>
    <row r="17" ht="14.25" customHeight="1">
      <c r="A17" s="236" t="s">
        <v>94</v>
      </c>
      <c r="B17" s="240">
        <f>'YR2018'!B17+'YR2019'!B17+'YR2020'!B17</f>
        <v>748500</v>
      </c>
      <c r="C17" s="240">
        <f>'YR2018'!C17+'YR2019'!C17+'YR2020'!C17</f>
        <v>748500</v>
      </c>
      <c r="D17" s="240">
        <f>'YR2018'!D17+'YR2019'!D17+'YR2020'!D17</f>
        <v>0</v>
      </c>
      <c r="E17" s="240">
        <f>'YR2018'!E17+'YR2019'!E17+'YR2020'!E17</f>
        <v>0</v>
      </c>
      <c r="F17" s="238">
        <f t="shared" si="1"/>
        <v>0</v>
      </c>
      <c r="G17" s="235"/>
    </row>
    <row r="18" ht="14.25" customHeight="1">
      <c r="A18" s="236" t="s">
        <v>95</v>
      </c>
      <c r="B18" s="240">
        <f>'YR2018'!B18+'YR2019'!B18+'YR2020'!B18</f>
        <v>324999</v>
      </c>
      <c r="C18" s="240">
        <f>'YR2018'!C18+'YR2019'!C18+'YR2020'!C18</f>
        <v>324999</v>
      </c>
      <c r="D18" s="240">
        <f>'YR2018'!D18+'YR2019'!D18+'YR2020'!D18</f>
        <v>0</v>
      </c>
      <c r="E18" s="240">
        <f>'YR2018'!E18+'YR2019'!E18+'YR2020'!E18</f>
        <v>0</v>
      </c>
      <c r="F18" s="238">
        <f t="shared" si="1"/>
        <v>0</v>
      </c>
      <c r="G18" s="235"/>
    </row>
    <row r="19" ht="14.25" customHeight="1">
      <c r="A19" s="236" t="s">
        <v>96</v>
      </c>
      <c r="B19" s="240">
        <f>'YR2018'!B19+'YR2019'!B19+'YR2020'!B19</f>
        <v>2601000</v>
      </c>
      <c r="C19" s="240">
        <f>'YR2018'!C19+'YR2019'!C19+'YR2020'!C19</f>
        <v>2601000</v>
      </c>
      <c r="D19" s="240">
        <f>'YR2018'!D19+'YR2019'!D19+'YR2020'!D19</f>
        <v>0</v>
      </c>
      <c r="E19" s="240">
        <f>'YR2018'!E19+'YR2019'!E19+'YR2020'!E19</f>
        <v>0</v>
      </c>
      <c r="F19" s="238">
        <f t="shared" si="1"/>
        <v>0</v>
      </c>
      <c r="G19" s="235"/>
    </row>
    <row r="20" ht="14.25" customHeight="1">
      <c r="A20" s="236" t="s">
        <v>97</v>
      </c>
      <c r="B20" s="240">
        <f>'YR2018'!B20+'YR2019'!B20+'YR2020'!B20</f>
        <v>4415499</v>
      </c>
      <c r="C20" s="240">
        <f>'YR2018'!C20+'YR2019'!C20+'YR2020'!C20</f>
        <v>4415499</v>
      </c>
      <c r="D20" s="240">
        <f>'YR2018'!D20+'YR2019'!D20+'YR2020'!D20</f>
        <v>0</v>
      </c>
      <c r="E20" s="240">
        <f>'YR2018'!E20+'YR2019'!E20+'YR2020'!E20</f>
        <v>0</v>
      </c>
      <c r="F20" s="238">
        <f t="shared" si="1"/>
        <v>0</v>
      </c>
      <c r="G20" s="235"/>
    </row>
    <row r="21" ht="14.25" customHeight="1">
      <c r="A21" s="236" t="s">
        <v>98</v>
      </c>
      <c r="B21" s="240">
        <f>'YR2018'!B21+'YR2019'!B21+'YR2020'!B21</f>
        <v>287499</v>
      </c>
      <c r="C21" s="240">
        <f>'YR2018'!C21+'YR2019'!C21+'YR2020'!C21</f>
        <v>287498.97</v>
      </c>
      <c r="D21" s="240">
        <f>'YR2018'!D21+'YR2019'!D21+'YR2020'!D21</f>
        <v>0</v>
      </c>
      <c r="E21" s="240">
        <f>'YR2018'!E21+'YR2019'!E21+'YR2020'!E21</f>
        <v>0</v>
      </c>
      <c r="F21" s="238">
        <f t="shared" si="1"/>
        <v>0.03000000003</v>
      </c>
      <c r="G21" s="235"/>
    </row>
    <row r="22" ht="14.25" customHeight="1">
      <c r="A22" s="236" t="s">
        <v>99</v>
      </c>
      <c r="B22" s="240">
        <f>'YR2018'!B22+'YR2019'!B22+'YR2020'!B22</f>
        <v>3447501</v>
      </c>
      <c r="C22" s="240">
        <f>'YR2018'!C22+'YR2019'!C22+'YR2020'!C22</f>
        <v>3447501</v>
      </c>
      <c r="D22" s="240">
        <f>'YR2018'!D22+'YR2019'!D22+'YR2020'!D22</f>
        <v>0</v>
      </c>
      <c r="E22" s="240">
        <f>'YR2018'!E22+'YR2019'!E22+'YR2020'!E22</f>
        <v>0</v>
      </c>
      <c r="F22" s="238">
        <f t="shared" si="1"/>
        <v>0</v>
      </c>
      <c r="G22" s="235"/>
    </row>
    <row r="23" ht="14.25" customHeight="1">
      <c r="A23" s="236" t="s">
        <v>152</v>
      </c>
      <c r="B23" s="240">
        <f>'YR2018'!B23+'YR2019'!B23+'YR2020'!B23</f>
        <v>36736500</v>
      </c>
      <c r="C23" s="240">
        <f>'YR2018'!C23+'YR2019'!C23+'YR2020'!C23</f>
        <v>36596945</v>
      </c>
      <c r="D23" s="240">
        <f>'YR2018'!D23+'YR2019'!D23+'YR2020'!D23</f>
        <v>139555</v>
      </c>
      <c r="E23" s="240">
        <f>'YR2018'!E23+'YR2019'!E23+'YR2020'!E23</f>
        <v>0</v>
      </c>
      <c r="F23" s="238">
        <f t="shared" si="1"/>
        <v>0</v>
      </c>
      <c r="G23" s="235"/>
    </row>
    <row r="24" ht="14.25" customHeight="1">
      <c r="A24" s="236" t="s">
        <v>153</v>
      </c>
      <c r="B24" s="240">
        <f>'YR2018'!B24+'YR2019'!B24+'YR2020'!B24</f>
        <v>48303999</v>
      </c>
      <c r="C24" s="240">
        <f>'YR2018'!C24+'YR2019'!C24+'YR2020'!C24</f>
        <v>38948148.7</v>
      </c>
      <c r="D24" s="240">
        <f>'YR2018'!D24+'YR2019'!D24+'YR2020'!D24</f>
        <v>9660801</v>
      </c>
      <c r="E24" s="240">
        <f>'YR2018'!E24+'YR2019'!E24+'YR2020'!E24</f>
        <v>0</v>
      </c>
      <c r="F24" s="238">
        <f t="shared" si="1"/>
        <v>-304950.7</v>
      </c>
      <c r="G24" s="235"/>
    </row>
    <row r="25" ht="14.25" customHeight="1">
      <c r="A25" s="236" t="s">
        <v>102</v>
      </c>
      <c r="B25" s="240">
        <f>'YR2018'!B25+'YR2019'!B25+'YR2020'!B25</f>
        <v>3561000</v>
      </c>
      <c r="C25" s="240">
        <f>'YR2018'!C25+'YR2019'!C25+'YR2020'!C25</f>
        <v>3561000</v>
      </c>
      <c r="D25" s="240">
        <f>'YR2018'!D25+'YR2019'!D25+'YR2020'!D25</f>
        <v>0</v>
      </c>
      <c r="E25" s="240">
        <f>'YR2018'!E25+'YR2019'!E25+'YR2020'!E25</f>
        <v>0</v>
      </c>
      <c r="F25" s="238">
        <f t="shared" si="1"/>
        <v>0</v>
      </c>
      <c r="G25" s="235"/>
    </row>
    <row r="26" ht="14.25" customHeight="1">
      <c r="A26" s="236" t="s">
        <v>103</v>
      </c>
      <c r="B26" s="240">
        <f>'YR2018'!B26+'YR2019'!B26+'YR2020'!B26</f>
        <v>7500</v>
      </c>
      <c r="C26" s="240">
        <f>'YR2018'!C26+'YR2019'!C26+'YR2020'!C26</f>
        <v>7500</v>
      </c>
      <c r="D26" s="240">
        <f>'YR2018'!D26+'YR2019'!D26+'YR2020'!D26</f>
        <v>0</v>
      </c>
      <c r="E26" s="240">
        <f>'YR2018'!E26+'YR2019'!E26+'YR2020'!E26</f>
        <v>0</v>
      </c>
      <c r="F26" s="238">
        <f t="shared" si="1"/>
        <v>0</v>
      </c>
      <c r="G26" s="235"/>
    </row>
    <row r="27" ht="14.25" customHeight="1">
      <c r="A27" s="236" t="s">
        <v>104</v>
      </c>
      <c r="B27" s="240">
        <f>'YR2018'!B27+'YR2019'!B27+'YR2020'!B27</f>
        <v>1217001</v>
      </c>
      <c r="C27" s="240">
        <f>'YR2018'!C27+'YR2019'!C27+'YR2020'!C27</f>
        <v>1217001</v>
      </c>
      <c r="D27" s="240">
        <f>'YR2018'!D27+'YR2019'!D27+'YR2020'!D27</f>
        <v>0</v>
      </c>
      <c r="E27" s="240">
        <f>'YR2018'!E27+'YR2019'!E27+'YR2020'!E27</f>
        <v>0</v>
      </c>
      <c r="F27" s="238">
        <f t="shared" si="1"/>
        <v>0</v>
      </c>
      <c r="G27" s="235"/>
    </row>
    <row r="28" ht="14.25" customHeight="1">
      <c r="A28" s="236" t="s">
        <v>105</v>
      </c>
      <c r="B28" s="240">
        <f>'YR2018'!B28+'YR2019'!B28+'YR2020'!B28</f>
        <v>174000</v>
      </c>
      <c r="C28" s="240">
        <f>'YR2018'!C28+'YR2019'!C28+'YR2020'!C28</f>
        <v>174000</v>
      </c>
      <c r="D28" s="240">
        <f>'YR2018'!D28+'YR2019'!D28+'YR2020'!D28</f>
        <v>0</v>
      </c>
      <c r="E28" s="240">
        <f>'YR2018'!E28+'YR2019'!E28+'YR2020'!E28</f>
        <v>0</v>
      </c>
      <c r="F28" s="238">
        <f t="shared" si="1"/>
        <v>0</v>
      </c>
      <c r="G28" s="235"/>
    </row>
    <row r="29" ht="14.25" customHeight="1">
      <c r="A29" s="236" t="s">
        <v>154</v>
      </c>
      <c r="B29" s="240">
        <f>'YR2018'!B29+'YR2019'!B29+'YR2020'!B29</f>
        <v>2532999</v>
      </c>
      <c r="C29" s="240">
        <f>'YR2018'!C29+'YR2019'!C29+'YR2020'!C29</f>
        <v>2532999</v>
      </c>
      <c r="D29" s="240">
        <f>'YR2018'!D29+'YR2019'!D29+'YR2020'!D29</f>
        <v>0</v>
      </c>
      <c r="E29" s="240">
        <f>'YR2018'!E29+'YR2019'!E29+'YR2020'!E29</f>
        <v>0</v>
      </c>
      <c r="F29" s="238">
        <f t="shared" si="1"/>
        <v>0</v>
      </c>
      <c r="G29" s="235"/>
    </row>
    <row r="30" ht="14.25" customHeight="1">
      <c r="A30" s="236" t="s">
        <v>107</v>
      </c>
      <c r="B30" s="240">
        <f>'YR2018'!B30+'YR2019'!B30+'YR2020'!B30</f>
        <v>3251001</v>
      </c>
      <c r="C30" s="240">
        <f>'YR2018'!C30+'YR2019'!C30+'YR2020'!C30</f>
        <v>0</v>
      </c>
      <c r="D30" s="240">
        <f>'YR2018'!D30+'YR2019'!D30+'YR2020'!D30</f>
        <v>0</v>
      </c>
      <c r="E30" s="240">
        <f>'YR2018'!E30+'YR2019'!E30+'YR2020'!E30</f>
        <v>0</v>
      </c>
      <c r="F30" s="238">
        <f t="shared" si="1"/>
        <v>3251001</v>
      </c>
      <c r="G30" s="235"/>
    </row>
    <row r="31" ht="14.25" customHeight="1">
      <c r="A31" s="236" t="s">
        <v>108</v>
      </c>
      <c r="B31" s="240">
        <f>'YR2018'!B31+'YR2019'!B31+'YR2020'!B31</f>
        <v>28336500</v>
      </c>
      <c r="C31" s="240">
        <f>'YR2018'!C31+'YR2019'!C31+'YR2020'!C31</f>
        <v>27399737.61</v>
      </c>
      <c r="D31" s="240">
        <f>'YR2018'!D31+'YR2019'!D31+'YR2020'!D31</f>
        <v>936762</v>
      </c>
      <c r="E31" s="240">
        <f>'YR2018'!E31+'YR2019'!E31+'YR2020'!E31</f>
        <v>0</v>
      </c>
      <c r="F31" s="238">
        <f t="shared" si="1"/>
        <v>0.3900000006</v>
      </c>
      <c r="G31" s="235"/>
    </row>
    <row r="32" ht="14.25" customHeight="1">
      <c r="A32" s="236" t="s">
        <v>155</v>
      </c>
      <c r="B32" s="240">
        <f>'YR2018'!B32+'YR2019'!B32+'YR2020'!B32</f>
        <v>71890118</v>
      </c>
      <c r="C32" s="240">
        <f>'YR2018'!C32+'YR2019'!C32+'YR2020'!C32</f>
        <v>71614421</v>
      </c>
      <c r="D32" s="240">
        <f>'YR2018'!D32+'YR2019'!D32+'YR2020'!D32</f>
        <v>275697</v>
      </c>
      <c r="E32" s="240">
        <f>'YR2018'!E32+'YR2019'!E32+'YR2020'!E32</f>
        <v>0</v>
      </c>
      <c r="F32" s="238">
        <f t="shared" si="1"/>
        <v>0</v>
      </c>
      <c r="G32" s="235"/>
    </row>
    <row r="33" ht="14.25" customHeight="1">
      <c r="A33" s="236" t="s">
        <v>110</v>
      </c>
      <c r="B33" s="240">
        <f>'YR2018'!B33+'YR2019'!B33+'YR2020'!B33</f>
        <v>1443999</v>
      </c>
      <c r="C33" s="240">
        <f>'YR2018'!C33+'YR2019'!C33+'YR2020'!C33</f>
        <v>1443999</v>
      </c>
      <c r="D33" s="240">
        <f>'YR2018'!D33+'YR2019'!D33+'YR2020'!D33</f>
        <v>0</v>
      </c>
      <c r="E33" s="240">
        <f>'YR2018'!E33+'YR2019'!E33+'YR2020'!E33</f>
        <v>0</v>
      </c>
      <c r="F33" s="238">
        <f t="shared" si="1"/>
        <v>0</v>
      </c>
      <c r="G33" s="235"/>
    </row>
    <row r="34" ht="14.25" customHeight="1">
      <c r="A34" s="236" t="s">
        <v>112</v>
      </c>
      <c r="B34" s="240">
        <f>'YR2018'!B34+'YR2019'!B34+'YR2020'!B34</f>
        <v>378000</v>
      </c>
      <c r="C34" s="240">
        <f>'YR2018'!C34+'YR2019'!C34+'YR2020'!C34</f>
        <v>378000</v>
      </c>
      <c r="D34" s="240">
        <f>'YR2018'!D34+'YR2019'!D34+'YR2020'!D34</f>
        <v>0</v>
      </c>
      <c r="E34" s="240">
        <f>'YR2018'!E34+'YR2019'!E34+'YR2020'!E34</f>
        <v>0</v>
      </c>
      <c r="F34" s="238">
        <f t="shared" si="1"/>
        <v>0</v>
      </c>
      <c r="G34" s="235"/>
    </row>
    <row r="35" ht="14.25" customHeight="1">
      <c r="A35" s="236" t="s">
        <v>113</v>
      </c>
      <c r="B35" s="240">
        <f>'YR2018'!B35+'YR2019'!B35+'YR2020'!B35</f>
        <v>53001</v>
      </c>
      <c r="C35" s="240">
        <f>'YR2018'!C35+'YR2019'!C35+'YR2020'!C35</f>
        <v>53001</v>
      </c>
      <c r="D35" s="240">
        <f>'YR2018'!D35+'YR2019'!D35+'YR2020'!D35</f>
        <v>0</v>
      </c>
      <c r="E35" s="240">
        <f>'YR2018'!E35+'YR2019'!E35+'YR2020'!E35</f>
        <v>0</v>
      </c>
      <c r="F35" s="238">
        <f t="shared" si="1"/>
        <v>0</v>
      </c>
      <c r="G35" s="235"/>
    </row>
    <row r="36" ht="14.25" customHeight="1">
      <c r="A36" s="236" t="s">
        <v>114</v>
      </c>
      <c r="B36" s="240">
        <f>'YR2018'!B36+'YR2019'!B36+'YR2020'!B36</f>
        <v>544500</v>
      </c>
      <c r="C36" s="240">
        <f>'YR2018'!C36+'YR2019'!C36+'YR2020'!C36</f>
        <v>544499.68</v>
      </c>
      <c r="D36" s="240">
        <f>'YR2018'!D36+'YR2019'!D36+'YR2020'!D36</f>
        <v>0</v>
      </c>
      <c r="E36" s="240">
        <f>'YR2018'!E36+'YR2019'!E36+'YR2020'!E36</f>
        <v>0</v>
      </c>
      <c r="F36" s="238">
        <f t="shared" si="1"/>
        <v>0.3200000001</v>
      </c>
      <c r="G36" s="235"/>
    </row>
    <row r="37" ht="14.25" customHeight="1">
      <c r="A37" s="236" t="s">
        <v>115</v>
      </c>
      <c r="B37" s="240">
        <f>'YR2018'!B37+'YR2019'!B37+'YR2020'!B37</f>
        <v>483999</v>
      </c>
      <c r="C37" s="240">
        <f>'YR2018'!C37+'YR2019'!C37+'YR2020'!C37</f>
        <v>483999</v>
      </c>
      <c r="D37" s="240">
        <f>'YR2018'!D37+'YR2019'!D37+'YR2020'!D37</f>
        <v>0</v>
      </c>
      <c r="E37" s="240">
        <f>'YR2018'!E37+'YR2019'!E37+'YR2020'!E37</f>
        <v>0</v>
      </c>
      <c r="F37" s="238">
        <f t="shared" si="1"/>
        <v>0</v>
      </c>
      <c r="G37" s="235"/>
    </row>
    <row r="38" ht="14.25" customHeight="1">
      <c r="A38" s="236" t="s">
        <v>116</v>
      </c>
      <c r="B38" s="240">
        <f>'YR2018'!B38+'YR2019'!B38+'YR2020'!B38</f>
        <v>120999</v>
      </c>
      <c r="C38" s="240">
        <f>'YR2018'!C38+'YR2019'!C38+'YR2020'!C38</f>
        <v>0</v>
      </c>
      <c r="D38" s="240">
        <f>'YR2018'!D38+'YR2019'!D38+'YR2020'!D38</f>
        <v>0</v>
      </c>
      <c r="E38" s="240">
        <f>'YR2018'!E38+'YR2019'!E38+'YR2020'!E38</f>
        <v>0</v>
      </c>
      <c r="F38" s="238">
        <f t="shared" si="1"/>
        <v>120999</v>
      </c>
      <c r="G38" s="235"/>
    </row>
    <row r="39" ht="14.25" customHeight="1">
      <c r="A39" s="236" t="s">
        <v>117</v>
      </c>
      <c r="B39" s="240">
        <f>'YR2018'!B39+'YR2019'!B39+'YR2020'!B39</f>
        <v>75501</v>
      </c>
      <c r="C39" s="240">
        <f>'YR2018'!C39+'YR2019'!C39+'YR2020'!C39</f>
        <v>75501</v>
      </c>
      <c r="D39" s="240">
        <f>'YR2018'!D39+'YR2019'!D39+'YR2020'!D39</f>
        <v>0</v>
      </c>
      <c r="E39" s="240">
        <f>'YR2018'!E39+'YR2019'!E39+'YR2020'!E39</f>
        <v>0</v>
      </c>
      <c r="F39" s="238">
        <f t="shared" si="1"/>
        <v>0</v>
      </c>
      <c r="G39" s="235"/>
    </row>
    <row r="40" ht="14.25" customHeight="1">
      <c r="A40" s="236" t="s">
        <v>118</v>
      </c>
      <c r="B40" s="240">
        <f>'YR2018'!B40+'YR2019'!B40+'YR2020'!B40</f>
        <v>11204499</v>
      </c>
      <c r="C40" s="240">
        <f>'YR2018'!C40+'YR2019'!C40+'YR2020'!C40</f>
        <v>11204499</v>
      </c>
      <c r="D40" s="240">
        <f>'YR2018'!D40+'YR2019'!D40+'YR2020'!D40</f>
        <v>0</v>
      </c>
      <c r="E40" s="240">
        <f>'YR2018'!E40+'YR2019'!E40+'YR2020'!E40</f>
        <v>0</v>
      </c>
      <c r="F40" s="238">
        <f t="shared" si="1"/>
        <v>0</v>
      </c>
      <c r="G40" s="235"/>
    </row>
    <row r="41" ht="14.25" customHeight="1">
      <c r="A41" s="236" t="s">
        <v>119</v>
      </c>
      <c r="B41" s="240">
        <f>'YR2018'!B41+'YR2019'!B41+'YR2020'!B41</f>
        <v>2025999</v>
      </c>
      <c r="C41" s="240">
        <f>'YR2018'!C41+'YR2019'!C41+'YR2020'!C41</f>
        <v>2025999</v>
      </c>
      <c r="D41" s="240">
        <f>'YR2018'!D41+'YR2019'!D41+'YR2020'!D41</f>
        <v>0</v>
      </c>
      <c r="E41" s="240">
        <f>'YR2018'!E41+'YR2019'!E41+'YR2020'!E41</f>
        <v>0</v>
      </c>
      <c r="F41" s="238">
        <f t="shared" si="1"/>
        <v>0</v>
      </c>
      <c r="G41" s="235"/>
    </row>
    <row r="42" ht="14.25" customHeight="1">
      <c r="A42" s="236" t="s">
        <v>120</v>
      </c>
      <c r="B42" s="240">
        <f>'YR2018'!B42+'YR2019'!B42+'YR2020'!B42</f>
        <v>6419001</v>
      </c>
      <c r="C42" s="240">
        <f>'YR2018'!C42+'YR2019'!C42+'YR2020'!C42</f>
        <v>6419001</v>
      </c>
      <c r="D42" s="240">
        <f>'YR2018'!D42+'YR2019'!D42+'YR2020'!D42</f>
        <v>0</v>
      </c>
      <c r="E42" s="240">
        <f>'YR2018'!E42+'YR2019'!E42+'YR2020'!E42</f>
        <v>0</v>
      </c>
      <c r="F42" s="238">
        <f t="shared" si="1"/>
        <v>0</v>
      </c>
      <c r="G42" s="235"/>
    </row>
    <row r="43" ht="14.25" customHeight="1">
      <c r="A43" s="236" t="s">
        <v>122</v>
      </c>
      <c r="B43" s="240">
        <f>'YR2018'!B43+'YR2019'!B43+'YR2020'!B43</f>
        <v>6358500</v>
      </c>
      <c r="C43" s="240">
        <f>'YR2018'!C43+'YR2019'!C43+'YR2020'!C43</f>
        <v>6358500</v>
      </c>
      <c r="D43" s="240">
        <f>'YR2018'!D43+'YR2019'!D43+'YR2020'!D43</f>
        <v>0</v>
      </c>
      <c r="E43" s="240">
        <f>'YR2018'!E43+'YR2019'!E43+'YR2020'!E43</f>
        <v>0</v>
      </c>
      <c r="F43" s="238">
        <f t="shared" si="1"/>
        <v>0</v>
      </c>
      <c r="G43" s="235"/>
    </row>
    <row r="44" ht="14.25" customHeight="1">
      <c r="A44" s="236" t="s">
        <v>123</v>
      </c>
      <c r="B44" s="240">
        <f>'YR2018'!B44+'YR2019'!B44+'YR2020'!B44</f>
        <v>2963499</v>
      </c>
      <c r="C44" s="240">
        <f>'YR2018'!C44+'YR2019'!C44+'YR2020'!C44</f>
        <v>2963499</v>
      </c>
      <c r="D44" s="240">
        <f>'YR2018'!D44+'YR2019'!D44+'YR2020'!D44</f>
        <v>0</v>
      </c>
      <c r="E44" s="240">
        <f>'YR2018'!E44+'YR2019'!E44+'YR2020'!E44</f>
        <v>0</v>
      </c>
      <c r="F44" s="238">
        <f t="shared" si="1"/>
        <v>0</v>
      </c>
      <c r="G44" s="235"/>
    </row>
    <row r="45" ht="14.25" customHeight="1">
      <c r="A45" s="236" t="s">
        <v>124</v>
      </c>
      <c r="B45" s="240">
        <f>'YR2018'!B45+'YR2019'!B45+'YR2020'!B45</f>
        <v>1391001</v>
      </c>
      <c r="C45" s="240">
        <f>'YR2018'!C45+'YR2019'!C45+'YR2020'!C45</f>
        <v>1390991</v>
      </c>
      <c r="D45" s="240">
        <f>'YR2018'!D45+'YR2019'!D45+'YR2020'!D45</f>
        <v>0</v>
      </c>
      <c r="E45" s="240">
        <f>'YR2018'!E45+'YR2019'!E45+'YR2020'!E45</f>
        <v>0</v>
      </c>
      <c r="F45" s="238">
        <f t="shared" si="1"/>
        <v>10</v>
      </c>
      <c r="G45" s="235"/>
    </row>
    <row r="46" ht="14.25" customHeight="1">
      <c r="A46" s="236" t="s">
        <v>125</v>
      </c>
      <c r="B46" s="240">
        <f>'YR2018'!B46+'YR2019'!B46+'YR2020'!B46</f>
        <v>23346999</v>
      </c>
      <c r="C46" s="240">
        <f>'YR2018'!C46+'YR2019'!C46+'YR2020'!C46</f>
        <v>23346999</v>
      </c>
      <c r="D46" s="240">
        <f>'YR2018'!D46+'YR2019'!D46+'YR2020'!D46</f>
        <v>0</v>
      </c>
      <c r="E46" s="240">
        <f>'YR2018'!E46+'YR2019'!E46+'YR2020'!E46</f>
        <v>0</v>
      </c>
      <c r="F46" s="238">
        <f t="shared" si="1"/>
        <v>0</v>
      </c>
      <c r="G46" s="235"/>
    </row>
    <row r="47" ht="14.25" customHeight="1">
      <c r="A47" s="236" t="s">
        <v>126</v>
      </c>
      <c r="B47" s="240">
        <f>'YR2018'!B47+'YR2019'!B47+'YR2020'!B47</f>
        <v>22500</v>
      </c>
      <c r="C47" s="240">
        <f>'YR2018'!C47+'YR2019'!C47+'YR2020'!C47</f>
        <v>22500</v>
      </c>
      <c r="D47" s="240">
        <f>'YR2018'!D47+'YR2019'!D47+'YR2020'!D47</f>
        <v>0</v>
      </c>
      <c r="E47" s="240">
        <f>'YR2018'!E47+'YR2019'!E47+'YR2020'!E47</f>
        <v>0</v>
      </c>
      <c r="F47" s="238">
        <f t="shared" si="1"/>
        <v>0</v>
      </c>
      <c r="G47" s="235"/>
    </row>
    <row r="48" ht="14.25" customHeight="1">
      <c r="A48" s="236" t="s">
        <v>128</v>
      </c>
      <c r="B48" s="240">
        <f>'YR2018'!B48+'YR2019'!B48+'YR2020'!B48</f>
        <v>1209501</v>
      </c>
      <c r="C48" s="240">
        <f>'YR2018'!C48+'YR2019'!C48+'YR2020'!C48</f>
        <v>1209501</v>
      </c>
      <c r="D48" s="240">
        <f>'YR2018'!D48+'YR2019'!D48+'YR2020'!D48</f>
        <v>0</v>
      </c>
      <c r="E48" s="240">
        <f>'YR2018'!E48+'YR2019'!E48+'YR2020'!E48</f>
        <v>0</v>
      </c>
      <c r="F48" s="238">
        <f t="shared" si="1"/>
        <v>0</v>
      </c>
      <c r="G48" s="235"/>
    </row>
    <row r="49" ht="14.25" customHeight="1">
      <c r="A49" s="236" t="s">
        <v>129</v>
      </c>
      <c r="B49" s="240">
        <f>'YR2018'!B49+'YR2019'!B49+'YR2020'!B49</f>
        <v>635001</v>
      </c>
      <c r="C49" s="240">
        <f>'YR2018'!C49+'YR2019'!C49+'YR2020'!C49</f>
        <v>635001</v>
      </c>
      <c r="D49" s="240">
        <f>'YR2018'!D49+'YR2019'!D49+'YR2020'!D49</f>
        <v>0</v>
      </c>
      <c r="E49" s="240">
        <f>'YR2018'!E49+'YR2019'!E49+'YR2020'!E49</f>
        <v>0</v>
      </c>
      <c r="F49" s="238">
        <f t="shared" si="1"/>
        <v>0</v>
      </c>
      <c r="G49" s="235"/>
    </row>
    <row r="50" ht="14.25" customHeight="1">
      <c r="A50" s="236" t="s">
        <v>131</v>
      </c>
      <c r="B50" s="240">
        <f>'YR2018'!B50+'YR2019'!B50+'YR2020'!B50</f>
        <v>18470499</v>
      </c>
      <c r="C50" s="240">
        <f>'YR2018'!C50+'YR2019'!C50+'YR2020'!C50</f>
        <v>17277768</v>
      </c>
      <c r="D50" s="240">
        <f>'YR2018'!D50+'YR2019'!D50+'YR2020'!D50</f>
        <v>1192731</v>
      </c>
      <c r="E50" s="240">
        <f>'YR2018'!E50+'YR2019'!E50+'YR2020'!E50</f>
        <v>0</v>
      </c>
      <c r="F50" s="238">
        <f t="shared" si="1"/>
        <v>0</v>
      </c>
      <c r="G50" s="235"/>
    </row>
    <row r="51" ht="14.25" customHeight="1">
      <c r="A51" s="236" t="s">
        <v>156</v>
      </c>
      <c r="B51" s="240">
        <f>'YR2018'!B51+'YR2019'!B51+'YR2020'!B51</f>
        <v>7227999</v>
      </c>
      <c r="C51" s="240">
        <f>'YR2018'!C51+'YR2019'!C51+'YR2020'!C51</f>
        <v>7227999</v>
      </c>
      <c r="D51" s="240">
        <f>'YR2018'!D51+'YR2019'!D51+'YR2020'!D51</f>
        <v>0</v>
      </c>
      <c r="E51" s="240">
        <f>'YR2018'!E51+'YR2019'!E51+'YR2020'!E51</f>
        <v>0</v>
      </c>
      <c r="F51" s="238">
        <f t="shared" si="1"/>
        <v>0</v>
      </c>
      <c r="G51" s="235"/>
    </row>
    <row r="52" ht="14.25" customHeight="1">
      <c r="A52" s="236" t="s">
        <v>133</v>
      </c>
      <c r="B52" s="240">
        <f>'YR2018'!B52+'YR2019'!B52+'YR2020'!B52</f>
        <v>8619000</v>
      </c>
      <c r="C52" s="240">
        <f>'YR2018'!C52+'YR2019'!C52+'YR2020'!C52</f>
        <v>8618999.67</v>
      </c>
      <c r="D52" s="240">
        <f>'YR2018'!D52+'YR2019'!D52+'YR2020'!D52</f>
        <v>0</v>
      </c>
      <c r="E52" s="240">
        <f>'YR2018'!E52+'YR2019'!E52+'YR2020'!E52</f>
        <v>0</v>
      </c>
      <c r="F52" s="238">
        <f t="shared" si="1"/>
        <v>0.3300000001</v>
      </c>
      <c r="G52" s="235"/>
    </row>
    <row r="53" ht="18.0" customHeight="1">
      <c r="A53" s="236" t="s">
        <v>134</v>
      </c>
      <c r="B53" s="240">
        <f>'YR2018'!B53+'YR2019'!B53+'YR2020'!B53</f>
        <v>30000</v>
      </c>
      <c r="C53" s="240">
        <f>'YR2018'!C53+'YR2019'!C53+'YR2020'!C53</f>
        <v>0</v>
      </c>
      <c r="D53" s="240">
        <f>'YR2018'!D53+'YR2019'!D53+'YR2020'!D53</f>
        <v>0</v>
      </c>
      <c r="E53" s="240">
        <f>'YR2018'!E53+'YR2019'!E53+'YR2020'!E53</f>
        <v>0</v>
      </c>
      <c r="F53" s="238">
        <f t="shared" si="1"/>
        <v>30000</v>
      </c>
      <c r="G53" s="235"/>
    </row>
    <row r="54" ht="14.25" customHeight="1">
      <c r="A54" s="236" t="s">
        <v>136</v>
      </c>
      <c r="B54" s="240">
        <f>'YR2018'!B54+'YR2019'!B54+'YR2020'!B54</f>
        <v>778500</v>
      </c>
      <c r="C54" s="240">
        <f>'YR2018'!C54+'YR2019'!C54+'YR2020'!C54</f>
        <v>0</v>
      </c>
      <c r="D54" s="240">
        <f>'YR2018'!D54+'YR2019'!D54+'YR2020'!D54</f>
        <v>0</v>
      </c>
      <c r="E54" s="240">
        <f>'YR2018'!E54+'YR2019'!E54+'YR2020'!E54</f>
        <v>0</v>
      </c>
      <c r="F54" s="238">
        <f t="shared" si="1"/>
        <v>778500</v>
      </c>
      <c r="G54" s="235"/>
    </row>
    <row r="55" ht="14.25" customHeight="1">
      <c r="A55" s="236" t="s">
        <v>138</v>
      </c>
      <c r="B55" s="240">
        <f>'YR2018'!B55+'YR2019'!B55+'YR2020'!B55</f>
        <v>33742500</v>
      </c>
      <c r="C55" s="240">
        <f>'YR2018'!C55+'YR2019'!C55+'YR2020'!C55</f>
        <v>33742500</v>
      </c>
      <c r="D55" s="240">
        <f>'YR2018'!D55+'YR2019'!D55+'YR2020'!D55</f>
        <v>0</v>
      </c>
      <c r="E55" s="240">
        <f>'YR2018'!E55+'YR2019'!E55+'YR2020'!E55</f>
        <v>0</v>
      </c>
      <c r="F55" s="238">
        <f t="shared" si="1"/>
        <v>0</v>
      </c>
      <c r="G55" s="235"/>
    </row>
    <row r="56" ht="14.25" customHeight="1">
      <c r="A56" s="236" t="s">
        <v>139</v>
      </c>
      <c r="B56" s="240">
        <f>'YR2018'!B56+'YR2019'!B56+'YR2020'!B56</f>
        <v>107570053</v>
      </c>
      <c r="C56" s="240">
        <f>'YR2018'!C56+'YR2019'!C56+'YR2020'!C56</f>
        <v>107570053</v>
      </c>
      <c r="D56" s="240">
        <f>'YR2018'!D56+'YR2019'!D56+'YR2020'!D56</f>
        <v>0</v>
      </c>
      <c r="E56" s="240">
        <f>'YR2018'!E56+'YR2019'!E56+'YR2020'!E56</f>
        <v>0</v>
      </c>
      <c r="F56" s="238">
        <f t="shared" si="1"/>
        <v>0</v>
      </c>
      <c r="G56" s="235"/>
    </row>
    <row r="57" ht="14.25" customHeight="1">
      <c r="A57" s="266" t="s">
        <v>140</v>
      </c>
      <c r="B57" s="267">
        <f>'YR2018'!B57+'YR2019'!B57+'YR2020'!B57</f>
        <v>174000</v>
      </c>
      <c r="C57" s="267">
        <f>'YR2018'!C57+'YR2019'!C57+'YR2020'!C57</f>
        <v>116000</v>
      </c>
      <c r="D57" s="267">
        <f>'YR2018'!D57+'YR2019'!D57+'YR2020'!D57</f>
        <v>0</v>
      </c>
      <c r="E57" s="267">
        <f>'YR2018'!E57+'YR2019'!E57+'YR2020'!E57</f>
        <v>0</v>
      </c>
      <c r="F57" s="234">
        <f t="shared" si="1"/>
        <v>58000</v>
      </c>
      <c r="G57" s="235"/>
    </row>
    <row r="58" ht="14.25" customHeight="1">
      <c r="A58" s="246" t="s">
        <v>143</v>
      </c>
      <c r="B58" s="247">
        <f t="shared" ref="B58:F58" si="2">SUM(B9:B57)</f>
        <v>496274667</v>
      </c>
      <c r="C58" s="247">
        <f t="shared" si="2"/>
        <v>478141866.6</v>
      </c>
      <c r="D58" s="247">
        <f t="shared" si="2"/>
        <v>13681572</v>
      </c>
      <c r="E58" s="247">
        <f t="shared" si="2"/>
        <v>0</v>
      </c>
      <c r="F58" s="249">
        <f t="shared" si="2"/>
        <v>4451228.36</v>
      </c>
      <c r="G58" s="235"/>
    </row>
    <row r="59" ht="14.25" customHeight="1">
      <c r="A59" s="251" t="s">
        <v>157</v>
      </c>
      <c r="B59" s="252">
        <f>'YR2018'!B59+'YR2019'!B59+'YR2020'!B59</f>
        <v>3725331</v>
      </c>
      <c r="C59" s="273">
        <v>0.0</v>
      </c>
      <c r="D59" s="273">
        <v>0.0</v>
      </c>
      <c r="E59" s="273">
        <v>0.0</v>
      </c>
      <c r="F59" s="264">
        <f>B59-C59-D59-E59</f>
        <v>3725331</v>
      </c>
      <c r="G59" s="235"/>
    </row>
    <row r="60" ht="14.25" customHeight="1">
      <c r="A60" s="281" t="s">
        <v>158</v>
      </c>
      <c r="B60" s="247">
        <f t="shared" ref="B60:F60" si="3">B58+B59</f>
        <v>499999998</v>
      </c>
      <c r="C60" s="247">
        <f t="shared" si="3"/>
        <v>478141866.6</v>
      </c>
      <c r="D60" s="247">
        <f t="shared" si="3"/>
        <v>13681572</v>
      </c>
      <c r="E60" s="247">
        <f t="shared" si="3"/>
        <v>0</v>
      </c>
      <c r="F60" s="249">
        <f t="shared" si="3"/>
        <v>8176559.36</v>
      </c>
      <c r="G60" s="235"/>
    </row>
    <row r="61" ht="14.25" hidden="1" customHeight="1">
      <c r="A61" s="235"/>
      <c r="B61" s="252">
        <v>1631906.0</v>
      </c>
      <c r="C61" s="235"/>
      <c r="D61" s="235"/>
      <c r="E61" s="235"/>
      <c r="F61" s="235"/>
      <c r="G61" s="235"/>
    </row>
    <row r="62" ht="14.25" customHeight="1">
      <c r="A62" s="259" t="s">
        <v>177</v>
      </c>
      <c r="B62" s="235"/>
      <c r="C62" s="235"/>
      <c r="D62" s="235"/>
      <c r="E62" s="235"/>
      <c r="F62" s="235"/>
      <c r="G62" s="235"/>
    </row>
    <row r="63" ht="14.25" customHeight="1">
      <c r="A63" s="235"/>
      <c r="B63" s="235"/>
      <c r="C63" s="235"/>
      <c r="D63" s="235"/>
      <c r="E63" s="235"/>
      <c r="F63" s="235"/>
      <c r="G63" s="235"/>
    </row>
    <row r="64" ht="14.25" customHeight="1">
      <c r="A64" s="284" t="s">
        <v>159</v>
      </c>
      <c r="B64" s="285">
        <f>B12+B13+B15+B19+B21+B27+B33+B34+B36+B43+B46+B48+B49+B53+B54+B57</f>
        <v>40221501</v>
      </c>
      <c r="C64" s="285">
        <f t="shared" ref="C64:E64" si="4">C12+C13+C15+C19+C21+C26+C34+C36+C43+C46+C48+C49+C53+C54+C57</f>
        <v>36183832.65</v>
      </c>
      <c r="D64" s="285">
        <f t="shared" si="4"/>
        <v>0</v>
      </c>
      <c r="E64" s="285">
        <f t="shared" si="4"/>
        <v>0</v>
      </c>
      <c r="F64" s="287">
        <f>B64-C64-D64-E64</f>
        <v>4037668.35</v>
      </c>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5:F5"/>
    <mergeCell ref="A6:F6"/>
    <mergeCell ref="A7:F7"/>
  </mergeCells>
  <printOptions horizontalCentered="1"/>
  <pageMargins bottom="0.1968503937007874" footer="0.0" header="0.0" left="0.11811023622047245" right="0.11811023622047245" top="0.2755905511811024"/>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B1" s="291"/>
      <c r="C1" s="218"/>
      <c r="D1" s="218"/>
      <c r="E1" s="296" t="str">
        <f>[1]Status!C1</f>
        <v>#ERROR!</v>
      </c>
    </row>
    <row r="2" ht="14.25" customHeight="1">
      <c r="B2" s="218"/>
      <c r="C2" s="218"/>
      <c r="D2" s="218"/>
      <c r="E2" s="220"/>
      <c r="F2" s="220" t="s">
        <v>1</v>
      </c>
    </row>
    <row r="3" ht="14.25" customHeight="1">
      <c r="B3" s="218"/>
      <c r="C3" s="218"/>
      <c r="D3" s="218"/>
      <c r="E3" s="220"/>
      <c r="F3" s="220" t="s">
        <v>178</v>
      </c>
    </row>
    <row r="4" ht="14.25" customHeight="1">
      <c r="A4" s="222"/>
      <c r="B4" s="218"/>
      <c r="C4" s="218"/>
      <c r="D4" s="218"/>
      <c r="E4" s="299"/>
      <c r="F4" s="299"/>
    </row>
    <row r="5" ht="14.25" customHeight="1">
      <c r="A5" s="223" t="s">
        <v>148</v>
      </c>
    </row>
    <row r="6" ht="14.25" customHeight="1">
      <c r="A6" s="224" t="s">
        <v>179</v>
      </c>
    </row>
    <row r="7" ht="14.25" customHeight="1">
      <c r="A7" s="225" t="str">
        <f>[1]Status!A6</f>
        <v>#ERROR!</v>
      </c>
    </row>
    <row r="8" ht="31.5" customHeight="1">
      <c r="A8" s="226" t="s">
        <v>79</v>
      </c>
      <c r="B8" s="227" t="s">
        <v>80</v>
      </c>
      <c r="C8" s="227" t="s">
        <v>81</v>
      </c>
      <c r="D8" s="228" t="s">
        <v>82</v>
      </c>
      <c r="E8" s="227" t="s">
        <v>83</v>
      </c>
      <c r="F8" s="229" t="s">
        <v>84</v>
      </c>
    </row>
    <row r="9" ht="14.25" customHeight="1">
      <c r="A9" s="300" t="s">
        <v>86</v>
      </c>
      <c r="B9" s="268">
        <v>15167.0</v>
      </c>
      <c r="C9" s="268">
        <v>15167.0</v>
      </c>
      <c r="D9" s="233"/>
      <c r="E9" s="233"/>
      <c r="F9" s="234">
        <f t="shared" ref="F9:F57" si="1">B9-C9-D9-E9</f>
        <v>0</v>
      </c>
      <c r="G9" s="235"/>
    </row>
    <row r="10" ht="14.25" customHeight="1">
      <c r="A10" s="301" t="s">
        <v>150</v>
      </c>
      <c r="B10" s="240">
        <v>5889667.0</v>
      </c>
      <c r="C10" s="240">
        <f>5889667-423603+2339</f>
        <v>5468403</v>
      </c>
      <c r="D10" s="237">
        <f>423603-2339</f>
        <v>421264</v>
      </c>
      <c r="E10" s="237"/>
      <c r="F10" s="238">
        <f t="shared" si="1"/>
        <v>0</v>
      </c>
      <c r="G10" s="235"/>
    </row>
    <row r="11" ht="14.25" customHeight="1">
      <c r="A11" s="301" t="s">
        <v>88</v>
      </c>
      <c r="B11" s="240">
        <v>1814500.0</v>
      </c>
      <c r="C11" s="240">
        <v>1814500.0</v>
      </c>
      <c r="D11" s="237"/>
      <c r="E11" s="237"/>
      <c r="F11" s="238">
        <f t="shared" si="1"/>
        <v>0</v>
      </c>
      <c r="G11" s="235"/>
    </row>
    <row r="12" ht="14.25" customHeight="1">
      <c r="A12" s="302" t="s">
        <v>89</v>
      </c>
      <c r="B12" s="240">
        <v>151167.0</v>
      </c>
      <c r="C12" s="240"/>
      <c r="D12" s="237"/>
      <c r="E12" s="237"/>
      <c r="F12" s="238">
        <f t="shared" si="1"/>
        <v>151167</v>
      </c>
      <c r="G12" s="235"/>
    </row>
    <row r="13" ht="14.25" customHeight="1">
      <c r="A13" s="301" t="s">
        <v>90</v>
      </c>
      <c r="B13" s="240">
        <v>141167.0</v>
      </c>
      <c r="C13" s="240">
        <v>141167.0</v>
      </c>
      <c r="D13" s="237"/>
      <c r="E13" s="237"/>
      <c r="F13" s="238">
        <f t="shared" si="1"/>
        <v>0</v>
      </c>
      <c r="G13" s="235"/>
    </row>
    <row r="14" ht="14.25" customHeight="1">
      <c r="A14" s="301" t="s">
        <v>91</v>
      </c>
      <c r="B14" s="240">
        <v>2230333.0</v>
      </c>
      <c r="C14" s="240">
        <v>2230333.0</v>
      </c>
      <c r="D14" s="237"/>
      <c r="E14" s="237"/>
      <c r="F14" s="238">
        <f t="shared" si="1"/>
        <v>0</v>
      </c>
      <c r="G14" s="235"/>
    </row>
    <row r="15" ht="14.25" customHeight="1">
      <c r="A15" s="301" t="s">
        <v>92</v>
      </c>
      <c r="B15" s="240">
        <v>113333.0</v>
      </c>
      <c r="C15" s="240">
        <v>113333.0</v>
      </c>
      <c r="D15" s="237"/>
      <c r="E15" s="237"/>
      <c r="F15" s="238">
        <f t="shared" si="1"/>
        <v>0</v>
      </c>
      <c r="G15" s="235"/>
    </row>
    <row r="16" ht="14.25" customHeight="1">
      <c r="A16" s="301" t="s">
        <v>151</v>
      </c>
      <c r="B16" s="240">
        <v>7361333.0</v>
      </c>
      <c r="C16" s="240">
        <f>5889066+1047504.6</f>
        <v>6936570.6</v>
      </c>
      <c r="D16" s="237">
        <f>411962-30000+42800</f>
        <v>424762</v>
      </c>
      <c r="E16" s="237"/>
      <c r="F16" s="238">
        <f t="shared" si="1"/>
        <v>0.4000000004</v>
      </c>
      <c r="G16" s="235"/>
    </row>
    <row r="17" ht="14.25" customHeight="1">
      <c r="A17" s="301" t="s">
        <v>94</v>
      </c>
      <c r="B17" s="240">
        <v>249500.0</v>
      </c>
      <c r="C17" s="240">
        <v>249500.0</v>
      </c>
      <c r="D17" s="237"/>
      <c r="E17" s="237"/>
      <c r="F17" s="238">
        <f t="shared" si="1"/>
        <v>0</v>
      </c>
      <c r="G17" s="235"/>
    </row>
    <row r="18" ht="14.25" customHeight="1">
      <c r="A18" s="301" t="s">
        <v>95</v>
      </c>
      <c r="B18" s="240">
        <v>108333.0</v>
      </c>
      <c r="C18" s="240">
        <v>108333.0</v>
      </c>
      <c r="D18" s="237"/>
      <c r="E18" s="237"/>
      <c r="F18" s="238">
        <f t="shared" si="1"/>
        <v>0</v>
      </c>
      <c r="G18" s="235"/>
    </row>
    <row r="19" ht="14.25" customHeight="1">
      <c r="A19" s="301" t="s">
        <v>96</v>
      </c>
      <c r="B19" s="240">
        <v>867000.0</v>
      </c>
      <c r="C19" s="240">
        <v>867000.0</v>
      </c>
      <c r="D19" s="237"/>
      <c r="E19" s="237"/>
      <c r="F19" s="238">
        <f t="shared" si="1"/>
        <v>0</v>
      </c>
      <c r="G19" s="235"/>
    </row>
    <row r="20" ht="14.25" customHeight="1">
      <c r="A20" s="301" t="s">
        <v>97</v>
      </c>
      <c r="B20" s="240">
        <v>1471833.0</v>
      </c>
      <c r="C20" s="240">
        <v>1471833.0</v>
      </c>
      <c r="D20" s="237"/>
      <c r="E20" s="237"/>
      <c r="F20" s="238">
        <f t="shared" si="1"/>
        <v>0</v>
      </c>
      <c r="G20" s="235"/>
    </row>
    <row r="21" ht="14.25" customHeight="1">
      <c r="A21" s="301" t="s">
        <v>98</v>
      </c>
      <c r="B21" s="240">
        <v>95833.0</v>
      </c>
      <c r="C21" s="240">
        <v>95833.0</v>
      </c>
      <c r="D21" s="237"/>
      <c r="E21" s="237"/>
      <c r="F21" s="238">
        <f t="shared" si="1"/>
        <v>0</v>
      </c>
      <c r="G21" s="235"/>
    </row>
    <row r="22" ht="14.25" customHeight="1">
      <c r="A22" s="301" t="s">
        <v>99</v>
      </c>
      <c r="B22" s="240">
        <v>1149167.0</v>
      </c>
      <c r="C22" s="240">
        <v>1149167.0</v>
      </c>
      <c r="D22" s="237"/>
      <c r="E22" s="237"/>
      <c r="F22" s="238">
        <f t="shared" si="1"/>
        <v>0</v>
      </c>
      <c r="G22" s="235"/>
    </row>
    <row r="23" ht="14.25" customHeight="1">
      <c r="A23" s="301" t="s">
        <v>152</v>
      </c>
      <c r="B23" s="240">
        <v>1.22455E7</v>
      </c>
      <c r="C23" s="240">
        <f>12224030-5085</f>
        <v>12218945</v>
      </c>
      <c r="D23" s="237">
        <f>21470+5085</f>
        <v>26555</v>
      </c>
      <c r="E23" s="237"/>
      <c r="F23" s="238">
        <f t="shared" si="1"/>
        <v>0</v>
      </c>
      <c r="G23" s="235"/>
    </row>
    <row r="24" ht="14.25" customHeight="1">
      <c r="A24" s="301" t="s">
        <v>153</v>
      </c>
      <c r="B24" s="240">
        <v>1.6101333E7</v>
      </c>
      <c r="C24" s="240">
        <f>12881066.4+32642</f>
        <v>12913708.4</v>
      </c>
      <c r="D24" s="237">
        <f>101135+3227427-140937</f>
        <v>3187625</v>
      </c>
      <c r="E24" s="240"/>
      <c r="F24" s="238">
        <f t="shared" si="1"/>
        <v>-0.4000000004</v>
      </c>
      <c r="G24" s="235"/>
    </row>
    <row r="25" ht="14.25" customHeight="1">
      <c r="A25" s="301" t="s">
        <v>102</v>
      </c>
      <c r="B25" s="240">
        <v>1187000.0</v>
      </c>
      <c r="C25" s="240">
        <v>1187000.0</v>
      </c>
      <c r="D25" s="237"/>
      <c r="E25" s="237"/>
      <c r="F25" s="238">
        <f t="shared" si="1"/>
        <v>0</v>
      </c>
      <c r="G25" s="235"/>
    </row>
    <row r="26" ht="14.25" customHeight="1">
      <c r="A26" s="301" t="s">
        <v>103</v>
      </c>
      <c r="B26" s="240">
        <v>2500.0</v>
      </c>
      <c r="C26" s="240">
        <v>2500.0</v>
      </c>
      <c r="D26" s="237"/>
      <c r="E26" s="237"/>
      <c r="F26" s="238">
        <f t="shared" si="1"/>
        <v>0</v>
      </c>
      <c r="G26" s="235"/>
    </row>
    <row r="27" ht="14.25" customHeight="1">
      <c r="A27" s="301" t="s">
        <v>104</v>
      </c>
      <c r="B27" s="240">
        <v>405667.0</v>
      </c>
      <c r="C27" s="240">
        <v>405667.0</v>
      </c>
      <c r="D27" s="237"/>
      <c r="E27" s="237"/>
      <c r="F27" s="238">
        <f t="shared" si="1"/>
        <v>0</v>
      </c>
      <c r="G27" s="235"/>
    </row>
    <row r="28" ht="14.25" customHeight="1">
      <c r="A28" s="301" t="s">
        <v>105</v>
      </c>
      <c r="B28" s="240">
        <v>58000.0</v>
      </c>
      <c r="C28" s="240">
        <v>58000.0</v>
      </c>
      <c r="D28" s="237"/>
      <c r="E28" s="237"/>
      <c r="F28" s="238">
        <f t="shared" si="1"/>
        <v>0</v>
      </c>
      <c r="G28" s="235"/>
    </row>
    <row r="29" ht="14.25" customHeight="1">
      <c r="A29" s="301" t="s">
        <v>154</v>
      </c>
      <c r="B29" s="240">
        <v>844333.0</v>
      </c>
      <c r="C29" s="240">
        <v>844333.0</v>
      </c>
      <c r="D29" s="237"/>
      <c r="E29" s="237"/>
      <c r="F29" s="238">
        <f t="shared" si="1"/>
        <v>0</v>
      </c>
      <c r="G29" s="235"/>
    </row>
    <row r="30" ht="14.25" customHeight="1">
      <c r="A30" s="301" t="s">
        <v>107</v>
      </c>
      <c r="B30" s="240">
        <v>1083667.0</v>
      </c>
      <c r="C30" s="240"/>
      <c r="D30" s="237"/>
      <c r="E30" s="237"/>
      <c r="F30" s="238">
        <f t="shared" si="1"/>
        <v>1083667</v>
      </c>
      <c r="G30" s="235"/>
    </row>
    <row r="31" ht="14.25" customHeight="1">
      <c r="A31" s="301" t="s">
        <v>108</v>
      </c>
      <c r="B31" s="240">
        <v>9445500.0</v>
      </c>
      <c r="C31" s="240">
        <f>9445500</f>
        <v>9445500</v>
      </c>
      <c r="D31" s="237"/>
      <c r="E31" s="237"/>
      <c r="F31" s="238">
        <f t="shared" si="1"/>
        <v>0</v>
      </c>
      <c r="G31" s="235"/>
    </row>
    <row r="32" ht="14.25" customHeight="1">
      <c r="A32" s="301" t="s">
        <v>155</v>
      </c>
      <c r="B32" s="240">
        <f>24395167</f>
        <v>24395167</v>
      </c>
      <c r="C32" s="240">
        <f>7541533+16201620+431798+220216</f>
        <v>24395167</v>
      </c>
      <c r="D32" s="237"/>
      <c r="E32" s="237"/>
      <c r="F32" s="238">
        <f t="shared" si="1"/>
        <v>0</v>
      </c>
      <c r="G32" s="235"/>
    </row>
    <row r="33" ht="14.25" customHeight="1">
      <c r="A33" s="301" t="s">
        <v>110</v>
      </c>
      <c r="B33" s="240">
        <v>481333.0</v>
      </c>
      <c r="C33" s="240">
        <v>481333.0</v>
      </c>
      <c r="D33" s="237"/>
      <c r="E33" s="237"/>
      <c r="F33" s="238">
        <f t="shared" si="1"/>
        <v>0</v>
      </c>
      <c r="G33" s="235"/>
    </row>
    <row r="34" ht="14.25" customHeight="1">
      <c r="A34" s="301" t="s">
        <v>112</v>
      </c>
      <c r="B34" s="240">
        <v>126000.0</v>
      </c>
      <c r="C34" s="240">
        <v>126000.0</v>
      </c>
      <c r="D34" s="237"/>
      <c r="E34" s="237"/>
      <c r="F34" s="238">
        <f t="shared" si="1"/>
        <v>0</v>
      </c>
      <c r="G34" s="235"/>
    </row>
    <row r="35" ht="14.25" customHeight="1">
      <c r="A35" s="301" t="s">
        <v>113</v>
      </c>
      <c r="B35" s="240">
        <v>17667.0</v>
      </c>
      <c r="C35" s="240">
        <v>17667.0</v>
      </c>
      <c r="D35" s="237"/>
      <c r="E35" s="237"/>
      <c r="F35" s="238">
        <f t="shared" si="1"/>
        <v>0</v>
      </c>
      <c r="G35" s="235"/>
    </row>
    <row r="36" ht="14.25" customHeight="1">
      <c r="A36" s="301" t="s">
        <v>114</v>
      </c>
      <c r="B36" s="240">
        <v>181500.0</v>
      </c>
      <c r="C36" s="240">
        <f>133448+48051.68</f>
        <v>181499.68</v>
      </c>
      <c r="D36" s="237"/>
      <c r="E36" s="237"/>
      <c r="F36" s="238">
        <f t="shared" si="1"/>
        <v>0.32</v>
      </c>
      <c r="G36" s="235"/>
    </row>
    <row r="37" ht="14.25" customHeight="1">
      <c r="A37" s="301" t="s">
        <v>115</v>
      </c>
      <c r="B37" s="240">
        <v>161333.0</v>
      </c>
      <c r="C37" s="240">
        <v>161333.0</v>
      </c>
      <c r="D37" s="237"/>
      <c r="E37" s="237"/>
      <c r="F37" s="238">
        <f t="shared" si="1"/>
        <v>0</v>
      </c>
      <c r="G37" s="235"/>
    </row>
    <row r="38" ht="14.25" customHeight="1">
      <c r="A38" s="301" t="s">
        <v>116</v>
      </c>
      <c r="B38" s="240">
        <v>40333.0</v>
      </c>
      <c r="C38" s="240"/>
      <c r="D38" s="237"/>
      <c r="E38" s="237"/>
      <c r="F38" s="238">
        <f t="shared" si="1"/>
        <v>40333</v>
      </c>
      <c r="G38" s="235"/>
    </row>
    <row r="39" ht="14.25" customHeight="1">
      <c r="A39" s="301" t="s">
        <v>117</v>
      </c>
      <c r="B39" s="240">
        <v>25167.0</v>
      </c>
      <c r="C39" s="240">
        <v>25167.0</v>
      </c>
      <c r="D39" s="237"/>
      <c r="E39" s="237"/>
      <c r="F39" s="238">
        <f t="shared" si="1"/>
        <v>0</v>
      </c>
      <c r="G39" s="235"/>
    </row>
    <row r="40" ht="14.25" customHeight="1">
      <c r="A40" s="301" t="s">
        <v>118</v>
      </c>
      <c r="B40" s="240">
        <v>3734833.0</v>
      </c>
      <c r="C40" s="240">
        <v>3734833.0</v>
      </c>
      <c r="D40" s="237"/>
      <c r="E40" s="237"/>
      <c r="F40" s="238">
        <f t="shared" si="1"/>
        <v>0</v>
      </c>
      <c r="G40" s="235"/>
    </row>
    <row r="41" ht="14.25" customHeight="1">
      <c r="A41" s="301" t="s">
        <v>119</v>
      </c>
      <c r="B41" s="240">
        <v>675333.0</v>
      </c>
      <c r="C41" s="240">
        <v>675333.0</v>
      </c>
      <c r="D41" s="237"/>
      <c r="E41" s="237"/>
      <c r="F41" s="238">
        <f t="shared" si="1"/>
        <v>0</v>
      </c>
      <c r="G41" s="235"/>
    </row>
    <row r="42" ht="14.25" customHeight="1">
      <c r="A42" s="301" t="s">
        <v>120</v>
      </c>
      <c r="B42" s="240">
        <v>2139667.0</v>
      </c>
      <c r="C42" s="240">
        <v>2139667.0</v>
      </c>
      <c r="D42" s="237"/>
      <c r="E42" s="237"/>
      <c r="F42" s="238">
        <f t="shared" si="1"/>
        <v>0</v>
      </c>
      <c r="G42" s="235"/>
    </row>
    <row r="43" ht="14.25" customHeight="1">
      <c r="A43" s="301" t="s">
        <v>122</v>
      </c>
      <c r="B43" s="240">
        <v>2119500.0</v>
      </c>
      <c r="C43" s="240">
        <v>2119500.0</v>
      </c>
      <c r="D43" s="237"/>
      <c r="E43" s="237"/>
      <c r="F43" s="238">
        <f t="shared" si="1"/>
        <v>0</v>
      </c>
      <c r="G43" s="235"/>
    </row>
    <row r="44" ht="14.25" customHeight="1">
      <c r="A44" s="301" t="s">
        <v>123</v>
      </c>
      <c r="B44" s="240">
        <v>987833.0</v>
      </c>
      <c r="C44" s="240">
        <v>987833.0</v>
      </c>
      <c r="D44" s="237"/>
      <c r="E44" s="237"/>
      <c r="F44" s="238">
        <f t="shared" si="1"/>
        <v>0</v>
      </c>
      <c r="G44" s="235"/>
    </row>
    <row r="45" ht="14.25" customHeight="1">
      <c r="A45" s="301" t="s">
        <v>124</v>
      </c>
      <c r="B45" s="240">
        <v>463667.0</v>
      </c>
      <c r="C45" s="240">
        <v>463667.0</v>
      </c>
      <c r="D45" s="237"/>
      <c r="E45" s="237"/>
      <c r="F45" s="238">
        <f t="shared" si="1"/>
        <v>0</v>
      </c>
      <c r="G45" s="235"/>
    </row>
    <row r="46" ht="14.25" customHeight="1">
      <c r="A46" s="301" t="s">
        <v>125</v>
      </c>
      <c r="B46" s="240">
        <v>7782333.0</v>
      </c>
      <c r="C46" s="240">
        <v>7782333.0</v>
      </c>
      <c r="D46" s="237"/>
      <c r="E46" s="237"/>
      <c r="F46" s="238">
        <f t="shared" si="1"/>
        <v>0</v>
      </c>
      <c r="G46" s="235"/>
    </row>
    <row r="47" ht="14.25" customHeight="1">
      <c r="A47" s="301" t="s">
        <v>126</v>
      </c>
      <c r="B47" s="240">
        <v>7500.0</v>
      </c>
      <c r="C47" s="240">
        <v>7500.0</v>
      </c>
      <c r="D47" s="237"/>
      <c r="E47" s="237"/>
      <c r="F47" s="238">
        <f t="shared" si="1"/>
        <v>0</v>
      </c>
      <c r="G47" s="235"/>
    </row>
    <row r="48" ht="14.25" customHeight="1">
      <c r="A48" s="301" t="s">
        <v>128</v>
      </c>
      <c r="B48" s="240">
        <v>403167.0</v>
      </c>
      <c r="C48" s="240">
        <v>403167.0</v>
      </c>
      <c r="D48" s="237"/>
      <c r="E48" s="237"/>
      <c r="F48" s="238">
        <f t="shared" si="1"/>
        <v>0</v>
      </c>
      <c r="G48" s="235"/>
    </row>
    <row r="49" ht="14.25" customHeight="1">
      <c r="A49" s="301" t="s">
        <v>129</v>
      </c>
      <c r="B49" s="240">
        <v>211667.0</v>
      </c>
      <c r="C49" s="240">
        <v>211667.0</v>
      </c>
      <c r="D49" s="237"/>
      <c r="E49" s="237"/>
      <c r="F49" s="238">
        <f t="shared" si="1"/>
        <v>0</v>
      </c>
      <c r="G49" s="235"/>
    </row>
    <row r="50" ht="14.25" customHeight="1">
      <c r="A50" s="301" t="s">
        <v>131</v>
      </c>
      <c r="B50" s="240">
        <v>6156833.0</v>
      </c>
      <c r="C50" s="240">
        <v>6156833.0</v>
      </c>
      <c r="D50" s="237"/>
      <c r="E50" s="237"/>
      <c r="F50" s="238">
        <f t="shared" si="1"/>
        <v>0</v>
      </c>
      <c r="G50" s="235"/>
    </row>
    <row r="51" ht="14.25" customHeight="1">
      <c r="A51" s="301" t="s">
        <v>156</v>
      </c>
      <c r="B51" s="240">
        <v>2409333.0</v>
      </c>
      <c r="C51" s="240">
        <v>2409333.0</v>
      </c>
      <c r="D51" s="237"/>
      <c r="E51" s="237"/>
      <c r="F51" s="238">
        <f t="shared" si="1"/>
        <v>0</v>
      </c>
      <c r="G51" s="235"/>
    </row>
    <row r="52" ht="14.25" customHeight="1">
      <c r="A52" s="301" t="s">
        <v>133</v>
      </c>
      <c r="B52" s="237">
        <v>2873000.0</v>
      </c>
      <c r="C52" s="240">
        <v>2873000.0</v>
      </c>
      <c r="D52" s="237"/>
      <c r="E52" s="237"/>
      <c r="F52" s="238">
        <f t="shared" si="1"/>
        <v>0</v>
      </c>
      <c r="G52" s="235"/>
    </row>
    <row r="53" ht="18.0" customHeight="1">
      <c r="A53" s="301" t="s">
        <v>134</v>
      </c>
      <c r="B53" s="237">
        <v>10000.0</v>
      </c>
      <c r="C53" s="240"/>
      <c r="D53" s="237"/>
      <c r="E53" s="237"/>
      <c r="F53" s="238">
        <f t="shared" si="1"/>
        <v>10000</v>
      </c>
      <c r="G53" s="235"/>
    </row>
    <row r="54" ht="14.25" customHeight="1">
      <c r="A54" s="301" t="s">
        <v>136</v>
      </c>
      <c r="B54" s="237">
        <v>259500.0</v>
      </c>
      <c r="C54" s="240"/>
      <c r="D54" s="237"/>
      <c r="E54" s="237"/>
      <c r="F54" s="238">
        <f t="shared" si="1"/>
        <v>259500</v>
      </c>
      <c r="G54" s="235"/>
    </row>
    <row r="55" ht="14.25" customHeight="1">
      <c r="A55" s="301" t="s">
        <v>138</v>
      </c>
      <c r="B55" s="240">
        <v>1.12475E7</v>
      </c>
      <c r="C55" s="240">
        <v>1.12475E7</v>
      </c>
      <c r="D55" s="237"/>
      <c r="E55" s="240"/>
      <c r="F55" s="238">
        <f t="shared" si="1"/>
        <v>0</v>
      </c>
      <c r="G55" s="235"/>
    </row>
    <row r="56" ht="14.25" customHeight="1">
      <c r="A56" s="301" t="s">
        <v>139</v>
      </c>
      <c r="B56" s="240">
        <f>36666667-13244-798042-375490</f>
        <v>35479891</v>
      </c>
      <c r="C56" s="240">
        <f>608076+156099+24950000+728743+8326000+4650000+26000000+488779+4800000-34054274-798042-375490</f>
        <v>35479891</v>
      </c>
      <c r="D56" s="237"/>
      <c r="E56" s="237"/>
      <c r="F56" s="238">
        <f t="shared" si="1"/>
        <v>0</v>
      </c>
      <c r="G56" s="235"/>
    </row>
    <row r="57" ht="14.25" customHeight="1">
      <c r="A57" s="301" t="s">
        <v>140</v>
      </c>
      <c r="B57" s="240">
        <v>58000.0</v>
      </c>
      <c r="C57" s="240">
        <v>58000.0</v>
      </c>
      <c r="D57" s="237"/>
      <c r="E57" s="237"/>
      <c r="F57" s="238">
        <f t="shared" si="1"/>
        <v>0</v>
      </c>
      <c r="G57" s="235"/>
    </row>
    <row r="58" ht="14.25" customHeight="1">
      <c r="A58" s="303" t="s">
        <v>143</v>
      </c>
      <c r="B58" s="304">
        <f t="shared" ref="B58:F58" si="2">SUM(B9:B57)</f>
        <v>165479890</v>
      </c>
      <c r="C58" s="304">
        <f t="shared" si="2"/>
        <v>159875016.7</v>
      </c>
      <c r="D58" s="304">
        <f t="shared" si="2"/>
        <v>4060206</v>
      </c>
      <c r="E58" s="304">
        <f t="shared" si="2"/>
        <v>0</v>
      </c>
      <c r="F58" s="305">
        <f t="shared" si="2"/>
        <v>1544667.32</v>
      </c>
      <c r="G58" s="235"/>
    </row>
    <row r="59" ht="14.25" customHeight="1">
      <c r="A59" s="293" t="s">
        <v>157</v>
      </c>
      <c r="B59" s="260">
        <f>811286+375490</f>
        <v>1186776</v>
      </c>
      <c r="C59" s="260"/>
      <c r="D59" s="260"/>
      <c r="E59" s="260"/>
      <c r="F59" s="238">
        <f>B59-C59-D59-E59</f>
        <v>1186776</v>
      </c>
      <c r="G59" s="235"/>
    </row>
    <row r="60" ht="14.25" customHeight="1">
      <c r="A60" s="281" t="s">
        <v>158</v>
      </c>
      <c r="B60" s="294">
        <f t="shared" ref="B60:F60" si="3">B58+B59</f>
        <v>166666666</v>
      </c>
      <c r="C60" s="294">
        <f t="shared" si="3"/>
        <v>159875016.7</v>
      </c>
      <c r="D60" s="294">
        <f t="shared" si="3"/>
        <v>4060206</v>
      </c>
      <c r="E60" s="294">
        <f t="shared" si="3"/>
        <v>0</v>
      </c>
      <c r="F60" s="295">
        <f t="shared" si="3"/>
        <v>2731443.32</v>
      </c>
      <c r="G60" s="235"/>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84" t="s">
        <v>159</v>
      </c>
      <c r="B63" s="285">
        <f>B12+B13+B15+B19+B21+B27+B33+B36+B43+B46+B48+B49+B53+B54+B57</f>
        <v>13281167</v>
      </c>
      <c r="C63" s="285">
        <f t="shared" ref="C63:E63" si="4">C12+C13+C15+C19+C21+C26+C34+C36+C43+C46+C48+C49+C53+C54+C57</f>
        <v>12101999.68</v>
      </c>
      <c r="D63" s="285">
        <f t="shared" si="4"/>
        <v>0</v>
      </c>
      <c r="E63" s="285">
        <f t="shared" si="4"/>
        <v>0</v>
      </c>
      <c r="F63" s="287">
        <f>B63-C63-D63-E63</f>
        <v>1179167.32</v>
      </c>
      <c r="G63" s="235"/>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A1" s="219" t="str">
        <f>[1]Status!C1</f>
        <v>#ERROR!</v>
      </c>
      <c r="B1" s="220"/>
      <c r="C1" s="218"/>
      <c r="D1" s="218"/>
      <c r="E1" s="219"/>
      <c r="F1" s="220"/>
    </row>
    <row r="2" ht="14.25" customHeight="1">
      <c r="A2" s="288" t="s">
        <v>1</v>
      </c>
      <c r="C2" s="218"/>
      <c r="D2" s="218"/>
      <c r="E2" s="219"/>
      <c r="F2" s="220"/>
    </row>
    <row r="3" ht="14.25" customHeight="1">
      <c r="A3" s="288" t="s">
        <v>180</v>
      </c>
      <c r="C3" s="218"/>
      <c r="D3" s="218"/>
      <c r="E3" s="220"/>
      <c r="F3" s="220"/>
    </row>
    <row r="4" ht="14.25" customHeight="1">
      <c r="A4" s="222"/>
      <c r="B4" s="218"/>
      <c r="C4" s="218"/>
      <c r="D4" s="218"/>
      <c r="E4" s="218"/>
      <c r="F4" s="218"/>
    </row>
    <row r="5" ht="14.25" customHeight="1">
      <c r="A5" s="223" t="s">
        <v>148</v>
      </c>
    </row>
    <row r="6" ht="14.25" customHeight="1">
      <c r="A6" s="224" t="s">
        <v>181</v>
      </c>
    </row>
    <row r="7" ht="14.25" customHeight="1">
      <c r="A7" s="297" t="str">
        <f>[1]Status!A6</f>
        <v>#ERROR!</v>
      </c>
      <c r="B7" s="298"/>
      <c r="C7" s="298"/>
      <c r="D7" s="298"/>
      <c r="E7" s="298"/>
      <c r="F7" s="298"/>
    </row>
    <row r="8" ht="30.75" customHeight="1">
      <c r="A8" s="226" t="s">
        <v>79</v>
      </c>
      <c r="B8" s="227" t="s">
        <v>80</v>
      </c>
      <c r="C8" s="227" t="s">
        <v>81</v>
      </c>
      <c r="D8" s="228" t="s">
        <v>82</v>
      </c>
      <c r="E8" s="227" t="s">
        <v>83</v>
      </c>
      <c r="F8" s="229" t="s">
        <v>84</v>
      </c>
    </row>
    <row r="9" ht="14.25" customHeight="1">
      <c r="A9" s="230" t="s">
        <v>86</v>
      </c>
      <c r="B9" s="268">
        <v>15167.0</v>
      </c>
      <c r="C9" s="268">
        <v>15167.0</v>
      </c>
      <c r="D9" s="233"/>
      <c r="E9" s="233"/>
      <c r="F9" s="234">
        <f t="shared" ref="F9:F57" si="1">B9-C9-D9-E9</f>
        <v>0</v>
      </c>
      <c r="G9" s="235"/>
    </row>
    <row r="10" ht="14.25" customHeight="1">
      <c r="A10" s="236" t="s">
        <v>150</v>
      </c>
      <c r="B10" s="240">
        <v>5889667.0</v>
      </c>
      <c r="C10" s="240">
        <v>5889667.0</v>
      </c>
      <c r="D10" s="237"/>
      <c r="E10" s="237"/>
      <c r="F10" s="238">
        <f t="shared" si="1"/>
        <v>0</v>
      </c>
      <c r="G10" s="235"/>
    </row>
    <row r="11" ht="14.25" customHeight="1">
      <c r="A11" s="236" t="s">
        <v>88</v>
      </c>
      <c r="B11" s="240">
        <v>1814500.0</v>
      </c>
      <c r="C11" s="240">
        <v>1814500.0</v>
      </c>
      <c r="D11" s="237"/>
      <c r="E11" s="237"/>
      <c r="F11" s="238">
        <f t="shared" si="1"/>
        <v>0</v>
      </c>
      <c r="G11" s="235"/>
    </row>
    <row r="12" ht="14.25" customHeight="1">
      <c r="A12" s="239" t="s">
        <v>89</v>
      </c>
      <c r="B12" s="240">
        <v>151167.0</v>
      </c>
      <c r="C12" s="240"/>
      <c r="D12" s="237"/>
      <c r="E12" s="237"/>
      <c r="F12" s="238">
        <f t="shared" si="1"/>
        <v>151167</v>
      </c>
      <c r="G12" s="235"/>
    </row>
    <row r="13" ht="14.25" customHeight="1">
      <c r="A13" s="236" t="s">
        <v>90</v>
      </c>
      <c r="B13" s="240">
        <v>141167.0</v>
      </c>
      <c r="C13" s="240">
        <v>141167.0</v>
      </c>
      <c r="D13" s="237"/>
      <c r="E13" s="237"/>
      <c r="F13" s="238">
        <f t="shared" si="1"/>
        <v>0</v>
      </c>
      <c r="G13" s="235"/>
    </row>
    <row r="14" ht="14.25" customHeight="1">
      <c r="A14" s="236" t="s">
        <v>91</v>
      </c>
      <c r="B14" s="240">
        <v>2230333.0</v>
      </c>
      <c r="C14" s="240">
        <v>2230333.0</v>
      </c>
      <c r="D14" s="237"/>
      <c r="E14" s="237"/>
      <c r="F14" s="238">
        <f t="shared" si="1"/>
        <v>0</v>
      </c>
      <c r="G14" s="235"/>
    </row>
    <row r="15" ht="14.25" customHeight="1">
      <c r="A15" s="236" t="s">
        <v>92</v>
      </c>
      <c r="B15" s="240">
        <v>113333.0</v>
      </c>
      <c r="C15" s="240">
        <v>113333.0</v>
      </c>
      <c r="D15" s="237"/>
      <c r="E15" s="237"/>
      <c r="F15" s="238">
        <f t="shared" si="1"/>
        <v>0</v>
      </c>
      <c r="G15" s="235"/>
    </row>
    <row r="16" ht="14.25" customHeight="1">
      <c r="A16" s="236" t="s">
        <v>151</v>
      </c>
      <c r="B16" s="240">
        <v>7361333.0</v>
      </c>
      <c r="C16" s="240">
        <f>5889066+1142267</f>
        <v>7031333</v>
      </c>
      <c r="D16" s="237">
        <f>300000+30000</f>
        <v>330000</v>
      </c>
      <c r="E16" s="237"/>
      <c r="F16" s="238">
        <f t="shared" si="1"/>
        <v>0</v>
      </c>
      <c r="G16" s="235"/>
    </row>
    <row r="17" ht="14.25" customHeight="1">
      <c r="A17" s="236" t="s">
        <v>94</v>
      </c>
      <c r="B17" s="240">
        <v>249500.0</v>
      </c>
      <c r="C17" s="240">
        <v>249500.0</v>
      </c>
      <c r="D17" s="237"/>
      <c r="E17" s="237"/>
      <c r="F17" s="238">
        <f t="shared" si="1"/>
        <v>0</v>
      </c>
      <c r="G17" s="235"/>
    </row>
    <row r="18" ht="14.25" customHeight="1">
      <c r="A18" s="236" t="s">
        <v>95</v>
      </c>
      <c r="B18" s="240">
        <v>108333.0</v>
      </c>
      <c r="C18" s="240">
        <v>108333.0</v>
      </c>
      <c r="D18" s="237"/>
      <c r="E18" s="237"/>
      <c r="F18" s="238">
        <f t="shared" si="1"/>
        <v>0</v>
      </c>
      <c r="G18" s="235"/>
    </row>
    <row r="19" ht="14.25" customHeight="1">
      <c r="A19" s="236" t="s">
        <v>96</v>
      </c>
      <c r="B19" s="240">
        <v>867000.0</v>
      </c>
      <c r="C19" s="240">
        <v>867000.0</v>
      </c>
      <c r="D19" s="237"/>
      <c r="E19" s="237"/>
      <c r="F19" s="238">
        <f t="shared" si="1"/>
        <v>0</v>
      </c>
      <c r="G19" s="235"/>
    </row>
    <row r="20" ht="14.25" customHeight="1">
      <c r="A20" s="236" t="s">
        <v>97</v>
      </c>
      <c r="B20" s="240">
        <v>1471833.0</v>
      </c>
      <c r="C20" s="240">
        <v>1471833.0</v>
      </c>
      <c r="D20" s="237"/>
      <c r="E20" s="237"/>
      <c r="F20" s="238">
        <f t="shared" si="1"/>
        <v>0</v>
      </c>
      <c r="G20" s="235"/>
    </row>
    <row r="21" ht="14.25" customHeight="1">
      <c r="A21" s="236" t="s">
        <v>98</v>
      </c>
      <c r="B21" s="240">
        <v>95833.0</v>
      </c>
      <c r="C21" s="240">
        <v>95833.0</v>
      </c>
      <c r="D21" s="237"/>
      <c r="E21" s="237"/>
      <c r="F21" s="238">
        <f t="shared" si="1"/>
        <v>0</v>
      </c>
      <c r="G21" s="235"/>
    </row>
    <row r="22" ht="14.25" customHeight="1">
      <c r="A22" s="236" t="s">
        <v>99</v>
      </c>
      <c r="B22" s="240">
        <v>1149167.0</v>
      </c>
      <c r="C22" s="240">
        <v>1149167.0</v>
      </c>
      <c r="D22" s="237"/>
      <c r="E22" s="237"/>
      <c r="F22" s="238">
        <f t="shared" si="1"/>
        <v>0</v>
      </c>
      <c r="G22" s="235"/>
    </row>
    <row r="23" ht="14.25" customHeight="1">
      <c r="A23" s="236" t="s">
        <v>152</v>
      </c>
      <c r="B23" s="240">
        <v>1.22455E7</v>
      </c>
      <c r="C23" s="240">
        <f>113000+12132500</f>
        <v>12245500</v>
      </c>
      <c r="D23" s="237"/>
      <c r="E23" s="237"/>
      <c r="F23" s="238">
        <f t="shared" si="1"/>
        <v>0</v>
      </c>
      <c r="G23" s="235"/>
    </row>
    <row r="24" ht="14.25" customHeight="1">
      <c r="A24" s="236" t="s">
        <v>153</v>
      </c>
      <c r="B24" s="240">
        <v>1.6101333E7</v>
      </c>
      <c r="C24" s="240">
        <f>304950+6440533+6440533+1819891</f>
        <v>15005907</v>
      </c>
      <c r="D24" s="237">
        <f>1852533.4+1367733.6-1819891</f>
        <v>1400376</v>
      </c>
      <c r="E24" s="240"/>
      <c r="F24" s="238">
        <f t="shared" si="1"/>
        <v>-304950</v>
      </c>
      <c r="G24" s="235"/>
    </row>
    <row r="25" ht="14.25" customHeight="1">
      <c r="A25" s="236" t="s">
        <v>102</v>
      </c>
      <c r="B25" s="240">
        <v>1187000.0</v>
      </c>
      <c r="C25" s="240">
        <v>1187000.0</v>
      </c>
      <c r="D25" s="237"/>
      <c r="E25" s="237"/>
      <c r="F25" s="238">
        <f t="shared" si="1"/>
        <v>0</v>
      </c>
      <c r="G25" s="235"/>
    </row>
    <row r="26" ht="14.25" customHeight="1">
      <c r="A26" s="236" t="s">
        <v>103</v>
      </c>
      <c r="B26" s="240">
        <v>2500.0</v>
      </c>
      <c r="C26" s="240">
        <v>2500.0</v>
      </c>
      <c r="D26" s="237"/>
      <c r="E26" s="237"/>
      <c r="F26" s="238">
        <f t="shared" si="1"/>
        <v>0</v>
      </c>
      <c r="G26" s="235"/>
    </row>
    <row r="27" ht="14.25" customHeight="1">
      <c r="A27" s="236" t="s">
        <v>104</v>
      </c>
      <c r="B27" s="240">
        <v>405667.0</v>
      </c>
      <c r="C27" s="240">
        <v>405667.0</v>
      </c>
      <c r="D27" s="237"/>
      <c r="E27" s="237"/>
      <c r="F27" s="238">
        <f t="shared" si="1"/>
        <v>0</v>
      </c>
      <c r="G27" s="235"/>
    </row>
    <row r="28" ht="14.25" customHeight="1">
      <c r="A28" s="236" t="s">
        <v>105</v>
      </c>
      <c r="B28" s="240">
        <v>58000.0</v>
      </c>
      <c r="C28" s="240">
        <v>58000.0</v>
      </c>
      <c r="D28" s="237"/>
      <c r="E28" s="237"/>
      <c r="F28" s="238">
        <f t="shared" si="1"/>
        <v>0</v>
      </c>
      <c r="G28" s="235"/>
    </row>
    <row r="29" ht="14.25" customHeight="1">
      <c r="A29" s="236" t="s">
        <v>154</v>
      </c>
      <c r="B29" s="240">
        <v>844333.0</v>
      </c>
      <c r="C29" s="240">
        <v>844333.0</v>
      </c>
      <c r="D29" s="237"/>
      <c r="E29" s="237"/>
      <c r="F29" s="238">
        <f t="shared" si="1"/>
        <v>0</v>
      </c>
      <c r="G29" s="235"/>
    </row>
    <row r="30" ht="14.25" customHeight="1">
      <c r="A30" s="236" t="s">
        <v>107</v>
      </c>
      <c r="B30" s="240">
        <v>1083667.0</v>
      </c>
      <c r="C30" s="240"/>
      <c r="D30" s="237"/>
      <c r="E30" s="237"/>
      <c r="F30" s="238">
        <f t="shared" si="1"/>
        <v>1083667</v>
      </c>
      <c r="G30" s="235"/>
    </row>
    <row r="31" ht="14.25" customHeight="1">
      <c r="A31" s="236" t="s">
        <v>108</v>
      </c>
      <c r="B31" s="240">
        <v>9445500.0</v>
      </c>
      <c r="C31" s="240">
        <f>2982199.75+6463300.25-565000</f>
        <v>8880500</v>
      </c>
      <c r="D31" s="237">
        <v>565000.0</v>
      </c>
      <c r="E31" s="237"/>
      <c r="F31" s="238">
        <f t="shared" si="1"/>
        <v>0</v>
      </c>
      <c r="G31" s="235"/>
    </row>
    <row r="32" ht="14.25" customHeight="1">
      <c r="A32" s="236" t="s">
        <v>155</v>
      </c>
      <c r="B32" s="240">
        <f>24395167</f>
        <v>24395167</v>
      </c>
      <c r="C32" s="240">
        <f>7450853+220216+16292300+431798-185297</f>
        <v>24209870</v>
      </c>
      <c r="D32" s="237">
        <v>185297.0</v>
      </c>
      <c r="E32" s="237"/>
      <c r="F32" s="238">
        <f t="shared" si="1"/>
        <v>0</v>
      </c>
      <c r="G32" s="235"/>
    </row>
    <row r="33" ht="14.25" customHeight="1">
      <c r="A33" s="236" t="s">
        <v>110</v>
      </c>
      <c r="B33" s="240">
        <v>481333.0</v>
      </c>
      <c r="C33" s="240">
        <v>481333.0</v>
      </c>
      <c r="D33" s="237"/>
      <c r="E33" s="237"/>
      <c r="F33" s="238">
        <f t="shared" si="1"/>
        <v>0</v>
      </c>
      <c r="G33" s="235"/>
    </row>
    <row r="34" ht="14.25" customHeight="1">
      <c r="A34" s="236" t="s">
        <v>112</v>
      </c>
      <c r="B34" s="240">
        <v>126000.0</v>
      </c>
      <c r="C34" s="240">
        <v>126000.0</v>
      </c>
      <c r="D34" s="237"/>
      <c r="E34" s="237"/>
      <c r="F34" s="238">
        <f t="shared" si="1"/>
        <v>0</v>
      </c>
      <c r="G34" s="235"/>
    </row>
    <row r="35" ht="14.25" customHeight="1">
      <c r="A35" s="236" t="s">
        <v>113</v>
      </c>
      <c r="B35" s="240">
        <v>17667.0</v>
      </c>
      <c r="C35" s="240">
        <v>17667.0</v>
      </c>
      <c r="D35" s="237"/>
      <c r="E35" s="237"/>
      <c r="F35" s="238">
        <f t="shared" si="1"/>
        <v>0</v>
      </c>
      <c r="G35" s="235"/>
    </row>
    <row r="36" ht="14.25" customHeight="1">
      <c r="A36" s="236" t="s">
        <v>114</v>
      </c>
      <c r="B36" s="240">
        <v>181500.0</v>
      </c>
      <c r="C36" s="240">
        <f>64855.24+116644.76</f>
        <v>181500</v>
      </c>
      <c r="D36" s="237"/>
      <c r="E36" s="237"/>
      <c r="F36" s="238">
        <f t="shared" si="1"/>
        <v>0</v>
      </c>
      <c r="G36" s="235"/>
    </row>
    <row r="37" ht="14.25" customHeight="1">
      <c r="A37" s="236" t="s">
        <v>115</v>
      </c>
      <c r="B37" s="240">
        <v>161333.0</v>
      </c>
      <c r="C37" s="240">
        <v>161333.0</v>
      </c>
      <c r="D37" s="237"/>
      <c r="E37" s="237"/>
      <c r="F37" s="238">
        <f t="shared" si="1"/>
        <v>0</v>
      </c>
      <c r="G37" s="235"/>
    </row>
    <row r="38" ht="14.25" customHeight="1">
      <c r="A38" s="236" t="s">
        <v>116</v>
      </c>
      <c r="B38" s="240">
        <v>40333.0</v>
      </c>
      <c r="C38" s="240"/>
      <c r="D38" s="237"/>
      <c r="E38" s="237"/>
      <c r="F38" s="238">
        <f t="shared" si="1"/>
        <v>40333</v>
      </c>
      <c r="G38" s="235"/>
    </row>
    <row r="39" ht="14.25" customHeight="1">
      <c r="A39" s="236" t="s">
        <v>117</v>
      </c>
      <c r="B39" s="240">
        <v>25167.0</v>
      </c>
      <c r="C39" s="240">
        <v>25167.0</v>
      </c>
      <c r="D39" s="237"/>
      <c r="E39" s="237"/>
      <c r="F39" s="238">
        <f t="shared" si="1"/>
        <v>0</v>
      </c>
      <c r="G39" s="235"/>
    </row>
    <row r="40" ht="14.25" customHeight="1">
      <c r="A40" s="236" t="s">
        <v>118</v>
      </c>
      <c r="B40" s="240">
        <v>3734833.0</v>
      </c>
      <c r="C40" s="240">
        <v>3734833.0</v>
      </c>
      <c r="D40" s="237"/>
      <c r="E40" s="237"/>
      <c r="F40" s="238">
        <f t="shared" si="1"/>
        <v>0</v>
      </c>
      <c r="G40" s="235"/>
    </row>
    <row r="41" ht="14.25" customHeight="1">
      <c r="A41" s="236" t="s">
        <v>119</v>
      </c>
      <c r="B41" s="240">
        <v>675333.0</v>
      </c>
      <c r="C41" s="240">
        <v>675333.0</v>
      </c>
      <c r="D41" s="237"/>
      <c r="E41" s="237"/>
      <c r="F41" s="238">
        <f t="shared" si="1"/>
        <v>0</v>
      </c>
      <c r="G41" s="235"/>
    </row>
    <row r="42" ht="14.25" customHeight="1">
      <c r="A42" s="236" t="s">
        <v>120</v>
      </c>
      <c r="B42" s="240">
        <v>2139667.0</v>
      </c>
      <c r="C42" s="240">
        <v>2139667.0</v>
      </c>
      <c r="D42" s="237"/>
      <c r="E42" s="237"/>
      <c r="F42" s="238">
        <f t="shared" si="1"/>
        <v>0</v>
      </c>
      <c r="G42" s="235"/>
    </row>
    <row r="43" ht="14.25" customHeight="1">
      <c r="A43" s="236" t="s">
        <v>122</v>
      </c>
      <c r="B43" s="240">
        <v>2119500.0</v>
      </c>
      <c r="C43" s="240">
        <v>2119500.0</v>
      </c>
      <c r="D43" s="237"/>
      <c r="E43" s="237"/>
      <c r="F43" s="238">
        <f t="shared" si="1"/>
        <v>0</v>
      </c>
      <c r="G43" s="235"/>
    </row>
    <row r="44" ht="14.25" customHeight="1">
      <c r="A44" s="236" t="s">
        <v>123</v>
      </c>
      <c r="B44" s="240">
        <v>987833.0</v>
      </c>
      <c r="C44" s="240">
        <v>987833.0</v>
      </c>
      <c r="D44" s="237"/>
      <c r="E44" s="237"/>
      <c r="F44" s="238">
        <f t="shared" si="1"/>
        <v>0</v>
      </c>
      <c r="G44" s="235"/>
    </row>
    <row r="45" ht="14.25" customHeight="1">
      <c r="A45" s="236" t="s">
        <v>124</v>
      </c>
      <c r="B45" s="240">
        <v>463667.0</v>
      </c>
      <c r="C45" s="240">
        <f>20767.64+442889.36</f>
        <v>463657</v>
      </c>
      <c r="D45" s="237"/>
      <c r="E45" s="237"/>
      <c r="F45" s="238">
        <f t="shared" si="1"/>
        <v>10</v>
      </c>
      <c r="G45" s="235"/>
    </row>
    <row r="46" ht="14.25" customHeight="1">
      <c r="A46" s="236" t="s">
        <v>125</v>
      </c>
      <c r="B46" s="240">
        <v>7782333.0</v>
      </c>
      <c r="C46" s="240">
        <f>7682960+99373</f>
        <v>7782333</v>
      </c>
      <c r="D46" s="237"/>
      <c r="E46" s="237"/>
      <c r="F46" s="238">
        <f t="shared" si="1"/>
        <v>0</v>
      </c>
      <c r="G46" s="235"/>
    </row>
    <row r="47" ht="14.25" customHeight="1">
      <c r="A47" s="236" t="s">
        <v>126</v>
      </c>
      <c r="B47" s="240">
        <v>7500.0</v>
      </c>
      <c r="C47" s="240">
        <v>7500.0</v>
      </c>
      <c r="D47" s="237"/>
      <c r="E47" s="237"/>
      <c r="F47" s="238">
        <f t="shared" si="1"/>
        <v>0</v>
      </c>
      <c r="G47" s="235"/>
    </row>
    <row r="48" ht="14.25" customHeight="1">
      <c r="A48" s="236" t="s">
        <v>128</v>
      </c>
      <c r="B48" s="240">
        <v>403167.0</v>
      </c>
      <c r="C48" s="240">
        <v>403167.0</v>
      </c>
      <c r="D48" s="237"/>
      <c r="E48" s="237"/>
      <c r="F48" s="238">
        <f t="shared" si="1"/>
        <v>0</v>
      </c>
      <c r="G48" s="235"/>
    </row>
    <row r="49" ht="14.25" customHeight="1">
      <c r="A49" s="236" t="s">
        <v>129</v>
      </c>
      <c r="B49" s="240">
        <v>211667.0</v>
      </c>
      <c r="C49" s="240">
        <v>211667.0</v>
      </c>
      <c r="D49" s="237"/>
      <c r="E49" s="237"/>
      <c r="F49" s="238">
        <f t="shared" si="1"/>
        <v>0</v>
      </c>
      <c r="G49" s="235"/>
    </row>
    <row r="50" ht="14.25" customHeight="1">
      <c r="A50" s="236" t="s">
        <v>131</v>
      </c>
      <c r="B50" s="240">
        <v>6156833.0</v>
      </c>
      <c r="C50" s="240">
        <v>6156833.0</v>
      </c>
      <c r="D50" s="237"/>
      <c r="E50" s="237"/>
      <c r="F50" s="238">
        <f t="shared" si="1"/>
        <v>0</v>
      </c>
      <c r="G50" s="235"/>
    </row>
    <row r="51" ht="14.25" customHeight="1">
      <c r="A51" s="236" t="s">
        <v>156</v>
      </c>
      <c r="B51" s="240">
        <v>2409333.0</v>
      </c>
      <c r="C51" s="240">
        <v>2409333.0</v>
      </c>
      <c r="D51" s="237"/>
      <c r="E51" s="237"/>
      <c r="F51" s="238">
        <f t="shared" si="1"/>
        <v>0</v>
      </c>
      <c r="G51" s="235"/>
    </row>
    <row r="52" ht="14.25" customHeight="1">
      <c r="A52" s="236" t="s">
        <v>133</v>
      </c>
      <c r="B52" s="237">
        <v>2873000.0</v>
      </c>
      <c r="C52" s="240">
        <v>2873000.0</v>
      </c>
      <c r="D52" s="237"/>
      <c r="E52" s="237"/>
      <c r="F52" s="238">
        <f t="shared" si="1"/>
        <v>0</v>
      </c>
      <c r="G52" s="235"/>
    </row>
    <row r="53" ht="18.0" customHeight="1">
      <c r="A53" s="236" t="s">
        <v>134</v>
      </c>
      <c r="B53" s="237">
        <v>10000.0</v>
      </c>
      <c r="C53" s="240"/>
      <c r="D53" s="237"/>
      <c r="E53" s="237"/>
      <c r="F53" s="238">
        <f t="shared" si="1"/>
        <v>10000</v>
      </c>
      <c r="G53" s="235"/>
    </row>
    <row r="54" ht="14.25" customHeight="1">
      <c r="A54" s="236" t="s">
        <v>136</v>
      </c>
      <c r="B54" s="237">
        <v>259500.0</v>
      </c>
      <c r="C54" s="240"/>
      <c r="D54" s="237"/>
      <c r="E54" s="237"/>
      <c r="F54" s="238">
        <f t="shared" si="1"/>
        <v>259500</v>
      </c>
      <c r="G54" s="235"/>
    </row>
    <row r="55" ht="14.25" customHeight="1">
      <c r="A55" s="236" t="s">
        <v>138</v>
      </c>
      <c r="B55" s="240">
        <v>1.12475E7</v>
      </c>
      <c r="C55" s="240">
        <f>2200000+9047500</f>
        <v>11247500</v>
      </c>
      <c r="D55" s="237"/>
      <c r="E55" s="240"/>
      <c r="F55" s="238">
        <f t="shared" si="1"/>
        <v>0</v>
      </c>
      <c r="G55" s="235"/>
    </row>
    <row r="56" ht="14.25" customHeight="1">
      <c r="A56" s="236" t="s">
        <v>139</v>
      </c>
      <c r="B56" s="240">
        <f>36666667-1051763</f>
        <v>35614904</v>
      </c>
      <c r="C56" s="240">
        <f>27710571+1238172+8326000-608076-1051763</f>
        <v>35614904</v>
      </c>
      <c r="D56" s="237"/>
      <c r="E56" s="237"/>
      <c r="F56" s="238">
        <f t="shared" si="1"/>
        <v>0</v>
      </c>
      <c r="G56" s="235"/>
    </row>
    <row r="57" ht="14.25" customHeight="1">
      <c r="A57" s="236" t="s">
        <v>140</v>
      </c>
      <c r="B57" s="240">
        <v>58000.0</v>
      </c>
      <c r="C57" s="240">
        <v>58000.0</v>
      </c>
      <c r="D57" s="237"/>
      <c r="E57" s="237"/>
      <c r="F57" s="238">
        <f t="shared" si="1"/>
        <v>0</v>
      </c>
      <c r="G57" s="235"/>
    </row>
    <row r="58" ht="14.25" customHeight="1">
      <c r="A58" s="303" t="s">
        <v>143</v>
      </c>
      <c r="B58" s="304">
        <f t="shared" ref="B58:F58" si="2">SUM(B9:B57)</f>
        <v>165614903</v>
      </c>
      <c r="C58" s="304">
        <f t="shared" si="2"/>
        <v>161894503</v>
      </c>
      <c r="D58" s="304">
        <f t="shared" si="2"/>
        <v>2480673</v>
      </c>
      <c r="E58" s="304">
        <f t="shared" si="2"/>
        <v>0</v>
      </c>
      <c r="F58" s="305">
        <f t="shared" si="2"/>
        <v>1239727</v>
      </c>
      <c r="G58" s="235"/>
    </row>
    <row r="59" ht="14.25" customHeight="1">
      <c r="A59" s="293" t="s">
        <v>157</v>
      </c>
      <c r="B59" s="260">
        <f>1051763</f>
        <v>1051763</v>
      </c>
      <c r="C59" s="260"/>
      <c r="D59" s="260"/>
      <c r="E59" s="260"/>
      <c r="F59" s="238">
        <f>B59-C59-D59-E59</f>
        <v>1051763</v>
      </c>
      <c r="G59" s="235"/>
    </row>
    <row r="60" ht="14.25" customHeight="1">
      <c r="A60" s="281" t="s">
        <v>158</v>
      </c>
      <c r="B60" s="294">
        <f t="shared" ref="B60:F60" si="3">B58+B59</f>
        <v>166666666</v>
      </c>
      <c r="C60" s="294">
        <f t="shared" si="3"/>
        <v>161894503</v>
      </c>
      <c r="D60" s="294">
        <f t="shared" si="3"/>
        <v>2480673</v>
      </c>
      <c r="E60" s="294">
        <f t="shared" si="3"/>
        <v>0</v>
      </c>
      <c r="F60" s="295">
        <f t="shared" si="3"/>
        <v>2291490</v>
      </c>
      <c r="G60" s="235"/>
    </row>
    <row r="61" ht="14.25" customHeight="1">
      <c r="A61" s="306" t="s">
        <v>166</v>
      </c>
      <c r="B61" s="307"/>
      <c r="C61" s="307"/>
      <c r="D61" s="307"/>
      <c r="E61" s="307"/>
      <c r="F61" s="307"/>
      <c r="G61" s="235"/>
    </row>
    <row r="62" ht="14.25" customHeight="1">
      <c r="A62" s="260"/>
      <c r="B62" s="260"/>
      <c r="C62" s="260"/>
      <c r="D62" s="260"/>
      <c r="E62" s="260"/>
      <c r="F62" s="260"/>
      <c r="G62" s="235"/>
    </row>
    <row r="63" ht="14.25" customHeight="1">
      <c r="A63" s="284" t="s">
        <v>159</v>
      </c>
      <c r="B63" s="285">
        <f>B12+B13+B15+B19+B21+B27+B33+B36+B43+B46+B48+B49+B53+B54+B57</f>
        <v>13281167</v>
      </c>
      <c r="C63" s="285">
        <f t="shared" ref="C63:E63" si="4">C12+C13+C15+C19+C21+C26+C34+C36+C43+C46+C48+C49+C53+C54+C57</f>
        <v>12102000</v>
      </c>
      <c r="D63" s="285">
        <f t="shared" si="4"/>
        <v>0</v>
      </c>
      <c r="E63" s="285">
        <f t="shared" si="4"/>
        <v>0</v>
      </c>
      <c r="F63" s="287">
        <f>B63-C63-D63-E63</f>
        <v>1179167</v>
      </c>
      <c r="G63" s="235"/>
    </row>
    <row r="64" ht="14.25" customHeight="1">
      <c r="A64" s="235"/>
      <c r="B64" s="235"/>
      <c r="C64" s="235"/>
      <c r="D64" s="235"/>
      <c r="E64" s="235"/>
      <c r="F64" s="235"/>
      <c r="G64" s="235"/>
    </row>
    <row r="65" ht="14.25" customHeight="1">
      <c r="A65" s="259"/>
      <c r="B65" s="259"/>
      <c r="C65" s="259"/>
      <c r="D65" s="259"/>
      <c r="E65" s="259"/>
      <c r="F65" s="259"/>
      <c r="G65" s="259"/>
      <c r="H65" s="308"/>
      <c r="I65" s="308"/>
      <c r="J65" s="308"/>
      <c r="K65" s="308"/>
      <c r="L65" s="308"/>
      <c r="M65" s="308"/>
      <c r="N65" s="308"/>
      <c r="O65" s="308"/>
      <c r="P65" s="308"/>
      <c r="Q65" s="308"/>
      <c r="R65" s="308"/>
      <c r="S65" s="308"/>
      <c r="T65" s="308"/>
      <c r="U65" s="308"/>
      <c r="V65" s="308"/>
      <c r="W65" s="308"/>
      <c r="X65" s="308"/>
      <c r="Y65" s="308"/>
      <c r="Z65" s="308"/>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C1" s="218"/>
      <c r="D1" s="218"/>
      <c r="E1" s="296" t="str">
        <f>[1]Status!C1</f>
        <v>#ERROR!</v>
      </c>
    </row>
    <row r="2" ht="14.25" customHeight="1">
      <c r="C2" s="218"/>
      <c r="D2" s="218"/>
      <c r="E2" s="220" t="s">
        <v>1</v>
      </c>
    </row>
    <row r="3" ht="14.25" customHeight="1">
      <c r="C3" s="218"/>
      <c r="D3" s="218"/>
      <c r="E3" s="220" t="s">
        <v>182</v>
      </c>
    </row>
    <row r="4" ht="14.25" customHeight="1">
      <c r="A4" s="222"/>
      <c r="B4" s="218"/>
      <c r="C4" s="218"/>
      <c r="D4" s="218"/>
      <c r="E4" s="218"/>
      <c r="F4" s="218"/>
    </row>
    <row r="5" ht="14.25" customHeight="1">
      <c r="A5" s="223" t="s">
        <v>148</v>
      </c>
    </row>
    <row r="6" ht="14.25" customHeight="1">
      <c r="A6" s="224" t="s">
        <v>183</v>
      </c>
    </row>
    <row r="7" ht="14.25" customHeight="1">
      <c r="A7" s="225" t="str">
        <f>[1]Status!A6</f>
        <v>#ERROR!</v>
      </c>
    </row>
    <row r="8" ht="14.25" customHeight="1">
      <c r="A8" s="226" t="s">
        <v>79</v>
      </c>
      <c r="B8" s="227" t="s">
        <v>80</v>
      </c>
      <c r="C8" s="227" t="s">
        <v>81</v>
      </c>
      <c r="D8" s="228" t="s">
        <v>82</v>
      </c>
      <c r="E8" s="227" t="s">
        <v>83</v>
      </c>
      <c r="F8" s="229" t="s">
        <v>84</v>
      </c>
    </row>
    <row r="9" ht="14.25" customHeight="1">
      <c r="A9" s="230" t="s">
        <v>86</v>
      </c>
      <c r="B9" s="268">
        <v>15167.0</v>
      </c>
      <c r="C9" s="268">
        <v>15167.0</v>
      </c>
      <c r="D9" s="233"/>
      <c r="E9" s="233"/>
      <c r="F9" s="234">
        <f t="shared" ref="F9:F57" si="1">B9-C9-D9-E9</f>
        <v>0</v>
      </c>
      <c r="G9" s="235"/>
    </row>
    <row r="10" ht="14.25" customHeight="1">
      <c r="A10" s="236" t="s">
        <v>150</v>
      </c>
      <c r="B10" s="240">
        <v>5889667.0</v>
      </c>
      <c r="C10" s="240">
        <v>5889667.0</v>
      </c>
      <c r="D10" s="237"/>
      <c r="E10" s="237"/>
      <c r="F10" s="238">
        <f t="shared" si="1"/>
        <v>0</v>
      </c>
      <c r="G10" s="235"/>
    </row>
    <row r="11" ht="14.25" customHeight="1">
      <c r="A11" s="236" t="s">
        <v>88</v>
      </c>
      <c r="B11" s="240">
        <v>1814500.0</v>
      </c>
      <c r="C11" s="240">
        <f>1250000+564500</f>
        <v>1814500</v>
      </c>
      <c r="D11" s="237"/>
      <c r="E11" s="237"/>
      <c r="F11" s="238">
        <f t="shared" si="1"/>
        <v>0</v>
      </c>
      <c r="G11" s="235"/>
    </row>
    <row r="12" ht="14.25" customHeight="1">
      <c r="A12" s="239" t="s">
        <v>89</v>
      </c>
      <c r="B12" s="240">
        <v>151167.0</v>
      </c>
      <c r="C12" s="240"/>
      <c r="D12" s="237"/>
      <c r="E12" s="237"/>
      <c r="F12" s="238">
        <f t="shared" si="1"/>
        <v>151167</v>
      </c>
      <c r="G12" s="235"/>
    </row>
    <row r="13" ht="14.25" customHeight="1">
      <c r="A13" s="236" t="s">
        <v>90</v>
      </c>
      <c r="B13" s="240">
        <v>141167.0</v>
      </c>
      <c r="C13" s="240">
        <v>77000.0</v>
      </c>
      <c r="D13" s="237"/>
      <c r="E13" s="237"/>
      <c r="F13" s="238">
        <f t="shared" si="1"/>
        <v>64167</v>
      </c>
      <c r="G13" s="235"/>
    </row>
    <row r="14" ht="14.25" customHeight="1">
      <c r="A14" s="236" t="s">
        <v>91</v>
      </c>
      <c r="B14" s="240">
        <v>2230333.0</v>
      </c>
      <c r="C14" s="240">
        <v>2230333.0</v>
      </c>
      <c r="D14" s="237"/>
      <c r="E14" s="237"/>
      <c r="F14" s="238">
        <f t="shared" si="1"/>
        <v>0</v>
      </c>
      <c r="G14" s="235"/>
    </row>
    <row r="15" ht="14.25" customHeight="1">
      <c r="A15" s="236" t="s">
        <v>92</v>
      </c>
      <c r="B15" s="240">
        <v>113333.0</v>
      </c>
      <c r="C15" s="240">
        <v>113333.0</v>
      </c>
      <c r="D15" s="237"/>
      <c r="E15" s="237"/>
      <c r="F15" s="238">
        <f t="shared" si="1"/>
        <v>0</v>
      </c>
      <c r="G15" s="235"/>
    </row>
    <row r="16" ht="14.25" customHeight="1">
      <c r="A16" s="236" t="s">
        <v>151</v>
      </c>
      <c r="B16" s="240">
        <v>7361333.0</v>
      </c>
      <c r="C16" s="240">
        <f>5889066.41+1172267</f>
        <v>7061333.41</v>
      </c>
      <c r="D16" s="237">
        <v>300000.0</v>
      </c>
      <c r="E16" s="237"/>
      <c r="F16" s="238">
        <f t="shared" si="1"/>
        <v>-0.4100000001</v>
      </c>
      <c r="G16" s="235"/>
    </row>
    <row r="17" ht="14.25" customHeight="1">
      <c r="A17" s="236" t="s">
        <v>94</v>
      </c>
      <c r="B17" s="240">
        <v>249500.0</v>
      </c>
      <c r="C17" s="240">
        <v>249500.0</v>
      </c>
      <c r="D17" s="237"/>
      <c r="E17" s="237"/>
      <c r="F17" s="238">
        <f t="shared" si="1"/>
        <v>0</v>
      </c>
      <c r="G17" s="235"/>
    </row>
    <row r="18" ht="14.25" customHeight="1">
      <c r="A18" s="236" t="s">
        <v>95</v>
      </c>
      <c r="B18" s="240">
        <v>108333.0</v>
      </c>
      <c r="C18" s="240">
        <v>108333.0</v>
      </c>
      <c r="D18" s="237"/>
      <c r="E18" s="237"/>
      <c r="F18" s="238">
        <f t="shared" si="1"/>
        <v>0</v>
      </c>
      <c r="G18" s="235"/>
    </row>
    <row r="19" ht="14.25" customHeight="1">
      <c r="A19" s="236" t="s">
        <v>96</v>
      </c>
      <c r="B19" s="240">
        <v>867000.0</v>
      </c>
      <c r="C19" s="240">
        <v>867000.0</v>
      </c>
      <c r="D19" s="237"/>
      <c r="E19" s="237"/>
      <c r="F19" s="238">
        <f t="shared" si="1"/>
        <v>0</v>
      </c>
      <c r="G19" s="235"/>
    </row>
    <row r="20" ht="14.25" customHeight="1">
      <c r="A20" s="236" t="s">
        <v>97</v>
      </c>
      <c r="B20" s="240">
        <v>1471833.0</v>
      </c>
      <c r="C20" s="240">
        <v>1471833.0</v>
      </c>
      <c r="D20" s="237"/>
      <c r="E20" s="237"/>
      <c r="F20" s="238">
        <f t="shared" si="1"/>
        <v>0</v>
      </c>
      <c r="G20" s="235"/>
    </row>
    <row r="21" ht="14.25" customHeight="1">
      <c r="A21" s="236" t="s">
        <v>98</v>
      </c>
      <c r="B21" s="240">
        <v>95833.0</v>
      </c>
      <c r="C21" s="240">
        <v>95832.97</v>
      </c>
      <c r="D21" s="237"/>
      <c r="E21" s="237"/>
      <c r="F21" s="238">
        <f t="shared" si="1"/>
        <v>0.03</v>
      </c>
      <c r="G21" s="235"/>
    </row>
    <row r="22" ht="14.25" customHeight="1">
      <c r="A22" s="236" t="s">
        <v>99</v>
      </c>
      <c r="B22" s="240">
        <v>1149167.0</v>
      </c>
      <c r="C22" s="240">
        <v>1149167.0</v>
      </c>
      <c r="D22" s="237"/>
      <c r="E22" s="237"/>
      <c r="F22" s="238">
        <f t="shared" si="1"/>
        <v>0</v>
      </c>
      <c r="G22" s="235"/>
    </row>
    <row r="23" ht="14.25" customHeight="1">
      <c r="A23" s="236" t="s">
        <v>152</v>
      </c>
      <c r="B23" s="240">
        <v>1.22455E7</v>
      </c>
      <c r="C23" s="240">
        <f>12245500-113000</f>
        <v>12132500</v>
      </c>
      <c r="D23" s="237">
        <f>113000</f>
        <v>113000</v>
      </c>
      <c r="E23" s="237"/>
      <c r="F23" s="238">
        <f t="shared" si="1"/>
        <v>0</v>
      </c>
      <c r="G23" s="235"/>
    </row>
    <row r="24" ht="14.25" customHeight="1">
      <c r="A24" s="236" t="s">
        <v>153</v>
      </c>
      <c r="B24" s="240">
        <v>1.6101333E7</v>
      </c>
      <c r="C24" s="240">
        <f>6440533.15+6440533.15-1852533</f>
        <v>11028533.3</v>
      </c>
      <c r="D24" s="237">
        <f>222182+4850618</f>
        <v>5072800</v>
      </c>
      <c r="E24" s="240"/>
      <c r="F24" s="238">
        <f t="shared" si="1"/>
        <v>-0.3000000007</v>
      </c>
      <c r="G24" s="235"/>
    </row>
    <row r="25" ht="14.25" customHeight="1">
      <c r="A25" s="236" t="s">
        <v>102</v>
      </c>
      <c r="B25" s="240">
        <v>1187000.0</v>
      </c>
      <c r="C25" s="240">
        <v>1187000.0</v>
      </c>
      <c r="D25" s="237"/>
      <c r="E25" s="237"/>
      <c r="F25" s="238">
        <f t="shared" si="1"/>
        <v>0</v>
      </c>
      <c r="G25" s="235"/>
    </row>
    <row r="26" ht="14.25" customHeight="1">
      <c r="A26" s="236" t="s">
        <v>103</v>
      </c>
      <c r="B26" s="240">
        <v>2500.0</v>
      </c>
      <c r="C26" s="240">
        <v>2500.0</v>
      </c>
      <c r="D26" s="237"/>
      <c r="E26" s="237"/>
      <c r="F26" s="238">
        <f t="shared" si="1"/>
        <v>0</v>
      </c>
      <c r="G26" s="235"/>
    </row>
    <row r="27" ht="14.25" customHeight="1">
      <c r="A27" s="236" t="s">
        <v>104</v>
      </c>
      <c r="B27" s="240">
        <v>405667.0</v>
      </c>
      <c r="C27" s="240">
        <v>405667.0</v>
      </c>
      <c r="D27" s="237"/>
      <c r="E27" s="237"/>
      <c r="F27" s="238">
        <f t="shared" si="1"/>
        <v>0</v>
      </c>
      <c r="G27" s="235"/>
    </row>
    <row r="28" ht="14.25" customHeight="1">
      <c r="A28" s="236" t="s">
        <v>105</v>
      </c>
      <c r="B28" s="240">
        <v>58000.0</v>
      </c>
      <c r="C28" s="240">
        <v>58000.0</v>
      </c>
      <c r="D28" s="237"/>
      <c r="E28" s="237"/>
      <c r="F28" s="238">
        <f t="shared" si="1"/>
        <v>0</v>
      </c>
      <c r="G28" s="235"/>
    </row>
    <row r="29" ht="14.25" customHeight="1">
      <c r="A29" s="236" t="s">
        <v>154</v>
      </c>
      <c r="B29" s="240">
        <v>844333.0</v>
      </c>
      <c r="C29" s="240">
        <v>844333.0</v>
      </c>
      <c r="D29" s="237"/>
      <c r="E29" s="237"/>
      <c r="F29" s="238">
        <f t="shared" si="1"/>
        <v>0</v>
      </c>
      <c r="G29" s="235"/>
    </row>
    <row r="30" ht="14.25" customHeight="1">
      <c r="A30" s="236" t="s">
        <v>107</v>
      </c>
      <c r="B30" s="240">
        <v>1083667.0</v>
      </c>
      <c r="C30" s="240"/>
      <c r="D30" s="237"/>
      <c r="E30" s="237"/>
      <c r="F30" s="238">
        <f t="shared" si="1"/>
        <v>1083667</v>
      </c>
      <c r="G30" s="235"/>
    </row>
    <row r="31" ht="14.25" customHeight="1">
      <c r="A31" s="236" t="s">
        <v>108</v>
      </c>
      <c r="B31" s="240">
        <v>9445500.0</v>
      </c>
      <c r="C31" s="240">
        <f>7159158.61+2286341-371762</f>
        <v>9073737.61</v>
      </c>
      <c r="D31" s="237">
        <v>371762.0</v>
      </c>
      <c r="E31" s="237"/>
      <c r="F31" s="238">
        <f t="shared" si="1"/>
        <v>0.3900000006</v>
      </c>
      <c r="G31" s="235"/>
    </row>
    <row r="32" ht="14.25" customHeight="1">
      <c r="A32" s="236" t="s">
        <v>155</v>
      </c>
      <c r="B32" s="240">
        <f>24395167-1295383</f>
        <v>23099784</v>
      </c>
      <c r="C32" s="240">
        <f>7375228+15724556-90400</f>
        <v>23009384</v>
      </c>
      <c r="D32" s="237">
        <v>90400.0</v>
      </c>
      <c r="E32" s="237"/>
      <c r="F32" s="238">
        <f t="shared" si="1"/>
        <v>0</v>
      </c>
      <c r="G32" s="235"/>
    </row>
    <row r="33" ht="14.25" customHeight="1">
      <c r="A33" s="236" t="s">
        <v>110</v>
      </c>
      <c r="B33" s="240">
        <v>481333.0</v>
      </c>
      <c r="C33" s="240">
        <v>481333.0</v>
      </c>
      <c r="D33" s="237"/>
      <c r="E33" s="237"/>
      <c r="F33" s="238">
        <f t="shared" si="1"/>
        <v>0</v>
      </c>
      <c r="G33" s="235"/>
    </row>
    <row r="34" ht="14.25" customHeight="1">
      <c r="A34" s="236" t="s">
        <v>112</v>
      </c>
      <c r="B34" s="240">
        <v>126000.0</v>
      </c>
      <c r="C34" s="240">
        <v>126000.0</v>
      </c>
      <c r="D34" s="237"/>
      <c r="E34" s="237"/>
      <c r="F34" s="238">
        <f t="shared" si="1"/>
        <v>0</v>
      </c>
      <c r="G34" s="235"/>
    </row>
    <row r="35" ht="14.25" customHeight="1">
      <c r="A35" s="236" t="s">
        <v>113</v>
      </c>
      <c r="B35" s="240">
        <v>17667.0</v>
      </c>
      <c r="C35" s="240">
        <v>17667.0</v>
      </c>
      <c r="D35" s="237"/>
      <c r="E35" s="237"/>
      <c r="F35" s="238">
        <f t="shared" si="1"/>
        <v>0</v>
      </c>
      <c r="G35" s="235"/>
    </row>
    <row r="36" ht="14.25" customHeight="1">
      <c r="A36" s="236" t="s">
        <v>114</v>
      </c>
      <c r="B36" s="240">
        <v>181500.0</v>
      </c>
      <c r="C36" s="240">
        <v>181500.0</v>
      </c>
      <c r="D36" s="237"/>
      <c r="E36" s="237"/>
      <c r="F36" s="238">
        <f t="shared" si="1"/>
        <v>0</v>
      </c>
      <c r="G36" s="235"/>
    </row>
    <row r="37" ht="14.25" customHeight="1">
      <c r="A37" s="236" t="s">
        <v>115</v>
      </c>
      <c r="B37" s="240">
        <v>161333.0</v>
      </c>
      <c r="C37" s="240">
        <v>161333.0</v>
      </c>
      <c r="D37" s="237"/>
      <c r="E37" s="237"/>
      <c r="F37" s="238">
        <f t="shared" si="1"/>
        <v>0</v>
      </c>
      <c r="G37" s="235"/>
    </row>
    <row r="38" ht="14.25" customHeight="1">
      <c r="A38" s="236" t="s">
        <v>116</v>
      </c>
      <c r="B38" s="240">
        <v>40333.0</v>
      </c>
      <c r="C38" s="240"/>
      <c r="D38" s="237"/>
      <c r="E38" s="237"/>
      <c r="F38" s="238">
        <f t="shared" si="1"/>
        <v>40333</v>
      </c>
      <c r="G38" s="235"/>
    </row>
    <row r="39" ht="14.25" customHeight="1">
      <c r="A39" s="236" t="s">
        <v>117</v>
      </c>
      <c r="B39" s="240">
        <v>25167.0</v>
      </c>
      <c r="C39" s="240">
        <v>25167.0</v>
      </c>
      <c r="D39" s="237"/>
      <c r="E39" s="237"/>
      <c r="F39" s="238">
        <f t="shared" si="1"/>
        <v>0</v>
      </c>
      <c r="G39" s="235"/>
    </row>
    <row r="40" ht="14.25" customHeight="1">
      <c r="A40" s="236" t="s">
        <v>118</v>
      </c>
      <c r="B40" s="240">
        <v>3734833.0</v>
      </c>
      <c r="C40" s="240">
        <v>3734833.0</v>
      </c>
      <c r="D40" s="237"/>
      <c r="E40" s="237"/>
      <c r="F40" s="238">
        <f t="shared" si="1"/>
        <v>0</v>
      </c>
      <c r="G40" s="235"/>
    </row>
    <row r="41" ht="14.25" customHeight="1">
      <c r="A41" s="236" t="s">
        <v>119</v>
      </c>
      <c r="B41" s="240">
        <v>675333.0</v>
      </c>
      <c r="C41" s="240">
        <f>46996+628337</f>
        <v>675333</v>
      </c>
      <c r="D41" s="237"/>
      <c r="E41" s="237"/>
      <c r="F41" s="238">
        <f t="shared" si="1"/>
        <v>0</v>
      </c>
      <c r="G41" s="235"/>
    </row>
    <row r="42" ht="14.25" customHeight="1">
      <c r="A42" s="236" t="s">
        <v>120</v>
      </c>
      <c r="B42" s="240">
        <v>2139667.0</v>
      </c>
      <c r="C42" s="240">
        <v>2139667.0</v>
      </c>
      <c r="D42" s="237"/>
      <c r="E42" s="237"/>
      <c r="F42" s="238">
        <f t="shared" si="1"/>
        <v>0</v>
      </c>
      <c r="G42" s="235"/>
    </row>
    <row r="43" ht="14.25" customHeight="1">
      <c r="A43" s="236" t="s">
        <v>122</v>
      </c>
      <c r="B43" s="240">
        <v>2119500.0</v>
      </c>
      <c r="C43" s="240">
        <v>2119500.0</v>
      </c>
      <c r="D43" s="237"/>
      <c r="E43" s="237"/>
      <c r="F43" s="238">
        <f t="shared" si="1"/>
        <v>0</v>
      </c>
      <c r="G43" s="235"/>
    </row>
    <row r="44" ht="14.25" customHeight="1">
      <c r="A44" s="236" t="s">
        <v>123</v>
      </c>
      <c r="B44" s="240">
        <v>987833.0</v>
      </c>
      <c r="C44" s="240">
        <v>987833.0</v>
      </c>
      <c r="D44" s="237"/>
      <c r="E44" s="237"/>
      <c r="F44" s="238">
        <f t="shared" si="1"/>
        <v>0</v>
      </c>
      <c r="G44" s="235"/>
    </row>
    <row r="45" ht="14.25" customHeight="1">
      <c r="A45" s="236" t="s">
        <v>124</v>
      </c>
      <c r="B45" s="240">
        <v>463667.0</v>
      </c>
      <c r="C45" s="240">
        <v>463667.0</v>
      </c>
      <c r="D45" s="237"/>
      <c r="E45" s="237"/>
      <c r="F45" s="238">
        <f t="shared" si="1"/>
        <v>0</v>
      </c>
      <c r="G45" s="235"/>
    </row>
    <row r="46" ht="14.25" customHeight="1">
      <c r="A46" s="236" t="s">
        <v>125</v>
      </c>
      <c r="B46" s="240">
        <v>7782333.0</v>
      </c>
      <c r="C46" s="240">
        <f>1606800+3051654+3123879</f>
        <v>7782333</v>
      </c>
      <c r="D46" s="237"/>
      <c r="E46" s="237"/>
      <c r="F46" s="238">
        <f t="shared" si="1"/>
        <v>0</v>
      </c>
      <c r="G46" s="235"/>
    </row>
    <row r="47" ht="14.25" customHeight="1">
      <c r="A47" s="236" t="s">
        <v>126</v>
      </c>
      <c r="B47" s="240">
        <v>7500.0</v>
      </c>
      <c r="C47" s="240">
        <v>7500.0</v>
      </c>
      <c r="D47" s="237"/>
      <c r="E47" s="237"/>
      <c r="F47" s="238">
        <f t="shared" si="1"/>
        <v>0</v>
      </c>
      <c r="G47" s="235"/>
    </row>
    <row r="48" ht="14.25" customHeight="1">
      <c r="A48" s="236" t="s">
        <v>128</v>
      </c>
      <c r="B48" s="240">
        <v>403167.0</v>
      </c>
      <c r="C48" s="240">
        <v>403167.0</v>
      </c>
      <c r="D48" s="237"/>
      <c r="E48" s="237"/>
      <c r="F48" s="238">
        <f t="shared" si="1"/>
        <v>0</v>
      </c>
      <c r="G48" s="235"/>
    </row>
    <row r="49" ht="14.25" customHeight="1">
      <c r="A49" s="236" t="s">
        <v>129</v>
      </c>
      <c r="B49" s="240">
        <v>211667.0</v>
      </c>
      <c r="C49" s="240">
        <v>211667.0</v>
      </c>
      <c r="D49" s="237"/>
      <c r="E49" s="237"/>
      <c r="F49" s="238">
        <f t="shared" si="1"/>
        <v>0</v>
      </c>
      <c r="G49" s="235"/>
    </row>
    <row r="50" ht="14.25" customHeight="1">
      <c r="A50" s="236" t="s">
        <v>131</v>
      </c>
      <c r="B50" s="240">
        <v>6156833.0</v>
      </c>
      <c r="C50" s="240">
        <f>6156833-1192731</f>
        <v>4964102</v>
      </c>
      <c r="D50" s="237">
        <v>1192731.0</v>
      </c>
      <c r="E50" s="237"/>
      <c r="F50" s="238">
        <f t="shared" si="1"/>
        <v>0</v>
      </c>
      <c r="G50" s="235"/>
    </row>
    <row r="51" ht="14.25" customHeight="1">
      <c r="A51" s="236" t="s">
        <v>156</v>
      </c>
      <c r="B51" s="240">
        <v>2409333.0</v>
      </c>
      <c r="C51" s="240">
        <v>2409333.0</v>
      </c>
      <c r="D51" s="237"/>
      <c r="E51" s="237"/>
      <c r="F51" s="238">
        <f t="shared" si="1"/>
        <v>0</v>
      </c>
      <c r="G51" s="235"/>
    </row>
    <row r="52" ht="14.25" customHeight="1">
      <c r="A52" s="236" t="s">
        <v>133</v>
      </c>
      <c r="B52" s="237">
        <v>2873000.0</v>
      </c>
      <c r="C52" s="240">
        <v>2872999.67</v>
      </c>
      <c r="D52" s="237"/>
      <c r="E52" s="237"/>
      <c r="F52" s="238">
        <f t="shared" si="1"/>
        <v>0.3300000001</v>
      </c>
      <c r="G52" s="235"/>
    </row>
    <row r="53" ht="18.0" customHeight="1">
      <c r="A53" s="236" t="s">
        <v>134</v>
      </c>
      <c r="B53" s="237">
        <v>10000.0</v>
      </c>
      <c r="C53" s="240"/>
      <c r="D53" s="237"/>
      <c r="E53" s="237"/>
      <c r="F53" s="238">
        <f t="shared" si="1"/>
        <v>10000</v>
      </c>
      <c r="G53" s="235"/>
    </row>
    <row r="54" ht="14.25" customHeight="1">
      <c r="A54" s="236" t="s">
        <v>136</v>
      </c>
      <c r="B54" s="237">
        <v>259500.0</v>
      </c>
      <c r="C54" s="240"/>
      <c r="D54" s="237"/>
      <c r="E54" s="237"/>
      <c r="F54" s="238">
        <f t="shared" si="1"/>
        <v>259500</v>
      </c>
      <c r="G54" s="235"/>
    </row>
    <row r="55" ht="14.25" customHeight="1">
      <c r="A55" s="236" t="s">
        <v>138</v>
      </c>
      <c r="B55" s="240">
        <v>1.12475E7</v>
      </c>
      <c r="C55" s="240">
        <v>1.12475E7</v>
      </c>
      <c r="D55" s="237"/>
      <c r="E55" s="240"/>
      <c r="F55" s="238">
        <f t="shared" si="1"/>
        <v>0</v>
      </c>
      <c r="G55" s="235"/>
    </row>
    <row r="56" ht="14.25" customHeight="1">
      <c r="A56" s="236" t="s">
        <v>139</v>
      </c>
      <c r="B56" s="240">
        <f>36666667-191409</f>
        <v>36475258</v>
      </c>
      <c r="C56" s="240">
        <f>1415928+24700000+300000+8326000+1889429-156099</f>
        <v>36475258</v>
      </c>
      <c r="D56" s="237"/>
      <c r="E56" s="237"/>
      <c r="F56" s="238">
        <f t="shared" si="1"/>
        <v>0</v>
      </c>
      <c r="G56" s="235"/>
    </row>
    <row r="57" ht="14.25" customHeight="1">
      <c r="A57" s="236" t="s">
        <v>140</v>
      </c>
      <c r="B57" s="240">
        <v>58000.0</v>
      </c>
      <c r="C57" s="237"/>
      <c r="D57" s="237"/>
      <c r="E57" s="237"/>
      <c r="F57" s="238">
        <f t="shared" si="1"/>
        <v>58000</v>
      </c>
      <c r="G57" s="235"/>
    </row>
    <row r="58" ht="14.25" customHeight="1">
      <c r="A58" s="303" t="s">
        <v>143</v>
      </c>
      <c r="B58" s="304">
        <f t="shared" ref="B58:F58" si="2">SUM(B9:B57)</f>
        <v>165179874</v>
      </c>
      <c r="C58" s="304">
        <f t="shared" si="2"/>
        <v>156372347</v>
      </c>
      <c r="D58" s="304">
        <f t="shared" si="2"/>
        <v>7140693</v>
      </c>
      <c r="E58" s="304">
        <f t="shared" si="2"/>
        <v>0</v>
      </c>
      <c r="F58" s="305">
        <f t="shared" si="2"/>
        <v>1666834.04</v>
      </c>
      <c r="G58" s="235"/>
    </row>
    <row r="59" ht="14.25" customHeight="1">
      <c r="A59" s="293" t="s">
        <v>157</v>
      </c>
      <c r="B59" s="260">
        <f>1295383+191409</f>
        <v>1486792</v>
      </c>
      <c r="C59" s="260"/>
      <c r="D59" s="260"/>
      <c r="E59" s="260"/>
      <c r="F59" s="245">
        <f>B59-C59-D59-E59</f>
        <v>1486792</v>
      </c>
      <c r="G59" s="235"/>
    </row>
    <row r="60" ht="14.25" customHeight="1">
      <c r="A60" s="281" t="s">
        <v>158</v>
      </c>
      <c r="B60" s="294">
        <f t="shared" ref="B60:F60" si="3">B58+B59</f>
        <v>166666666</v>
      </c>
      <c r="C60" s="294">
        <f t="shared" si="3"/>
        <v>156372347</v>
      </c>
      <c r="D60" s="294">
        <f t="shared" si="3"/>
        <v>7140693</v>
      </c>
      <c r="E60" s="294">
        <f t="shared" si="3"/>
        <v>0</v>
      </c>
      <c r="F60" s="295">
        <f t="shared" si="3"/>
        <v>3153626.04</v>
      </c>
      <c r="G60" s="235"/>
    </row>
    <row r="61" ht="14.25" customHeight="1">
      <c r="A61" s="306" t="s">
        <v>184</v>
      </c>
      <c r="B61" s="307"/>
      <c r="C61" s="307"/>
      <c r="D61" s="307"/>
      <c r="E61" s="307"/>
      <c r="F61" s="307"/>
      <c r="G61" s="235"/>
    </row>
    <row r="62" ht="14.25" customHeight="1">
      <c r="A62" s="260"/>
      <c r="B62" s="260"/>
      <c r="C62" s="260"/>
      <c r="D62" s="260"/>
      <c r="E62" s="260"/>
      <c r="F62" s="260"/>
      <c r="G62" s="235"/>
    </row>
    <row r="63" ht="14.25" customHeight="1">
      <c r="A63" s="284" t="s">
        <v>159</v>
      </c>
      <c r="B63" s="285">
        <f>B12+B13+B15+B19+B21+B27+B33+B36+B43+B46+B48+B49+B53+B54+B57</f>
        <v>13281167</v>
      </c>
      <c r="C63" s="285">
        <f t="shared" ref="C63:E63" si="4">C12+C13+C15+C19+C21+C26+C34+C36+C43+C46+C48+C49+C53+C54+C57</f>
        <v>11979832.97</v>
      </c>
      <c r="D63" s="285">
        <f t="shared" si="4"/>
        <v>0</v>
      </c>
      <c r="E63" s="285">
        <f t="shared" si="4"/>
        <v>0</v>
      </c>
      <c r="F63" s="287">
        <f>B63-C63-D63-E63</f>
        <v>1301334.03</v>
      </c>
      <c r="G63" s="235"/>
    </row>
    <row r="64" ht="14.25" customHeight="1">
      <c r="A64" s="309"/>
      <c r="B64" s="235"/>
      <c r="C64" s="235"/>
      <c r="D64" s="235"/>
      <c r="E64" s="235"/>
      <c r="F64" s="235"/>
      <c r="G64" s="235"/>
    </row>
    <row r="65" ht="14.25" customHeight="1">
      <c r="A65" s="259"/>
      <c r="B65" s="259"/>
      <c r="C65" s="259"/>
      <c r="D65" s="259"/>
      <c r="E65" s="259"/>
      <c r="F65" s="259"/>
      <c r="G65" s="259"/>
      <c r="H65" s="308"/>
      <c r="I65" s="308"/>
      <c r="J65" s="308"/>
      <c r="K65" s="308"/>
      <c r="L65" s="308"/>
      <c r="M65" s="308"/>
      <c r="N65" s="308"/>
      <c r="O65" s="308"/>
      <c r="P65" s="308"/>
      <c r="Q65" s="308"/>
      <c r="R65" s="308"/>
      <c r="S65" s="308"/>
      <c r="T65" s="308"/>
      <c r="U65" s="308"/>
      <c r="V65" s="308"/>
      <c r="W65" s="308"/>
      <c r="X65" s="308"/>
      <c r="Y65" s="308"/>
      <c r="Z65" s="308"/>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E1:F1"/>
    <mergeCell ref="E2:F2"/>
    <mergeCell ref="E3:F3"/>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16.43"/>
    <col customWidth="1" min="8" max="8" width="17.57"/>
    <col customWidth="1" min="9" max="26" width="8.71"/>
  </cols>
  <sheetData>
    <row r="1" ht="14.25" customHeight="1">
      <c r="A1" s="288" t="str">
        <f>[1]Status!C1</f>
        <v>#ERROR!</v>
      </c>
      <c r="C1" s="218"/>
      <c r="D1" s="218"/>
      <c r="E1" s="310"/>
      <c r="F1" s="310"/>
    </row>
    <row r="2" ht="14.25" customHeight="1">
      <c r="A2" s="217" t="s">
        <v>1</v>
      </c>
      <c r="B2" s="310"/>
      <c r="C2" s="218"/>
      <c r="D2" s="218"/>
      <c r="E2" s="310"/>
      <c r="F2" s="310"/>
    </row>
    <row r="3" ht="14.25" customHeight="1">
      <c r="A3" s="221" t="s">
        <v>180</v>
      </c>
      <c r="B3" s="310"/>
      <c r="C3" s="218"/>
      <c r="D3" s="218"/>
      <c r="E3" s="310"/>
      <c r="F3" s="310"/>
    </row>
    <row r="4" ht="14.25" customHeight="1">
      <c r="A4" s="222"/>
      <c r="B4" s="218"/>
      <c r="C4" s="218"/>
      <c r="D4" s="218"/>
      <c r="E4" s="218"/>
      <c r="F4" s="218"/>
    </row>
    <row r="5" ht="14.25" customHeight="1">
      <c r="A5" s="223" t="s">
        <v>148</v>
      </c>
    </row>
    <row r="6" ht="14.25" customHeight="1">
      <c r="A6" s="224" t="s">
        <v>185</v>
      </c>
    </row>
    <row r="7" ht="14.25" customHeight="1">
      <c r="A7" s="225" t="str">
        <f>[1]Status!A6</f>
        <v>#ERROR!</v>
      </c>
    </row>
    <row r="8" ht="33.0" customHeight="1">
      <c r="A8" s="226" t="s">
        <v>79</v>
      </c>
      <c r="B8" s="227" t="s">
        <v>80</v>
      </c>
      <c r="C8" s="227" t="s">
        <v>81</v>
      </c>
      <c r="D8" s="228" t="s">
        <v>82</v>
      </c>
      <c r="E8" s="227" t="s">
        <v>83</v>
      </c>
      <c r="F8" s="229" t="s">
        <v>84</v>
      </c>
    </row>
    <row r="9" ht="14.25" customHeight="1">
      <c r="A9" s="230" t="s">
        <v>86</v>
      </c>
      <c r="B9" s="268">
        <f>'YR2015'!B9+'YR2016'!B9+'YR2017'!B9</f>
        <v>48504</v>
      </c>
      <c r="C9" s="268">
        <f>'YR2015'!C9+'YR2016'!C9+'YR2017'!C9</f>
        <v>48504</v>
      </c>
      <c r="D9" s="268">
        <f>'YR2015'!D9+'YR2016'!D9+'YR2017'!D9</f>
        <v>0</v>
      </c>
      <c r="E9" s="268">
        <f>'YR2015'!E9+'YR2016'!E9+'YR2017'!E9</f>
        <v>0</v>
      </c>
      <c r="F9" s="270">
        <f t="shared" ref="F9:F57" si="1">B9-C9-D9-E9</f>
        <v>0</v>
      </c>
      <c r="G9" s="235"/>
    </row>
    <row r="10" ht="14.25" customHeight="1">
      <c r="A10" s="236" t="s">
        <v>150</v>
      </c>
      <c r="B10" s="240">
        <f>'YR2015'!B10+'YR2016'!B10+'YR2017'!B10</f>
        <v>12574443</v>
      </c>
      <c r="C10" s="240">
        <f>'YR2015'!C10+'YR2016'!C10+'YR2017'!C10</f>
        <v>12574443</v>
      </c>
      <c r="D10" s="240">
        <f>'YR2015'!D10+'YR2016'!D10+'YR2017'!D10</f>
        <v>0</v>
      </c>
      <c r="E10" s="240">
        <f>'YR2015'!E10+'YR2016'!E10+'YR2017'!E10</f>
        <v>0</v>
      </c>
      <c r="F10" s="238">
        <f t="shared" si="1"/>
        <v>0</v>
      </c>
      <c r="G10" s="235"/>
    </row>
    <row r="11" ht="14.25" customHeight="1">
      <c r="A11" s="236" t="s">
        <v>88</v>
      </c>
      <c r="B11" s="240">
        <f>'YR2015'!B11+'YR2016'!B11+'YR2017'!B11</f>
        <v>4838190</v>
      </c>
      <c r="C11" s="240">
        <f>'YR2015'!C11+'YR2016'!C11+'YR2017'!C11</f>
        <v>4838190</v>
      </c>
      <c r="D11" s="240">
        <f>'YR2015'!D11+'YR2016'!D11+'YR2017'!D11</f>
        <v>0</v>
      </c>
      <c r="E11" s="240">
        <f>'YR2015'!E11+'YR2016'!E11+'YR2017'!E11</f>
        <v>0</v>
      </c>
      <c r="F11" s="238">
        <f t="shared" si="1"/>
        <v>0</v>
      </c>
      <c r="G11" s="235"/>
    </row>
    <row r="12" ht="14.25" customHeight="1">
      <c r="A12" s="239" t="s">
        <v>89</v>
      </c>
      <c r="B12" s="240">
        <f>'YR2015'!B12+'YR2016'!B12+'YR2017'!B12</f>
        <v>242517</v>
      </c>
      <c r="C12" s="240">
        <f>'YR2015'!C12+'YR2016'!C12+'YR2017'!C12</f>
        <v>0</v>
      </c>
      <c r="D12" s="240">
        <f>'YR2015'!D12+'YR2016'!D12+'YR2017'!D12</f>
        <v>0</v>
      </c>
      <c r="E12" s="240">
        <f>'YR2015'!E12+'YR2016'!E12+'YR2017'!E12</f>
        <v>0</v>
      </c>
      <c r="F12" s="238">
        <f t="shared" si="1"/>
        <v>242517</v>
      </c>
      <c r="G12" s="235"/>
    </row>
    <row r="13" ht="14.25" customHeight="1">
      <c r="A13" s="236" t="s">
        <v>90</v>
      </c>
      <c r="B13" s="240">
        <f>'YR2015'!B13+'YR2016'!B13+'YR2017'!B13</f>
        <v>339522</v>
      </c>
      <c r="C13" s="240">
        <f>'YR2015'!C13+'YR2016'!C13+'YR2017'!C13</f>
        <v>226348</v>
      </c>
      <c r="D13" s="240">
        <f>'YR2015'!D13+'YR2016'!D13+'YR2017'!D13</f>
        <v>0</v>
      </c>
      <c r="E13" s="240">
        <f>'YR2015'!E13+'YR2016'!E13+'YR2017'!E13</f>
        <v>0</v>
      </c>
      <c r="F13" s="238">
        <f t="shared" si="1"/>
        <v>113174</v>
      </c>
      <c r="G13" s="235"/>
    </row>
    <row r="14" ht="14.25" customHeight="1">
      <c r="A14" s="236" t="s">
        <v>91</v>
      </c>
      <c r="B14" s="240">
        <f>'YR2015'!B14+'YR2016'!B14+'YR2017'!B14</f>
        <v>6050769</v>
      </c>
      <c r="C14" s="240">
        <f>'YR2015'!C14+'YR2016'!C14+'YR2017'!C14</f>
        <v>6050769</v>
      </c>
      <c r="D14" s="240">
        <f>'YR2015'!D14+'YR2016'!D14+'YR2017'!D14</f>
        <v>0</v>
      </c>
      <c r="E14" s="240">
        <f>'YR2015'!E14+'YR2016'!E14+'YR2017'!E14</f>
        <v>0</v>
      </c>
      <c r="F14" s="238">
        <f t="shared" si="1"/>
        <v>0</v>
      </c>
      <c r="G14" s="235"/>
    </row>
    <row r="15" ht="14.25" customHeight="1">
      <c r="A15" s="236" t="s">
        <v>92</v>
      </c>
      <c r="B15" s="240">
        <f>'YR2015'!B15+'YR2016'!B15+'YR2017'!B15</f>
        <v>284955</v>
      </c>
      <c r="C15" s="240">
        <f>'YR2015'!C15+'YR2016'!C15+'YR2017'!C15</f>
        <v>284955</v>
      </c>
      <c r="D15" s="240">
        <f>'YR2015'!D15+'YR2016'!D15+'YR2017'!D15</f>
        <v>0</v>
      </c>
      <c r="E15" s="240">
        <f>'YR2015'!E15+'YR2016'!E15+'YR2017'!E15</f>
        <v>0</v>
      </c>
      <c r="F15" s="238">
        <f t="shared" si="1"/>
        <v>0</v>
      </c>
      <c r="G15" s="235"/>
    </row>
    <row r="16" ht="14.25" customHeight="1">
      <c r="A16" s="236" t="s">
        <v>151</v>
      </c>
      <c r="B16" s="240">
        <f>'YR2015'!B16+'YR2016'!B16+'YR2017'!B16</f>
        <v>18091677</v>
      </c>
      <c r="C16" s="240">
        <f>'YR2015'!C16+'YR2016'!C16+'YR2017'!C16</f>
        <v>18091676.63</v>
      </c>
      <c r="D16" s="240">
        <f>'YR2015'!D16+'YR2016'!D16+'YR2017'!D16</f>
        <v>0</v>
      </c>
      <c r="E16" s="240">
        <f>'YR2015'!E16+'YR2016'!E16+'YR2017'!E16</f>
        <v>0</v>
      </c>
      <c r="F16" s="238">
        <f t="shared" si="1"/>
        <v>0.3699999973</v>
      </c>
      <c r="G16" s="235"/>
    </row>
    <row r="17" ht="14.25" customHeight="1">
      <c r="A17" s="236" t="s">
        <v>94</v>
      </c>
      <c r="B17" s="240">
        <f>'YR2015'!B17+'YR2016'!B17+'YR2017'!B17</f>
        <v>763926</v>
      </c>
      <c r="C17" s="240">
        <f>'YR2015'!C17+'YR2016'!C17+'YR2017'!C17</f>
        <v>763926.44</v>
      </c>
      <c r="D17" s="240">
        <f>'YR2015'!D17+'YR2016'!D17+'YR2017'!D17</f>
        <v>0</v>
      </c>
      <c r="E17" s="240">
        <f>'YR2015'!E17+'YR2016'!E17+'YR2017'!E17</f>
        <v>0</v>
      </c>
      <c r="F17" s="238">
        <f t="shared" si="1"/>
        <v>-0.4399999999</v>
      </c>
      <c r="G17" s="235"/>
    </row>
    <row r="18" ht="14.25" customHeight="1">
      <c r="A18" s="236" t="s">
        <v>95</v>
      </c>
      <c r="B18" s="240">
        <f>'YR2015'!B18+'YR2016'!B18+'YR2017'!B18</f>
        <v>284955</v>
      </c>
      <c r="C18" s="240">
        <f>'YR2015'!C18+'YR2016'!C18+'YR2017'!C18</f>
        <v>284955</v>
      </c>
      <c r="D18" s="240">
        <f>'YR2015'!D18+'YR2016'!D18+'YR2017'!D18</f>
        <v>0</v>
      </c>
      <c r="E18" s="240">
        <f>'YR2015'!E18+'YR2016'!E18+'YR2017'!E18</f>
        <v>0</v>
      </c>
      <c r="F18" s="238">
        <f t="shared" si="1"/>
        <v>0</v>
      </c>
      <c r="G18" s="235"/>
    </row>
    <row r="19" ht="14.25" customHeight="1">
      <c r="A19" s="236" t="s">
        <v>96</v>
      </c>
      <c r="B19" s="240">
        <f>'YR2015'!B19+'YR2016'!B19+'YR2017'!B19</f>
        <v>2340276</v>
      </c>
      <c r="C19" s="240">
        <f>'YR2015'!C19+'YR2016'!C19+'YR2017'!C19</f>
        <v>2340276</v>
      </c>
      <c r="D19" s="240">
        <f>'YR2015'!D19+'YR2016'!D19+'YR2017'!D19</f>
        <v>0</v>
      </c>
      <c r="E19" s="240">
        <f>'YR2015'!E19+'YR2016'!E19+'YR2017'!E19</f>
        <v>0</v>
      </c>
      <c r="F19" s="238">
        <f t="shared" si="1"/>
        <v>0</v>
      </c>
      <c r="G19" s="235"/>
    </row>
    <row r="20" ht="14.25" customHeight="1">
      <c r="A20" s="236" t="s">
        <v>97</v>
      </c>
      <c r="B20" s="240">
        <f>'YR2015'!B20+'YR2016'!B20+'YR2017'!B20</f>
        <v>4092453</v>
      </c>
      <c r="C20" s="240">
        <f>'YR2015'!C20+'YR2016'!C20+'YR2017'!C20</f>
        <v>4092453</v>
      </c>
      <c r="D20" s="240">
        <f>'YR2015'!D20+'YR2016'!D20+'YR2017'!D20</f>
        <v>0</v>
      </c>
      <c r="E20" s="240">
        <f>'YR2015'!E20+'YR2016'!E20+'YR2017'!E20</f>
        <v>0</v>
      </c>
      <c r="F20" s="238">
        <f t="shared" si="1"/>
        <v>0</v>
      </c>
      <c r="G20" s="235"/>
    </row>
    <row r="21" ht="14.25" customHeight="1">
      <c r="A21" s="236" t="s">
        <v>98</v>
      </c>
      <c r="B21" s="240">
        <f>'YR2015'!B21+'YR2016'!B21+'YR2017'!B21</f>
        <v>242517</v>
      </c>
      <c r="C21" s="240">
        <f>'YR2015'!C21+'YR2016'!C21+'YR2017'!C21</f>
        <v>242517</v>
      </c>
      <c r="D21" s="240">
        <f>'YR2015'!D21+'YR2016'!D21+'YR2017'!D21</f>
        <v>0</v>
      </c>
      <c r="E21" s="240">
        <f>'YR2015'!E21+'YR2016'!E21+'YR2017'!E21</f>
        <v>0</v>
      </c>
      <c r="F21" s="238">
        <f t="shared" si="1"/>
        <v>0</v>
      </c>
      <c r="G21" s="235"/>
    </row>
    <row r="22" ht="14.25" customHeight="1">
      <c r="A22" s="236" t="s">
        <v>99</v>
      </c>
      <c r="B22" s="240">
        <f>'YR2015'!B22+'YR2016'!B22+'YR2017'!B22</f>
        <v>3146643</v>
      </c>
      <c r="C22" s="240">
        <f>'YR2015'!C22+'YR2016'!C22+'YR2017'!C22</f>
        <v>3146643</v>
      </c>
      <c r="D22" s="240">
        <f>'YR2015'!D22+'YR2016'!D22+'YR2017'!D22</f>
        <v>0</v>
      </c>
      <c r="E22" s="240">
        <f>'YR2015'!E22+'YR2016'!E22+'YR2017'!E22</f>
        <v>0</v>
      </c>
      <c r="F22" s="238">
        <f t="shared" si="1"/>
        <v>0</v>
      </c>
      <c r="G22" s="235"/>
    </row>
    <row r="23" ht="14.25" customHeight="1">
      <c r="A23" s="236" t="s">
        <v>152</v>
      </c>
      <c r="B23" s="240">
        <f>'YR2015'!B23+'YR2016'!B23+'YR2017'!B23</f>
        <v>33909768</v>
      </c>
      <c r="C23" s="240">
        <f>'YR2015'!C23+'YR2016'!C23+'YR2017'!C23</f>
        <v>32754742.01</v>
      </c>
      <c r="D23" s="240">
        <f>'YR2015'!D23+'YR2016'!D23+'YR2017'!D23</f>
        <v>1155026</v>
      </c>
      <c r="E23" s="240">
        <f>'YR2015'!E23+'YR2016'!E23+'YR2017'!E23</f>
        <v>0</v>
      </c>
      <c r="F23" s="238">
        <f t="shared" si="1"/>
        <v>-0.009999997914</v>
      </c>
      <c r="G23" s="235"/>
    </row>
    <row r="24" ht="14.25" customHeight="1">
      <c r="A24" s="236" t="s">
        <v>153</v>
      </c>
      <c r="B24" s="240">
        <f>'YR2015'!B24+'YR2016'!B24+'YR2017'!B24</f>
        <v>43295127</v>
      </c>
      <c r="C24" s="240">
        <f>'YR2015'!C24+'YR2016'!C24+'YR2017'!C24</f>
        <v>34537016.28</v>
      </c>
      <c r="D24" s="240">
        <f>'YR2015'!D24+'YR2016'!D24+'YR2017'!D24</f>
        <v>8758111</v>
      </c>
      <c r="E24" s="240">
        <f>'YR2015'!E24+'YR2016'!E24+'YR2017'!E24</f>
        <v>-0.1062498107</v>
      </c>
      <c r="F24" s="238">
        <f t="shared" si="1"/>
        <v>-0.1737501905</v>
      </c>
      <c r="G24" s="311"/>
      <c r="H24" s="216"/>
    </row>
    <row r="25" ht="14.25" customHeight="1">
      <c r="A25" s="236" t="s">
        <v>102</v>
      </c>
      <c r="B25" s="240">
        <f>'YR2015'!B25+'YR2016'!B25+'YR2017'!B25</f>
        <v>3868128</v>
      </c>
      <c r="C25" s="240">
        <f>'YR2015'!C25+'YR2016'!C25+'YR2017'!C25</f>
        <v>3868128</v>
      </c>
      <c r="D25" s="240">
        <f>'YR2015'!D25+'YR2016'!D25+'YR2017'!D25</f>
        <v>0</v>
      </c>
      <c r="E25" s="240">
        <f>'YR2015'!E25+'YR2016'!E25+'YR2017'!E25</f>
        <v>0</v>
      </c>
      <c r="F25" s="238">
        <f t="shared" si="1"/>
        <v>0</v>
      </c>
      <c r="G25" s="235"/>
    </row>
    <row r="26" ht="14.25" customHeight="1">
      <c r="A26" s="236" t="s">
        <v>103</v>
      </c>
      <c r="B26" s="240">
        <f>'YR2015'!B26+'YR2016'!B26+'YR2017'!B26</f>
        <v>6063</v>
      </c>
      <c r="C26" s="240">
        <f>'YR2015'!C26+'YR2016'!C26+'YR2017'!C26</f>
        <v>6063</v>
      </c>
      <c r="D26" s="240">
        <f>'YR2015'!D26+'YR2016'!D26+'YR2017'!D26</f>
        <v>0</v>
      </c>
      <c r="E26" s="240">
        <f>'YR2015'!E26+'YR2016'!E26+'YR2017'!E26</f>
        <v>0</v>
      </c>
      <c r="F26" s="238">
        <f t="shared" si="1"/>
        <v>0</v>
      </c>
      <c r="G26" s="235"/>
    </row>
    <row r="27" ht="14.25" customHeight="1">
      <c r="A27" s="236" t="s">
        <v>104</v>
      </c>
      <c r="B27" s="240">
        <f>'YR2015'!B27+'YR2016'!B27+'YR2017'!B27</f>
        <v>1612731</v>
      </c>
      <c r="C27" s="240">
        <f>'YR2015'!C27+'YR2016'!C27+'YR2017'!C27</f>
        <v>1612731</v>
      </c>
      <c r="D27" s="240">
        <f>'YR2015'!D27+'YR2016'!D27+'YR2017'!D27</f>
        <v>0</v>
      </c>
      <c r="E27" s="240">
        <f>'YR2015'!E27+'YR2016'!E27+'YR2017'!E27</f>
        <v>0</v>
      </c>
      <c r="F27" s="238">
        <f t="shared" si="1"/>
        <v>0</v>
      </c>
      <c r="G27" s="235"/>
    </row>
    <row r="28" ht="14.25" customHeight="1">
      <c r="A28" s="236" t="s">
        <v>105</v>
      </c>
      <c r="B28" s="240">
        <f>'YR2015'!B28+'YR2016'!B28+'YR2017'!B28</f>
        <v>163698</v>
      </c>
      <c r="C28" s="240">
        <f>'YR2015'!C28+'YR2016'!C28+'YR2017'!C28</f>
        <v>163697.74</v>
      </c>
      <c r="D28" s="240">
        <f>'YR2015'!D28+'YR2016'!D28+'YR2017'!D28</f>
        <v>0</v>
      </c>
      <c r="E28" s="240">
        <f>'YR2015'!E28+'YR2016'!E28+'YR2017'!E28</f>
        <v>0</v>
      </c>
      <c r="F28" s="238">
        <f t="shared" si="1"/>
        <v>0.26</v>
      </c>
      <c r="G28" s="235"/>
    </row>
    <row r="29" ht="14.25" customHeight="1">
      <c r="A29" s="236" t="s">
        <v>154</v>
      </c>
      <c r="B29" s="240">
        <f>'YR2015'!B29+'YR2016'!B29+'YR2017'!B29</f>
        <v>2534289</v>
      </c>
      <c r="C29" s="240">
        <f>'YR2015'!C29+'YR2016'!C29+'YR2017'!C29</f>
        <v>2534289</v>
      </c>
      <c r="D29" s="240">
        <f>'YR2015'!D29+'YR2016'!D29+'YR2017'!D29</f>
        <v>0</v>
      </c>
      <c r="E29" s="240">
        <f>'YR2015'!E29+'YR2016'!E29+'YR2017'!E29</f>
        <v>0</v>
      </c>
      <c r="F29" s="238">
        <f t="shared" si="1"/>
        <v>0</v>
      </c>
      <c r="G29" s="235"/>
    </row>
    <row r="30" ht="14.25" customHeight="1">
      <c r="A30" s="236" t="s">
        <v>107</v>
      </c>
      <c r="B30" s="240">
        <f>'YR2015'!B30+'YR2016'!B30+'YR2017'!B30</f>
        <v>2400906</v>
      </c>
      <c r="C30" s="240">
        <f>'YR2015'!C30+'YR2016'!C30+'YR2017'!C30</f>
        <v>0</v>
      </c>
      <c r="D30" s="240">
        <f>'YR2015'!D30+'YR2016'!D30+'YR2017'!D30</f>
        <v>0</v>
      </c>
      <c r="E30" s="240">
        <f>'YR2015'!E30+'YR2016'!E30+'YR2017'!E30</f>
        <v>0</v>
      </c>
      <c r="F30" s="238">
        <f t="shared" si="1"/>
        <v>2400906</v>
      </c>
      <c r="G30" s="235"/>
    </row>
    <row r="31" ht="14.25" customHeight="1">
      <c r="A31" s="236" t="s">
        <v>108</v>
      </c>
      <c r="B31" s="240">
        <f>'YR2015'!B31+'YR2016'!B31+'YR2017'!B31</f>
        <v>26967753</v>
      </c>
      <c r="C31" s="240">
        <f>'YR2015'!C31+'YR2016'!C31+'YR2017'!C31</f>
        <v>24877302.99</v>
      </c>
      <c r="D31" s="240">
        <f>'YR2015'!D31+'YR2016'!D31+'YR2017'!D31</f>
        <v>2090450</v>
      </c>
      <c r="E31" s="240">
        <f>'YR2015'!E31+'YR2016'!E31+'YR2017'!E31</f>
        <v>0</v>
      </c>
      <c r="F31" s="238">
        <f t="shared" si="1"/>
        <v>0.009999997914</v>
      </c>
      <c r="G31" s="235"/>
    </row>
    <row r="32" ht="14.25" customHeight="1">
      <c r="A32" s="236" t="s">
        <v>155</v>
      </c>
      <c r="B32" s="240">
        <f>'YR2015'!B32+'YR2016'!B32+'YR2017'!B32</f>
        <v>65679333</v>
      </c>
      <c r="C32" s="240">
        <f>'YR2015'!C32+'YR2016'!C32+'YR2017'!C32</f>
        <v>65359259.85</v>
      </c>
      <c r="D32" s="240">
        <f>'YR2015'!D32+'YR2016'!D32+'YR2017'!D32</f>
        <v>320073</v>
      </c>
      <c r="E32" s="240">
        <f>'YR2015'!E32+'YR2016'!E32+'YR2017'!E32</f>
        <v>0</v>
      </c>
      <c r="F32" s="238">
        <f t="shared" si="1"/>
        <v>0.1499999985</v>
      </c>
      <c r="G32" s="235"/>
      <c r="H32" s="312"/>
    </row>
    <row r="33" ht="14.25" customHeight="1">
      <c r="A33" s="236" t="s">
        <v>110</v>
      </c>
      <c r="B33" s="240">
        <f>'YR2015'!B33+'YR2016'!B33+'YR2017'!B33</f>
        <v>733611</v>
      </c>
      <c r="C33" s="240">
        <f>'YR2015'!C33+'YR2016'!C33+'YR2017'!C33</f>
        <v>733611</v>
      </c>
      <c r="D33" s="240">
        <f>'YR2015'!D33+'YR2016'!D33+'YR2017'!D33</f>
        <v>0</v>
      </c>
      <c r="E33" s="240">
        <f>'YR2015'!E33+'YR2016'!E33+'YR2017'!E33</f>
        <v>0</v>
      </c>
      <c r="F33" s="238">
        <f t="shared" si="1"/>
        <v>0</v>
      </c>
      <c r="G33" s="235"/>
      <c r="H33" s="312"/>
    </row>
    <row r="34" ht="14.25" customHeight="1">
      <c r="A34" s="236" t="s">
        <v>112</v>
      </c>
      <c r="B34" s="240">
        <f>'YR2015'!B34+'YR2016'!B34+'YR2017'!B34</f>
        <v>284955</v>
      </c>
      <c r="C34" s="240">
        <f>'YR2015'!C34+'YR2016'!C34+'YR2017'!C34</f>
        <v>284955</v>
      </c>
      <c r="D34" s="240">
        <f>'YR2015'!D34+'YR2016'!D34+'YR2017'!D34</f>
        <v>0</v>
      </c>
      <c r="E34" s="240">
        <f>'YR2015'!E34+'YR2016'!E34+'YR2017'!E34</f>
        <v>0</v>
      </c>
      <c r="F34" s="238">
        <f t="shared" si="1"/>
        <v>0</v>
      </c>
      <c r="G34" s="235"/>
    </row>
    <row r="35" ht="14.25" customHeight="1">
      <c r="A35" s="236" t="s">
        <v>113</v>
      </c>
      <c r="B35" s="240">
        <f>'YR2015'!B35+'YR2016'!B35+'YR2017'!B35</f>
        <v>54567</v>
      </c>
      <c r="C35" s="240">
        <f>'YR2015'!C35+'YR2016'!C35+'YR2017'!C35</f>
        <v>54567</v>
      </c>
      <c r="D35" s="240">
        <f>'YR2015'!D35+'YR2016'!D35+'YR2017'!D35</f>
        <v>0</v>
      </c>
      <c r="E35" s="240">
        <f>'YR2015'!E35+'YR2016'!E35+'YR2017'!E35</f>
        <v>0</v>
      </c>
      <c r="F35" s="238">
        <f t="shared" si="1"/>
        <v>0</v>
      </c>
      <c r="G35" s="235"/>
    </row>
    <row r="36" ht="14.25" customHeight="1">
      <c r="A36" s="236" t="s">
        <v>114</v>
      </c>
      <c r="B36" s="240">
        <f>'YR2015'!B36+'YR2016'!B36+'YR2017'!B36</f>
        <v>442590</v>
      </c>
      <c r="C36" s="240">
        <f>'YR2015'!C36+'YR2016'!C36+'YR2017'!C36</f>
        <v>442590</v>
      </c>
      <c r="D36" s="240">
        <f>'YR2015'!D36+'YR2016'!D36+'YR2017'!D36</f>
        <v>0</v>
      </c>
      <c r="E36" s="240">
        <f>'YR2015'!E36+'YR2016'!E36+'YR2017'!E36</f>
        <v>0</v>
      </c>
      <c r="F36" s="238">
        <f t="shared" si="1"/>
        <v>0</v>
      </c>
      <c r="G36" s="235"/>
    </row>
    <row r="37" ht="14.25" customHeight="1">
      <c r="A37" s="236" t="s">
        <v>115</v>
      </c>
      <c r="B37" s="240">
        <f>'YR2015'!B37+'YR2016'!B37+'YR2017'!B37</f>
        <v>491094</v>
      </c>
      <c r="C37" s="240">
        <f>'YR2015'!C37+'YR2016'!C37+'YR2017'!C37</f>
        <v>491094</v>
      </c>
      <c r="D37" s="240">
        <f>'YR2015'!D37+'YR2016'!D37+'YR2017'!D37</f>
        <v>0</v>
      </c>
      <c r="E37" s="240">
        <f>'YR2015'!E37+'YR2016'!E37+'YR2017'!E37</f>
        <v>0</v>
      </c>
      <c r="F37" s="238">
        <f t="shared" si="1"/>
        <v>0</v>
      </c>
      <c r="G37" s="235"/>
    </row>
    <row r="38" ht="14.25" customHeight="1">
      <c r="A38" s="236" t="s">
        <v>116</v>
      </c>
      <c r="B38" s="240">
        <f>'YR2015'!B38+'YR2016'!B38+'YR2017'!B38</f>
        <v>97005</v>
      </c>
      <c r="C38" s="240">
        <f>'YR2015'!C38+'YR2016'!C38+'YR2017'!C38</f>
        <v>64670</v>
      </c>
      <c r="D38" s="240">
        <f>'YR2015'!D38+'YR2016'!D38+'YR2017'!D38</f>
        <v>0</v>
      </c>
      <c r="E38" s="240">
        <f>'YR2015'!E38+'YR2016'!E38+'YR2017'!E38</f>
        <v>0</v>
      </c>
      <c r="F38" s="238">
        <f t="shared" si="1"/>
        <v>32335</v>
      </c>
      <c r="G38" s="235"/>
    </row>
    <row r="39" ht="14.25" customHeight="1">
      <c r="A39" s="236" t="s">
        <v>117</v>
      </c>
      <c r="B39" s="240">
        <f>'YR2015'!B39+'YR2016'!B39+'YR2017'!B39</f>
        <v>72756</v>
      </c>
      <c r="C39" s="240">
        <f>'YR2015'!C39+'YR2016'!C39+'YR2017'!C39</f>
        <v>72756</v>
      </c>
      <c r="D39" s="240">
        <f>'YR2015'!D39+'YR2016'!D39+'YR2017'!D39</f>
        <v>0</v>
      </c>
      <c r="E39" s="240">
        <f>'YR2015'!E39+'YR2016'!E39+'YR2017'!E39</f>
        <v>0</v>
      </c>
      <c r="F39" s="238">
        <f t="shared" si="1"/>
        <v>0</v>
      </c>
      <c r="G39" s="235"/>
    </row>
    <row r="40" ht="14.25" customHeight="1">
      <c r="A40" s="236" t="s">
        <v>118</v>
      </c>
      <c r="B40" s="240">
        <f>'YR2015'!B40+'YR2016'!B40+'YR2017'!B40</f>
        <v>10028028</v>
      </c>
      <c r="C40" s="240">
        <f>'YR2015'!C40+'YR2016'!C40+'YR2017'!C40</f>
        <v>10028028</v>
      </c>
      <c r="D40" s="240">
        <f>'YR2015'!D40+'YR2016'!D40+'YR2017'!D40</f>
        <v>0</v>
      </c>
      <c r="E40" s="240">
        <f>'YR2015'!E40+'YR2016'!E40+'YR2017'!E40</f>
        <v>0</v>
      </c>
      <c r="F40" s="238">
        <f t="shared" si="1"/>
        <v>0</v>
      </c>
      <c r="G40" s="235"/>
    </row>
    <row r="41" ht="14.25" customHeight="1">
      <c r="A41" s="236" t="s">
        <v>119</v>
      </c>
      <c r="B41" s="240">
        <f>'YR2015'!B41+'YR2016'!B41+'YR2017'!B41</f>
        <v>1533912</v>
      </c>
      <c r="C41" s="240">
        <f>'YR2015'!C41+'YR2016'!C41+'YR2017'!C41</f>
        <v>1533912</v>
      </c>
      <c r="D41" s="240">
        <f>'YR2015'!D41+'YR2016'!D41+'YR2017'!D41</f>
        <v>0</v>
      </c>
      <c r="E41" s="240">
        <f>'YR2015'!E41+'YR2016'!E41+'YR2017'!E41</f>
        <v>0</v>
      </c>
      <c r="F41" s="238">
        <f t="shared" si="1"/>
        <v>0</v>
      </c>
      <c r="G41" s="235"/>
    </row>
    <row r="42" ht="14.25" customHeight="1">
      <c r="A42" s="236" t="s">
        <v>120</v>
      </c>
      <c r="B42" s="240">
        <f>'YR2015'!B42+'YR2016'!B42+'YR2017'!B42</f>
        <v>5159523</v>
      </c>
      <c r="C42" s="240">
        <f>'YR2015'!C42+'YR2016'!C42+'YR2017'!C42</f>
        <v>5159523</v>
      </c>
      <c r="D42" s="240">
        <f>'YR2015'!D42+'YR2016'!D42+'YR2017'!D42</f>
        <v>0</v>
      </c>
      <c r="E42" s="240">
        <f>'YR2015'!E42+'YR2016'!E42+'YR2017'!E42</f>
        <v>0</v>
      </c>
      <c r="F42" s="238">
        <f t="shared" si="1"/>
        <v>0</v>
      </c>
      <c r="G42" s="235"/>
    </row>
    <row r="43" ht="14.25" customHeight="1">
      <c r="A43" s="236" t="s">
        <v>122</v>
      </c>
      <c r="B43" s="240">
        <f>'YR2015'!B43+'YR2016'!B43+'YR2017'!B43</f>
        <v>5583927</v>
      </c>
      <c r="C43" s="240">
        <f>'YR2015'!C43+'YR2016'!C43+'YR2017'!C43</f>
        <v>5583927.4</v>
      </c>
      <c r="D43" s="240">
        <f>'YR2015'!D43+'YR2016'!D43+'YR2017'!D43</f>
        <v>0</v>
      </c>
      <c r="E43" s="240">
        <f>'YR2015'!E43+'YR2016'!E43+'YR2017'!E43</f>
        <v>0</v>
      </c>
      <c r="F43" s="238">
        <f t="shared" si="1"/>
        <v>-0.4000000004</v>
      </c>
      <c r="G43" s="235"/>
    </row>
    <row r="44" ht="14.25" customHeight="1">
      <c r="A44" s="236" t="s">
        <v>123</v>
      </c>
      <c r="B44" s="240">
        <f>'YR2015'!B44+'YR2016'!B44+'YR2017'!B44</f>
        <v>2873811</v>
      </c>
      <c r="C44" s="240">
        <f>'YR2015'!C44+'YR2016'!C44+'YR2017'!C44</f>
        <v>2873811</v>
      </c>
      <c r="D44" s="240">
        <f>'YR2015'!D44+'YR2016'!D44+'YR2017'!D44</f>
        <v>0</v>
      </c>
      <c r="E44" s="240">
        <f>'YR2015'!E44+'YR2016'!E44+'YR2017'!E44</f>
        <v>0</v>
      </c>
      <c r="F44" s="238">
        <f t="shared" si="1"/>
        <v>0</v>
      </c>
      <c r="G44" s="235"/>
    </row>
    <row r="45" ht="14.25" customHeight="1">
      <c r="A45" s="236" t="s">
        <v>124</v>
      </c>
      <c r="B45" s="240">
        <f>'YR2015'!B45+'YR2016'!B45+'YR2017'!B45</f>
        <v>1370214</v>
      </c>
      <c r="C45" s="240">
        <f>'YR2015'!C45+'YR2016'!C45+'YR2017'!C45</f>
        <v>1370214</v>
      </c>
      <c r="D45" s="240">
        <f>'YR2015'!D45+'YR2016'!D45+'YR2017'!D45</f>
        <v>0</v>
      </c>
      <c r="E45" s="240">
        <f>'YR2015'!E45+'YR2016'!E45+'YR2017'!E45</f>
        <v>0</v>
      </c>
      <c r="F45" s="238">
        <f t="shared" si="1"/>
        <v>0</v>
      </c>
      <c r="G45" s="235"/>
    </row>
    <row r="46" ht="14.25" customHeight="1">
      <c r="A46" s="236" t="s">
        <v>125</v>
      </c>
      <c r="B46" s="240">
        <f>'YR2015'!B46+'YR2016'!B46+'YR2017'!B46</f>
        <v>14781336</v>
      </c>
      <c r="C46" s="240">
        <f>'YR2015'!C46+'YR2016'!C46+'YR2017'!C46</f>
        <v>14114660.41</v>
      </c>
      <c r="D46" s="240">
        <f>'YR2015'!D46+'YR2016'!D46+'YR2017'!D46</f>
        <v>666676</v>
      </c>
      <c r="E46" s="240">
        <f>'YR2015'!E46+'YR2016'!E46+'YR2017'!E46</f>
        <v>0</v>
      </c>
      <c r="F46" s="238">
        <f t="shared" si="1"/>
        <v>-0.4100000001</v>
      </c>
      <c r="G46" s="235"/>
    </row>
    <row r="47" ht="14.25" customHeight="1">
      <c r="A47" s="236" t="s">
        <v>126</v>
      </c>
      <c r="B47" s="240">
        <f>'YR2015'!B47+'YR2016'!B47+'YR2017'!B47</f>
        <v>18189</v>
      </c>
      <c r="C47" s="240">
        <f>'YR2015'!C47+'YR2016'!C47+'YR2017'!C47</f>
        <v>18189</v>
      </c>
      <c r="D47" s="240">
        <f>'YR2015'!D47+'YR2016'!D47+'YR2017'!D47</f>
        <v>0</v>
      </c>
      <c r="E47" s="240">
        <f>'YR2015'!E47+'YR2016'!E47+'YR2017'!E47</f>
        <v>0</v>
      </c>
      <c r="F47" s="238">
        <f t="shared" si="1"/>
        <v>0</v>
      </c>
      <c r="G47" s="235"/>
    </row>
    <row r="48" ht="14.25" customHeight="1">
      <c r="A48" s="236" t="s">
        <v>128</v>
      </c>
      <c r="B48" s="240">
        <f>'YR2015'!B48+'YR2016'!B48+'YR2017'!B48</f>
        <v>1036755</v>
      </c>
      <c r="C48" s="240">
        <f>'YR2015'!C48+'YR2016'!C48+'YR2017'!C48</f>
        <v>1036755.18</v>
      </c>
      <c r="D48" s="240">
        <f>'YR2015'!D48+'YR2016'!D48+'YR2017'!D48</f>
        <v>0</v>
      </c>
      <c r="E48" s="240">
        <f>'YR2015'!E48+'YR2016'!E48+'YR2017'!E48</f>
        <v>0</v>
      </c>
      <c r="F48" s="238">
        <f t="shared" si="1"/>
        <v>-0.1799999999</v>
      </c>
      <c r="G48" s="235"/>
    </row>
    <row r="49" ht="14.25" customHeight="1">
      <c r="A49" s="236" t="s">
        <v>129</v>
      </c>
      <c r="B49" s="240">
        <f>'YR2015'!B49+'YR2016'!B49+'YR2017'!B49</f>
        <v>606288</v>
      </c>
      <c r="C49" s="240">
        <f>'YR2015'!C49+'YR2016'!C49+'YR2017'!C49</f>
        <v>606288</v>
      </c>
      <c r="D49" s="240">
        <f>'YR2015'!D49+'YR2016'!D49+'YR2017'!D49</f>
        <v>0</v>
      </c>
      <c r="E49" s="240">
        <f>'YR2015'!E49+'YR2016'!E49+'YR2017'!E49</f>
        <v>0</v>
      </c>
      <c r="F49" s="238">
        <f t="shared" si="1"/>
        <v>0</v>
      </c>
      <c r="G49" s="235"/>
    </row>
    <row r="50" ht="14.25" customHeight="1">
      <c r="A50" s="236" t="s">
        <v>131</v>
      </c>
      <c r="B50" s="240">
        <f>'YR2015'!B50+'YR2016'!B50+'YR2017'!B50</f>
        <v>18024984</v>
      </c>
      <c r="C50" s="240">
        <f>'YR2015'!C50+'YR2016'!C50+'YR2017'!C50</f>
        <v>16846755</v>
      </c>
      <c r="D50" s="240">
        <f>'YR2015'!D50+'YR2016'!D50+'YR2017'!D50</f>
        <v>1178229</v>
      </c>
      <c r="E50" s="240">
        <f>'YR2015'!E50+'YR2016'!E50+'YR2017'!E50</f>
        <v>0</v>
      </c>
      <c r="F50" s="238">
        <f t="shared" si="1"/>
        <v>0</v>
      </c>
      <c r="G50" s="235"/>
    </row>
    <row r="51" ht="14.25" customHeight="1">
      <c r="A51" s="236" t="s">
        <v>156</v>
      </c>
      <c r="B51" s="240">
        <f>'YR2015'!B51+'YR2016'!B51+'YR2017'!B51</f>
        <v>5820378</v>
      </c>
      <c r="C51" s="240">
        <f>'YR2015'!C51+'YR2016'!C51+'YR2017'!C51</f>
        <v>5820378</v>
      </c>
      <c r="D51" s="240">
        <f>'YR2015'!D51+'YR2016'!D51+'YR2017'!D51</f>
        <v>0</v>
      </c>
      <c r="E51" s="240">
        <f>'YR2015'!E51+'YR2016'!E51+'YR2017'!E51</f>
        <v>0</v>
      </c>
      <c r="F51" s="238">
        <f t="shared" si="1"/>
        <v>0</v>
      </c>
      <c r="G51" s="235"/>
    </row>
    <row r="52" ht="14.25" customHeight="1">
      <c r="A52" s="236" t="s">
        <v>133</v>
      </c>
      <c r="B52" s="240">
        <f>'YR2015'!B52+'YR2016'!B52+'YR2017'!B52</f>
        <v>6347850</v>
      </c>
      <c r="C52" s="240">
        <f>'YR2015'!C52+'YR2016'!C52+'YR2017'!C52</f>
        <v>6347850</v>
      </c>
      <c r="D52" s="240">
        <f>'YR2015'!D52+'YR2016'!D52+'YR2017'!D52</f>
        <v>0</v>
      </c>
      <c r="E52" s="240">
        <f>'YR2015'!E52+'YR2016'!E52+'YR2017'!E52</f>
        <v>0</v>
      </c>
      <c r="F52" s="238">
        <f t="shared" si="1"/>
        <v>0</v>
      </c>
      <c r="G52" s="235"/>
    </row>
    <row r="53" ht="18.0" customHeight="1">
      <c r="A53" s="236" t="s">
        <v>134</v>
      </c>
      <c r="B53" s="240">
        <f>'YR2015'!B53+'YR2016'!B53+'YR2017'!B53</f>
        <v>18188.67</v>
      </c>
      <c r="C53" s="240">
        <f>'YR2015'!C53+'YR2016'!C53+'YR2017'!C53</f>
        <v>0</v>
      </c>
      <c r="D53" s="240">
        <f>'YR2015'!D53+'YR2016'!D53+'YR2017'!D53</f>
        <v>0</v>
      </c>
      <c r="E53" s="240">
        <f>'YR2015'!E53+'YR2016'!E53+'YR2017'!E53</f>
        <v>0</v>
      </c>
      <c r="F53" s="238">
        <f t="shared" si="1"/>
        <v>18188.67</v>
      </c>
      <c r="G53" s="235"/>
    </row>
    <row r="54" ht="14.25" customHeight="1">
      <c r="A54" s="236" t="s">
        <v>136</v>
      </c>
      <c r="B54" s="240">
        <f>'YR2015'!B54+'YR2016'!B54+'YR2017'!B54</f>
        <v>600226.53</v>
      </c>
      <c r="C54" s="240">
        <f>'YR2015'!C54+'YR2016'!C54+'YR2017'!C54</f>
        <v>0</v>
      </c>
      <c r="D54" s="240">
        <f>'YR2015'!D54+'YR2016'!D54+'YR2017'!D54</f>
        <v>0</v>
      </c>
      <c r="E54" s="240">
        <f>'YR2015'!E54+'YR2016'!E54+'YR2017'!E54</f>
        <v>0</v>
      </c>
      <c r="F54" s="238">
        <f t="shared" si="1"/>
        <v>600226.53</v>
      </c>
      <c r="G54" s="235"/>
    </row>
    <row r="55" ht="14.25" customHeight="1">
      <c r="A55" s="236" t="s">
        <v>138</v>
      </c>
      <c r="B55" s="240">
        <f>'YR2015'!B55+'YR2016'!B55+'YR2017'!B55</f>
        <v>31399728</v>
      </c>
      <c r="C55" s="240">
        <f>'YR2015'!C55+'YR2016'!C55+'YR2017'!C55</f>
        <v>31399728</v>
      </c>
      <c r="D55" s="240">
        <f>'YR2015'!D55+'YR2016'!D55+'YR2017'!D55</f>
        <v>0</v>
      </c>
      <c r="E55" s="240">
        <f>'YR2015'!E55+'YR2016'!E55+'YR2017'!E55</f>
        <v>0</v>
      </c>
      <c r="F55" s="238">
        <f t="shared" si="1"/>
        <v>0</v>
      </c>
      <c r="G55" s="235"/>
    </row>
    <row r="56" ht="14.25" customHeight="1">
      <c r="A56" s="236" t="s">
        <v>139</v>
      </c>
      <c r="B56" s="240">
        <f>'YR2015'!B56+'YR2016'!B56+'YR2017'!B56</f>
        <v>94948529</v>
      </c>
      <c r="C56" s="240">
        <f>'YR2015'!C56+'YR2016'!C56+'YR2017'!C56</f>
        <v>94948529.4</v>
      </c>
      <c r="D56" s="240">
        <f>'YR2015'!D56+'YR2016'!D56+'YR2017'!D56</f>
        <v>0</v>
      </c>
      <c r="E56" s="240">
        <f>'YR2015'!E56+'YR2016'!E56+'YR2017'!E56</f>
        <v>0</v>
      </c>
      <c r="F56" s="238">
        <f t="shared" si="1"/>
        <v>-0.400000006</v>
      </c>
      <c r="G56" s="235"/>
    </row>
    <row r="57" ht="14.25" customHeight="1">
      <c r="A57" s="266" t="s">
        <v>140</v>
      </c>
      <c r="B57" s="267">
        <f>'YR2015'!B57+'YR2016'!B57+'YR2017'!B57</f>
        <v>90942</v>
      </c>
      <c r="C57" s="267">
        <f>'YR2015'!C57+'YR2016'!C57+'YR2017'!C57</f>
        <v>0</v>
      </c>
      <c r="D57" s="267">
        <f>'YR2015'!D57+'YR2016'!D57+'YR2017'!D57</f>
        <v>0</v>
      </c>
      <c r="E57" s="267">
        <f>'YR2015'!E57+'YR2016'!E57+'YR2017'!E57</f>
        <v>0</v>
      </c>
      <c r="F57" s="234">
        <f t="shared" si="1"/>
        <v>90942</v>
      </c>
      <c r="G57" s="235"/>
    </row>
    <row r="58" ht="14.25" customHeight="1">
      <c r="A58" s="246" t="s">
        <v>143</v>
      </c>
      <c r="B58" s="247">
        <f t="shared" ref="B58:F58" si="2">SUM(B9:B57)</f>
        <v>436198530.2</v>
      </c>
      <c r="C58" s="247">
        <f t="shared" si="2"/>
        <v>418531677.3</v>
      </c>
      <c r="D58" s="247">
        <f t="shared" si="2"/>
        <v>14168565</v>
      </c>
      <c r="E58" s="247">
        <f t="shared" si="2"/>
        <v>-0.1062498107</v>
      </c>
      <c r="F58" s="249">
        <f t="shared" si="2"/>
        <v>3498287.976</v>
      </c>
      <c r="G58" s="235"/>
    </row>
    <row r="59" ht="14.25" customHeight="1">
      <c r="A59" s="251" t="s">
        <v>157</v>
      </c>
      <c r="B59" s="252">
        <f>'YR2015'!B59+'YR2016'!B59+'YR2017'!B59</f>
        <v>1301470</v>
      </c>
      <c r="C59" s="273">
        <v>0.0</v>
      </c>
      <c r="D59" s="273">
        <v>0.0</v>
      </c>
      <c r="E59" s="273">
        <v>0.0</v>
      </c>
      <c r="F59" s="264">
        <f>B59-C59-D59-E59</f>
        <v>1301470</v>
      </c>
      <c r="G59" s="235"/>
    </row>
    <row r="60" ht="14.25" customHeight="1">
      <c r="A60" s="281" t="s">
        <v>158</v>
      </c>
      <c r="B60" s="247">
        <f t="shared" ref="B60:F60" si="3">B58+B59</f>
        <v>437500000.2</v>
      </c>
      <c r="C60" s="247">
        <f t="shared" si="3"/>
        <v>418531677.3</v>
      </c>
      <c r="D60" s="247">
        <f t="shared" si="3"/>
        <v>14168565</v>
      </c>
      <c r="E60" s="247">
        <f t="shared" si="3"/>
        <v>-0.1062498107</v>
      </c>
      <c r="F60" s="249">
        <f t="shared" si="3"/>
        <v>4799757.976</v>
      </c>
      <c r="G60" s="235"/>
    </row>
    <row r="61" ht="14.25" customHeight="1">
      <c r="A61" s="306" t="s">
        <v>186</v>
      </c>
      <c r="B61" s="260"/>
      <c r="C61" s="260"/>
      <c r="D61" s="260"/>
      <c r="E61" s="260"/>
      <c r="F61" s="260"/>
      <c r="G61" s="235"/>
    </row>
    <row r="62" ht="14.25" customHeight="1">
      <c r="A62" s="260"/>
      <c r="B62" s="260"/>
      <c r="C62" s="260"/>
      <c r="D62" s="260"/>
      <c r="E62" s="260"/>
      <c r="F62" s="260"/>
      <c r="G62" s="235"/>
    </row>
    <row r="63" ht="14.25" customHeight="1">
      <c r="A63" s="284" t="s">
        <v>159</v>
      </c>
      <c r="B63" s="285">
        <f>B12+B13+B15+B19+B21+B27+B33+B34+B36+B43+B46+B48+B49+B53+B54+B57</f>
        <v>29241337.2</v>
      </c>
      <c r="C63" s="285">
        <f t="shared" ref="C63:E63" si="4">C12+C13+C15+C19+C21+C26+C34+C36+C43+C46+C48+C49+C53+C54+C57</f>
        <v>25169334.99</v>
      </c>
      <c r="D63" s="285">
        <f t="shared" si="4"/>
        <v>666676</v>
      </c>
      <c r="E63" s="285">
        <f t="shared" si="4"/>
        <v>0</v>
      </c>
      <c r="F63" s="287">
        <f>B63-C63-D63-E63</f>
        <v>3405326.21</v>
      </c>
      <c r="G63" s="235"/>
    </row>
    <row r="64" ht="14.25" customHeight="1">
      <c r="A64" s="235"/>
      <c r="B64" s="235"/>
      <c r="C64" s="313"/>
      <c r="D64" s="235"/>
      <c r="E64" s="235"/>
      <c r="F64" s="235"/>
      <c r="G64" s="235"/>
    </row>
    <row r="65" ht="14.25" customHeight="1">
      <c r="A65" s="314"/>
      <c r="B65" s="313"/>
      <c r="C65" s="311"/>
      <c r="D65" s="314"/>
      <c r="E65" s="314"/>
      <c r="F65" s="314"/>
      <c r="G65" s="314"/>
      <c r="H65" s="312"/>
      <c r="I65" s="312"/>
      <c r="J65" s="312"/>
      <c r="K65" s="312"/>
      <c r="L65" s="312"/>
      <c r="M65" s="312"/>
      <c r="N65" s="312"/>
      <c r="O65" s="312"/>
      <c r="P65" s="312"/>
      <c r="Q65" s="312"/>
      <c r="R65" s="312"/>
      <c r="S65" s="312"/>
      <c r="T65" s="312"/>
      <c r="U65" s="312"/>
      <c r="V65" s="312"/>
      <c r="W65" s="312"/>
      <c r="X65" s="312"/>
      <c r="Y65" s="312"/>
      <c r="Z65" s="312"/>
    </row>
    <row r="66" ht="14.25" customHeight="1">
      <c r="A66" s="235"/>
      <c r="B66" s="235"/>
      <c r="C66" s="313"/>
      <c r="D66" s="235"/>
      <c r="E66" s="235"/>
      <c r="F66" s="235"/>
      <c r="G66" s="235"/>
    </row>
    <row r="67" ht="14.25" customHeight="1">
      <c r="B67" s="310"/>
      <c r="C67" s="315"/>
      <c r="D67" s="310"/>
      <c r="E67" s="310"/>
      <c r="F67" s="310"/>
    </row>
    <row r="68" ht="14.25" customHeight="1">
      <c r="B68" s="310"/>
      <c r="C68" s="315"/>
      <c r="D68" s="310"/>
      <c r="E68" s="310"/>
      <c r="F68" s="310"/>
    </row>
    <row r="69" ht="14.25" customHeight="1">
      <c r="B69" s="310"/>
      <c r="C69" s="315"/>
      <c r="D69" s="310"/>
      <c r="E69" s="310"/>
      <c r="F69" s="310"/>
    </row>
    <row r="70" ht="14.25" customHeight="1">
      <c r="B70" s="310"/>
      <c r="C70" s="310"/>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A1:B1"/>
    <mergeCell ref="A5:F5"/>
    <mergeCell ref="A6:F6"/>
    <mergeCell ref="A7:F7"/>
  </mergeCells>
  <printOptions horizontalCentered="1"/>
  <pageMargins bottom="0.1968503937007874" footer="0.0" header="0.0" left="0.11811023622047245" right="0.11811023622047245" top="0.2755905511811024"/>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16.43"/>
    <col customWidth="1" min="8" max="8" width="17.57"/>
    <col customWidth="1" min="9" max="26" width="8.71"/>
  </cols>
  <sheetData>
    <row r="1" ht="14.25" customHeight="1">
      <c r="B1" s="310"/>
      <c r="C1" s="218"/>
      <c r="D1" s="218"/>
      <c r="E1" s="296" t="str">
        <f>[1]Status!C1</f>
        <v>#ERROR!</v>
      </c>
      <c r="G1" s="291"/>
    </row>
    <row r="2" ht="14.25" customHeight="1">
      <c r="B2" s="316"/>
      <c r="C2" s="218"/>
      <c r="D2" s="218"/>
      <c r="E2" s="219"/>
      <c r="F2" s="220" t="s">
        <v>1</v>
      </c>
    </row>
    <row r="3" ht="14.25" customHeight="1">
      <c r="B3" s="316"/>
      <c r="C3" s="218"/>
      <c r="D3" s="218"/>
      <c r="E3" s="220"/>
      <c r="F3" s="220" t="s">
        <v>182</v>
      </c>
    </row>
    <row r="4" ht="14.25" customHeight="1">
      <c r="A4" s="222"/>
      <c r="B4" s="218"/>
      <c r="C4" s="218"/>
      <c r="D4" s="218"/>
      <c r="E4" s="218"/>
      <c r="F4" s="218"/>
    </row>
    <row r="5" ht="14.25" customHeight="1">
      <c r="A5" s="223" t="s">
        <v>148</v>
      </c>
    </row>
    <row r="6" ht="14.25" customHeight="1">
      <c r="A6" s="224" t="s">
        <v>187</v>
      </c>
    </row>
    <row r="7" ht="14.25" customHeight="1">
      <c r="A7" s="225" t="str">
        <f>[1]Status!A6</f>
        <v>#ERROR!</v>
      </c>
    </row>
    <row r="8" ht="33.0" customHeight="1">
      <c r="A8" s="226" t="s">
        <v>79</v>
      </c>
      <c r="B8" s="227" t="s">
        <v>80</v>
      </c>
      <c r="C8" s="227" t="s">
        <v>81</v>
      </c>
      <c r="D8" s="228" t="s">
        <v>82</v>
      </c>
      <c r="E8" s="227" t="s">
        <v>83</v>
      </c>
      <c r="F8" s="229" t="s">
        <v>84</v>
      </c>
    </row>
    <row r="9" ht="14.25" customHeight="1">
      <c r="A9" s="317" t="s">
        <v>86</v>
      </c>
      <c r="B9" s="318">
        <v>16168.0</v>
      </c>
      <c r="C9" s="318">
        <v>16168.0</v>
      </c>
      <c r="D9" s="319"/>
      <c r="E9" s="319"/>
      <c r="F9" s="320">
        <f t="shared" ref="F9:F57" si="1">B9-C9-D9-E9</f>
        <v>0</v>
      </c>
    </row>
    <row r="10" ht="14.25" customHeight="1">
      <c r="A10" s="278" t="s">
        <v>150</v>
      </c>
      <c r="B10" s="321">
        <v>4191481.0</v>
      </c>
      <c r="C10" s="321">
        <v>4191481.0</v>
      </c>
      <c r="D10" s="322"/>
      <c r="E10" s="322"/>
      <c r="F10" s="323">
        <f t="shared" si="1"/>
        <v>0</v>
      </c>
    </row>
    <row r="11" ht="14.25" customHeight="1">
      <c r="A11" s="278" t="s">
        <v>88</v>
      </c>
      <c r="B11" s="321">
        <v>1612730.0</v>
      </c>
      <c r="C11" s="321">
        <v>1612730.0</v>
      </c>
      <c r="D11" s="322"/>
      <c r="E11" s="322"/>
      <c r="F11" s="323">
        <f t="shared" si="1"/>
        <v>0</v>
      </c>
    </row>
    <row r="12" ht="14.25" customHeight="1">
      <c r="A12" s="324" t="s">
        <v>89</v>
      </c>
      <c r="B12" s="321">
        <v>80839.0</v>
      </c>
      <c r="C12" s="321"/>
      <c r="D12" s="322"/>
      <c r="E12" s="322"/>
      <c r="F12" s="323">
        <f t="shared" si="1"/>
        <v>80839</v>
      </c>
    </row>
    <row r="13" ht="14.25" customHeight="1">
      <c r="A13" s="278" t="s">
        <v>90</v>
      </c>
      <c r="B13" s="321">
        <v>113174.0</v>
      </c>
      <c r="C13" s="321">
        <v>113174.0</v>
      </c>
      <c r="D13" s="322"/>
      <c r="E13" s="322"/>
      <c r="F13" s="323">
        <f t="shared" si="1"/>
        <v>0</v>
      </c>
    </row>
    <row r="14" ht="14.25" customHeight="1">
      <c r="A14" s="278" t="s">
        <v>91</v>
      </c>
      <c r="B14" s="321">
        <v>2016923.0</v>
      </c>
      <c r="C14" s="321">
        <v>2016923.0</v>
      </c>
      <c r="D14" s="322"/>
      <c r="E14" s="322"/>
      <c r="F14" s="323">
        <f t="shared" si="1"/>
        <v>0</v>
      </c>
    </row>
    <row r="15" ht="14.25" customHeight="1">
      <c r="A15" s="278" t="s">
        <v>92</v>
      </c>
      <c r="B15" s="321">
        <v>94985.0</v>
      </c>
      <c r="C15" s="321">
        <v>94985.0</v>
      </c>
      <c r="D15" s="322"/>
      <c r="E15" s="322"/>
      <c r="F15" s="323">
        <f t="shared" si="1"/>
        <v>0</v>
      </c>
    </row>
    <row r="16" ht="14.25" customHeight="1">
      <c r="A16" s="278" t="s">
        <v>151</v>
      </c>
      <c r="B16" s="321">
        <v>6030559.0</v>
      </c>
      <c r="C16" s="321">
        <f>4824446.83+1206112</f>
        <v>6030558.83</v>
      </c>
      <c r="D16" s="322"/>
      <c r="E16" s="322"/>
      <c r="F16" s="323">
        <f t="shared" si="1"/>
        <v>0.1699999999</v>
      </c>
    </row>
    <row r="17" ht="14.25" customHeight="1">
      <c r="A17" s="278" t="s">
        <v>94</v>
      </c>
      <c r="B17" s="321">
        <v>254642.0</v>
      </c>
      <c r="C17" s="321">
        <v>254642.0</v>
      </c>
      <c r="D17" s="322"/>
      <c r="E17" s="322"/>
      <c r="F17" s="323">
        <f t="shared" si="1"/>
        <v>0</v>
      </c>
    </row>
    <row r="18" ht="14.25" customHeight="1">
      <c r="A18" s="278" t="s">
        <v>95</v>
      </c>
      <c r="B18" s="321">
        <v>94985.0</v>
      </c>
      <c r="C18" s="321">
        <v>94985.0</v>
      </c>
      <c r="D18" s="322"/>
      <c r="E18" s="322"/>
      <c r="F18" s="323">
        <f t="shared" si="1"/>
        <v>0</v>
      </c>
    </row>
    <row r="19" ht="14.25" customHeight="1">
      <c r="A19" s="278" t="s">
        <v>96</v>
      </c>
      <c r="B19" s="321">
        <v>780092.0</v>
      </c>
      <c r="C19" s="321">
        <v>780092.0</v>
      </c>
      <c r="D19" s="322"/>
      <c r="E19" s="322"/>
      <c r="F19" s="323">
        <f t="shared" si="1"/>
        <v>0</v>
      </c>
    </row>
    <row r="20" ht="14.25" customHeight="1">
      <c r="A20" s="278" t="s">
        <v>97</v>
      </c>
      <c r="B20" s="321">
        <v>1364151.0</v>
      </c>
      <c r="C20" s="321">
        <v>1364151.0</v>
      </c>
      <c r="D20" s="322"/>
      <c r="E20" s="322"/>
      <c r="F20" s="323">
        <f t="shared" si="1"/>
        <v>0</v>
      </c>
    </row>
    <row r="21" ht="14.25" customHeight="1">
      <c r="A21" s="278" t="s">
        <v>98</v>
      </c>
      <c r="B21" s="321">
        <v>80839.0</v>
      </c>
      <c r="C21" s="321">
        <v>80839.0</v>
      </c>
      <c r="D21" s="322"/>
      <c r="E21" s="237"/>
      <c r="F21" s="238">
        <f t="shared" si="1"/>
        <v>0</v>
      </c>
    </row>
    <row r="22" ht="14.25" customHeight="1">
      <c r="A22" s="278" t="s">
        <v>99</v>
      </c>
      <c r="B22" s="321">
        <v>1048881.0</v>
      </c>
      <c r="C22" s="321">
        <v>1048881.0</v>
      </c>
      <c r="D22" s="322"/>
      <c r="E22" s="237"/>
      <c r="F22" s="238">
        <f t="shared" si="1"/>
        <v>0</v>
      </c>
    </row>
    <row r="23" ht="14.25" customHeight="1">
      <c r="A23" s="278" t="s">
        <v>152</v>
      </c>
      <c r="B23" s="321">
        <v>1.1303256E7</v>
      </c>
      <c r="C23" s="321">
        <f>10472252-547</f>
        <v>10471705</v>
      </c>
      <c r="D23" s="322">
        <f>197596+633408+547</f>
        <v>831551</v>
      </c>
      <c r="E23" s="237"/>
      <c r="F23" s="238">
        <f t="shared" si="1"/>
        <v>0</v>
      </c>
    </row>
    <row r="24" ht="14.25" customHeight="1">
      <c r="A24" s="278" t="s">
        <v>153</v>
      </c>
      <c r="B24" s="321">
        <v>1.4431709E7</v>
      </c>
      <c r="C24" s="321">
        <f>2886341.77+2886341.77+2886341.77+2886341.77+865036</f>
        <v>12410403.08</v>
      </c>
      <c r="D24" s="322">
        <f>875460+669629+1341253-865036</f>
        <v>2021306</v>
      </c>
      <c r="E24" s="240">
        <f>11545367-2886341.77-2886341.77-2886341.77-2886341.77</f>
        <v>-0.07999999914</v>
      </c>
      <c r="F24" s="238">
        <f t="shared" si="1"/>
        <v>-0.0000000009313225746</v>
      </c>
      <c r="G24" s="325"/>
      <c r="H24" s="216"/>
    </row>
    <row r="25" ht="14.25" customHeight="1">
      <c r="A25" s="278" t="s">
        <v>102</v>
      </c>
      <c r="B25" s="321">
        <v>1289376.0</v>
      </c>
      <c r="C25" s="321">
        <v>1289376.0</v>
      </c>
      <c r="D25" s="322"/>
      <c r="E25" s="237"/>
      <c r="F25" s="238">
        <f t="shared" si="1"/>
        <v>0</v>
      </c>
      <c r="G25" s="326"/>
    </row>
    <row r="26" ht="14.25" customHeight="1">
      <c r="A26" s="278" t="s">
        <v>103</v>
      </c>
      <c r="B26" s="321">
        <v>2021.0</v>
      </c>
      <c r="C26" s="321">
        <v>2021.0</v>
      </c>
      <c r="D26" s="322"/>
      <c r="E26" s="322"/>
      <c r="F26" s="323">
        <f t="shared" si="1"/>
        <v>0</v>
      </c>
      <c r="G26" s="216"/>
    </row>
    <row r="27" ht="14.25" customHeight="1">
      <c r="A27" s="278" t="s">
        <v>104</v>
      </c>
      <c r="B27" s="321">
        <v>537577.0</v>
      </c>
      <c r="C27" s="321">
        <v>537577.0</v>
      </c>
      <c r="D27" s="322"/>
      <c r="E27" s="322"/>
      <c r="F27" s="323">
        <f t="shared" si="1"/>
        <v>0</v>
      </c>
    </row>
    <row r="28" ht="14.25" customHeight="1">
      <c r="A28" s="278" t="s">
        <v>105</v>
      </c>
      <c r="B28" s="321">
        <v>54566.0</v>
      </c>
      <c r="C28" s="321">
        <v>54566.0</v>
      </c>
      <c r="D28" s="322"/>
      <c r="E28" s="322"/>
      <c r="F28" s="323">
        <f t="shared" si="1"/>
        <v>0</v>
      </c>
    </row>
    <row r="29" ht="14.25" customHeight="1">
      <c r="A29" s="278" t="s">
        <v>154</v>
      </c>
      <c r="B29" s="321">
        <v>844763.0</v>
      </c>
      <c r="C29" s="321">
        <v>844763.0</v>
      </c>
      <c r="D29" s="322"/>
      <c r="E29" s="322"/>
      <c r="F29" s="323">
        <f t="shared" si="1"/>
        <v>0</v>
      </c>
    </row>
    <row r="30" ht="14.25" customHeight="1">
      <c r="A30" s="278" t="s">
        <v>107</v>
      </c>
      <c r="B30" s="321">
        <v>800302.0</v>
      </c>
      <c r="C30" s="321"/>
      <c r="D30" s="322"/>
      <c r="E30" s="322"/>
      <c r="F30" s="323">
        <f t="shared" si="1"/>
        <v>800302</v>
      </c>
    </row>
    <row r="31" ht="14.25" customHeight="1">
      <c r="A31" s="278" t="s">
        <v>108</v>
      </c>
      <c r="B31" s="321">
        <v>8989251.0</v>
      </c>
      <c r="C31" s="321">
        <f>8989251-282500</f>
        <v>8706751</v>
      </c>
      <c r="D31" s="322">
        <f>282500</f>
        <v>282500</v>
      </c>
      <c r="E31" s="322"/>
      <c r="F31" s="323">
        <f t="shared" si="1"/>
        <v>0</v>
      </c>
    </row>
    <row r="32" ht="14.25" customHeight="1">
      <c r="A32" s="278" t="s">
        <v>155</v>
      </c>
      <c r="B32" s="321">
        <v>2.1893111E7</v>
      </c>
      <c r="C32" s="321">
        <f>7372578+14521159.85-627</f>
        <v>21893110.85</v>
      </c>
      <c r="D32" s="322"/>
      <c r="E32" s="322"/>
      <c r="F32" s="323">
        <f t="shared" si="1"/>
        <v>0.1499999985</v>
      </c>
      <c r="H32" s="312"/>
    </row>
    <row r="33" ht="14.25" customHeight="1">
      <c r="A33" s="278" t="s">
        <v>110</v>
      </c>
      <c r="B33" s="321">
        <v>244537.0</v>
      </c>
      <c r="C33" s="321">
        <v>244537.0</v>
      </c>
      <c r="D33" s="322"/>
      <c r="E33" s="322"/>
      <c r="F33" s="323">
        <f t="shared" si="1"/>
        <v>0</v>
      </c>
      <c r="H33" s="312"/>
    </row>
    <row r="34" ht="14.25" customHeight="1">
      <c r="A34" s="278" t="s">
        <v>112</v>
      </c>
      <c r="B34" s="321">
        <v>94985.0</v>
      </c>
      <c r="C34" s="321">
        <v>94985.0</v>
      </c>
      <c r="D34" s="322"/>
      <c r="E34" s="322"/>
      <c r="F34" s="323">
        <f t="shared" si="1"/>
        <v>0</v>
      </c>
    </row>
    <row r="35" ht="14.25" customHeight="1">
      <c r="A35" s="278" t="s">
        <v>113</v>
      </c>
      <c r="B35" s="321">
        <v>18189.0</v>
      </c>
      <c r="C35" s="321">
        <v>18189.0</v>
      </c>
      <c r="D35" s="322"/>
      <c r="E35" s="322"/>
      <c r="F35" s="323">
        <f t="shared" si="1"/>
        <v>0</v>
      </c>
    </row>
    <row r="36" ht="14.25" customHeight="1">
      <c r="A36" s="278" t="s">
        <v>114</v>
      </c>
      <c r="B36" s="321">
        <v>147530.0</v>
      </c>
      <c r="C36" s="321">
        <v>147530.0</v>
      </c>
      <c r="D36" s="322"/>
      <c r="E36" s="322"/>
      <c r="F36" s="323">
        <f t="shared" si="1"/>
        <v>0</v>
      </c>
    </row>
    <row r="37" ht="14.25" customHeight="1">
      <c r="A37" s="278" t="s">
        <v>115</v>
      </c>
      <c r="B37" s="321">
        <v>163698.0</v>
      </c>
      <c r="C37" s="321">
        <v>163698.0</v>
      </c>
      <c r="D37" s="322"/>
      <c r="E37" s="322"/>
      <c r="F37" s="323">
        <f t="shared" si="1"/>
        <v>0</v>
      </c>
    </row>
    <row r="38" ht="14.25" customHeight="1">
      <c r="A38" s="278" t="s">
        <v>116</v>
      </c>
      <c r="B38" s="321">
        <v>32335.0</v>
      </c>
      <c r="C38" s="321"/>
      <c r="D38" s="322"/>
      <c r="E38" s="322"/>
      <c r="F38" s="323">
        <f t="shared" si="1"/>
        <v>32335</v>
      </c>
    </row>
    <row r="39" ht="14.25" customHeight="1">
      <c r="A39" s="278" t="s">
        <v>117</v>
      </c>
      <c r="B39" s="321">
        <v>24252.0</v>
      </c>
      <c r="C39" s="321">
        <v>24252.0</v>
      </c>
      <c r="D39" s="322"/>
      <c r="E39" s="322"/>
      <c r="F39" s="323">
        <f t="shared" si="1"/>
        <v>0</v>
      </c>
    </row>
    <row r="40" ht="14.25" customHeight="1">
      <c r="A40" s="278" t="s">
        <v>118</v>
      </c>
      <c r="B40" s="321">
        <v>3342676.0</v>
      </c>
      <c r="C40" s="321">
        <v>3342676.0</v>
      </c>
      <c r="D40" s="322"/>
      <c r="E40" s="322"/>
      <c r="F40" s="323">
        <f t="shared" si="1"/>
        <v>0</v>
      </c>
    </row>
    <row r="41" ht="14.25" customHeight="1">
      <c r="A41" s="278" t="s">
        <v>119</v>
      </c>
      <c r="B41" s="321">
        <v>511304.0</v>
      </c>
      <c r="C41" s="321">
        <f>220490.54+290813.46</f>
        <v>511304</v>
      </c>
      <c r="D41" s="322"/>
      <c r="E41" s="322"/>
      <c r="F41" s="323">
        <f t="shared" si="1"/>
        <v>0</v>
      </c>
    </row>
    <row r="42" ht="14.25" customHeight="1">
      <c r="A42" s="278" t="s">
        <v>120</v>
      </c>
      <c r="B42" s="321">
        <v>1719841.0</v>
      </c>
      <c r="C42" s="321">
        <v>1719841.0</v>
      </c>
      <c r="D42" s="322"/>
      <c r="E42" s="322"/>
      <c r="F42" s="323">
        <f t="shared" si="1"/>
        <v>0</v>
      </c>
    </row>
    <row r="43" ht="14.25" customHeight="1">
      <c r="A43" s="278" t="s">
        <v>122</v>
      </c>
      <c r="B43" s="321">
        <v>1861309.0</v>
      </c>
      <c r="C43" s="321">
        <v>1861309.0</v>
      </c>
      <c r="D43" s="322"/>
      <c r="E43" s="322"/>
      <c r="F43" s="323">
        <f t="shared" si="1"/>
        <v>0</v>
      </c>
    </row>
    <row r="44" ht="14.25" customHeight="1">
      <c r="A44" s="278" t="s">
        <v>123</v>
      </c>
      <c r="B44" s="321">
        <v>957937.0</v>
      </c>
      <c r="C44" s="321">
        <v>957937.0</v>
      </c>
      <c r="D44" s="322"/>
      <c r="E44" s="322"/>
      <c r="F44" s="323">
        <f t="shared" si="1"/>
        <v>0</v>
      </c>
    </row>
    <row r="45" ht="14.25" customHeight="1">
      <c r="A45" s="278" t="s">
        <v>124</v>
      </c>
      <c r="B45" s="321">
        <v>456738.0</v>
      </c>
      <c r="C45" s="321">
        <v>456738.0</v>
      </c>
      <c r="D45" s="322"/>
      <c r="E45" s="322"/>
      <c r="F45" s="323">
        <f t="shared" si="1"/>
        <v>0</v>
      </c>
    </row>
    <row r="46" ht="14.25" customHeight="1">
      <c r="A46" s="278" t="s">
        <v>125</v>
      </c>
      <c r="B46" s="321">
        <v>4927112.0</v>
      </c>
      <c r="C46" s="321">
        <v>4927112.0</v>
      </c>
      <c r="D46" s="322"/>
      <c r="E46" s="322"/>
      <c r="F46" s="323">
        <f t="shared" si="1"/>
        <v>0</v>
      </c>
    </row>
    <row r="47" ht="14.25" customHeight="1">
      <c r="A47" s="278" t="s">
        <v>126</v>
      </c>
      <c r="B47" s="321">
        <v>6063.0</v>
      </c>
      <c r="C47" s="321">
        <v>6063.0</v>
      </c>
      <c r="D47" s="322"/>
      <c r="E47" s="322"/>
      <c r="F47" s="323">
        <f t="shared" si="1"/>
        <v>0</v>
      </c>
    </row>
    <row r="48" ht="14.25" customHeight="1">
      <c r="A48" s="278" t="s">
        <v>128</v>
      </c>
      <c r="B48" s="321">
        <v>345585.0</v>
      </c>
      <c r="C48" s="321">
        <v>345585.0</v>
      </c>
      <c r="D48" s="322"/>
      <c r="E48" s="322"/>
      <c r="F48" s="323">
        <f t="shared" si="1"/>
        <v>0</v>
      </c>
    </row>
    <row r="49" ht="14.25" customHeight="1">
      <c r="A49" s="278" t="s">
        <v>129</v>
      </c>
      <c r="B49" s="321">
        <v>202096.0</v>
      </c>
      <c r="C49" s="321">
        <v>202096.0</v>
      </c>
      <c r="D49" s="322"/>
      <c r="E49" s="322"/>
      <c r="F49" s="323">
        <f t="shared" si="1"/>
        <v>0</v>
      </c>
    </row>
    <row r="50" ht="14.25" customHeight="1">
      <c r="A50" s="278" t="s">
        <v>131</v>
      </c>
      <c r="B50" s="321">
        <v>6008328.0</v>
      </c>
      <c r="C50" s="321">
        <v>6008328.0</v>
      </c>
      <c r="D50" s="322"/>
      <c r="E50" s="322"/>
      <c r="F50" s="323">
        <f t="shared" si="1"/>
        <v>0</v>
      </c>
    </row>
    <row r="51" ht="14.25" customHeight="1">
      <c r="A51" s="278" t="s">
        <v>156</v>
      </c>
      <c r="B51" s="321">
        <v>1940126.0</v>
      </c>
      <c r="C51" s="321">
        <v>1940126.0</v>
      </c>
      <c r="D51" s="322"/>
      <c r="E51" s="322"/>
      <c r="F51" s="323">
        <f t="shared" si="1"/>
        <v>0</v>
      </c>
    </row>
    <row r="52" ht="14.25" customHeight="1">
      <c r="A52" s="278" t="s">
        <v>133</v>
      </c>
      <c r="B52" s="322">
        <v>2115950.0</v>
      </c>
      <c r="C52" s="321">
        <v>2115950.0</v>
      </c>
      <c r="D52" s="322"/>
      <c r="E52" s="322"/>
      <c r="F52" s="323">
        <f t="shared" si="1"/>
        <v>0</v>
      </c>
    </row>
    <row r="53" ht="18.0" customHeight="1">
      <c r="A53" s="278" t="s">
        <v>134</v>
      </c>
      <c r="B53" s="322">
        <v>6062.89</v>
      </c>
      <c r="C53" s="321"/>
      <c r="D53" s="322"/>
      <c r="E53" s="237"/>
      <c r="F53" s="323">
        <f t="shared" si="1"/>
        <v>6062.89</v>
      </c>
    </row>
    <row r="54" ht="14.25" customHeight="1">
      <c r="A54" s="278" t="s">
        <v>136</v>
      </c>
      <c r="B54" s="322">
        <v>200075.51</v>
      </c>
      <c r="C54" s="321"/>
      <c r="D54" s="322"/>
      <c r="E54" s="322"/>
      <c r="F54" s="323">
        <f t="shared" si="1"/>
        <v>200075.51</v>
      </c>
    </row>
    <row r="55" ht="14.25" customHeight="1">
      <c r="A55" s="278" t="s">
        <v>138</v>
      </c>
      <c r="B55" s="321">
        <v>1.0466576E7</v>
      </c>
      <c r="C55" s="321">
        <v>1.0466576E7</v>
      </c>
      <c r="D55" s="322"/>
      <c r="E55" s="321"/>
      <c r="F55" s="323">
        <f t="shared" si="1"/>
        <v>0</v>
      </c>
    </row>
    <row r="56" ht="14.25" customHeight="1">
      <c r="A56" s="278" t="s">
        <v>139</v>
      </c>
      <c r="B56" s="321">
        <v>3.2083333E7</v>
      </c>
      <c r="C56" s="321">
        <f>23844005+8326000-86672</f>
        <v>32083333</v>
      </c>
      <c r="D56" s="322"/>
      <c r="E56" s="322"/>
      <c r="F56" s="323">
        <f t="shared" si="1"/>
        <v>0</v>
      </c>
    </row>
    <row r="57" ht="14.25" customHeight="1">
      <c r="A57" s="278" t="s">
        <v>140</v>
      </c>
      <c r="B57" s="321">
        <v>30314.0</v>
      </c>
      <c r="C57" s="321"/>
      <c r="D57" s="322"/>
      <c r="E57" s="322"/>
      <c r="F57" s="323">
        <f t="shared" si="1"/>
        <v>30314</v>
      </c>
    </row>
    <row r="58" ht="14.25" customHeight="1">
      <c r="A58" s="327" t="s">
        <v>143</v>
      </c>
      <c r="B58" s="328">
        <f t="shared" ref="B58:F58" si="2">SUM(B9:B57)</f>
        <v>145833333.4</v>
      </c>
      <c r="C58" s="328">
        <f t="shared" si="2"/>
        <v>141548047.8</v>
      </c>
      <c r="D58" s="328">
        <f t="shared" si="2"/>
        <v>3135357</v>
      </c>
      <c r="E58" s="304">
        <f t="shared" si="2"/>
        <v>-0.07999999914</v>
      </c>
      <c r="F58" s="329">
        <f t="shared" si="2"/>
        <v>1149928.72</v>
      </c>
    </row>
    <row r="59" ht="14.25" customHeight="1">
      <c r="A59" s="330" t="s">
        <v>157</v>
      </c>
      <c r="B59" s="331"/>
      <c r="C59" s="331"/>
      <c r="D59" s="331"/>
      <c r="E59" s="260"/>
      <c r="F59" s="332"/>
    </row>
    <row r="60" ht="14.25" customHeight="1">
      <c r="A60" s="333" t="s">
        <v>158</v>
      </c>
      <c r="B60" s="334">
        <f t="shared" ref="B60:F60" si="3">B58+B59</f>
        <v>145833333.4</v>
      </c>
      <c r="C60" s="334">
        <f t="shared" si="3"/>
        <v>141548047.8</v>
      </c>
      <c r="D60" s="334">
        <f t="shared" si="3"/>
        <v>3135357</v>
      </c>
      <c r="E60" s="294">
        <f t="shared" si="3"/>
        <v>-0.07999999914</v>
      </c>
      <c r="F60" s="335">
        <f t="shared" si="3"/>
        <v>1149928.72</v>
      </c>
    </row>
    <row r="61" ht="14.25" customHeight="1">
      <c r="A61" s="336"/>
      <c r="B61" s="331"/>
      <c r="C61" s="331"/>
      <c r="D61" s="331"/>
      <c r="E61" s="331"/>
      <c r="F61" s="331"/>
    </row>
    <row r="62" ht="14.25" customHeight="1">
      <c r="A62" s="337" t="s">
        <v>159</v>
      </c>
      <c r="B62" s="338">
        <f>B12+B13+B15+B19+B21+B27+B33+B36+B43+B46+B48+B49+B53+B54+B57</f>
        <v>9652127.4</v>
      </c>
      <c r="C62" s="338">
        <f t="shared" ref="C62:E62" si="4">C12+C13+C15+C19+C21+C26+C34+C36+C43+C46+C48+C49+C53+C54+C57</f>
        <v>8649728</v>
      </c>
      <c r="D62" s="338">
        <f t="shared" si="4"/>
        <v>0</v>
      </c>
      <c r="E62" s="338">
        <f t="shared" si="4"/>
        <v>0</v>
      </c>
      <c r="F62" s="339">
        <f>B62-C62-D62-E62</f>
        <v>1002399.4</v>
      </c>
    </row>
    <row r="63" ht="14.25" customHeight="1">
      <c r="B63" s="310"/>
      <c r="C63" s="315"/>
      <c r="D63" s="310"/>
      <c r="E63" s="310"/>
      <c r="F63" s="310"/>
    </row>
    <row r="64" ht="14.25" customHeight="1">
      <c r="A64" s="312"/>
      <c r="B64" s="315"/>
      <c r="C64" s="340"/>
      <c r="D64" s="341"/>
      <c r="E64" s="341"/>
      <c r="F64" s="341"/>
      <c r="G64" s="312"/>
      <c r="H64" s="312"/>
      <c r="I64" s="312"/>
      <c r="J64" s="312"/>
      <c r="K64" s="312"/>
      <c r="L64" s="312"/>
      <c r="M64" s="312"/>
      <c r="N64" s="312"/>
      <c r="O64" s="312"/>
      <c r="P64" s="312"/>
      <c r="Q64" s="312"/>
      <c r="R64" s="312"/>
      <c r="S64" s="312"/>
      <c r="T64" s="312"/>
      <c r="U64" s="312"/>
      <c r="V64" s="312"/>
      <c r="W64" s="312"/>
      <c r="X64" s="312"/>
      <c r="Y64" s="312"/>
      <c r="Z64" s="312"/>
    </row>
    <row r="65" ht="14.25" customHeight="1">
      <c r="B65" s="310"/>
      <c r="C65" s="315"/>
      <c r="D65" s="310"/>
      <c r="E65" s="310"/>
      <c r="F65" s="310"/>
    </row>
    <row r="66" ht="14.25" customHeight="1">
      <c r="B66" s="310"/>
      <c r="C66" s="315"/>
      <c r="D66" s="310"/>
      <c r="E66" s="310"/>
      <c r="F66" s="310"/>
    </row>
    <row r="67" ht="14.25" customHeight="1">
      <c r="B67" s="310"/>
      <c r="C67" s="315"/>
      <c r="D67" s="310"/>
      <c r="E67" s="310"/>
      <c r="F67" s="310"/>
    </row>
    <row r="68" ht="14.25" customHeight="1">
      <c r="B68" s="310"/>
      <c r="C68" s="315"/>
      <c r="D68" s="310"/>
      <c r="E68" s="310"/>
      <c r="F68" s="310"/>
    </row>
    <row r="69" ht="14.25" customHeight="1">
      <c r="B69" s="310"/>
      <c r="C69" s="310"/>
      <c r="D69" s="310"/>
      <c r="E69" s="310"/>
      <c r="F69" s="310"/>
    </row>
    <row r="70" ht="14.25" customHeight="1">
      <c r="B70" s="310"/>
      <c r="C70" s="310"/>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E1:F1"/>
    <mergeCell ref="A5:F5"/>
    <mergeCell ref="A6:F6"/>
    <mergeCell ref="A7:F7"/>
  </mergeCells>
  <printOptions horizontalCentered="1"/>
  <pageMargins bottom="0.196850393700787" footer="0.0" header="0.0" left="0.31496062992126" right="0.118110236220472" top="0.47244094488189"/>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57"/>
    <col customWidth="1" min="2" max="2" width="17.29"/>
    <col customWidth="1" min="3" max="3" width="40.29"/>
    <col customWidth="1" min="4" max="5" width="15.43"/>
    <col customWidth="1" min="6" max="6" width="23.43"/>
    <col customWidth="1" min="7" max="7" width="16.43"/>
    <col customWidth="1" min="8" max="8" width="17.57"/>
    <col customWidth="1" min="9" max="26" width="8.71"/>
  </cols>
  <sheetData>
    <row r="1" ht="14.25" customHeight="1">
      <c r="A1" s="217"/>
      <c r="C1" s="218"/>
      <c r="D1" s="218"/>
      <c r="E1" s="219"/>
      <c r="F1" s="220" t="str">
        <f>[1]Status!C1</f>
        <v>#ERROR!</v>
      </c>
    </row>
    <row r="2" ht="14.25" customHeight="1">
      <c r="A2" s="217"/>
      <c r="B2" s="218"/>
      <c r="C2" s="218"/>
      <c r="D2" s="218"/>
      <c r="E2" s="219"/>
      <c r="F2" s="220" t="s">
        <v>1</v>
      </c>
    </row>
    <row r="3" ht="14.25" customHeight="1">
      <c r="A3" s="221"/>
      <c r="B3" s="218"/>
      <c r="C3" s="218"/>
      <c r="D3" s="218"/>
      <c r="E3" s="220"/>
      <c r="F3" s="220" t="s">
        <v>188</v>
      </c>
    </row>
    <row r="4" ht="14.25" customHeight="1">
      <c r="A4" s="222"/>
      <c r="B4" s="218"/>
      <c r="C4" s="218"/>
      <c r="D4" s="218"/>
      <c r="E4" s="218"/>
      <c r="F4" s="218"/>
    </row>
    <row r="5" ht="14.25" customHeight="1">
      <c r="A5" s="223" t="s">
        <v>148</v>
      </c>
    </row>
    <row r="6" ht="14.25" customHeight="1">
      <c r="A6" s="224" t="s">
        <v>189</v>
      </c>
    </row>
    <row r="7" ht="14.25" customHeight="1">
      <c r="A7" s="225" t="str">
        <f>[1]Status!A6</f>
        <v>#ERROR!</v>
      </c>
    </row>
    <row r="8" ht="33.0" customHeight="1">
      <c r="A8" s="342" t="s">
        <v>79</v>
      </c>
      <c r="B8" s="343" t="s">
        <v>80</v>
      </c>
      <c r="C8" s="344" t="s">
        <v>81</v>
      </c>
      <c r="D8" s="345" t="s">
        <v>82</v>
      </c>
      <c r="E8" s="343" t="s">
        <v>83</v>
      </c>
      <c r="F8" s="344" t="s">
        <v>84</v>
      </c>
    </row>
    <row r="9" ht="14.25" customHeight="1">
      <c r="A9" s="278" t="s">
        <v>86</v>
      </c>
      <c r="B9" s="321">
        <v>16168.0</v>
      </c>
      <c r="C9" s="346">
        <v>16168.0</v>
      </c>
      <c r="D9" s="347"/>
      <c r="E9" s="348"/>
      <c r="F9" s="323">
        <f t="shared" ref="F9:F57" si="1">B9-C9-D9-E9</f>
        <v>0</v>
      </c>
    </row>
    <row r="10" ht="14.25" customHeight="1">
      <c r="A10" s="278" t="s">
        <v>150</v>
      </c>
      <c r="B10" s="321">
        <v>4191481.0</v>
      </c>
      <c r="C10" s="346">
        <v>4191481.0</v>
      </c>
      <c r="D10" s="349"/>
      <c r="E10" s="322"/>
      <c r="F10" s="323">
        <f t="shared" si="1"/>
        <v>0</v>
      </c>
    </row>
    <row r="11" ht="14.25" customHeight="1">
      <c r="A11" s="278" t="s">
        <v>88</v>
      </c>
      <c r="B11" s="321">
        <v>1612730.0</v>
      </c>
      <c r="C11" s="346">
        <v>1612730.0</v>
      </c>
      <c r="D11" s="349"/>
      <c r="E11" s="322"/>
      <c r="F11" s="323">
        <f t="shared" si="1"/>
        <v>0</v>
      </c>
    </row>
    <row r="12" ht="14.25" customHeight="1">
      <c r="A12" s="324" t="s">
        <v>89</v>
      </c>
      <c r="B12" s="321">
        <v>80839.0</v>
      </c>
      <c r="C12" s="346"/>
      <c r="D12" s="349"/>
      <c r="E12" s="322"/>
      <c r="F12" s="323">
        <f t="shared" si="1"/>
        <v>80839</v>
      </c>
    </row>
    <row r="13" ht="14.25" customHeight="1">
      <c r="A13" s="278" t="s">
        <v>90</v>
      </c>
      <c r="B13" s="321">
        <v>113174.0</v>
      </c>
      <c r="C13" s="346">
        <v>113174.0</v>
      </c>
      <c r="D13" s="349"/>
      <c r="E13" s="322"/>
      <c r="F13" s="323">
        <f t="shared" si="1"/>
        <v>0</v>
      </c>
    </row>
    <row r="14" ht="14.25" customHeight="1">
      <c r="A14" s="278" t="s">
        <v>91</v>
      </c>
      <c r="B14" s="321">
        <v>2016923.0</v>
      </c>
      <c r="C14" s="346">
        <v>2016923.0</v>
      </c>
      <c r="D14" s="349"/>
      <c r="E14" s="322"/>
      <c r="F14" s="323">
        <f t="shared" si="1"/>
        <v>0</v>
      </c>
    </row>
    <row r="15" ht="14.25" customHeight="1">
      <c r="A15" s="278" t="s">
        <v>92</v>
      </c>
      <c r="B15" s="321">
        <v>94985.0</v>
      </c>
      <c r="C15" s="346">
        <v>94985.0</v>
      </c>
      <c r="D15" s="349"/>
      <c r="E15" s="322"/>
      <c r="F15" s="323">
        <f t="shared" si="1"/>
        <v>0</v>
      </c>
    </row>
    <row r="16" ht="14.25" customHeight="1">
      <c r="A16" s="278" t="s">
        <v>151</v>
      </c>
      <c r="B16" s="321">
        <v>6030559.0</v>
      </c>
      <c r="C16" s="346">
        <f>4824446.83+1206112.07</f>
        <v>6030558.9</v>
      </c>
      <c r="D16" s="349"/>
      <c r="E16" s="322"/>
      <c r="F16" s="323">
        <f t="shared" si="1"/>
        <v>0.09999999963</v>
      </c>
    </row>
    <row r="17" ht="14.25" customHeight="1">
      <c r="A17" s="278" t="s">
        <v>94</v>
      </c>
      <c r="B17" s="321">
        <v>254642.0</v>
      </c>
      <c r="C17" s="346">
        <v>254642.0</v>
      </c>
      <c r="D17" s="349"/>
      <c r="E17" s="322"/>
      <c r="F17" s="323">
        <f t="shared" si="1"/>
        <v>0</v>
      </c>
    </row>
    <row r="18" ht="14.25" customHeight="1">
      <c r="A18" s="278" t="s">
        <v>95</v>
      </c>
      <c r="B18" s="321">
        <v>94985.0</v>
      </c>
      <c r="C18" s="346">
        <v>94985.0</v>
      </c>
      <c r="D18" s="349"/>
      <c r="E18" s="322"/>
      <c r="F18" s="323">
        <f t="shared" si="1"/>
        <v>0</v>
      </c>
    </row>
    <row r="19" ht="14.25" customHeight="1">
      <c r="A19" s="278" t="s">
        <v>96</v>
      </c>
      <c r="B19" s="321">
        <v>780092.0</v>
      </c>
      <c r="C19" s="346">
        <f>780092</f>
        <v>780092</v>
      </c>
      <c r="D19" s="349"/>
      <c r="E19" s="322"/>
      <c r="F19" s="323">
        <f t="shared" si="1"/>
        <v>0</v>
      </c>
    </row>
    <row r="20" ht="14.25" customHeight="1">
      <c r="A20" s="278" t="s">
        <v>97</v>
      </c>
      <c r="B20" s="321">
        <v>1364151.0</v>
      </c>
      <c r="C20" s="346">
        <v>1364151.0</v>
      </c>
      <c r="D20" s="349"/>
      <c r="E20" s="322"/>
      <c r="F20" s="323">
        <f t="shared" si="1"/>
        <v>0</v>
      </c>
    </row>
    <row r="21" ht="14.25" customHeight="1">
      <c r="A21" s="278" t="s">
        <v>98</v>
      </c>
      <c r="B21" s="321">
        <v>80839.0</v>
      </c>
      <c r="C21" s="346">
        <v>80839.0</v>
      </c>
      <c r="D21" s="349"/>
      <c r="E21" s="322"/>
      <c r="F21" s="323">
        <f t="shared" si="1"/>
        <v>0</v>
      </c>
    </row>
    <row r="22" ht="14.25" customHeight="1">
      <c r="A22" s="278" t="s">
        <v>99</v>
      </c>
      <c r="B22" s="321">
        <v>1048881.0</v>
      </c>
      <c r="C22" s="346">
        <v>1048881.0</v>
      </c>
      <c r="D22" s="349"/>
      <c r="E22" s="322"/>
      <c r="F22" s="323">
        <f t="shared" si="1"/>
        <v>0</v>
      </c>
    </row>
    <row r="23" ht="14.25" customHeight="1">
      <c r="A23" s="278" t="s">
        <v>152</v>
      </c>
      <c r="B23" s="321">
        <v>1.1303256E7</v>
      </c>
      <c r="C23" s="346">
        <f>11018799.01+6747</f>
        <v>11025546.01</v>
      </c>
      <c r="D23" s="349">
        <f>19061+265396-6747</f>
        <v>277710</v>
      </c>
      <c r="E23" s="322"/>
      <c r="F23" s="323">
        <f t="shared" si="1"/>
        <v>-0.009999999776</v>
      </c>
    </row>
    <row r="24" ht="14.25" customHeight="1">
      <c r="A24" s="278" t="s">
        <v>153</v>
      </c>
      <c r="B24" s="321">
        <v>1.4431709E7</v>
      </c>
      <c r="C24" s="346">
        <f>1443170.89+4329512.66+1443170.89+1443170.89+1443170.89+1443170.89+886466</f>
        <v>12431833.11</v>
      </c>
      <c r="D24" s="349">
        <f>1772067+1114275-886466</f>
        <v>1999876</v>
      </c>
      <c r="E24" s="321">
        <f>(8424308/0.72967)-1443170.89-4329512.66-1443170.89-1443170.89-1443170.89-1443170.89</f>
        <v>-0.02624981152</v>
      </c>
      <c r="F24" s="323">
        <f t="shared" si="1"/>
        <v>-0.08375018975</v>
      </c>
      <c r="G24" s="325"/>
      <c r="H24" s="216"/>
    </row>
    <row r="25" ht="14.25" customHeight="1">
      <c r="A25" s="278" t="s">
        <v>102</v>
      </c>
      <c r="B25" s="321">
        <v>1289376.0</v>
      </c>
      <c r="C25" s="346">
        <v>1289376.0</v>
      </c>
      <c r="D25" s="349"/>
      <c r="E25" s="322"/>
      <c r="F25" s="323">
        <f t="shared" si="1"/>
        <v>0</v>
      </c>
      <c r="G25" s="326"/>
    </row>
    <row r="26" ht="14.25" customHeight="1">
      <c r="A26" s="278" t="s">
        <v>103</v>
      </c>
      <c r="B26" s="321">
        <v>2021.0</v>
      </c>
      <c r="C26" s="346">
        <v>2021.0</v>
      </c>
      <c r="D26" s="349"/>
      <c r="E26" s="322"/>
      <c r="F26" s="323">
        <f t="shared" si="1"/>
        <v>0</v>
      </c>
      <c r="G26" s="216"/>
    </row>
    <row r="27" ht="14.25" customHeight="1">
      <c r="A27" s="278" t="s">
        <v>104</v>
      </c>
      <c r="B27" s="321">
        <v>537577.0</v>
      </c>
      <c r="C27" s="346">
        <v>537577.0</v>
      </c>
      <c r="D27" s="349"/>
      <c r="E27" s="322"/>
      <c r="F27" s="323">
        <f t="shared" si="1"/>
        <v>0</v>
      </c>
    </row>
    <row r="28" ht="14.25" customHeight="1">
      <c r="A28" s="278" t="s">
        <v>105</v>
      </c>
      <c r="B28" s="321">
        <v>54566.0</v>
      </c>
      <c r="C28" s="346">
        <f>53581.74+984</f>
        <v>54565.74</v>
      </c>
      <c r="D28" s="349"/>
      <c r="E28" s="322"/>
      <c r="F28" s="323">
        <f t="shared" si="1"/>
        <v>0.26</v>
      </c>
    </row>
    <row r="29" ht="14.25" customHeight="1">
      <c r="A29" s="278" t="s">
        <v>154</v>
      </c>
      <c r="B29" s="321">
        <v>844763.0</v>
      </c>
      <c r="C29" s="346">
        <v>844763.0</v>
      </c>
      <c r="D29" s="349"/>
      <c r="E29" s="322"/>
      <c r="F29" s="323">
        <f t="shared" si="1"/>
        <v>0</v>
      </c>
    </row>
    <row r="30" ht="14.25" customHeight="1">
      <c r="A30" s="278" t="s">
        <v>107</v>
      </c>
      <c r="B30" s="321">
        <v>800302.0</v>
      </c>
      <c r="C30" s="346"/>
      <c r="D30" s="349"/>
      <c r="E30" s="322"/>
      <c r="F30" s="323">
        <f t="shared" si="1"/>
        <v>800302</v>
      </c>
    </row>
    <row r="31" ht="14.25" customHeight="1">
      <c r="A31" s="278" t="s">
        <v>108</v>
      </c>
      <c r="B31" s="321">
        <v>8989251.0</v>
      </c>
      <c r="C31" s="346">
        <f>8989251-73450-1452000</f>
        <v>7463801</v>
      </c>
      <c r="D31" s="349">
        <f>73450+1452000</f>
        <v>1525450</v>
      </c>
      <c r="E31" s="322"/>
      <c r="F31" s="323">
        <f t="shared" si="1"/>
        <v>0</v>
      </c>
    </row>
    <row r="32" ht="14.25" customHeight="1">
      <c r="A32" s="278" t="s">
        <v>155</v>
      </c>
      <c r="B32" s="321">
        <v>2.1893111E7</v>
      </c>
      <c r="C32" s="346">
        <f>7372578+14520533-90400-48873</f>
        <v>21753838</v>
      </c>
      <c r="D32" s="349">
        <f>48873+90400</f>
        <v>139273</v>
      </c>
      <c r="E32" s="322"/>
      <c r="F32" s="323">
        <f t="shared" si="1"/>
        <v>0</v>
      </c>
      <c r="H32" s="312"/>
    </row>
    <row r="33" ht="14.25" customHeight="1">
      <c r="A33" s="278" t="s">
        <v>110</v>
      </c>
      <c r="B33" s="321">
        <v>244537.0</v>
      </c>
      <c r="C33" s="346">
        <v>244537.0</v>
      </c>
      <c r="D33" s="349"/>
      <c r="E33" s="322"/>
      <c r="F33" s="323">
        <f t="shared" si="1"/>
        <v>0</v>
      </c>
      <c r="H33" s="312"/>
    </row>
    <row r="34" ht="14.25" customHeight="1">
      <c r="A34" s="278" t="s">
        <v>112</v>
      </c>
      <c r="B34" s="321">
        <v>94985.0</v>
      </c>
      <c r="C34" s="346">
        <f>76823.69+18161.31</f>
        <v>94985</v>
      </c>
      <c r="D34" s="349"/>
      <c r="E34" s="322"/>
      <c r="F34" s="323">
        <f t="shared" si="1"/>
        <v>0</v>
      </c>
    </row>
    <row r="35" ht="14.25" customHeight="1">
      <c r="A35" s="278" t="s">
        <v>113</v>
      </c>
      <c r="B35" s="321">
        <v>18189.0</v>
      </c>
      <c r="C35" s="346">
        <v>18189.0</v>
      </c>
      <c r="D35" s="349"/>
      <c r="E35" s="322"/>
      <c r="F35" s="323">
        <f t="shared" si="1"/>
        <v>0</v>
      </c>
    </row>
    <row r="36" ht="14.25" customHeight="1">
      <c r="A36" s="278" t="s">
        <v>114</v>
      </c>
      <c r="B36" s="321">
        <v>147530.0</v>
      </c>
      <c r="C36" s="346">
        <v>147530.0</v>
      </c>
      <c r="D36" s="349"/>
      <c r="E36" s="322"/>
      <c r="F36" s="323">
        <f t="shared" si="1"/>
        <v>0</v>
      </c>
    </row>
    <row r="37" ht="14.25" customHeight="1">
      <c r="A37" s="278" t="s">
        <v>115</v>
      </c>
      <c r="B37" s="321">
        <v>163698.0</v>
      </c>
      <c r="C37" s="346">
        <v>163698.0</v>
      </c>
      <c r="D37" s="349"/>
      <c r="E37" s="322"/>
      <c r="F37" s="323">
        <f t="shared" si="1"/>
        <v>0</v>
      </c>
    </row>
    <row r="38" ht="14.25" customHeight="1">
      <c r="A38" s="278" t="s">
        <v>116</v>
      </c>
      <c r="B38" s="321">
        <v>32335.0</v>
      </c>
      <c r="C38" s="346">
        <v>32335.0</v>
      </c>
      <c r="D38" s="349"/>
      <c r="E38" s="322"/>
      <c r="F38" s="323">
        <f t="shared" si="1"/>
        <v>0</v>
      </c>
    </row>
    <row r="39" ht="14.25" customHeight="1">
      <c r="A39" s="278" t="s">
        <v>117</v>
      </c>
      <c r="B39" s="321">
        <v>24252.0</v>
      </c>
      <c r="C39" s="346">
        <v>24252.0</v>
      </c>
      <c r="D39" s="349"/>
      <c r="E39" s="322"/>
      <c r="F39" s="323">
        <f t="shared" si="1"/>
        <v>0</v>
      </c>
    </row>
    <row r="40" ht="14.25" customHeight="1">
      <c r="A40" s="278" t="s">
        <v>118</v>
      </c>
      <c r="B40" s="321">
        <v>3342676.0</v>
      </c>
      <c r="C40" s="346">
        <v>3342676.0</v>
      </c>
      <c r="D40" s="349"/>
      <c r="E40" s="322"/>
      <c r="F40" s="323">
        <f t="shared" si="1"/>
        <v>0</v>
      </c>
    </row>
    <row r="41" ht="14.25" customHeight="1">
      <c r="A41" s="278" t="s">
        <v>119</v>
      </c>
      <c r="B41" s="321">
        <v>511304.0</v>
      </c>
      <c r="C41" s="346">
        <v>511304.0</v>
      </c>
      <c r="D41" s="349"/>
      <c r="E41" s="322"/>
      <c r="F41" s="323">
        <f t="shared" si="1"/>
        <v>0</v>
      </c>
    </row>
    <row r="42" ht="14.25" customHeight="1">
      <c r="A42" s="278" t="s">
        <v>120</v>
      </c>
      <c r="B42" s="321">
        <v>1719841.0</v>
      </c>
      <c r="C42" s="346">
        <v>1719841.0</v>
      </c>
      <c r="D42" s="349"/>
      <c r="E42" s="322"/>
      <c r="F42" s="323">
        <f t="shared" si="1"/>
        <v>0</v>
      </c>
    </row>
    <row r="43" ht="14.25" hidden="1" customHeight="1">
      <c r="A43" s="278" t="s">
        <v>122</v>
      </c>
      <c r="B43" s="321">
        <v>1861309.0</v>
      </c>
      <c r="C43" s="346">
        <v>1861309.0</v>
      </c>
      <c r="D43" s="349"/>
      <c r="E43" s="322"/>
      <c r="F43" s="323">
        <f t="shared" si="1"/>
        <v>0</v>
      </c>
    </row>
    <row r="44" ht="14.25" hidden="1" customHeight="1">
      <c r="A44" s="278" t="s">
        <v>123</v>
      </c>
      <c r="B44" s="321">
        <v>957937.0</v>
      </c>
      <c r="C44" s="346">
        <v>957937.0</v>
      </c>
      <c r="D44" s="349"/>
      <c r="E44" s="322"/>
      <c r="F44" s="323">
        <f t="shared" si="1"/>
        <v>0</v>
      </c>
    </row>
    <row r="45" ht="14.25" hidden="1" customHeight="1">
      <c r="A45" s="278" t="s">
        <v>124</v>
      </c>
      <c r="B45" s="321">
        <v>456738.0</v>
      </c>
      <c r="C45" s="346">
        <f>369178.12+87559.88</f>
        <v>456738</v>
      </c>
      <c r="D45" s="349"/>
      <c r="E45" s="322"/>
      <c r="F45" s="323">
        <f t="shared" si="1"/>
        <v>0</v>
      </c>
    </row>
    <row r="46" ht="14.25" hidden="1" customHeight="1">
      <c r="A46" s="278" t="s">
        <v>125</v>
      </c>
      <c r="B46" s="321">
        <v>4927112.0</v>
      </c>
      <c r="C46" s="346">
        <f>4288628.56+11134.62+627348.74-666676</f>
        <v>4260435.92</v>
      </c>
      <c r="D46" s="349">
        <v>666676.0</v>
      </c>
      <c r="E46" s="322"/>
      <c r="F46" s="323">
        <f t="shared" si="1"/>
        <v>0.08000000007</v>
      </c>
    </row>
    <row r="47" ht="14.25" hidden="1" customHeight="1">
      <c r="A47" s="278" t="s">
        <v>126</v>
      </c>
      <c r="B47" s="321">
        <v>6063.0</v>
      </c>
      <c r="C47" s="346">
        <v>6063.0</v>
      </c>
      <c r="D47" s="349"/>
      <c r="E47" s="322"/>
      <c r="F47" s="323">
        <f t="shared" si="1"/>
        <v>0</v>
      </c>
    </row>
    <row r="48" ht="14.25" customHeight="1">
      <c r="A48" s="278" t="s">
        <v>128</v>
      </c>
      <c r="B48" s="321">
        <v>345585.0</v>
      </c>
      <c r="C48" s="346">
        <f>102240.74+243344.26</f>
        <v>345585</v>
      </c>
      <c r="D48" s="349"/>
      <c r="E48" s="322"/>
      <c r="F48" s="323">
        <f t="shared" si="1"/>
        <v>0</v>
      </c>
    </row>
    <row r="49" ht="14.25" customHeight="1">
      <c r="A49" s="278" t="s">
        <v>129</v>
      </c>
      <c r="B49" s="321">
        <v>202096.0</v>
      </c>
      <c r="C49" s="346">
        <v>202096.0</v>
      </c>
      <c r="D49" s="349"/>
      <c r="E49" s="322"/>
      <c r="F49" s="323">
        <f t="shared" si="1"/>
        <v>0</v>
      </c>
    </row>
    <row r="50" ht="14.25" customHeight="1">
      <c r="A50" s="350" t="s">
        <v>131</v>
      </c>
      <c r="B50" s="351">
        <v>6008328.0</v>
      </c>
      <c r="C50" s="352">
        <f>6008328-1178229</f>
        <v>4830099</v>
      </c>
      <c r="D50" s="349">
        <f>1178229</f>
        <v>1178229</v>
      </c>
      <c r="E50" s="322"/>
      <c r="F50" s="323">
        <f t="shared" si="1"/>
        <v>0</v>
      </c>
    </row>
    <row r="51" ht="14.25" customHeight="1">
      <c r="A51" s="317" t="s">
        <v>156</v>
      </c>
      <c r="B51" s="318">
        <v>1940126.0</v>
      </c>
      <c r="C51" s="318">
        <v>1940126.0</v>
      </c>
      <c r="D51" s="322"/>
      <c r="E51" s="322"/>
      <c r="F51" s="323">
        <f t="shared" si="1"/>
        <v>0</v>
      </c>
    </row>
    <row r="52" ht="14.25" customHeight="1">
      <c r="A52" s="278" t="s">
        <v>133</v>
      </c>
      <c r="B52" s="322">
        <v>2115950.0</v>
      </c>
      <c r="C52" s="321">
        <v>2115950.0</v>
      </c>
      <c r="D52" s="322"/>
      <c r="E52" s="322"/>
      <c r="F52" s="323">
        <f t="shared" si="1"/>
        <v>0</v>
      </c>
    </row>
    <row r="53" ht="33.0" customHeight="1">
      <c r="A53" s="278" t="s">
        <v>134</v>
      </c>
      <c r="B53" s="322">
        <v>6062.89</v>
      </c>
      <c r="C53" s="321"/>
      <c r="D53" s="322"/>
      <c r="E53" s="322"/>
      <c r="F53" s="323">
        <f t="shared" si="1"/>
        <v>6062.89</v>
      </c>
    </row>
    <row r="54" ht="14.25" customHeight="1">
      <c r="A54" s="278" t="s">
        <v>136</v>
      </c>
      <c r="B54" s="322">
        <v>200075.51</v>
      </c>
      <c r="C54" s="321"/>
      <c r="D54" s="322"/>
      <c r="E54" s="322"/>
      <c r="F54" s="323">
        <f t="shared" si="1"/>
        <v>200075.51</v>
      </c>
    </row>
    <row r="55" ht="14.25" customHeight="1">
      <c r="A55" s="278" t="s">
        <v>138</v>
      </c>
      <c r="B55" s="321">
        <v>1.0466576E7</v>
      </c>
      <c r="C55" s="321">
        <v>1.0466576E7</v>
      </c>
      <c r="D55" s="322"/>
      <c r="E55" s="321"/>
      <c r="F55" s="323">
        <f t="shared" si="1"/>
        <v>0</v>
      </c>
    </row>
    <row r="56" ht="14.25" customHeight="1">
      <c r="A56" s="278" t="s">
        <v>139</v>
      </c>
      <c r="B56" s="321">
        <f>32083333-849406</f>
        <v>31233927</v>
      </c>
      <c r="C56" s="321">
        <f>19681235+1514000+8907000+1640697+20675000+2660000-23844005+664628+664628-1329256</f>
        <v>31233927</v>
      </c>
      <c r="D56" s="322"/>
      <c r="E56" s="322"/>
      <c r="F56" s="323">
        <f t="shared" si="1"/>
        <v>0</v>
      </c>
      <c r="G56" s="353"/>
    </row>
    <row r="57" ht="14.25" customHeight="1">
      <c r="A57" s="278" t="s">
        <v>140</v>
      </c>
      <c r="B57" s="321">
        <v>30314.0</v>
      </c>
      <c r="C57" s="354"/>
      <c r="D57" s="322"/>
      <c r="E57" s="322"/>
      <c r="F57" s="323">
        <f t="shared" si="1"/>
        <v>30314</v>
      </c>
    </row>
    <row r="58" ht="14.25" customHeight="1">
      <c r="A58" s="327" t="s">
        <v>143</v>
      </c>
      <c r="B58" s="328">
        <f t="shared" ref="B58:F58" si="2">SUM(B9:B57)</f>
        <v>144983927.4</v>
      </c>
      <c r="C58" s="328">
        <f t="shared" si="2"/>
        <v>138079119.7</v>
      </c>
      <c r="D58" s="328">
        <f t="shared" si="2"/>
        <v>5787214</v>
      </c>
      <c r="E58" s="328">
        <f t="shared" si="2"/>
        <v>-0.02624981152</v>
      </c>
      <c r="F58" s="329">
        <f t="shared" si="2"/>
        <v>1117593.746</v>
      </c>
    </row>
    <row r="59" ht="14.25" customHeight="1">
      <c r="A59" s="330" t="s">
        <v>157</v>
      </c>
      <c r="B59" s="331">
        <v>849406.0</v>
      </c>
      <c r="C59" s="331"/>
      <c r="D59" s="331"/>
      <c r="E59" s="331"/>
      <c r="F59" s="355">
        <f>B59-C59-D59-E59</f>
        <v>849406</v>
      </c>
    </row>
    <row r="60" ht="14.25" customHeight="1">
      <c r="A60" s="333" t="s">
        <v>158</v>
      </c>
      <c r="B60" s="334">
        <f t="shared" ref="B60:F60" si="3">B58+B59</f>
        <v>145833333.4</v>
      </c>
      <c r="C60" s="334">
        <f t="shared" si="3"/>
        <v>138079119.7</v>
      </c>
      <c r="D60" s="334">
        <f t="shared" si="3"/>
        <v>5787214</v>
      </c>
      <c r="E60" s="334">
        <f t="shared" si="3"/>
        <v>-0.02624981152</v>
      </c>
      <c r="F60" s="335">
        <f t="shared" si="3"/>
        <v>1966999.746</v>
      </c>
    </row>
    <row r="61" ht="14.25" customHeight="1">
      <c r="A61" s="336"/>
      <c r="B61" s="331"/>
      <c r="C61" s="331"/>
      <c r="D61" s="331"/>
      <c r="E61" s="331"/>
      <c r="F61" s="331"/>
    </row>
    <row r="62" ht="14.25" customHeight="1">
      <c r="A62" s="337" t="s">
        <v>159</v>
      </c>
      <c r="B62" s="338">
        <f>B12+B13+B15+B19+B21+B27+B33+B36+B43+B46+B48+B49+B53+B54+B57</f>
        <v>9652127.4</v>
      </c>
      <c r="C62" s="338">
        <f t="shared" ref="C62:E62" si="4">C12+C13+C15+C19+C21+C26+C34+C36+C43+C46+C48+C49+C53+C54+C57</f>
        <v>7983051.92</v>
      </c>
      <c r="D62" s="338">
        <f t="shared" si="4"/>
        <v>666676</v>
      </c>
      <c r="E62" s="338">
        <f t="shared" si="4"/>
        <v>0</v>
      </c>
      <c r="F62" s="339">
        <f>B62-C62-D62-E62</f>
        <v>1002399.48</v>
      </c>
    </row>
    <row r="63" ht="14.25" customHeight="1">
      <c r="B63" s="310"/>
      <c r="C63" s="315"/>
      <c r="D63" s="310"/>
      <c r="E63" s="310"/>
      <c r="F63" s="310"/>
    </row>
    <row r="64" ht="14.25" customHeight="1">
      <c r="A64" s="312"/>
      <c r="B64" s="315"/>
      <c r="C64" s="340"/>
      <c r="D64" s="341"/>
      <c r="E64" s="341"/>
      <c r="F64" s="341"/>
      <c r="G64" s="312"/>
      <c r="H64" s="312"/>
      <c r="I64" s="312"/>
      <c r="J64" s="312"/>
      <c r="K64" s="312"/>
      <c r="L64" s="312"/>
      <c r="M64" s="312"/>
      <c r="N64" s="312"/>
      <c r="O64" s="312"/>
      <c r="P64" s="312"/>
      <c r="Q64" s="312"/>
      <c r="R64" s="312"/>
      <c r="S64" s="312"/>
      <c r="T64" s="312"/>
      <c r="U64" s="312"/>
      <c r="V64" s="312"/>
      <c r="W64" s="312"/>
      <c r="X64" s="312"/>
      <c r="Y64" s="312"/>
      <c r="Z64" s="312"/>
    </row>
    <row r="65" ht="14.25" customHeight="1">
      <c r="B65" s="310"/>
      <c r="C65" s="315"/>
      <c r="D65" s="310"/>
      <c r="E65" s="310"/>
      <c r="F65" s="310"/>
    </row>
    <row r="66" ht="14.25" customHeight="1">
      <c r="B66" s="310"/>
      <c r="C66" s="315"/>
      <c r="D66" s="310"/>
      <c r="E66" s="310"/>
      <c r="F66" s="310"/>
    </row>
    <row r="67" ht="14.25" customHeight="1">
      <c r="B67" s="310"/>
      <c r="C67" s="315"/>
      <c r="D67" s="310"/>
      <c r="E67" s="310"/>
      <c r="F67" s="310"/>
    </row>
    <row r="68" ht="14.25" customHeight="1">
      <c r="B68" s="310"/>
      <c r="C68" s="315"/>
      <c r="D68" s="310"/>
      <c r="E68" s="310"/>
      <c r="F68" s="310"/>
    </row>
    <row r="69" ht="14.25" customHeight="1">
      <c r="B69" s="310"/>
      <c r="C69" s="310"/>
      <c r="D69" s="310"/>
      <c r="E69" s="310"/>
      <c r="F69" s="310"/>
    </row>
    <row r="70" ht="14.25" customHeight="1">
      <c r="B70" s="310"/>
      <c r="C70" s="310"/>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A1:B1"/>
    <mergeCell ref="A5:F5"/>
    <mergeCell ref="A6:F6"/>
    <mergeCell ref="A7:F7"/>
  </mergeCells>
  <printOptions horizontalCentered="1"/>
  <pageMargins bottom="0.31496062992125984" footer="0.0" header="0.0" left="0.7086614173228347" right="0.7086614173228347" top="0.5905511811023623"/>
  <pageSetup scale="75"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6.71"/>
    <col customWidth="1" min="3" max="3" width="40.29"/>
    <col customWidth="1" min="4" max="4" width="14.29"/>
    <col customWidth="1" min="5" max="5" width="13.29"/>
    <col customWidth="1" min="6" max="6" width="15.71"/>
    <col customWidth="1" min="7" max="7" width="16.43"/>
    <col customWidth="1" min="8" max="8" width="17.57"/>
    <col customWidth="1" min="9" max="26" width="8.71"/>
  </cols>
  <sheetData>
    <row r="1" ht="14.25" customHeight="1">
      <c r="A1" s="217" t="str">
        <f>[1]Status!C1</f>
        <v>#ERROR!</v>
      </c>
      <c r="C1" s="218"/>
      <c r="D1" s="218"/>
      <c r="E1" s="218"/>
      <c r="F1" s="218"/>
    </row>
    <row r="2" ht="14.25" customHeight="1">
      <c r="A2" s="217" t="s">
        <v>1</v>
      </c>
      <c r="B2" s="218"/>
      <c r="C2" s="218"/>
      <c r="D2" s="218"/>
      <c r="E2" s="218"/>
      <c r="F2" s="218"/>
    </row>
    <row r="3" ht="14.25" customHeight="1">
      <c r="A3" s="221" t="s">
        <v>190</v>
      </c>
      <c r="B3" s="218"/>
      <c r="C3" s="218"/>
      <c r="D3" s="218"/>
      <c r="E3" s="218"/>
      <c r="F3" s="218"/>
    </row>
    <row r="4" ht="14.25" customHeight="1">
      <c r="A4" s="222"/>
      <c r="B4" s="218"/>
      <c r="C4" s="218"/>
      <c r="D4" s="218"/>
      <c r="E4" s="218"/>
      <c r="F4" s="218"/>
    </row>
    <row r="5" ht="14.25" customHeight="1">
      <c r="A5" s="223" t="s">
        <v>148</v>
      </c>
    </row>
    <row r="6" ht="14.25" customHeight="1">
      <c r="A6" s="224" t="s">
        <v>191</v>
      </c>
    </row>
    <row r="7" ht="14.25" customHeight="1">
      <c r="A7" s="297" t="str">
        <f>[1]Status!A6</f>
        <v>#ERROR!</v>
      </c>
      <c r="B7" s="298"/>
      <c r="C7" s="298"/>
      <c r="D7" s="298"/>
      <c r="E7" s="298"/>
      <c r="F7" s="298"/>
    </row>
    <row r="8" ht="33.0" customHeight="1">
      <c r="A8" s="226" t="s">
        <v>79</v>
      </c>
      <c r="B8" s="227" t="s">
        <v>80</v>
      </c>
      <c r="C8" s="229" t="s">
        <v>81</v>
      </c>
      <c r="D8" s="228" t="s">
        <v>82</v>
      </c>
      <c r="E8" s="227" t="s">
        <v>83</v>
      </c>
      <c r="F8" s="229" t="s">
        <v>84</v>
      </c>
    </row>
    <row r="9" ht="14.25" customHeight="1">
      <c r="A9" s="356" t="s">
        <v>86</v>
      </c>
      <c r="B9" s="357">
        <v>16168.0</v>
      </c>
      <c r="C9" s="358">
        <v>16168.0</v>
      </c>
      <c r="D9" s="359"/>
      <c r="E9" s="360"/>
      <c r="F9" s="323">
        <f t="shared" ref="F9:F57" si="1">B9-C9-D9-E9</f>
        <v>0</v>
      </c>
    </row>
    <row r="10" ht="14.25" customHeight="1">
      <c r="A10" s="317" t="s">
        <v>150</v>
      </c>
      <c r="B10" s="361">
        <v>4191481.0</v>
      </c>
      <c r="C10" s="358">
        <v>4191481.0</v>
      </c>
      <c r="D10" s="362"/>
      <c r="E10" s="363"/>
      <c r="F10" s="323">
        <f t="shared" si="1"/>
        <v>0</v>
      </c>
    </row>
    <row r="11" ht="14.25" customHeight="1">
      <c r="A11" s="278" t="s">
        <v>88</v>
      </c>
      <c r="B11" s="364">
        <v>1612730.0</v>
      </c>
      <c r="C11" s="358">
        <v>1612730.0</v>
      </c>
      <c r="D11" s="349"/>
      <c r="E11" s="322"/>
      <c r="F11" s="323">
        <f t="shared" si="1"/>
        <v>0</v>
      </c>
    </row>
    <row r="12" ht="14.25" customHeight="1">
      <c r="A12" s="324" t="s">
        <v>89</v>
      </c>
      <c r="B12" s="364">
        <v>80839.0</v>
      </c>
      <c r="C12" s="358"/>
      <c r="D12" s="349"/>
      <c r="E12" s="322"/>
      <c r="F12" s="323">
        <f t="shared" si="1"/>
        <v>80839</v>
      </c>
    </row>
    <row r="13" ht="14.25" customHeight="1">
      <c r="A13" s="278" t="s">
        <v>90</v>
      </c>
      <c r="B13" s="364">
        <v>113174.0</v>
      </c>
      <c r="C13" s="358"/>
      <c r="D13" s="349"/>
      <c r="E13" s="322"/>
      <c r="F13" s="323">
        <f t="shared" si="1"/>
        <v>113174</v>
      </c>
    </row>
    <row r="14" ht="14.25" customHeight="1">
      <c r="A14" s="278" t="s">
        <v>91</v>
      </c>
      <c r="B14" s="364">
        <v>2016923.0</v>
      </c>
      <c r="C14" s="358">
        <v>2016923.0</v>
      </c>
      <c r="D14" s="349"/>
      <c r="E14" s="322"/>
      <c r="F14" s="323">
        <f t="shared" si="1"/>
        <v>0</v>
      </c>
    </row>
    <row r="15" ht="14.25" customHeight="1">
      <c r="A15" s="278" t="s">
        <v>92</v>
      </c>
      <c r="B15" s="364">
        <v>94985.0</v>
      </c>
      <c r="C15" s="358">
        <v>94985.0</v>
      </c>
      <c r="D15" s="349"/>
      <c r="E15" s="322"/>
      <c r="F15" s="323">
        <f t="shared" si="1"/>
        <v>0</v>
      </c>
    </row>
    <row r="16" ht="14.25" customHeight="1">
      <c r="A16" s="278" t="s">
        <v>151</v>
      </c>
      <c r="B16" s="364">
        <v>6030559.0</v>
      </c>
      <c r="C16" s="358">
        <f>4824446.83+1206112.07</f>
        <v>6030558.9</v>
      </c>
      <c r="D16" s="349"/>
      <c r="E16" s="322"/>
      <c r="F16" s="323">
        <f t="shared" si="1"/>
        <v>0.09999999963</v>
      </c>
    </row>
    <row r="17" ht="14.25" customHeight="1">
      <c r="A17" s="278" t="s">
        <v>94</v>
      </c>
      <c r="B17" s="364">
        <v>254642.0</v>
      </c>
      <c r="C17" s="358">
        <f>250876.44+3766</f>
        <v>254642.44</v>
      </c>
      <c r="D17" s="349"/>
      <c r="E17" s="322"/>
      <c r="F17" s="323">
        <f t="shared" si="1"/>
        <v>-0.44</v>
      </c>
    </row>
    <row r="18" ht="14.25" customHeight="1">
      <c r="A18" s="278" t="s">
        <v>95</v>
      </c>
      <c r="B18" s="364">
        <v>94985.0</v>
      </c>
      <c r="C18" s="358">
        <v>94985.0</v>
      </c>
      <c r="D18" s="349"/>
      <c r="E18" s="322"/>
      <c r="F18" s="323">
        <f t="shared" si="1"/>
        <v>0</v>
      </c>
    </row>
    <row r="19" ht="14.25" customHeight="1">
      <c r="A19" s="278" t="s">
        <v>96</v>
      </c>
      <c r="B19" s="364">
        <v>780092.0</v>
      </c>
      <c r="C19" s="358">
        <v>780092.0</v>
      </c>
      <c r="D19" s="349"/>
      <c r="E19" s="322"/>
      <c r="F19" s="323">
        <f t="shared" si="1"/>
        <v>0</v>
      </c>
    </row>
    <row r="20" ht="14.25" customHeight="1">
      <c r="A20" s="278" t="s">
        <v>97</v>
      </c>
      <c r="B20" s="364">
        <v>1364151.0</v>
      </c>
      <c r="C20" s="358">
        <v>1364151.0</v>
      </c>
      <c r="D20" s="349"/>
      <c r="E20" s="322"/>
      <c r="F20" s="323">
        <f t="shared" si="1"/>
        <v>0</v>
      </c>
    </row>
    <row r="21" ht="14.25" customHeight="1">
      <c r="A21" s="278" t="s">
        <v>98</v>
      </c>
      <c r="B21" s="364">
        <v>80839.0</v>
      </c>
      <c r="C21" s="358">
        <v>80839.0</v>
      </c>
      <c r="D21" s="349"/>
      <c r="E21" s="322"/>
      <c r="F21" s="323">
        <f t="shared" si="1"/>
        <v>0</v>
      </c>
    </row>
    <row r="22" ht="14.25" customHeight="1">
      <c r="A22" s="278" t="s">
        <v>99</v>
      </c>
      <c r="B22" s="364">
        <v>1048881.0</v>
      </c>
      <c r="C22" s="358">
        <v>1048881.0</v>
      </c>
      <c r="D22" s="349"/>
      <c r="E22" s="322"/>
      <c r="F22" s="323">
        <f t="shared" si="1"/>
        <v>0</v>
      </c>
    </row>
    <row r="23" ht="14.25" customHeight="1">
      <c r="A23" s="278" t="s">
        <v>152</v>
      </c>
      <c r="B23" s="364">
        <v>1.1303256E7</v>
      </c>
      <c r="C23" s="358">
        <f>11257491</f>
        <v>11257491</v>
      </c>
      <c r="D23" s="349">
        <f>45765</f>
        <v>45765</v>
      </c>
      <c r="E23" s="322"/>
      <c r="F23" s="323">
        <f t="shared" si="1"/>
        <v>0</v>
      </c>
    </row>
    <row r="24" ht="14.25" customHeight="1">
      <c r="A24" s="278" t="s">
        <v>153</v>
      </c>
      <c r="B24" s="364">
        <v>1.4431709E7</v>
      </c>
      <c r="C24" s="358">
        <f>8659025.32+2886341.77-1850587</f>
        <v>9694780.09</v>
      </c>
      <c r="D24" s="349">
        <f>659452+323021+1903869+1850587</f>
        <v>4736929</v>
      </c>
      <c r="E24" s="364"/>
      <c r="F24" s="323">
        <f t="shared" si="1"/>
        <v>-0.08999999985</v>
      </c>
      <c r="G24" s="325"/>
      <c r="H24" s="216"/>
    </row>
    <row r="25" ht="14.25" customHeight="1">
      <c r="A25" s="278" t="s">
        <v>102</v>
      </c>
      <c r="B25" s="364">
        <v>1289376.0</v>
      </c>
      <c r="C25" s="358">
        <v>1289376.0</v>
      </c>
      <c r="D25" s="349"/>
      <c r="E25" s="322"/>
      <c r="F25" s="323">
        <f t="shared" si="1"/>
        <v>0</v>
      </c>
      <c r="G25" s="326"/>
    </row>
    <row r="26" ht="14.25" customHeight="1">
      <c r="A26" s="278" t="s">
        <v>103</v>
      </c>
      <c r="B26" s="364">
        <v>2021.0</v>
      </c>
      <c r="C26" s="358">
        <v>2021.0</v>
      </c>
      <c r="D26" s="349"/>
      <c r="E26" s="322"/>
      <c r="F26" s="323">
        <f t="shared" si="1"/>
        <v>0</v>
      </c>
      <c r="G26" s="216"/>
    </row>
    <row r="27" ht="14.25" customHeight="1">
      <c r="A27" s="278" t="s">
        <v>104</v>
      </c>
      <c r="B27" s="364">
        <v>537577.0</v>
      </c>
      <c r="C27" s="358">
        <v>537577.0</v>
      </c>
      <c r="D27" s="349"/>
      <c r="E27" s="322"/>
      <c r="F27" s="323">
        <f t="shared" si="1"/>
        <v>0</v>
      </c>
    </row>
    <row r="28" ht="14.25" customHeight="1">
      <c r="A28" s="278" t="s">
        <v>105</v>
      </c>
      <c r="B28" s="364">
        <v>54566.0</v>
      </c>
      <c r="C28" s="358">
        <v>54566.0</v>
      </c>
      <c r="D28" s="349"/>
      <c r="E28" s="322"/>
      <c r="F28" s="323">
        <f t="shared" si="1"/>
        <v>0</v>
      </c>
    </row>
    <row r="29" ht="14.25" customHeight="1">
      <c r="A29" s="278" t="s">
        <v>154</v>
      </c>
      <c r="B29" s="364">
        <v>844763.0</v>
      </c>
      <c r="C29" s="358">
        <v>844763.0</v>
      </c>
      <c r="D29" s="349"/>
      <c r="E29" s="322"/>
      <c r="F29" s="323">
        <f t="shared" si="1"/>
        <v>0</v>
      </c>
    </row>
    <row r="30" ht="14.25" customHeight="1">
      <c r="A30" s="278" t="s">
        <v>107</v>
      </c>
      <c r="B30" s="364">
        <v>800302.0</v>
      </c>
      <c r="C30" s="358"/>
      <c r="D30" s="349"/>
      <c r="E30" s="322"/>
      <c r="F30" s="323">
        <f t="shared" si="1"/>
        <v>800302</v>
      </c>
    </row>
    <row r="31" ht="14.25" customHeight="1">
      <c r="A31" s="278" t="s">
        <v>108</v>
      </c>
      <c r="B31" s="364">
        <v>8989251.0</v>
      </c>
      <c r="C31" s="358">
        <f>1762906.01+7191368.15+34976.83-282500</f>
        <v>8706750.99</v>
      </c>
      <c r="D31" s="349">
        <f>282500</f>
        <v>282500</v>
      </c>
      <c r="E31" s="322"/>
      <c r="F31" s="323">
        <f t="shared" si="1"/>
        <v>0.009999999776</v>
      </c>
    </row>
    <row r="32" ht="14.25" customHeight="1">
      <c r="A32" s="278" t="s">
        <v>155</v>
      </c>
      <c r="B32" s="364">
        <v>2.1893111E7</v>
      </c>
      <c r="C32" s="358">
        <f>7372578+14520533-90400-90400</f>
        <v>21712311</v>
      </c>
      <c r="D32" s="349">
        <f>90400+90400</f>
        <v>180800</v>
      </c>
      <c r="E32" s="322"/>
      <c r="F32" s="323">
        <f t="shared" si="1"/>
        <v>0</v>
      </c>
      <c r="H32" s="312"/>
    </row>
    <row r="33" ht="14.25" customHeight="1">
      <c r="A33" s="278" t="s">
        <v>110</v>
      </c>
      <c r="B33" s="364">
        <v>244537.0</v>
      </c>
      <c r="C33" s="358">
        <f>128906+115631</f>
        <v>244537</v>
      </c>
      <c r="D33" s="349"/>
      <c r="E33" s="322"/>
      <c r="F33" s="323">
        <f t="shared" si="1"/>
        <v>0</v>
      </c>
      <c r="H33" s="312"/>
    </row>
    <row r="34" ht="14.25" customHeight="1">
      <c r="A34" s="278" t="s">
        <v>112</v>
      </c>
      <c r="B34" s="364">
        <v>94985.0</v>
      </c>
      <c r="C34" s="358">
        <v>94985.0</v>
      </c>
      <c r="D34" s="349"/>
      <c r="E34" s="322"/>
      <c r="F34" s="323">
        <f t="shared" si="1"/>
        <v>0</v>
      </c>
    </row>
    <row r="35" ht="14.25" customHeight="1">
      <c r="A35" s="278" t="s">
        <v>113</v>
      </c>
      <c r="B35" s="364">
        <v>18189.0</v>
      </c>
      <c r="C35" s="358">
        <v>18189.0</v>
      </c>
      <c r="D35" s="349"/>
      <c r="E35" s="322"/>
      <c r="F35" s="323">
        <f t="shared" si="1"/>
        <v>0</v>
      </c>
    </row>
    <row r="36" ht="14.25" customHeight="1">
      <c r="A36" s="278" t="s">
        <v>114</v>
      </c>
      <c r="B36" s="364">
        <v>147530.0</v>
      </c>
      <c r="C36" s="358">
        <v>147530.0</v>
      </c>
      <c r="D36" s="349"/>
      <c r="E36" s="322"/>
      <c r="F36" s="323">
        <f t="shared" si="1"/>
        <v>0</v>
      </c>
    </row>
    <row r="37" ht="14.25" customHeight="1">
      <c r="A37" s="278" t="s">
        <v>115</v>
      </c>
      <c r="B37" s="364">
        <v>163698.0</v>
      </c>
      <c r="C37" s="358">
        <v>163698.0</v>
      </c>
      <c r="D37" s="349"/>
      <c r="E37" s="322"/>
      <c r="F37" s="323">
        <f t="shared" si="1"/>
        <v>0</v>
      </c>
    </row>
    <row r="38" ht="14.25" customHeight="1">
      <c r="A38" s="278" t="s">
        <v>116</v>
      </c>
      <c r="B38" s="364">
        <v>32335.0</v>
      </c>
      <c r="C38" s="358">
        <v>32335.0</v>
      </c>
      <c r="D38" s="349"/>
      <c r="E38" s="322"/>
      <c r="F38" s="323">
        <f t="shared" si="1"/>
        <v>0</v>
      </c>
    </row>
    <row r="39" ht="14.25" customHeight="1">
      <c r="A39" s="278" t="s">
        <v>117</v>
      </c>
      <c r="B39" s="364">
        <v>24252.0</v>
      </c>
      <c r="C39" s="358">
        <v>24252.0</v>
      </c>
      <c r="D39" s="349"/>
      <c r="E39" s="322"/>
      <c r="F39" s="323">
        <f t="shared" si="1"/>
        <v>0</v>
      </c>
    </row>
    <row r="40" ht="14.25" customHeight="1">
      <c r="A40" s="278" t="s">
        <v>118</v>
      </c>
      <c r="B40" s="364">
        <v>3342676.0</v>
      </c>
      <c r="C40" s="358">
        <v>3342676.0</v>
      </c>
      <c r="D40" s="349"/>
      <c r="E40" s="322"/>
      <c r="F40" s="323">
        <f t="shared" si="1"/>
        <v>0</v>
      </c>
    </row>
    <row r="41" ht="14.25" customHeight="1">
      <c r="A41" s="278" t="s">
        <v>119</v>
      </c>
      <c r="B41" s="364">
        <v>511304.0</v>
      </c>
      <c r="C41" s="358">
        <v>511304.0</v>
      </c>
      <c r="D41" s="349"/>
      <c r="E41" s="322"/>
      <c r="F41" s="323">
        <f t="shared" si="1"/>
        <v>0</v>
      </c>
    </row>
    <row r="42" ht="14.25" customHeight="1">
      <c r="A42" s="278" t="s">
        <v>120</v>
      </c>
      <c r="B42" s="364">
        <v>1719841.0</v>
      </c>
      <c r="C42" s="358">
        <v>1719841.0</v>
      </c>
      <c r="D42" s="349"/>
      <c r="E42" s="322"/>
      <c r="F42" s="323">
        <f t="shared" si="1"/>
        <v>0</v>
      </c>
    </row>
    <row r="43" ht="14.25" hidden="1" customHeight="1">
      <c r="A43" s="278" t="s">
        <v>122</v>
      </c>
      <c r="B43" s="364">
        <v>1861309.0</v>
      </c>
      <c r="C43" s="358">
        <v>1861309.4</v>
      </c>
      <c r="D43" s="349"/>
      <c r="E43" s="322"/>
      <c r="F43" s="323">
        <f t="shared" si="1"/>
        <v>-0.3999999999</v>
      </c>
    </row>
    <row r="44" ht="14.25" hidden="1" customHeight="1">
      <c r="A44" s="278" t="s">
        <v>123</v>
      </c>
      <c r="B44" s="364">
        <v>957937.0</v>
      </c>
      <c r="C44" s="358">
        <v>957937.0</v>
      </c>
      <c r="D44" s="349"/>
      <c r="E44" s="322"/>
      <c r="F44" s="323">
        <f t="shared" si="1"/>
        <v>0</v>
      </c>
    </row>
    <row r="45" ht="14.25" hidden="1" customHeight="1">
      <c r="A45" s="278" t="s">
        <v>124</v>
      </c>
      <c r="B45" s="364">
        <v>456738.0</v>
      </c>
      <c r="C45" s="358">
        <v>456738.0</v>
      </c>
      <c r="D45" s="349"/>
      <c r="E45" s="322"/>
      <c r="F45" s="323">
        <f t="shared" si="1"/>
        <v>0</v>
      </c>
    </row>
    <row r="46" ht="14.25" hidden="1" customHeight="1">
      <c r="A46" s="278" t="s">
        <v>125</v>
      </c>
      <c r="B46" s="364">
        <v>4927112.0</v>
      </c>
      <c r="C46" s="358">
        <f>4563879.73+363232.76</f>
        <v>4927112.49</v>
      </c>
      <c r="D46" s="349"/>
      <c r="E46" s="322"/>
      <c r="F46" s="323">
        <f t="shared" si="1"/>
        <v>-0.4900000002</v>
      </c>
    </row>
    <row r="47" ht="14.25" hidden="1" customHeight="1">
      <c r="A47" s="317" t="s">
        <v>126</v>
      </c>
      <c r="B47" s="364">
        <v>6063.0</v>
      </c>
      <c r="C47" s="358">
        <v>6063.0</v>
      </c>
      <c r="D47" s="349"/>
      <c r="E47" s="322"/>
      <c r="F47" s="323">
        <f t="shared" si="1"/>
        <v>0</v>
      </c>
    </row>
    <row r="48" ht="14.25" customHeight="1">
      <c r="A48" s="317" t="s">
        <v>128</v>
      </c>
      <c r="B48" s="364">
        <v>345585.0</v>
      </c>
      <c r="C48" s="358">
        <f>121671.44+102240.74+121673</f>
        <v>345585.18</v>
      </c>
      <c r="D48" s="349"/>
      <c r="E48" s="322"/>
      <c r="F48" s="323">
        <f t="shared" si="1"/>
        <v>-0.18</v>
      </c>
    </row>
    <row r="49" ht="14.25" customHeight="1">
      <c r="A49" s="278" t="s">
        <v>129</v>
      </c>
      <c r="B49" s="364">
        <v>202096.0</v>
      </c>
      <c r="C49" s="358">
        <f>79500+122596</f>
        <v>202096</v>
      </c>
      <c r="D49" s="349"/>
      <c r="E49" s="322"/>
      <c r="F49" s="323">
        <f t="shared" si="1"/>
        <v>0</v>
      </c>
    </row>
    <row r="50" ht="14.25" customHeight="1">
      <c r="A50" s="350" t="s">
        <v>131</v>
      </c>
      <c r="B50" s="365">
        <v>6008328.0</v>
      </c>
      <c r="C50" s="366">
        <v>6008328.0</v>
      </c>
      <c r="D50" s="349"/>
      <c r="E50" s="322"/>
      <c r="F50" s="323">
        <f t="shared" si="1"/>
        <v>0</v>
      </c>
    </row>
    <row r="51" ht="14.25" customHeight="1">
      <c r="A51" s="317" t="s">
        <v>156</v>
      </c>
      <c r="B51" s="361">
        <v>1940126.0</v>
      </c>
      <c r="C51" s="367">
        <v>1940126.0</v>
      </c>
      <c r="D51" s="322"/>
      <c r="E51" s="322"/>
      <c r="F51" s="323">
        <f t="shared" si="1"/>
        <v>0</v>
      </c>
    </row>
    <row r="52" ht="14.25" customHeight="1">
      <c r="A52" s="278" t="s">
        <v>133</v>
      </c>
      <c r="B52" s="368">
        <v>2115950.0</v>
      </c>
      <c r="C52" s="357">
        <v>2115950.0</v>
      </c>
      <c r="D52" s="322"/>
      <c r="E52" s="322"/>
      <c r="F52" s="323">
        <f t="shared" si="1"/>
        <v>0</v>
      </c>
    </row>
    <row r="53" ht="33.0" customHeight="1">
      <c r="A53" s="278" t="s">
        <v>134</v>
      </c>
      <c r="B53" s="368">
        <v>6062.89</v>
      </c>
      <c r="C53" s="357"/>
      <c r="D53" s="322"/>
      <c r="E53" s="322"/>
      <c r="F53" s="323">
        <f t="shared" si="1"/>
        <v>6062.89</v>
      </c>
    </row>
    <row r="54" ht="14.25" customHeight="1">
      <c r="A54" s="278" t="s">
        <v>136</v>
      </c>
      <c r="B54" s="368">
        <v>200075.51</v>
      </c>
      <c r="C54" s="357"/>
      <c r="D54" s="322"/>
      <c r="E54" s="322"/>
      <c r="F54" s="323">
        <f t="shared" si="1"/>
        <v>200075.51</v>
      </c>
    </row>
    <row r="55" ht="14.25" customHeight="1">
      <c r="A55" s="278" t="s">
        <v>138</v>
      </c>
      <c r="B55" s="364">
        <v>1.0466576E7</v>
      </c>
      <c r="C55" s="357">
        <v>1.0466576E7</v>
      </c>
      <c r="D55" s="322"/>
      <c r="E55" s="364"/>
      <c r="F55" s="323">
        <f t="shared" si="1"/>
        <v>0</v>
      </c>
    </row>
    <row r="56" ht="14.25" customHeight="1">
      <c r="A56" s="278" t="s">
        <v>139</v>
      </c>
      <c r="B56" s="364">
        <f>32083333-271090-180974</f>
        <v>31631269</v>
      </c>
      <c r="C56" s="357">
        <f>25000000-6814819+714323.4+8913000+3818765</f>
        <v>31631269.4</v>
      </c>
      <c r="D56" s="322"/>
      <c r="E56" s="322"/>
      <c r="F56" s="323">
        <f t="shared" si="1"/>
        <v>-0.3999999985</v>
      </c>
    </row>
    <row r="57" ht="14.25" customHeight="1">
      <c r="A57" s="369" t="s">
        <v>140</v>
      </c>
      <c r="B57" s="364">
        <v>30314.0</v>
      </c>
      <c r="C57" s="357"/>
      <c r="D57" s="370"/>
      <c r="E57" s="371"/>
      <c r="F57" s="323">
        <f t="shared" si="1"/>
        <v>30314</v>
      </c>
    </row>
    <row r="58" ht="14.25" customHeight="1">
      <c r="A58" s="372" t="s">
        <v>143</v>
      </c>
      <c r="B58" s="373">
        <f t="shared" ref="B58:D58" si="2">SUM(B9:B57)</f>
        <v>145381269.4</v>
      </c>
      <c r="C58" s="373">
        <f t="shared" si="2"/>
        <v>138904509.9</v>
      </c>
      <c r="D58" s="373">
        <f t="shared" si="2"/>
        <v>5245994</v>
      </c>
      <c r="E58" s="373"/>
      <c r="F58" s="374">
        <f>SUM(F9:F57)</f>
        <v>1230765.51</v>
      </c>
    </row>
    <row r="59" ht="14.25" customHeight="1">
      <c r="A59" s="375" t="s">
        <v>157</v>
      </c>
      <c r="B59" s="376">
        <v>452064.0</v>
      </c>
      <c r="C59" s="376"/>
      <c r="D59" s="376"/>
      <c r="E59" s="376"/>
      <c r="F59" s="377">
        <f>B59-C59-D59-E59</f>
        <v>452064</v>
      </c>
    </row>
    <row r="60" ht="14.25" customHeight="1">
      <c r="A60" s="333" t="s">
        <v>158</v>
      </c>
      <c r="B60" s="373">
        <f t="shared" ref="B60:D60" si="3">B58+B59</f>
        <v>145833333.4</v>
      </c>
      <c r="C60" s="373">
        <f t="shared" si="3"/>
        <v>138904509.9</v>
      </c>
      <c r="D60" s="373">
        <f t="shared" si="3"/>
        <v>5245994</v>
      </c>
      <c r="E60" s="373"/>
      <c r="F60" s="374">
        <f>F58+F59</f>
        <v>1682829.51</v>
      </c>
    </row>
    <row r="61" ht="14.25" customHeight="1">
      <c r="A61" s="378" t="s">
        <v>186</v>
      </c>
      <c r="B61" s="331"/>
      <c r="C61" s="331"/>
      <c r="D61" s="331"/>
      <c r="E61" s="331"/>
      <c r="F61" s="331"/>
    </row>
    <row r="62" ht="14.25" customHeight="1">
      <c r="A62" s="379"/>
      <c r="B62" s="380"/>
      <c r="C62" s="380"/>
      <c r="D62" s="380"/>
      <c r="E62" s="380"/>
      <c r="F62" s="380"/>
    </row>
    <row r="63" ht="14.25" customHeight="1">
      <c r="A63" s="336"/>
      <c r="B63" s="331"/>
      <c r="C63" s="331"/>
      <c r="D63" s="331"/>
      <c r="E63" s="331"/>
      <c r="F63" s="331"/>
    </row>
    <row r="64" ht="14.25" customHeight="1">
      <c r="A64" s="337" t="s">
        <v>159</v>
      </c>
      <c r="B64" s="338">
        <f>B12+B13+B15+B19+B21+B27+B33+B36+B43+B46+B48+B49+B53+B54+B57</f>
        <v>9652127.4</v>
      </c>
      <c r="C64" s="338">
        <f t="shared" ref="C64:E64" si="4">C12+C13+C15+C19+C21+C26+C34+C36+C43+C46+C48+C49+C53+C54+C57</f>
        <v>8536555.07</v>
      </c>
      <c r="D64" s="338">
        <f t="shared" si="4"/>
        <v>0</v>
      </c>
      <c r="E64" s="338">
        <f t="shared" si="4"/>
        <v>0</v>
      </c>
      <c r="F64" s="339">
        <f>B64-C64-D64-E64</f>
        <v>1115572.33</v>
      </c>
    </row>
    <row r="65" ht="14.25" customHeight="1">
      <c r="B65" s="310"/>
      <c r="C65" s="315"/>
      <c r="D65" s="310"/>
      <c r="E65" s="310"/>
      <c r="F65" s="310"/>
    </row>
    <row r="66" ht="14.25" customHeight="1">
      <c r="A66" s="312"/>
      <c r="B66" s="315"/>
      <c r="C66" s="340"/>
      <c r="D66" s="341"/>
      <c r="E66" s="341"/>
      <c r="F66" s="341"/>
      <c r="G66" s="312"/>
      <c r="H66" s="312"/>
      <c r="I66" s="312"/>
      <c r="J66" s="312"/>
      <c r="K66" s="312"/>
      <c r="L66" s="312"/>
      <c r="M66" s="312"/>
      <c r="N66" s="312"/>
      <c r="O66" s="312"/>
      <c r="P66" s="312"/>
      <c r="Q66" s="312"/>
      <c r="R66" s="312"/>
      <c r="S66" s="312"/>
      <c r="T66" s="312"/>
      <c r="U66" s="312"/>
      <c r="V66" s="312"/>
      <c r="W66" s="312"/>
      <c r="X66" s="312"/>
      <c r="Y66" s="312"/>
      <c r="Z66" s="312"/>
    </row>
    <row r="67" ht="14.25" customHeight="1">
      <c r="B67" s="310"/>
      <c r="C67" s="315"/>
      <c r="D67" s="310"/>
      <c r="E67" s="310"/>
      <c r="F67" s="310"/>
    </row>
    <row r="68" ht="14.25" customHeight="1">
      <c r="B68" s="310"/>
      <c r="C68" s="315"/>
      <c r="D68" s="310"/>
      <c r="E68" s="310"/>
      <c r="F68" s="310"/>
    </row>
    <row r="69" ht="14.25" customHeight="1">
      <c r="B69" s="310"/>
      <c r="C69" s="315"/>
      <c r="D69" s="310"/>
      <c r="E69" s="310"/>
      <c r="F69" s="310"/>
    </row>
    <row r="70" ht="14.25" customHeight="1">
      <c r="B70" s="310"/>
      <c r="C70" s="315"/>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A1:B1"/>
    <mergeCell ref="A5:F5"/>
    <mergeCell ref="A6:F6"/>
    <mergeCell ref="A7:F7"/>
  </mergeCells>
  <printOptions/>
  <pageMargins bottom="0.75" footer="0.0" header="0.0" left="0.7" right="0.7" top="0.75"/>
  <pageSetup orientation="portrait"/>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2" width="17.71"/>
    <col customWidth="1" min="3" max="3" width="40.29"/>
    <col customWidth="1" min="4" max="6" width="17.71"/>
    <col customWidth="1" hidden="1" min="7" max="7" width="16.43"/>
    <col customWidth="1" min="8" max="26" width="8.71"/>
  </cols>
  <sheetData>
    <row r="1" ht="14.25" customHeight="1">
      <c r="A1" s="217"/>
      <c r="C1" s="381"/>
      <c r="D1" s="381"/>
      <c r="E1" s="219"/>
      <c r="F1" s="220" t="str">
        <f>[1]Status!C1</f>
        <v>#ERROR!</v>
      </c>
    </row>
    <row r="2" ht="14.25" customHeight="1">
      <c r="A2" s="217"/>
      <c r="B2" s="381"/>
      <c r="C2" s="381"/>
      <c r="D2" s="381"/>
      <c r="E2" s="219"/>
      <c r="F2" s="220" t="s">
        <v>1</v>
      </c>
    </row>
    <row r="3" ht="14.25" customHeight="1">
      <c r="A3" s="221"/>
      <c r="B3" s="381"/>
      <c r="C3" s="381"/>
      <c r="D3" s="381"/>
      <c r="E3" s="220"/>
      <c r="F3" s="220" t="s">
        <v>190</v>
      </c>
    </row>
    <row r="4" ht="14.25" customHeight="1">
      <c r="A4" s="222"/>
      <c r="B4" s="381"/>
      <c r="C4" s="381"/>
      <c r="D4" s="381"/>
      <c r="E4" s="381"/>
      <c r="F4" s="381"/>
    </row>
    <row r="5" ht="14.25" customHeight="1">
      <c r="A5" s="223" t="s">
        <v>148</v>
      </c>
    </row>
    <row r="6" ht="14.25" customHeight="1">
      <c r="A6" s="224" t="s">
        <v>192</v>
      </c>
    </row>
    <row r="7" ht="14.25" customHeight="1">
      <c r="A7" s="297" t="str">
        <f>[1]Status!A6</f>
        <v>#ERROR!</v>
      </c>
      <c r="B7" s="298"/>
      <c r="C7" s="298"/>
      <c r="D7" s="298"/>
      <c r="E7" s="298"/>
      <c r="F7" s="298"/>
    </row>
    <row r="8" ht="33.0" customHeight="1">
      <c r="A8" s="382" t="s">
        <v>79</v>
      </c>
      <c r="B8" s="383" t="s">
        <v>80</v>
      </c>
      <c r="C8" s="384" t="s">
        <v>81</v>
      </c>
      <c r="D8" s="385" t="s">
        <v>82</v>
      </c>
      <c r="E8" s="383" t="s">
        <v>83</v>
      </c>
      <c r="F8" s="384" t="s">
        <v>84</v>
      </c>
    </row>
    <row r="9" ht="14.25" customHeight="1">
      <c r="A9" s="356" t="s">
        <v>86</v>
      </c>
      <c r="B9" s="386">
        <f>'YR2012'!B9+'YR2013'!B9+'YR2014'!B9</f>
        <v>35719.53</v>
      </c>
      <c r="C9" s="387">
        <f>'YR2012'!C9+'YR2013'!C9+'YR2014'!C9</f>
        <v>35786.53</v>
      </c>
      <c r="D9" s="388">
        <f>'YR2012'!D9+'YR2013'!D9+'YR2014'!D9</f>
        <v>0</v>
      </c>
      <c r="E9" s="386">
        <f>'YR2012'!E9+'YR2013'!E9+'YR2014'!E9</f>
        <v>0</v>
      </c>
      <c r="F9" s="389">
        <f t="shared" ref="F9:F57" si="1">B9-C9-D9-E9</f>
        <v>-67</v>
      </c>
    </row>
    <row r="10" ht="14.25" customHeight="1">
      <c r="A10" s="278" t="s">
        <v>150</v>
      </c>
      <c r="B10" s="386">
        <f>'YR2012'!B10+'YR2013'!B10+'YR2014'!B10</f>
        <v>9863696.58</v>
      </c>
      <c r="C10" s="387">
        <f>'YR2012'!C10+'YR2013'!C10+'YR2014'!C10</f>
        <v>9863696.58</v>
      </c>
      <c r="D10" s="388">
        <f>'YR2012'!D10+'YR2013'!D10+'YR2014'!D10</f>
        <v>0</v>
      </c>
      <c r="E10" s="386">
        <f>'YR2012'!E10+'YR2013'!E10+'YR2014'!E10</f>
        <v>0</v>
      </c>
      <c r="F10" s="238">
        <f t="shared" si="1"/>
        <v>0</v>
      </c>
    </row>
    <row r="11" ht="14.25" customHeight="1">
      <c r="A11" s="278" t="s">
        <v>88</v>
      </c>
      <c r="B11" s="386">
        <f>'YR2012'!B11+'YR2013'!B11+'YR2014'!B11</f>
        <v>4342475.85</v>
      </c>
      <c r="C11" s="387">
        <f>'YR2012'!C11+'YR2013'!C11+'YR2014'!C11</f>
        <v>4342475.85</v>
      </c>
      <c r="D11" s="388">
        <f>'YR2012'!D11+'YR2013'!D11+'YR2014'!D11</f>
        <v>0</v>
      </c>
      <c r="E11" s="386">
        <f>'YR2012'!E11+'YR2013'!E11+'YR2014'!E11</f>
        <v>0</v>
      </c>
      <c r="F11" s="238">
        <f t="shared" si="1"/>
        <v>0</v>
      </c>
    </row>
    <row r="12" ht="14.25" customHeight="1">
      <c r="A12" s="324" t="s">
        <v>89</v>
      </c>
      <c r="B12" s="386">
        <f>'YR2012'!B12+'YR2013'!B12+'YR2014'!B12</f>
        <v>76541.88</v>
      </c>
      <c r="C12" s="387">
        <f>'YR2012'!C12+'YR2013'!C12+'YR2014'!C12</f>
        <v>0</v>
      </c>
      <c r="D12" s="388">
        <f>'YR2012'!D12+'YR2013'!D12+'YR2014'!D12</f>
        <v>0</v>
      </c>
      <c r="E12" s="386">
        <f>'YR2012'!E12+'YR2013'!E12+'YR2014'!E12</f>
        <v>0</v>
      </c>
      <c r="F12" s="238">
        <f t="shared" si="1"/>
        <v>76541.88</v>
      </c>
    </row>
    <row r="13" ht="14.25" customHeight="1">
      <c r="A13" s="278" t="s">
        <v>90</v>
      </c>
      <c r="B13" s="386">
        <f>'YR2012'!B13+'YR2013'!B13+'YR2014'!B13</f>
        <v>214317.27</v>
      </c>
      <c r="C13" s="387">
        <f>'YR2012'!C13+'YR2013'!C13+'YR2014'!C13</f>
        <v>0</v>
      </c>
      <c r="D13" s="388">
        <f>'YR2012'!D13+'YR2013'!D13+'YR2014'!D13</f>
        <v>0</v>
      </c>
      <c r="E13" s="386">
        <f>'YR2012'!E13+'YR2013'!E13+'YR2014'!E13</f>
        <v>0</v>
      </c>
      <c r="F13" s="238">
        <f t="shared" si="1"/>
        <v>214317.27</v>
      </c>
    </row>
    <row r="14" ht="14.25" customHeight="1">
      <c r="A14" s="278" t="s">
        <v>91</v>
      </c>
      <c r="B14" s="386">
        <f>'YR2012'!B14+'YR2013'!B14+'YR2014'!B14</f>
        <v>5485501.2</v>
      </c>
      <c r="C14" s="387">
        <f>'YR2012'!C14+'YR2013'!C14+'YR2014'!C14</f>
        <v>5485501.2</v>
      </c>
      <c r="D14" s="388">
        <f>'YR2012'!D14+'YR2013'!D14+'YR2014'!D14</f>
        <v>0</v>
      </c>
      <c r="E14" s="386">
        <f>'YR2012'!E14+'YR2013'!E14+'YR2014'!E14</f>
        <v>0</v>
      </c>
      <c r="F14" s="238">
        <f t="shared" si="1"/>
        <v>0</v>
      </c>
    </row>
    <row r="15" ht="14.25" customHeight="1">
      <c r="A15" s="278" t="s">
        <v>92</v>
      </c>
      <c r="B15" s="386">
        <f>'YR2012'!B15+'YR2013'!B15+'YR2014'!B15</f>
        <v>193906.08</v>
      </c>
      <c r="C15" s="387">
        <f>'YR2012'!C15+'YR2013'!C15+'YR2014'!C15</f>
        <v>193906.08</v>
      </c>
      <c r="D15" s="388">
        <f>'YR2012'!D15+'YR2013'!D15+'YR2014'!D15</f>
        <v>0</v>
      </c>
      <c r="E15" s="386">
        <f>'YR2012'!E15+'YR2013'!E15+'YR2014'!E15</f>
        <v>0</v>
      </c>
      <c r="F15" s="238">
        <f t="shared" si="1"/>
        <v>0</v>
      </c>
    </row>
    <row r="16" ht="14.25" customHeight="1">
      <c r="A16" s="278" t="s">
        <v>151</v>
      </c>
      <c r="B16" s="386">
        <f>'YR2012'!B16+'YR2013'!B16+'YR2014'!B16</f>
        <v>16364653.35</v>
      </c>
      <c r="C16" s="387">
        <f>'YR2012'!C16+'YR2013'!C16+'YR2014'!C16</f>
        <v>16364653.35</v>
      </c>
      <c r="D16" s="388">
        <f>'YR2012'!D16+'YR2013'!D16+'YR2014'!D16</f>
        <v>0</v>
      </c>
      <c r="E16" s="386">
        <f>'YR2012'!E16+'YR2013'!E16+'YR2014'!E16</f>
        <v>0</v>
      </c>
      <c r="F16" s="238">
        <f t="shared" si="1"/>
        <v>-0.0002162773162</v>
      </c>
    </row>
    <row r="17" ht="14.25" customHeight="1">
      <c r="A17" s="278" t="s">
        <v>94</v>
      </c>
      <c r="B17" s="386">
        <f>'YR2012'!B17+'YR2013'!B17+'YR2014'!B17</f>
        <v>164728.94</v>
      </c>
      <c r="C17" s="387">
        <f>'YR2012'!C17+'YR2013'!C17+'YR2014'!C17</f>
        <v>164728.94</v>
      </c>
      <c r="D17" s="388">
        <f>'YR2012'!D17+'YR2013'!D17+'YR2014'!D17</f>
        <v>0</v>
      </c>
      <c r="E17" s="386">
        <f>'YR2012'!E17+'YR2013'!E17+'YR2014'!E17</f>
        <v>0</v>
      </c>
      <c r="F17" s="238">
        <f t="shared" si="1"/>
        <v>0</v>
      </c>
    </row>
    <row r="18" ht="14.25" customHeight="1">
      <c r="A18" s="278" t="s">
        <v>95</v>
      </c>
      <c r="B18" s="386">
        <f>'YR2012'!B18+'YR2013'!B18+'YR2014'!B18</f>
        <v>234728.43</v>
      </c>
      <c r="C18" s="387">
        <f>'YR2012'!C18+'YR2013'!C18+'YR2014'!C18</f>
        <v>234728.43</v>
      </c>
      <c r="D18" s="388">
        <f>'YR2012'!D18+'YR2013'!D18+'YR2014'!D18</f>
        <v>0</v>
      </c>
      <c r="E18" s="386">
        <f>'YR2012'!E18+'YR2013'!E18+'YR2014'!E18</f>
        <v>0</v>
      </c>
      <c r="F18" s="238">
        <f t="shared" si="1"/>
        <v>0</v>
      </c>
    </row>
    <row r="19" ht="14.25" customHeight="1">
      <c r="A19" s="278" t="s">
        <v>96</v>
      </c>
      <c r="B19" s="386">
        <f>'YR2012'!B19+'YR2013'!B19+'YR2014'!B19</f>
        <v>1780874.34</v>
      </c>
      <c r="C19" s="387">
        <f>'YR2012'!C19+'YR2013'!C19+'YR2014'!C19</f>
        <v>1780874.34</v>
      </c>
      <c r="D19" s="388">
        <f>'YR2012'!D19+'YR2013'!D19+'YR2014'!D19</f>
        <v>0</v>
      </c>
      <c r="E19" s="386">
        <f>'YR2012'!E19+'YR2013'!E19+'YR2014'!E19</f>
        <v>0</v>
      </c>
      <c r="F19" s="238">
        <f t="shared" si="1"/>
        <v>0</v>
      </c>
    </row>
    <row r="20" ht="14.25" customHeight="1">
      <c r="A20" s="278" t="s">
        <v>97</v>
      </c>
      <c r="B20" s="386">
        <f>'YR2012'!B20+'YR2013'!B20+'YR2014'!B20</f>
        <v>3755654.79</v>
      </c>
      <c r="C20" s="387">
        <f>'YR2012'!C20+'YR2013'!C20+'YR2014'!C20</f>
        <v>3755654.79</v>
      </c>
      <c r="D20" s="388">
        <f>'YR2012'!D20+'YR2013'!D20+'YR2014'!D20</f>
        <v>0</v>
      </c>
      <c r="E20" s="386">
        <f>'YR2012'!E20+'YR2013'!E20+'YR2014'!E20</f>
        <v>0</v>
      </c>
      <c r="F20" s="238">
        <f t="shared" si="1"/>
        <v>0</v>
      </c>
    </row>
    <row r="21" ht="14.25" customHeight="1">
      <c r="A21" s="278" t="s">
        <v>98</v>
      </c>
      <c r="B21" s="386">
        <f>'YR2012'!B21+'YR2013'!B21+'YR2014'!B21</f>
        <v>204111.66</v>
      </c>
      <c r="C21" s="387">
        <f>'YR2012'!C21+'YR2013'!C21+'YR2014'!C21</f>
        <v>204111.66</v>
      </c>
      <c r="D21" s="388">
        <f>'YR2012'!D21+'YR2013'!D21+'YR2014'!D21</f>
        <v>0</v>
      </c>
      <c r="E21" s="386">
        <f>'YR2012'!E21+'YR2013'!E21+'YR2014'!E21</f>
        <v>0</v>
      </c>
      <c r="F21" s="238">
        <f t="shared" si="1"/>
        <v>0</v>
      </c>
    </row>
    <row r="22" ht="14.25" customHeight="1">
      <c r="A22" s="278" t="s">
        <v>99</v>
      </c>
      <c r="B22" s="386">
        <f>'YR2012'!B22+'YR2013'!B22+'YR2014'!B22</f>
        <v>2888180.16</v>
      </c>
      <c r="C22" s="387">
        <f>'YR2012'!C22+'YR2013'!C22+'YR2014'!C22</f>
        <v>2888180.16</v>
      </c>
      <c r="D22" s="388">
        <f>'YR2012'!D22+'YR2013'!D22+'YR2014'!D22</f>
        <v>0</v>
      </c>
      <c r="E22" s="386">
        <f>'YR2012'!E22+'YR2013'!E22+'YR2014'!E22</f>
        <v>0</v>
      </c>
      <c r="F22" s="238">
        <f t="shared" si="1"/>
        <v>0</v>
      </c>
    </row>
    <row r="23" ht="14.25" customHeight="1">
      <c r="A23" s="278" t="s">
        <v>152</v>
      </c>
      <c r="B23" s="386">
        <f>'YR2012'!B23+'YR2013'!B23+'YR2014'!B23</f>
        <v>31244394.3</v>
      </c>
      <c r="C23" s="387">
        <f>'YR2012'!C23+'YR2013'!C23+'YR2014'!C23</f>
        <v>30612452.2</v>
      </c>
      <c r="D23" s="388">
        <f>'YR2012'!D23+'YR2013'!D23+'YR2014'!D23</f>
        <v>631942</v>
      </c>
      <c r="E23" s="386">
        <f>'YR2012'!E23+'YR2013'!E23+'YR2014'!E23</f>
        <v>0</v>
      </c>
      <c r="F23" s="238">
        <f t="shared" si="1"/>
        <v>0.09999999776</v>
      </c>
    </row>
    <row r="24" ht="14.25" customHeight="1">
      <c r="A24" s="278" t="s">
        <v>153</v>
      </c>
      <c r="B24" s="386">
        <f>'YR2012'!B24+'YR2013'!B24+'YR2014'!B24</f>
        <v>40914184.77</v>
      </c>
      <c r="C24" s="387">
        <f>'YR2012'!C24+'YR2013'!C24+'YR2014'!C24</f>
        <v>33374300.9</v>
      </c>
      <c r="D24" s="388">
        <f>'YR2012'!D24+'YR2013'!D24+'YR2014'!D24</f>
        <v>7539884</v>
      </c>
      <c r="E24" s="386">
        <f>'YR2012'!E24+'YR2013'!E24+'YR2014'!E24</f>
        <v>-0.02360682935</v>
      </c>
      <c r="F24" s="238">
        <f t="shared" si="1"/>
        <v>-0.1063931733</v>
      </c>
      <c r="G24" s="216">
        <f>B24*0.7203</f>
        <v>29470487.29</v>
      </c>
    </row>
    <row r="25" ht="14.25" customHeight="1">
      <c r="A25" s="278" t="s">
        <v>102</v>
      </c>
      <c r="B25" s="386">
        <f>'YR2012'!B25+'YR2013'!B25+'YR2014'!B25</f>
        <v>3526029.15</v>
      </c>
      <c r="C25" s="387">
        <f>'YR2012'!C25+'YR2013'!C25+'YR2014'!C25</f>
        <v>3526029</v>
      </c>
      <c r="D25" s="388">
        <f>'YR2012'!D25+'YR2013'!D25+'YR2014'!D25</f>
        <v>0</v>
      </c>
      <c r="E25" s="386">
        <f>'YR2012'!E25+'YR2013'!E25+'YR2014'!E25</f>
        <v>0</v>
      </c>
      <c r="F25" s="238">
        <f t="shared" si="1"/>
        <v>0.1500000004</v>
      </c>
    </row>
    <row r="26" ht="14.25" customHeight="1">
      <c r="A26" s="278" t="s">
        <v>103</v>
      </c>
      <c r="B26" s="386">
        <f>'YR2012'!B26+'YR2013'!B26+'YR2014'!B26</f>
        <v>5102.79</v>
      </c>
      <c r="C26" s="387">
        <f>'YR2012'!C26+'YR2013'!C26+'YR2014'!C26</f>
        <v>5102.79</v>
      </c>
      <c r="D26" s="388">
        <f>'YR2012'!D26+'YR2013'!D26+'YR2014'!D26</f>
        <v>0</v>
      </c>
      <c r="E26" s="386">
        <f>'YR2012'!E26+'YR2013'!E26+'YR2014'!E26</f>
        <v>0</v>
      </c>
      <c r="F26" s="238">
        <f t="shared" si="1"/>
        <v>0</v>
      </c>
    </row>
    <row r="27" ht="14.25" customHeight="1">
      <c r="A27" s="278" t="s">
        <v>104</v>
      </c>
      <c r="B27" s="386">
        <f>'YR2012'!B27+'YR2013'!B27+'YR2014'!B27</f>
        <v>1484912.43</v>
      </c>
      <c r="C27" s="387">
        <f>'YR2012'!C27+'YR2013'!C27+'YR2014'!C27</f>
        <v>1484912.43</v>
      </c>
      <c r="D27" s="388">
        <f>'YR2012'!D27+'YR2013'!D27+'YR2014'!D27</f>
        <v>0</v>
      </c>
      <c r="E27" s="386">
        <f>'YR2012'!E27+'YR2013'!E27+'YR2014'!E27</f>
        <v>0</v>
      </c>
      <c r="F27" s="238">
        <f t="shared" si="1"/>
        <v>0</v>
      </c>
    </row>
    <row r="28" ht="14.25" customHeight="1">
      <c r="A28" s="278" t="s">
        <v>105</v>
      </c>
      <c r="B28" s="386">
        <f>'YR2012'!B28+'YR2013'!B28+'YR2014'!B28</f>
        <v>214317.27</v>
      </c>
      <c r="C28" s="387">
        <f>'YR2012'!C28+'YR2013'!C28+'YR2014'!C28</f>
        <v>214317.17</v>
      </c>
      <c r="D28" s="388">
        <f>'YR2012'!D28+'YR2013'!D28+'YR2014'!D28</f>
        <v>0</v>
      </c>
      <c r="E28" s="386">
        <f>'YR2012'!E28+'YR2013'!E28+'YR2014'!E28</f>
        <v>0</v>
      </c>
      <c r="F28" s="238">
        <f t="shared" si="1"/>
        <v>0.1</v>
      </c>
    </row>
    <row r="29" ht="14.25" customHeight="1">
      <c r="A29" s="278" t="s">
        <v>154</v>
      </c>
      <c r="B29" s="386">
        <f>'YR2012'!B29+'YR2013'!B29+'YR2014'!B29</f>
        <v>2541190.32</v>
      </c>
      <c r="C29" s="387">
        <f>'YR2012'!C29+'YR2013'!C29+'YR2014'!C29</f>
        <v>2541190.32</v>
      </c>
      <c r="D29" s="388">
        <f>'YR2012'!D29+'YR2013'!D29+'YR2014'!D29</f>
        <v>0</v>
      </c>
      <c r="E29" s="386">
        <f>'YR2012'!E29+'YR2013'!E29+'YR2014'!E29</f>
        <v>0</v>
      </c>
      <c r="F29" s="238">
        <f t="shared" si="1"/>
        <v>0</v>
      </c>
    </row>
    <row r="30" ht="14.25" customHeight="1">
      <c r="A30" s="278" t="s">
        <v>107</v>
      </c>
      <c r="B30" s="386">
        <f>'YR2012'!B30+'YR2013'!B30+'YR2014'!B30</f>
        <v>1959472.05</v>
      </c>
      <c r="C30" s="387">
        <f>'YR2012'!C30+'YR2013'!C30+'YR2014'!C30</f>
        <v>0</v>
      </c>
      <c r="D30" s="388">
        <f>'YR2012'!D30+'YR2013'!D30+'YR2014'!D30</f>
        <v>0</v>
      </c>
      <c r="E30" s="386">
        <f>'YR2012'!E30+'YR2013'!E30+'YR2014'!E30</f>
        <v>0</v>
      </c>
      <c r="F30" s="238">
        <f t="shared" si="1"/>
        <v>1959472.05</v>
      </c>
    </row>
    <row r="31" ht="14.25" customHeight="1">
      <c r="A31" s="278" t="s">
        <v>108</v>
      </c>
      <c r="B31" s="386">
        <f>'YR2012'!B31+'YR2013'!B31+'YR2014'!B31</f>
        <v>25508856.3</v>
      </c>
      <c r="C31" s="387">
        <f>'YR2012'!C31+'YR2013'!C31+'YR2014'!C31</f>
        <v>24700925.19</v>
      </c>
      <c r="D31" s="388">
        <f>'YR2012'!D31+'YR2013'!D31+'YR2014'!D31</f>
        <v>807931</v>
      </c>
      <c r="E31" s="386">
        <f>'YR2012'!E31+'YR2013'!E31+'YR2014'!E31</f>
        <v>0</v>
      </c>
      <c r="F31" s="238">
        <f t="shared" si="1"/>
        <v>0.1099999994</v>
      </c>
    </row>
    <row r="32" ht="14.25" customHeight="1">
      <c r="A32" s="278" t="s">
        <v>155</v>
      </c>
      <c r="B32" s="386">
        <f>'YR2012'!B32+'YR2013'!B32+'YR2014'!B32</f>
        <v>63937981.44</v>
      </c>
      <c r="C32" s="387">
        <f>'YR2012'!C32+'YR2013'!C32+'YR2014'!C32</f>
        <v>62395787.89</v>
      </c>
      <c r="D32" s="388">
        <f>'YR2012'!D32+'YR2013'!D32+'YR2014'!D32</f>
        <v>1542193.55</v>
      </c>
      <c r="E32" s="386">
        <f>'YR2012'!E32+'YR2013'!E32+'YR2014'!E32</f>
        <v>0</v>
      </c>
      <c r="F32" s="238">
        <f t="shared" si="1"/>
        <v>-0.000000002793967724</v>
      </c>
    </row>
    <row r="33" ht="14.25" customHeight="1">
      <c r="A33" s="278" t="s">
        <v>110</v>
      </c>
      <c r="B33" s="386">
        <f>'YR2012'!B33+'YR2013'!B33+'YR2014'!B33</f>
        <v>128905.9952</v>
      </c>
      <c r="C33" s="387">
        <f>'YR2012'!C33+'YR2013'!C33+'YR2014'!C33</f>
        <v>128906</v>
      </c>
      <c r="D33" s="388">
        <f>'YR2012'!D33+'YR2013'!D33+'YR2014'!D33</f>
        <v>0</v>
      </c>
      <c r="E33" s="386">
        <f>'YR2012'!E33+'YR2013'!E33+'YR2014'!E33</f>
        <v>0</v>
      </c>
      <c r="F33" s="238">
        <f t="shared" si="1"/>
        <v>-0.004827451266</v>
      </c>
    </row>
    <row r="34" ht="14.25" customHeight="1">
      <c r="A34" s="278" t="s">
        <v>112</v>
      </c>
      <c r="B34" s="386">
        <f>'YR2012'!B34+'YR2013'!B34+'YR2014'!B34</f>
        <v>193906.08</v>
      </c>
      <c r="C34" s="387">
        <f>'YR2012'!C34+'YR2013'!C34+'YR2014'!C34</f>
        <v>193906.08</v>
      </c>
      <c r="D34" s="388">
        <f>'YR2012'!D34+'YR2013'!D34+'YR2014'!D34</f>
        <v>0</v>
      </c>
      <c r="E34" s="386">
        <f>'YR2012'!E34+'YR2013'!E34+'YR2014'!E34</f>
        <v>0</v>
      </c>
      <c r="F34" s="238">
        <f t="shared" si="1"/>
        <v>0</v>
      </c>
    </row>
    <row r="35" ht="14.25" customHeight="1">
      <c r="A35" s="278" t="s">
        <v>113</v>
      </c>
      <c r="B35" s="386">
        <f>'YR2012'!B35+'YR2013'!B35+'YR2014'!B35</f>
        <v>45925.14</v>
      </c>
      <c r="C35" s="387">
        <f>'YR2012'!C35+'YR2013'!C35+'YR2014'!C35</f>
        <v>45925.14</v>
      </c>
      <c r="D35" s="388">
        <f>'YR2012'!D35+'YR2013'!D35+'YR2014'!D35</f>
        <v>0</v>
      </c>
      <c r="E35" s="386">
        <f>'YR2012'!E35+'YR2013'!E35+'YR2014'!E35</f>
        <v>0</v>
      </c>
      <c r="F35" s="238">
        <f t="shared" si="1"/>
        <v>0</v>
      </c>
    </row>
    <row r="36" ht="14.25" customHeight="1">
      <c r="A36" s="278" t="s">
        <v>114</v>
      </c>
      <c r="B36" s="386">
        <f>'YR2012'!B36+'YR2013'!B36+'YR2014'!B36</f>
        <v>331681.47</v>
      </c>
      <c r="C36" s="387">
        <f>'YR2012'!C36+'YR2013'!C36+'YR2014'!C36</f>
        <v>331680</v>
      </c>
      <c r="D36" s="388">
        <f>'YR2012'!D36+'YR2013'!D36+'YR2014'!D36</f>
        <v>0</v>
      </c>
      <c r="E36" s="386">
        <f>'YR2012'!E36+'YR2013'!E36+'YR2014'!E36</f>
        <v>0</v>
      </c>
      <c r="F36" s="238">
        <f t="shared" si="1"/>
        <v>1.47</v>
      </c>
    </row>
    <row r="37" ht="14.25" customHeight="1">
      <c r="A37" s="278" t="s">
        <v>115</v>
      </c>
      <c r="B37" s="386">
        <f>'YR2012'!B37+'YR2013'!B37+'YR2014'!B37</f>
        <v>459251.25</v>
      </c>
      <c r="C37" s="387">
        <f>'YR2012'!C37+'YR2013'!C37+'YR2014'!C37</f>
        <v>459251.25</v>
      </c>
      <c r="D37" s="388">
        <f>'YR2012'!D37+'YR2013'!D37+'YR2014'!D37</f>
        <v>0</v>
      </c>
      <c r="E37" s="386">
        <f>'YR2012'!E37+'YR2013'!E37+'YR2014'!E37</f>
        <v>0</v>
      </c>
      <c r="F37" s="238">
        <f t="shared" si="1"/>
        <v>0</v>
      </c>
    </row>
    <row r="38" ht="14.25" customHeight="1">
      <c r="A38" s="278" t="s">
        <v>116</v>
      </c>
      <c r="B38" s="386">
        <f>'YR2012'!B38+'YR2013'!B38+'YR2014'!B38</f>
        <v>86747.46</v>
      </c>
      <c r="C38" s="387">
        <f>'YR2012'!C38+'YR2013'!C38+'YR2014'!C38</f>
        <v>86747.46</v>
      </c>
      <c r="D38" s="388">
        <f>'YR2012'!D38+'YR2013'!D38+'YR2014'!D38</f>
        <v>0</v>
      </c>
      <c r="E38" s="386">
        <f>'YR2012'!E38+'YR2013'!E38+'YR2014'!E38</f>
        <v>0</v>
      </c>
      <c r="F38" s="238">
        <f t="shared" si="1"/>
        <v>0</v>
      </c>
    </row>
    <row r="39" ht="14.25" customHeight="1">
      <c r="A39" s="278" t="s">
        <v>117</v>
      </c>
      <c r="B39" s="386">
        <f>'YR2012'!B39+'YR2013'!B39+'YR2014'!B39</f>
        <v>15308.37</v>
      </c>
      <c r="C39" s="387">
        <f>'YR2012'!C39+'YR2013'!C39+'YR2014'!C39</f>
        <v>15308.37</v>
      </c>
      <c r="D39" s="388">
        <f>'YR2012'!D39+'YR2013'!D39+'YR2014'!D39</f>
        <v>0</v>
      </c>
      <c r="E39" s="386">
        <f>'YR2012'!E39+'YR2013'!E39+'YR2014'!E39</f>
        <v>0</v>
      </c>
      <c r="F39" s="238">
        <f t="shared" si="1"/>
        <v>0</v>
      </c>
    </row>
    <row r="40" ht="14.25" customHeight="1">
      <c r="A40" s="278" t="s">
        <v>118</v>
      </c>
      <c r="B40" s="386">
        <f>'YR2012'!B40+'YR2013'!B40+'YR2014'!B40</f>
        <v>9465678.81</v>
      </c>
      <c r="C40" s="387">
        <f>'YR2012'!C40+'YR2013'!C40+'YR2014'!C40</f>
        <v>9465678.81</v>
      </c>
      <c r="D40" s="388">
        <f>'YR2012'!D40+'YR2013'!D40+'YR2014'!D40</f>
        <v>0</v>
      </c>
      <c r="E40" s="386">
        <f>'YR2012'!E40+'YR2013'!E40+'YR2014'!E40</f>
        <v>0</v>
      </c>
      <c r="F40" s="238">
        <f t="shared" si="1"/>
        <v>0</v>
      </c>
    </row>
    <row r="41" ht="14.25" customHeight="1">
      <c r="A41" s="278" t="s">
        <v>119</v>
      </c>
      <c r="B41" s="386">
        <f>'YR2012'!B41+'YR2013'!B41+'YR2014'!B41</f>
        <v>1393062.18</v>
      </c>
      <c r="C41" s="387">
        <f>'YR2012'!C41+'YR2013'!C41+'YR2014'!C41</f>
        <v>1393062.18</v>
      </c>
      <c r="D41" s="388">
        <f>'YR2012'!D41+'YR2013'!D41+'YR2014'!D41</f>
        <v>0</v>
      </c>
      <c r="E41" s="386">
        <f>'YR2012'!E41+'YR2013'!E41+'YR2014'!E41</f>
        <v>0</v>
      </c>
      <c r="F41" s="238">
        <f t="shared" si="1"/>
        <v>0</v>
      </c>
    </row>
    <row r="42" ht="14.25" customHeight="1">
      <c r="A42" s="278" t="s">
        <v>120</v>
      </c>
      <c r="B42" s="386">
        <f>'YR2012'!B42+'YR2013'!B42+'YR2014'!B42</f>
        <v>4444531.68</v>
      </c>
      <c r="C42" s="387">
        <f>'YR2012'!C42+'YR2013'!C42+'YR2014'!C42</f>
        <v>4444531.68</v>
      </c>
      <c r="D42" s="388">
        <f>'YR2012'!D42+'YR2013'!D42+'YR2014'!D42</f>
        <v>0</v>
      </c>
      <c r="E42" s="386">
        <f>'YR2012'!E42+'YR2013'!E42+'YR2014'!E42</f>
        <v>0</v>
      </c>
      <c r="F42" s="238">
        <f t="shared" si="1"/>
        <v>0</v>
      </c>
    </row>
    <row r="43" ht="14.25" hidden="1" customHeight="1">
      <c r="A43" s="278" t="s">
        <v>122</v>
      </c>
      <c r="B43" s="386">
        <f>'YR2012'!B43+'YR2013'!B43+'YR2014'!B43</f>
        <v>4225111.62</v>
      </c>
      <c r="C43" s="387">
        <f>'YR2012'!C43+'YR2013'!C43+'YR2014'!C43</f>
        <v>4225111.62</v>
      </c>
      <c r="D43" s="388">
        <f>'YR2012'!D43+'YR2013'!D43+'YR2014'!D43</f>
        <v>0</v>
      </c>
      <c r="E43" s="386">
        <f>'YR2012'!E43+'YR2013'!E43+'YR2014'!E43</f>
        <v>0</v>
      </c>
      <c r="F43" s="238">
        <f t="shared" si="1"/>
        <v>0</v>
      </c>
    </row>
    <row r="44" ht="14.25" hidden="1" customHeight="1">
      <c r="A44" s="278" t="s">
        <v>123</v>
      </c>
      <c r="B44" s="386">
        <f>'YR2012'!B44+'YR2013'!B44+'YR2014'!B44</f>
        <v>2607526.62</v>
      </c>
      <c r="C44" s="387">
        <f>'YR2012'!C44+'YR2013'!C44+'YR2014'!C44</f>
        <v>2607528</v>
      </c>
      <c r="D44" s="388">
        <f>'YR2012'!D44+'YR2013'!D44+'YR2014'!D44</f>
        <v>0</v>
      </c>
      <c r="E44" s="386">
        <f>'YR2012'!E44+'YR2013'!E44+'YR2014'!E44</f>
        <v>0</v>
      </c>
      <c r="F44" s="238">
        <f t="shared" si="1"/>
        <v>-1.38</v>
      </c>
    </row>
    <row r="45" ht="14.25" hidden="1" customHeight="1">
      <c r="A45" s="278" t="s">
        <v>124</v>
      </c>
      <c r="B45" s="386">
        <f>'YR2012'!B45+'YR2013'!B45+'YR2014'!B45</f>
        <v>903194.16</v>
      </c>
      <c r="C45" s="387">
        <f>'YR2012'!C45+'YR2013'!C45+'YR2014'!C45</f>
        <v>903194.44</v>
      </c>
      <c r="D45" s="388">
        <f>'YR2012'!D45+'YR2013'!D45+'YR2014'!D45</f>
        <v>0</v>
      </c>
      <c r="E45" s="386">
        <f>'YR2012'!E45+'YR2013'!E45+'YR2014'!E45</f>
        <v>0</v>
      </c>
      <c r="F45" s="238">
        <f t="shared" si="1"/>
        <v>-0.28</v>
      </c>
    </row>
    <row r="46" ht="14.25" hidden="1" customHeight="1">
      <c r="A46" s="278" t="s">
        <v>125</v>
      </c>
      <c r="B46" s="386">
        <f>'YR2012'!B46+'YR2013'!B46+'YR2014'!B46</f>
        <v>8174672.49</v>
      </c>
      <c r="C46" s="387">
        <f>'YR2012'!C46+'YR2013'!C46+'YR2014'!C46</f>
        <v>5449781.66</v>
      </c>
      <c r="D46" s="388">
        <f>'YR2012'!D46+'YR2013'!D46+'YR2014'!D46</f>
        <v>0</v>
      </c>
      <c r="E46" s="386">
        <f>'YR2012'!E46+'YR2013'!E46+'YR2014'!E46</f>
        <v>0</v>
      </c>
      <c r="F46" s="238">
        <f t="shared" si="1"/>
        <v>2724890.83</v>
      </c>
    </row>
    <row r="47" ht="14.25" hidden="1" customHeight="1">
      <c r="A47" s="278" t="s">
        <v>126</v>
      </c>
      <c r="B47" s="386">
        <f>'YR2012'!B47+'YR2013'!B47+'YR2014'!B47</f>
        <v>15308.37</v>
      </c>
      <c r="C47" s="387">
        <f>'YR2012'!C47+'YR2013'!C47+'YR2014'!C47</f>
        <v>15308.37</v>
      </c>
      <c r="D47" s="388">
        <f>'YR2012'!D47+'YR2013'!D47+'YR2014'!D47</f>
        <v>0</v>
      </c>
      <c r="E47" s="386">
        <f>'YR2012'!E47+'YR2013'!E47+'YR2014'!E47</f>
        <v>0</v>
      </c>
      <c r="F47" s="238">
        <f t="shared" si="1"/>
        <v>0</v>
      </c>
    </row>
    <row r="48" ht="14.25" customHeight="1">
      <c r="A48" s="278" t="s">
        <v>128</v>
      </c>
      <c r="B48" s="386">
        <f>'YR2012'!B48+'YR2013'!B48+'YR2014'!B48</f>
        <v>724596.45</v>
      </c>
      <c r="C48" s="387">
        <f>'YR2012'!C48+'YR2013'!C48+'YR2014'!C48</f>
        <v>724596.45</v>
      </c>
      <c r="D48" s="388">
        <f>'YR2012'!D48+'YR2013'!D48+'YR2014'!D48</f>
        <v>0</v>
      </c>
      <c r="E48" s="386">
        <f>'YR2012'!E48+'YR2013'!E48+'YR2014'!E48</f>
        <v>0</v>
      </c>
      <c r="F48" s="238">
        <f t="shared" si="1"/>
        <v>0</v>
      </c>
    </row>
    <row r="49" ht="14.25" customHeight="1">
      <c r="A49" s="278" t="s">
        <v>129</v>
      </c>
      <c r="B49" s="386">
        <f>'YR2012'!B49+'YR2013'!B49+'YR2014'!B49</f>
        <v>525587.55</v>
      </c>
      <c r="C49" s="387">
        <f>'YR2012'!C49+'YR2013'!C49+'YR2014'!C49</f>
        <v>525587.55</v>
      </c>
      <c r="D49" s="388">
        <f>'YR2012'!D49+'YR2013'!D49+'YR2014'!D49</f>
        <v>0</v>
      </c>
      <c r="E49" s="386">
        <f>'YR2012'!E49+'YR2013'!E49+'YR2014'!E49</f>
        <v>0</v>
      </c>
      <c r="F49" s="238">
        <f t="shared" si="1"/>
        <v>0</v>
      </c>
    </row>
    <row r="50" ht="14.25" customHeight="1">
      <c r="A50" s="350" t="s">
        <v>131</v>
      </c>
      <c r="B50" s="390">
        <f>'YR2012'!B50+'YR2013'!B50+'YR2014'!B50</f>
        <v>16211569.59</v>
      </c>
      <c r="C50" s="391">
        <f>'YR2012'!C50+'YR2013'!C50+'YR2014'!C50</f>
        <v>15320619.69</v>
      </c>
      <c r="D50" s="388">
        <f>'YR2012'!D50+'YR2013'!D50+'YR2014'!D50</f>
        <v>890949.9</v>
      </c>
      <c r="E50" s="386">
        <f>'YR2012'!E50+'YR2013'!E50+'YR2014'!E50</f>
        <v>0</v>
      </c>
      <c r="F50" s="238">
        <f t="shared" si="1"/>
        <v>-0.000000001513399184</v>
      </c>
    </row>
    <row r="51" ht="14.25" customHeight="1">
      <c r="A51" s="317" t="s">
        <v>156</v>
      </c>
      <c r="B51" s="268">
        <f>'YR2012'!B51+'YR2013'!B51+'YR2014'!B51</f>
        <v>5429370.48</v>
      </c>
      <c r="C51" s="268">
        <f>'YR2012'!C51+'YR2013'!C51+'YR2014'!C51</f>
        <v>5429370.48</v>
      </c>
      <c r="D51" s="386">
        <f>'YR2012'!D51+'YR2013'!D51+'YR2014'!D51</f>
        <v>0</v>
      </c>
      <c r="E51" s="386">
        <f>'YR2012'!E51+'YR2013'!E51+'YR2014'!E51</f>
        <v>0</v>
      </c>
      <c r="F51" s="238">
        <f t="shared" si="1"/>
        <v>0</v>
      </c>
    </row>
    <row r="52" ht="14.25" customHeight="1">
      <c r="A52" s="278" t="s">
        <v>133</v>
      </c>
      <c r="B52" s="386">
        <f>'YR2012'!B52+'YR2013'!B52+'YR2014'!B52</f>
        <v>5766154.74</v>
      </c>
      <c r="C52" s="386">
        <f>'YR2012'!C52+'YR2013'!C52+'YR2014'!C52</f>
        <v>5766154.74</v>
      </c>
      <c r="D52" s="386">
        <f>'YR2012'!D52+'YR2013'!D52+'YR2014'!D52</f>
        <v>0</v>
      </c>
      <c r="E52" s="386">
        <f>'YR2012'!E52+'YR2013'!E52+'YR2014'!E52</f>
        <v>0</v>
      </c>
      <c r="F52" s="238">
        <f t="shared" si="1"/>
        <v>0</v>
      </c>
    </row>
    <row r="53" ht="33.0" customHeight="1">
      <c r="A53" s="278" t="s">
        <v>134</v>
      </c>
      <c r="B53" s="386">
        <f>'YR2012'!B53+'YR2013'!B53+'YR2014'!B53</f>
        <v>10205.58</v>
      </c>
      <c r="C53" s="386">
        <f>'YR2012'!C53+'YR2013'!C53+'YR2014'!C53</f>
        <v>0</v>
      </c>
      <c r="D53" s="386">
        <f>'YR2012'!D53+'YR2013'!D53+'YR2014'!D53</f>
        <v>0</v>
      </c>
      <c r="E53" s="386">
        <f>'YR2012'!E53+'YR2013'!E53+'YR2014'!E53</f>
        <v>0</v>
      </c>
      <c r="F53" s="238">
        <f t="shared" si="1"/>
        <v>10205.58</v>
      </c>
    </row>
    <row r="54" ht="14.25" customHeight="1">
      <c r="A54" s="278" t="s">
        <v>136</v>
      </c>
      <c r="B54" s="386">
        <f>'YR2012'!B54+'YR2013'!B54+'YR2014'!B54</f>
        <v>443942.88</v>
      </c>
      <c r="C54" s="386">
        <f>'YR2012'!C54+'YR2013'!C54+'YR2014'!C54</f>
        <v>0</v>
      </c>
      <c r="D54" s="386">
        <f>'YR2012'!D54+'YR2013'!D54+'YR2014'!D54</f>
        <v>0</v>
      </c>
      <c r="E54" s="386">
        <f>'YR2012'!E54+'YR2013'!E54+'YR2014'!E54</f>
        <v>0</v>
      </c>
      <c r="F54" s="238">
        <f t="shared" si="1"/>
        <v>443942.88</v>
      </c>
    </row>
    <row r="55" ht="14.25" customHeight="1">
      <c r="A55" s="278" t="s">
        <v>138</v>
      </c>
      <c r="B55" s="386">
        <f>'YR2012'!B55+'YR2013'!B55+'YR2014'!B55</f>
        <v>33698837.16</v>
      </c>
      <c r="C55" s="386">
        <f>'YR2012'!C55+'YR2013'!C55+'YR2014'!C55</f>
        <v>33698837.16</v>
      </c>
      <c r="D55" s="386">
        <f>'YR2012'!D55+'YR2013'!D55+'YR2014'!D55</f>
        <v>0</v>
      </c>
      <c r="E55" s="386">
        <f>'YR2012'!E55+'YR2013'!E55+'YR2014'!E55</f>
        <v>0</v>
      </c>
      <c r="F55" s="238">
        <f t="shared" si="1"/>
        <v>0</v>
      </c>
    </row>
    <row r="56" ht="14.25" customHeight="1">
      <c r="A56" s="278" t="s">
        <v>139</v>
      </c>
      <c r="B56" s="386">
        <f>'YR2012'!B56+'YR2013'!B56+'YR2014'!B56</f>
        <v>84522089.59</v>
      </c>
      <c r="C56" s="386">
        <f>'YR2012'!C56+'YR2013'!C56+'YR2014'!C56+1</f>
        <v>84522089.6</v>
      </c>
      <c r="D56" s="386">
        <f>'YR2012'!D56+'YR2013'!D56+'YR2014'!D56</f>
        <v>0</v>
      </c>
      <c r="E56" s="386">
        <f>'YR2012'!E56+'YR2013'!E56+'YR2014'!E56</f>
        <v>0</v>
      </c>
      <c r="F56" s="238">
        <f t="shared" si="1"/>
        <v>-0.009999990463</v>
      </c>
    </row>
    <row r="57" ht="14.25" customHeight="1">
      <c r="A57" s="369" t="s">
        <v>140</v>
      </c>
      <c r="B57" s="386">
        <f>'YR2012'!B57+'YR2013'!B57+'YR2014'!B57</f>
        <v>51027.93</v>
      </c>
      <c r="C57" s="386">
        <f>'YR2012'!C57+'YR2013'!C57+'YR2014'!C57</f>
        <v>0</v>
      </c>
      <c r="D57" s="386">
        <f>'YR2012'!D57+'YR2013'!D57+'YR2014'!D57</f>
        <v>0</v>
      </c>
      <c r="E57" s="386">
        <f>'YR2012'!E57+'YR2013'!E57+'YR2014'!E57</f>
        <v>0</v>
      </c>
      <c r="F57" s="245">
        <f t="shared" si="1"/>
        <v>51027.93</v>
      </c>
    </row>
    <row r="58" ht="14.25" customHeight="1">
      <c r="A58" s="372" t="s">
        <v>143</v>
      </c>
      <c r="B58" s="247">
        <f t="shared" ref="B58:F58" si="2">SUM(B9:B57)</f>
        <v>396815724.5</v>
      </c>
      <c r="C58" s="247">
        <f t="shared" si="2"/>
        <v>379922492.5</v>
      </c>
      <c r="D58" s="247">
        <f t="shared" si="2"/>
        <v>11412900.45</v>
      </c>
      <c r="E58" s="247">
        <f t="shared" si="2"/>
        <v>-0.02360682935</v>
      </c>
      <c r="F58" s="249">
        <f t="shared" si="2"/>
        <v>5480331.569</v>
      </c>
    </row>
    <row r="59" ht="14.25" customHeight="1">
      <c r="A59" s="392" t="s">
        <v>157</v>
      </c>
      <c r="B59" s="393">
        <f>'YR2012'!B59+'YR2013'!B59+'YR2014'!B59</f>
        <v>3477910.4</v>
      </c>
      <c r="C59" s="393"/>
      <c r="D59" s="393"/>
      <c r="E59" s="393"/>
      <c r="F59" s="394">
        <f>B59-C59-D59-E59</f>
        <v>3477910.4</v>
      </c>
    </row>
    <row r="60" ht="14.25" customHeight="1">
      <c r="A60" s="333" t="s">
        <v>158</v>
      </c>
      <c r="B60" s="247">
        <f t="shared" ref="B60:F60" si="3">B58+B59</f>
        <v>400293634.9</v>
      </c>
      <c r="C60" s="247">
        <f t="shared" si="3"/>
        <v>379922492.5</v>
      </c>
      <c r="D60" s="247">
        <f t="shared" si="3"/>
        <v>11412900.45</v>
      </c>
      <c r="E60" s="247">
        <f t="shared" si="3"/>
        <v>-0.02360682935</v>
      </c>
      <c r="F60" s="249">
        <f t="shared" si="3"/>
        <v>8958241.969</v>
      </c>
    </row>
    <row r="61" ht="14.25" customHeight="1">
      <c r="A61" s="378" t="s">
        <v>186</v>
      </c>
      <c r="B61" s="395"/>
      <c r="C61" s="395"/>
      <c r="D61" s="395"/>
      <c r="E61" s="395"/>
      <c r="F61" s="395"/>
    </row>
    <row r="62" ht="14.25" customHeight="1">
      <c r="A62" s="379"/>
      <c r="B62" s="396"/>
      <c r="C62" s="396"/>
      <c r="D62" s="396"/>
      <c r="E62" s="396"/>
      <c r="F62" s="396"/>
    </row>
    <row r="63" ht="14.25" customHeight="1">
      <c r="A63" s="336"/>
      <c r="B63" s="395"/>
      <c r="C63" s="395"/>
      <c r="D63" s="395"/>
      <c r="E63" s="395"/>
      <c r="F63" s="395"/>
    </row>
    <row r="64" ht="14.25" customHeight="1">
      <c r="A64" s="337" t="s">
        <v>159</v>
      </c>
      <c r="B64" s="397">
        <f>B12+B13+B15+B19+B21+B27+B34+B36+B43+B46+B48+B49+B53+B54+B57</f>
        <v>18635395.71</v>
      </c>
      <c r="C64" s="397">
        <f t="shared" ref="C64:E64" si="4">C12+C13+C15+C19+C21+C26+C34+C36+C43+C46+C48+C49+C53+C54+C57</f>
        <v>13634658.23</v>
      </c>
      <c r="D64" s="397">
        <f t="shared" si="4"/>
        <v>0</v>
      </c>
      <c r="E64" s="397">
        <f t="shared" si="4"/>
        <v>0</v>
      </c>
      <c r="F64" s="398">
        <f>B64-C64-D64-E64</f>
        <v>5000737.48</v>
      </c>
    </row>
    <row r="65" ht="14.25" customHeight="1">
      <c r="B65" s="216"/>
      <c r="C65" s="399"/>
      <c r="D65" s="216"/>
      <c r="E65" s="216"/>
      <c r="F65" s="216"/>
    </row>
    <row r="66" ht="14.25" customHeight="1">
      <c r="A66" s="312"/>
      <c r="B66" s="399"/>
      <c r="C66" s="399"/>
      <c r="D66" s="399"/>
      <c r="E66" s="399"/>
      <c r="F66" s="399"/>
      <c r="G66" s="312"/>
      <c r="H66" s="312"/>
      <c r="I66" s="312"/>
      <c r="J66" s="312"/>
      <c r="K66" s="312"/>
      <c r="L66" s="312"/>
      <c r="M66" s="312"/>
      <c r="N66" s="312"/>
      <c r="O66" s="312"/>
      <c r="P66" s="312"/>
      <c r="Q66" s="312"/>
      <c r="R66" s="312"/>
      <c r="S66" s="312"/>
      <c r="T66" s="312"/>
      <c r="U66" s="312"/>
      <c r="V66" s="312"/>
      <c r="W66" s="312"/>
      <c r="X66" s="312"/>
      <c r="Y66" s="312"/>
      <c r="Z66" s="312"/>
    </row>
    <row r="67" ht="14.25" customHeight="1">
      <c r="B67" s="216"/>
      <c r="C67" s="216"/>
      <c r="D67" s="216"/>
      <c r="E67" s="216"/>
      <c r="F67" s="216"/>
    </row>
    <row r="68" ht="14.25" customHeight="1">
      <c r="B68" s="216"/>
      <c r="C68" s="399"/>
      <c r="D68" s="216"/>
      <c r="E68" s="216"/>
      <c r="F68" s="216"/>
    </row>
    <row r="69" ht="14.25" customHeight="1">
      <c r="B69" s="216"/>
      <c r="C69" s="399"/>
      <c r="D69" s="216"/>
      <c r="E69" s="216"/>
      <c r="F69" s="216"/>
    </row>
    <row r="70" ht="14.25" customHeight="1">
      <c r="B70" s="216"/>
      <c r="C70" s="399"/>
      <c r="D70" s="216"/>
      <c r="E70" s="216"/>
      <c r="F70" s="216"/>
    </row>
    <row r="71" ht="14.25" customHeight="1">
      <c r="B71" s="216"/>
      <c r="C71" s="216"/>
      <c r="D71" s="216"/>
      <c r="E71" s="216"/>
      <c r="F71" s="216"/>
    </row>
    <row r="72" ht="14.25" customHeight="1">
      <c r="B72" s="216"/>
      <c r="C72" s="216"/>
      <c r="D72" s="216"/>
      <c r="E72" s="216"/>
      <c r="F72" s="216"/>
    </row>
    <row r="73" ht="14.25" customHeight="1">
      <c r="B73" s="216"/>
      <c r="C73" s="216"/>
      <c r="D73" s="216"/>
      <c r="E73" s="216"/>
      <c r="F73" s="216"/>
    </row>
    <row r="74" ht="14.25" customHeight="1">
      <c r="B74" s="216"/>
      <c r="C74" s="216"/>
      <c r="D74" s="216"/>
      <c r="E74" s="216"/>
      <c r="F74" s="216"/>
    </row>
    <row r="75" ht="14.25" customHeight="1">
      <c r="B75" s="216"/>
      <c r="C75" s="216"/>
      <c r="D75" s="216"/>
      <c r="E75" s="216"/>
      <c r="F75" s="216"/>
    </row>
    <row r="76" ht="14.25" customHeight="1">
      <c r="B76" s="216"/>
      <c r="C76" s="216"/>
      <c r="D76" s="216"/>
      <c r="E76" s="216"/>
      <c r="F76" s="216"/>
    </row>
    <row r="77" ht="14.25" customHeight="1">
      <c r="B77" s="216"/>
      <c r="C77" s="216"/>
      <c r="D77" s="216"/>
      <c r="E77" s="216"/>
      <c r="F77" s="216"/>
    </row>
    <row r="78" ht="14.25" customHeight="1">
      <c r="B78" s="216"/>
      <c r="C78" s="216"/>
      <c r="D78" s="216"/>
      <c r="E78" s="216"/>
      <c r="F78" s="216"/>
    </row>
    <row r="79" ht="14.25" customHeight="1">
      <c r="B79" s="216"/>
      <c r="C79" s="216"/>
      <c r="D79" s="216"/>
      <c r="E79" s="216"/>
      <c r="F79" s="216"/>
    </row>
    <row r="80" ht="14.25" customHeight="1">
      <c r="B80" s="216"/>
      <c r="C80" s="216"/>
      <c r="D80" s="216"/>
      <c r="E80" s="216"/>
      <c r="F80" s="216"/>
    </row>
    <row r="81" ht="14.25" customHeight="1">
      <c r="B81" s="216"/>
      <c r="C81" s="216"/>
      <c r="D81" s="216"/>
      <c r="E81" s="216"/>
      <c r="F81" s="216"/>
    </row>
    <row r="82" ht="14.25" customHeight="1">
      <c r="B82" s="216"/>
      <c r="C82" s="216"/>
      <c r="D82" s="216"/>
      <c r="E82" s="216"/>
      <c r="F82" s="216"/>
    </row>
    <row r="83" ht="14.25" customHeight="1">
      <c r="B83" s="216"/>
      <c r="C83" s="216"/>
      <c r="D83" s="216"/>
      <c r="E83" s="216"/>
      <c r="F83" s="216"/>
    </row>
    <row r="84" ht="14.25" customHeight="1">
      <c r="B84" s="216"/>
      <c r="C84" s="216"/>
      <c r="D84" s="216"/>
      <c r="E84" s="216"/>
      <c r="F84" s="216"/>
    </row>
    <row r="85" ht="14.25" customHeight="1">
      <c r="B85" s="216"/>
      <c r="C85" s="216"/>
      <c r="D85" s="216"/>
      <c r="E85" s="216"/>
      <c r="F85" s="216"/>
    </row>
    <row r="86" ht="14.25" customHeight="1">
      <c r="B86" s="216"/>
      <c r="C86" s="216"/>
      <c r="D86" s="216"/>
      <c r="E86" s="216"/>
      <c r="F86" s="216"/>
    </row>
    <row r="87" ht="14.25" customHeight="1">
      <c r="B87" s="216"/>
      <c r="C87" s="216"/>
      <c r="D87" s="216"/>
      <c r="E87" s="216"/>
      <c r="F87" s="216"/>
    </row>
    <row r="88" ht="14.25" customHeight="1">
      <c r="B88" s="216"/>
      <c r="C88" s="216"/>
      <c r="D88" s="216"/>
      <c r="E88" s="216"/>
      <c r="F88" s="216"/>
    </row>
    <row r="89" ht="14.25" customHeight="1">
      <c r="B89" s="216"/>
      <c r="C89" s="216"/>
      <c r="D89" s="216"/>
      <c r="E89" s="216"/>
      <c r="F89" s="216"/>
    </row>
    <row r="90" ht="14.25" customHeight="1">
      <c r="B90" s="216"/>
      <c r="C90" s="216"/>
      <c r="D90" s="216"/>
      <c r="E90" s="216"/>
      <c r="F90" s="216"/>
    </row>
    <row r="91" ht="14.25" customHeight="1">
      <c r="B91" s="216"/>
      <c r="C91" s="216"/>
      <c r="D91" s="216"/>
      <c r="E91" s="216"/>
      <c r="F91" s="216"/>
    </row>
    <row r="92" ht="14.25" customHeight="1">
      <c r="B92" s="216"/>
      <c r="C92" s="216"/>
      <c r="D92" s="216"/>
      <c r="E92" s="216"/>
      <c r="F92" s="216"/>
    </row>
    <row r="93" ht="14.25" customHeight="1">
      <c r="B93" s="216"/>
      <c r="C93" s="216"/>
      <c r="D93" s="216"/>
      <c r="E93" s="216"/>
      <c r="F93" s="216"/>
    </row>
    <row r="94" ht="14.25" customHeight="1">
      <c r="B94" s="216"/>
      <c r="C94" s="216"/>
      <c r="D94" s="216"/>
      <c r="E94" s="216"/>
      <c r="F94" s="216"/>
    </row>
    <row r="95" ht="14.25" customHeight="1">
      <c r="B95" s="216"/>
      <c r="C95" s="216"/>
      <c r="D95" s="216"/>
      <c r="E95" s="216"/>
      <c r="F95" s="216"/>
    </row>
    <row r="96" ht="14.25" customHeight="1">
      <c r="B96" s="216"/>
      <c r="C96" s="216"/>
      <c r="D96" s="216"/>
      <c r="E96" s="216"/>
      <c r="F96" s="216"/>
    </row>
    <row r="97" ht="14.25" customHeight="1">
      <c r="B97" s="216"/>
      <c r="C97" s="216"/>
      <c r="D97" s="216"/>
      <c r="E97" s="216"/>
      <c r="F97" s="216"/>
    </row>
    <row r="98" ht="14.25" customHeight="1">
      <c r="B98" s="216"/>
      <c r="C98" s="216"/>
      <c r="D98" s="216"/>
      <c r="E98" s="216"/>
      <c r="F98" s="216"/>
    </row>
    <row r="99" ht="14.25" customHeight="1">
      <c r="B99" s="216"/>
      <c r="C99" s="216"/>
      <c r="D99" s="216"/>
      <c r="E99" s="216"/>
      <c r="F99" s="216"/>
    </row>
    <row r="100" ht="14.25" customHeight="1">
      <c r="B100" s="216"/>
      <c r="C100" s="216"/>
      <c r="D100" s="216"/>
      <c r="E100" s="216"/>
      <c r="F100" s="216"/>
    </row>
    <row r="101" ht="14.25" customHeight="1">
      <c r="B101" s="216"/>
      <c r="C101" s="216"/>
      <c r="D101" s="216"/>
      <c r="E101" s="216"/>
      <c r="F101" s="216"/>
    </row>
    <row r="102" ht="14.25" customHeight="1">
      <c r="B102" s="216"/>
      <c r="C102" s="216"/>
      <c r="D102" s="216"/>
      <c r="E102" s="216"/>
      <c r="F102" s="216"/>
    </row>
    <row r="103" ht="14.25" customHeight="1">
      <c r="B103" s="216"/>
      <c r="C103" s="216"/>
      <c r="D103" s="216"/>
      <c r="E103" s="216"/>
      <c r="F103" s="216"/>
    </row>
    <row r="104" ht="14.25" customHeight="1">
      <c r="B104" s="216"/>
      <c r="C104" s="216"/>
      <c r="D104" s="216"/>
      <c r="E104" s="216"/>
      <c r="F104" s="216"/>
    </row>
    <row r="105" ht="14.25" customHeight="1">
      <c r="B105" s="216"/>
      <c r="C105" s="216"/>
      <c r="D105" s="216"/>
      <c r="E105" s="216"/>
      <c r="F105" s="216"/>
    </row>
    <row r="106" ht="14.25" customHeight="1">
      <c r="B106" s="216"/>
      <c r="C106" s="216"/>
      <c r="D106" s="216"/>
      <c r="E106" s="216"/>
      <c r="F106" s="216"/>
    </row>
    <row r="107" ht="14.25" customHeight="1">
      <c r="B107" s="216"/>
      <c r="C107" s="216"/>
      <c r="D107" s="216"/>
      <c r="E107" s="216"/>
      <c r="F107" s="216"/>
    </row>
    <row r="108" ht="14.25" customHeight="1">
      <c r="B108" s="216"/>
      <c r="C108" s="216"/>
      <c r="D108" s="216"/>
      <c r="E108" s="216"/>
      <c r="F108" s="216"/>
    </row>
    <row r="109" ht="14.25" customHeight="1">
      <c r="B109" s="216"/>
      <c r="C109" s="216"/>
      <c r="D109" s="216"/>
      <c r="E109" s="216"/>
      <c r="F109" s="216"/>
    </row>
    <row r="110" ht="14.25" customHeight="1">
      <c r="B110" s="216"/>
      <c r="C110" s="216"/>
      <c r="D110" s="216"/>
      <c r="E110" s="216"/>
      <c r="F110" s="216"/>
    </row>
    <row r="111" ht="14.25" customHeight="1">
      <c r="B111" s="216"/>
      <c r="C111" s="216"/>
      <c r="D111" s="216"/>
      <c r="E111" s="216"/>
      <c r="F111" s="216"/>
    </row>
    <row r="112" ht="14.25" customHeight="1">
      <c r="B112" s="216"/>
      <c r="C112" s="216"/>
      <c r="D112" s="216"/>
      <c r="E112" s="216"/>
      <c r="F112" s="216"/>
    </row>
    <row r="113" ht="14.25" customHeight="1">
      <c r="B113" s="216"/>
      <c r="C113" s="216"/>
      <c r="D113" s="216"/>
      <c r="E113" s="216"/>
      <c r="F113" s="216"/>
    </row>
    <row r="114" ht="14.25" customHeight="1">
      <c r="B114" s="216"/>
      <c r="C114" s="216"/>
      <c r="D114" s="216"/>
      <c r="E114" s="216"/>
      <c r="F114" s="216"/>
    </row>
    <row r="115" ht="14.25" customHeight="1">
      <c r="B115" s="216"/>
      <c r="C115" s="216"/>
      <c r="D115" s="216"/>
      <c r="E115" s="216"/>
      <c r="F115" s="216"/>
    </row>
    <row r="116" ht="14.25" customHeight="1">
      <c r="B116" s="216"/>
      <c r="C116" s="216"/>
      <c r="D116" s="216"/>
      <c r="E116" s="216"/>
      <c r="F116" s="216"/>
    </row>
    <row r="117" ht="14.25" customHeight="1">
      <c r="B117" s="216"/>
      <c r="C117" s="216"/>
      <c r="D117" s="216"/>
      <c r="E117" s="216"/>
      <c r="F117" s="216"/>
    </row>
    <row r="118" ht="14.25" customHeight="1">
      <c r="B118" s="216"/>
      <c r="C118" s="216"/>
      <c r="D118" s="216"/>
      <c r="E118" s="216"/>
      <c r="F118" s="216"/>
    </row>
    <row r="119" ht="14.25" customHeight="1">
      <c r="B119" s="216"/>
      <c r="C119" s="216"/>
      <c r="D119" s="216"/>
      <c r="E119" s="216"/>
      <c r="F119" s="216"/>
    </row>
    <row r="120" ht="14.25" customHeight="1">
      <c r="B120" s="216"/>
      <c r="C120" s="216"/>
      <c r="D120" s="216"/>
      <c r="E120" s="216"/>
      <c r="F120" s="216"/>
    </row>
    <row r="121" ht="14.25" customHeight="1">
      <c r="B121" s="216"/>
      <c r="C121" s="216"/>
      <c r="D121" s="216"/>
      <c r="E121" s="216"/>
      <c r="F121" s="216"/>
    </row>
    <row r="122" ht="14.25" customHeight="1">
      <c r="B122" s="216"/>
      <c r="C122" s="216"/>
      <c r="D122" s="216"/>
      <c r="E122" s="216"/>
      <c r="F122" s="216"/>
    </row>
    <row r="123" ht="14.25" customHeight="1">
      <c r="B123" s="216"/>
      <c r="C123" s="216"/>
      <c r="D123" s="216"/>
      <c r="E123" s="216"/>
      <c r="F123" s="216"/>
    </row>
    <row r="124" ht="14.25" customHeight="1">
      <c r="B124" s="216"/>
      <c r="C124" s="216"/>
      <c r="D124" s="216"/>
      <c r="E124" s="216"/>
      <c r="F124" s="216"/>
    </row>
    <row r="125" ht="14.25" customHeight="1">
      <c r="B125" s="216"/>
      <c r="C125" s="216"/>
      <c r="D125" s="216"/>
      <c r="E125" s="216"/>
      <c r="F125" s="216"/>
    </row>
    <row r="126" ht="14.25" customHeight="1">
      <c r="B126" s="216"/>
      <c r="C126" s="216"/>
      <c r="D126" s="216"/>
      <c r="E126" s="216"/>
      <c r="F126" s="216"/>
    </row>
    <row r="127" ht="14.25" customHeight="1">
      <c r="B127" s="216"/>
      <c r="C127" s="216"/>
      <c r="D127" s="216"/>
      <c r="E127" s="216"/>
      <c r="F127" s="216"/>
    </row>
    <row r="128" ht="14.25" customHeight="1">
      <c r="B128" s="216"/>
      <c r="C128" s="216"/>
      <c r="D128" s="216"/>
      <c r="E128" s="216"/>
      <c r="F128" s="216"/>
    </row>
    <row r="129" ht="14.25" customHeight="1">
      <c r="B129" s="216"/>
      <c r="C129" s="216"/>
      <c r="D129" s="216"/>
      <c r="E129" s="216"/>
      <c r="F129" s="216"/>
    </row>
    <row r="130" ht="14.25" customHeight="1">
      <c r="B130" s="216"/>
      <c r="C130" s="216"/>
      <c r="D130" s="216"/>
      <c r="E130" s="216"/>
      <c r="F130" s="216"/>
    </row>
    <row r="131" ht="14.25" customHeight="1">
      <c r="B131" s="216"/>
      <c r="C131" s="216"/>
      <c r="D131" s="216"/>
      <c r="E131" s="216"/>
      <c r="F131" s="216"/>
    </row>
    <row r="132" ht="14.25" customHeight="1">
      <c r="B132" s="216"/>
      <c r="C132" s="216"/>
      <c r="D132" s="216"/>
      <c r="E132" s="216"/>
      <c r="F132" s="216"/>
    </row>
    <row r="133" ht="14.25" customHeight="1">
      <c r="B133" s="216"/>
      <c r="C133" s="216"/>
      <c r="D133" s="216"/>
      <c r="E133" s="216"/>
      <c r="F133" s="216"/>
    </row>
    <row r="134" ht="14.25" customHeight="1">
      <c r="B134" s="216"/>
      <c r="C134" s="216"/>
      <c r="D134" s="216"/>
      <c r="E134" s="216"/>
      <c r="F134" s="216"/>
    </row>
    <row r="135" ht="14.25" customHeight="1">
      <c r="B135" s="216"/>
      <c r="C135" s="216"/>
      <c r="D135" s="216"/>
      <c r="E135" s="216"/>
      <c r="F135" s="216"/>
    </row>
    <row r="136" ht="14.25" customHeight="1">
      <c r="B136" s="216"/>
      <c r="C136" s="216"/>
      <c r="D136" s="216"/>
      <c r="E136" s="216"/>
      <c r="F136" s="216"/>
    </row>
    <row r="137" ht="14.25" customHeight="1">
      <c r="B137" s="216"/>
      <c r="C137" s="216"/>
      <c r="D137" s="216"/>
      <c r="E137" s="216"/>
      <c r="F137" s="216"/>
    </row>
    <row r="138" ht="14.25" customHeight="1">
      <c r="B138" s="216"/>
      <c r="C138" s="216"/>
      <c r="D138" s="216"/>
      <c r="E138" s="216"/>
      <c r="F138" s="216"/>
    </row>
    <row r="139" ht="14.25" customHeight="1">
      <c r="B139" s="216"/>
      <c r="C139" s="216"/>
      <c r="D139" s="216"/>
      <c r="E139" s="216"/>
      <c r="F139" s="216"/>
    </row>
    <row r="140" ht="14.25" customHeight="1">
      <c r="B140" s="216"/>
      <c r="C140" s="216"/>
      <c r="D140" s="216"/>
      <c r="E140" s="216"/>
      <c r="F140" s="216"/>
    </row>
    <row r="141" ht="14.25" customHeight="1">
      <c r="B141" s="216"/>
      <c r="C141" s="216"/>
      <c r="D141" s="216"/>
      <c r="E141" s="216"/>
      <c r="F141" s="216"/>
    </row>
    <row r="142" ht="14.25" customHeight="1">
      <c r="B142" s="216"/>
      <c r="C142" s="216"/>
      <c r="D142" s="216"/>
      <c r="E142" s="216"/>
      <c r="F142" s="216"/>
    </row>
    <row r="143" ht="14.25" customHeight="1">
      <c r="B143" s="216"/>
      <c r="C143" s="216"/>
      <c r="D143" s="216"/>
      <c r="E143" s="216"/>
      <c r="F143" s="216"/>
    </row>
    <row r="144" ht="14.25" customHeight="1">
      <c r="B144" s="216"/>
      <c r="C144" s="216"/>
      <c r="D144" s="216"/>
      <c r="E144" s="216"/>
      <c r="F144" s="216"/>
    </row>
    <row r="145" ht="14.25" customHeight="1">
      <c r="B145" s="216"/>
      <c r="C145" s="216"/>
      <c r="D145" s="216"/>
      <c r="E145" s="216"/>
      <c r="F145" s="216"/>
    </row>
    <row r="146" ht="14.25" customHeight="1">
      <c r="B146" s="216"/>
      <c r="C146" s="216"/>
      <c r="D146" s="216"/>
      <c r="E146" s="216"/>
      <c r="F146" s="216"/>
    </row>
    <row r="147" ht="14.25" customHeight="1">
      <c r="B147" s="216"/>
      <c r="C147" s="216"/>
      <c r="D147" s="216"/>
      <c r="E147" s="216"/>
      <c r="F147" s="216"/>
    </row>
    <row r="148" ht="14.25" customHeight="1">
      <c r="B148" s="216"/>
      <c r="C148" s="216"/>
      <c r="D148" s="216"/>
      <c r="E148" s="216"/>
      <c r="F148" s="216"/>
    </row>
    <row r="149" ht="14.25" customHeight="1">
      <c r="B149" s="216"/>
      <c r="C149" s="216"/>
      <c r="D149" s="216"/>
      <c r="E149" s="216"/>
      <c r="F149" s="216"/>
    </row>
    <row r="150" ht="14.25" customHeight="1">
      <c r="B150" s="216"/>
      <c r="C150" s="216"/>
      <c r="D150" s="216"/>
      <c r="E150" s="216"/>
      <c r="F150" s="216"/>
    </row>
    <row r="151" ht="14.25" customHeight="1">
      <c r="B151" s="216"/>
      <c r="C151" s="216"/>
      <c r="D151" s="216"/>
      <c r="E151" s="216"/>
      <c r="F151" s="216"/>
    </row>
    <row r="152" ht="14.25" customHeight="1">
      <c r="B152" s="216"/>
      <c r="C152" s="216"/>
      <c r="D152" s="216"/>
      <c r="E152" s="216"/>
      <c r="F152" s="216"/>
    </row>
    <row r="153" ht="14.25" customHeight="1">
      <c r="B153" s="216"/>
      <c r="C153" s="216"/>
      <c r="D153" s="216"/>
      <c r="E153" s="216"/>
      <c r="F153" s="216"/>
    </row>
    <row r="154" ht="14.25" customHeight="1">
      <c r="B154" s="216"/>
      <c r="C154" s="216"/>
      <c r="D154" s="216"/>
      <c r="E154" s="216"/>
      <c r="F154" s="216"/>
    </row>
    <row r="155" ht="14.25" customHeight="1">
      <c r="B155" s="216"/>
      <c r="C155" s="216"/>
      <c r="D155" s="216"/>
      <c r="E155" s="216"/>
      <c r="F155" s="216"/>
    </row>
    <row r="156" ht="14.25" customHeight="1">
      <c r="B156" s="216"/>
      <c r="C156" s="216"/>
      <c r="D156" s="216"/>
      <c r="E156" s="216"/>
      <c r="F156" s="216"/>
    </row>
    <row r="157" ht="14.25" customHeight="1">
      <c r="B157" s="216"/>
      <c r="C157" s="216"/>
      <c r="D157" s="216"/>
      <c r="E157" s="216"/>
      <c r="F157" s="216"/>
    </row>
    <row r="158" ht="14.25" customHeight="1">
      <c r="B158" s="216"/>
      <c r="C158" s="216"/>
      <c r="D158" s="216"/>
      <c r="E158" s="216"/>
      <c r="F158" s="216"/>
    </row>
    <row r="159" ht="14.25" customHeight="1">
      <c r="B159" s="216"/>
      <c r="C159" s="216"/>
      <c r="D159" s="216"/>
      <c r="E159" s="216"/>
      <c r="F159" s="216"/>
    </row>
    <row r="160" ht="14.25" customHeight="1">
      <c r="B160" s="216"/>
      <c r="C160" s="216"/>
      <c r="D160" s="216"/>
      <c r="E160" s="216"/>
      <c r="F160" s="216"/>
    </row>
    <row r="161" ht="14.25" customHeight="1">
      <c r="B161" s="216"/>
      <c r="C161" s="216"/>
      <c r="D161" s="216"/>
      <c r="E161" s="216"/>
      <c r="F161" s="216"/>
    </row>
    <row r="162" ht="14.25" customHeight="1">
      <c r="B162" s="216"/>
      <c r="C162" s="216"/>
      <c r="D162" s="216"/>
      <c r="E162" s="216"/>
      <c r="F162" s="216"/>
    </row>
    <row r="163" ht="14.25" customHeight="1">
      <c r="B163" s="216"/>
      <c r="C163" s="216"/>
      <c r="D163" s="216"/>
      <c r="E163" s="216"/>
      <c r="F163" s="216"/>
    </row>
    <row r="164" ht="14.25" customHeight="1">
      <c r="B164" s="216"/>
      <c r="C164" s="216"/>
      <c r="D164" s="216"/>
      <c r="E164" s="216"/>
      <c r="F164" s="216"/>
    </row>
    <row r="165" ht="14.25" customHeight="1">
      <c r="B165" s="216"/>
      <c r="C165" s="216"/>
      <c r="D165" s="216"/>
      <c r="E165" s="216"/>
      <c r="F165" s="216"/>
    </row>
    <row r="166" ht="14.25" customHeight="1">
      <c r="B166" s="216"/>
      <c r="C166" s="216"/>
      <c r="D166" s="216"/>
      <c r="E166" s="216"/>
      <c r="F166" s="216"/>
    </row>
    <row r="167" ht="14.25" customHeight="1">
      <c r="B167" s="216"/>
      <c r="C167" s="216"/>
      <c r="D167" s="216"/>
      <c r="E167" s="216"/>
      <c r="F167" s="216"/>
    </row>
    <row r="168" ht="14.25" customHeight="1">
      <c r="B168" s="216"/>
      <c r="C168" s="216"/>
      <c r="D168" s="216"/>
      <c r="E168" s="216"/>
      <c r="F168" s="216"/>
    </row>
    <row r="169" ht="14.25" customHeight="1">
      <c r="B169" s="216"/>
      <c r="C169" s="216"/>
      <c r="D169" s="216"/>
      <c r="E169" s="216"/>
      <c r="F169" s="216"/>
    </row>
    <row r="170" ht="14.25" customHeight="1">
      <c r="B170" s="216"/>
      <c r="C170" s="216"/>
      <c r="D170" s="216"/>
      <c r="E170" s="216"/>
      <c r="F170" s="216"/>
    </row>
    <row r="171" ht="14.25" customHeight="1">
      <c r="B171" s="216"/>
      <c r="C171" s="216"/>
      <c r="D171" s="216"/>
      <c r="E171" s="216"/>
      <c r="F171" s="216"/>
    </row>
    <row r="172" ht="14.25" customHeight="1">
      <c r="B172" s="216"/>
      <c r="C172" s="216"/>
      <c r="D172" s="216"/>
      <c r="E172" s="216"/>
      <c r="F172" s="216"/>
    </row>
    <row r="173" ht="14.25" customHeight="1">
      <c r="B173" s="216"/>
      <c r="C173" s="216"/>
      <c r="D173" s="216"/>
      <c r="E173" s="216"/>
      <c r="F173" s="216"/>
    </row>
    <row r="174" ht="14.25" customHeight="1">
      <c r="B174" s="216"/>
      <c r="C174" s="216"/>
      <c r="D174" s="216"/>
      <c r="E174" s="216"/>
      <c r="F174" s="216"/>
    </row>
    <row r="175" ht="14.25" customHeight="1">
      <c r="B175" s="216"/>
      <c r="C175" s="216"/>
      <c r="D175" s="216"/>
      <c r="E175" s="216"/>
      <c r="F175" s="216"/>
    </row>
    <row r="176" ht="14.25" customHeight="1">
      <c r="B176" s="216"/>
      <c r="C176" s="216"/>
      <c r="D176" s="216"/>
      <c r="E176" s="216"/>
      <c r="F176" s="216"/>
    </row>
    <row r="177" ht="14.25" customHeight="1">
      <c r="B177" s="216"/>
      <c r="C177" s="216"/>
      <c r="D177" s="216"/>
      <c r="E177" s="216"/>
      <c r="F177" s="216"/>
    </row>
    <row r="178" ht="14.25" customHeight="1">
      <c r="B178" s="216"/>
      <c r="C178" s="216"/>
      <c r="D178" s="216"/>
      <c r="E178" s="216"/>
      <c r="F178" s="216"/>
    </row>
    <row r="179" ht="14.25" customHeight="1">
      <c r="B179" s="216"/>
      <c r="C179" s="216"/>
      <c r="D179" s="216"/>
      <c r="E179" s="216"/>
      <c r="F179" s="216"/>
    </row>
    <row r="180" ht="14.25" customHeight="1">
      <c r="B180" s="216"/>
      <c r="C180" s="216"/>
      <c r="D180" s="216"/>
      <c r="E180" s="216"/>
      <c r="F180" s="216"/>
    </row>
    <row r="181" ht="14.25" customHeight="1">
      <c r="B181" s="216"/>
      <c r="C181" s="216"/>
      <c r="D181" s="216"/>
      <c r="E181" s="216"/>
      <c r="F181" s="216"/>
    </row>
    <row r="182" ht="14.25" customHeight="1">
      <c r="B182" s="216"/>
      <c r="C182" s="216"/>
      <c r="D182" s="216"/>
      <c r="E182" s="216"/>
      <c r="F182" s="216"/>
    </row>
    <row r="183" ht="14.25" customHeight="1">
      <c r="B183" s="216"/>
      <c r="C183" s="216"/>
      <c r="D183" s="216"/>
      <c r="E183" s="216"/>
      <c r="F183" s="216"/>
    </row>
    <row r="184" ht="14.25" customHeight="1">
      <c r="B184" s="216"/>
      <c r="C184" s="216"/>
      <c r="D184" s="216"/>
      <c r="E184" s="216"/>
      <c r="F184" s="216"/>
    </row>
    <row r="185" ht="14.25" customHeight="1">
      <c r="B185" s="216"/>
      <c r="C185" s="216"/>
      <c r="D185" s="216"/>
      <c r="E185" s="216"/>
      <c r="F185" s="216"/>
    </row>
    <row r="186" ht="14.25" customHeight="1">
      <c r="B186" s="216"/>
      <c r="C186" s="216"/>
      <c r="D186" s="216"/>
      <c r="E186" s="216"/>
      <c r="F186" s="216"/>
    </row>
    <row r="187" ht="14.25" customHeight="1">
      <c r="B187" s="216"/>
      <c r="C187" s="216"/>
      <c r="D187" s="216"/>
      <c r="E187" s="216"/>
      <c r="F187" s="216"/>
    </row>
    <row r="188" ht="14.25" customHeight="1">
      <c r="B188" s="216"/>
      <c r="C188" s="216"/>
      <c r="D188" s="216"/>
      <c r="E188" s="216"/>
      <c r="F188" s="216"/>
    </row>
    <row r="189" ht="14.25" customHeight="1">
      <c r="B189" s="216"/>
      <c r="C189" s="216"/>
      <c r="D189" s="216"/>
      <c r="E189" s="216"/>
      <c r="F189" s="216"/>
    </row>
    <row r="190" ht="14.25" customHeight="1">
      <c r="B190" s="216"/>
      <c r="C190" s="216"/>
      <c r="D190" s="216"/>
      <c r="E190" s="216"/>
      <c r="F190" s="216"/>
    </row>
    <row r="191" ht="14.25" customHeight="1">
      <c r="B191" s="216"/>
      <c r="C191" s="216"/>
      <c r="D191" s="216"/>
      <c r="E191" s="216"/>
      <c r="F191" s="216"/>
    </row>
    <row r="192" ht="14.25" customHeight="1">
      <c r="B192" s="216"/>
      <c r="C192" s="216"/>
      <c r="D192" s="216"/>
      <c r="E192" s="216"/>
      <c r="F192" s="216"/>
    </row>
    <row r="193" ht="14.25" customHeight="1">
      <c r="B193" s="216"/>
      <c r="C193" s="216"/>
      <c r="D193" s="216"/>
      <c r="E193" s="216"/>
      <c r="F193" s="216"/>
    </row>
    <row r="194" ht="14.25" customHeight="1">
      <c r="B194" s="216"/>
      <c r="C194" s="216"/>
      <c r="D194" s="216"/>
      <c r="E194" s="216"/>
      <c r="F194" s="216"/>
    </row>
    <row r="195" ht="14.25" customHeight="1">
      <c r="B195" s="216"/>
      <c r="C195" s="216"/>
      <c r="D195" s="216"/>
      <c r="E195" s="216"/>
      <c r="F195" s="216"/>
    </row>
    <row r="196" ht="14.25" customHeight="1">
      <c r="B196" s="216"/>
      <c r="C196" s="216"/>
      <c r="D196" s="216"/>
      <c r="E196" s="216"/>
      <c r="F196" s="216"/>
    </row>
    <row r="197" ht="14.25" customHeight="1">
      <c r="B197" s="216"/>
      <c r="C197" s="216"/>
      <c r="D197" s="216"/>
      <c r="E197" s="216"/>
      <c r="F197" s="216"/>
    </row>
    <row r="198" ht="14.25" customHeight="1">
      <c r="B198" s="216"/>
      <c r="C198" s="216"/>
      <c r="D198" s="216"/>
      <c r="E198" s="216"/>
      <c r="F198" s="216"/>
    </row>
    <row r="199" ht="14.25" customHeight="1">
      <c r="B199" s="216"/>
      <c r="C199" s="216"/>
      <c r="D199" s="216"/>
      <c r="E199" s="216"/>
      <c r="F199" s="216"/>
    </row>
    <row r="200" ht="14.25" customHeight="1">
      <c r="B200" s="216"/>
      <c r="C200" s="216"/>
      <c r="D200" s="216"/>
      <c r="E200" s="216"/>
      <c r="F200" s="216"/>
    </row>
    <row r="201" ht="14.25" customHeight="1">
      <c r="B201" s="216"/>
      <c r="C201" s="216"/>
      <c r="D201" s="216"/>
      <c r="E201" s="216"/>
      <c r="F201" s="216"/>
    </row>
    <row r="202" ht="14.25" customHeight="1">
      <c r="B202" s="216"/>
      <c r="C202" s="216"/>
      <c r="D202" s="216"/>
      <c r="E202" s="216"/>
      <c r="F202" s="216"/>
    </row>
    <row r="203" ht="14.25" customHeight="1">
      <c r="B203" s="216"/>
      <c r="C203" s="216"/>
      <c r="D203" s="216"/>
      <c r="E203" s="216"/>
      <c r="F203" s="216"/>
    </row>
    <row r="204" ht="14.25" customHeight="1">
      <c r="B204" s="216"/>
      <c r="C204" s="216"/>
      <c r="D204" s="216"/>
      <c r="E204" s="216"/>
      <c r="F204" s="216"/>
    </row>
    <row r="205" ht="14.25" customHeight="1">
      <c r="B205" s="216"/>
      <c r="C205" s="216"/>
      <c r="D205" s="216"/>
      <c r="E205" s="216"/>
      <c r="F205" s="216"/>
    </row>
    <row r="206" ht="14.25" customHeight="1">
      <c r="B206" s="216"/>
      <c r="C206" s="216"/>
      <c r="D206" s="216"/>
      <c r="E206" s="216"/>
      <c r="F206" s="216"/>
    </row>
    <row r="207" ht="14.25" customHeight="1">
      <c r="B207" s="216"/>
      <c r="C207" s="216"/>
      <c r="D207" s="216"/>
      <c r="E207" s="216"/>
      <c r="F207" s="216"/>
    </row>
    <row r="208" ht="14.25" customHeight="1">
      <c r="B208" s="216"/>
      <c r="C208" s="216"/>
      <c r="D208" s="216"/>
      <c r="E208" s="216"/>
      <c r="F208" s="216"/>
    </row>
    <row r="209" ht="14.25" customHeight="1">
      <c r="B209" s="216"/>
      <c r="C209" s="216"/>
      <c r="D209" s="216"/>
      <c r="E209" s="216"/>
      <c r="F209" s="216"/>
    </row>
    <row r="210" ht="14.25" customHeight="1">
      <c r="B210" s="216"/>
      <c r="C210" s="216"/>
      <c r="D210" s="216"/>
      <c r="E210" s="216"/>
      <c r="F210" s="216"/>
    </row>
    <row r="211" ht="14.25" customHeight="1">
      <c r="B211" s="216"/>
      <c r="C211" s="216"/>
      <c r="D211" s="216"/>
      <c r="E211" s="216"/>
      <c r="F211" s="216"/>
    </row>
    <row r="212" ht="14.25" customHeight="1">
      <c r="B212" s="216"/>
      <c r="C212" s="216"/>
      <c r="D212" s="216"/>
      <c r="E212" s="216"/>
      <c r="F212" s="216"/>
    </row>
    <row r="213" ht="14.25" customHeight="1">
      <c r="B213" s="216"/>
      <c r="C213" s="216"/>
      <c r="D213" s="216"/>
      <c r="E213" s="216"/>
      <c r="F213" s="216"/>
    </row>
    <row r="214" ht="14.25" customHeight="1">
      <c r="B214" s="216"/>
      <c r="C214" s="216"/>
      <c r="D214" s="216"/>
      <c r="E214" s="216"/>
      <c r="F214" s="216"/>
    </row>
    <row r="215" ht="14.25" customHeight="1">
      <c r="B215" s="216"/>
      <c r="C215" s="216"/>
      <c r="D215" s="216"/>
      <c r="E215" s="216"/>
      <c r="F215" s="216"/>
    </row>
    <row r="216" ht="14.25" customHeight="1">
      <c r="B216" s="216"/>
      <c r="C216" s="216"/>
      <c r="D216" s="216"/>
      <c r="E216" s="216"/>
      <c r="F216" s="216"/>
    </row>
    <row r="217" ht="14.25" customHeight="1">
      <c r="B217" s="216"/>
      <c r="C217" s="216"/>
      <c r="D217" s="216"/>
      <c r="E217" s="216"/>
      <c r="F217" s="216"/>
    </row>
    <row r="218" ht="14.25" customHeight="1">
      <c r="B218" s="216"/>
      <c r="C218" s="216"/>
      <c r="D218" s="216"/>
      <c r="E218" s="216"/>
      <c r="F218" s="216"/>
    </row>
    <row r="219" ht="14.25" customHeight="1">
      <c r="B219" s="216"/>
      <c r="C219" s="216"/>
      <c r="D219" s="216"/>
      <c r="E219" s="216"/>
      <c r="F219" s="216"/>
    </row>
    <row r="220" ht="14.25" customHeight="1">
      <c r="B220" s="216"/>
      <c r="C220" s="216"/>
      <c r="D220" s="216"/>
      <c r="E220" s="216"/>
      <c r="F220" s="216"/>
    </row>
    <row r="221" ht="14.25" customHeight="1">
      <c r="B221" s="216"/>
      <c r="C221" s="216"/>
      <c r="D221" s="216"/>
      <c r="E221" s="216"/>
      <c r="F221" s="216"/>
    </row>
    <row r="222" ht="14.25" customHeight="1">
      <c r="B222" s="216"/>
      <c r="C222" s="216"/>
      <c r="D222" s="216"/>
      <c r="E222" s="216"/>
      <c r="F222" s="216"/>
    </row>
    <row r="223" ht="14.25" customHeight="1">
      <c r="B223" s="216"/>
      <c r="C223" s="216"/>
      <c r="D223" s="216"/>
      <c r="E223" s="216"/>
      <c r="F223" s="216"/>
    </row>
    <row r="224" ht="14.25" customHeight="1">
      <c r="B224" s="216"/>
      <c r="C224" s="216"/>
      <c r="D224" s="216"/>
      <c r="E224" s="216"/>
      <c r="F224" s="216"/>
    </row>
    <row r="225" ht="14.25" customHeight="1">
      <c r="B225" s="216"/>
      <c r="C225" s="216"/>
      <c r="D225" s="216"/>
      <c r="E225" s="216"/>
      <c r="F225" s="216"/>
    </row>
    <row r="226" ht="14.25" customHeight="1">
      <c r="B226" s="216"/>
      <c r="C226" s="216"/>
      <c r="D226" s="216"/>
      <c r="E226" s="216"/>
      <c r="F226" s="216"/>
    </row>
    <row r="227" ht="14.25" customHeight="1">
      <c r="B227" s="216"/>
      <c r="C227" s="216"/>
      <c r="D227" s="216"/>
      <c r="E227" s="216"/>
      <c r="F227" s="216"/>
    </row>
    <row r="228" ht="14.25" customHeight="1">
      <c r="B228" s="216"/>
      <c r="C228" s="216"/>
      <c r="D228" s="216"/>
      <c r="E228" s="216"/>
      <c r="F228" s="216"/>
    </row>
    <row r="229" ht="14.25" customHeight="1">
      <c r="B229" s="216"/>
      <c r="C229" s="216"/>
      <c r="D229" s="216"/>
      <c r="E229" s="216"/>
      <c r="F229" s="216"/>
    </row>
    <row r="230" ht="14.25" customHeight="1">
      <c r="B230" s="216"/>
      <c r="C230" s="216"/>
      <c r="D230" s="216"/>
      <c r="E230" s="216"/>
      <c r="F230" s="216"/>
    </row>
    <row r="231" ht="14.25" customHeight="1">
      <c r="B231" s="216"/>
      <c r="C231" s="216"/>
      <c r="D231" s="216"/>
      <c r="E231" s="216"/>
      <c r="F231" s="216"/>
    </row>
    <row r="232" ht="14.25" customHeight="1">
      <c r="B232" s="216"/>
      <c r="C232" s="216"/>
      <c r="D232" s="216"/>
      <c r="E232" s="216"/>
      <c r="F232" s="216"/>
    </row>
    <row r="233" ht="14.25" customHeight="1">
      <c r="B233" s="216"/>
      <c r="C233" s="216"/>
      <c r="D233" s="216"/>
      <c r="E233" s="216"/>
      <c r="F233" s="216"/>
    </row>
    <row r="234" ht="14.25" customHeight="1">
      <c r="B234" s="216"/>
      <c r="C234" s="216"/>
      <c r="D234" s="216"/>
      <c r="E234" s="216"/>
      <c r="F234" s="216"/>
    </row>
    <row r="235" ht="14.25" customHeight="1">
      <c r="B235" s="216"/>
      <c r="C235" s="216"/>
      <c r="D235" s="216"/>
      <c r="E235" s="216"/>
      <c r="F235" s="216"/>
    </row>
    <row r="236" ht="14.25" customHeight="1">
      <c r="B236" s="216"/>
      <c r="C236" s="216"/>
      <c r="D236" s="216"/>
      <c r="E236" s="216"/>
      <c r="F236" s="216"/>
    </row>
    <row r="237" ht="14.25" customHeight="1">
      <c r="B237" s="216"/>
      <c r="C237" s="216"/>
      <c r="D237" s="216"/>
      <c r="E237" s="216"/>
      <c r="F237" s="216"/>
    </row>
    <row r="238" ht="14.25" customHeight="1">
      <c r="B238" s="216"/>
      <c r="C238" s="216"/>
      <c r="D238" s="216"/>
      <c r="E238" s="216"/>
      <c r="F238" s="216"/>
    </row>
    <row r="239" ht="14.25" customHeight="1">
      <c r="B239" s="216"/>
      <c r="C239" s="216"/>
      <c r="D239" s="216"/>
      <c r="E239" s="216"/>
      <c r="F239" s="216"/>
    </row>
    <row r="240" ht="14.25" customHeight="1">
      <c r="B240" s="216"/>
      <c r="C240" s="216"/>
      <c r="D240" s="216"/>
      <c r="E240" s="216"/>
      <c r="F240" s="216"/>
    </row>
    <row r="241" ht="14.25" customHeight="1">
      <c r="B241" s="216"/>
      <c r="C241" s="216"/>
      <c r="D241" s="216"/>
      <c r="E241" s="216"/>
      <c r="F241" s="216"/>
    </row>
    <row r="242" ht="14.25" customHeight="1">
      <c r="B242" s="216"/>
      <c r="C242" s="216"/>
      <c r="D242" s="216"/>
      <c r="E242" s="216"/>
      <c r="F242" s="216"/>
    </row>
    <row r="243" ht="14.25" customHeight="1">
      <c r="B243" s="216"/>
      <c r="C243" s="216"/>
      <c r="D243" s="216"/>
      <c r="E243" s="216"/>
      <c r="F243" s="216"/>
    </row>
    <row r="244" ht="14.25" customHeight="1">
      <c r="B244" s="216"/>
      <c r="C244" s="216"/>
      <c r="D244" s="216"/>
      <c r="E244" s="216"/>
      <c r="F244" s="216"/>
    </row>
    <row r="245" ht="14.25" customHeight="1">
      <c r="B245" s="216"/>
      <c r="C245" s="216"/>
      <c r="D245" s="216"/>
      <c r="E245" s="216"/>
      <c r="F245" s="216"/>
    </row>
    <row r="246" ht="14.25" customHeight="1">
      <c r="B246" s="216"/>
      <c r="C246" s="216"/>
      <c r="D246" s="216"/>
      <c r="E246" s="216"/>
      <c r="F246" s="216"/>
    </row>
    <row r="247" ht="14.25" customHeight="1">
      <c r="B247" s="216"/>
      <c r="C247" s="216"/>
      <c r="D247" s="216"/>
      <c r="E247" s="216"/>
      <c r="F247" s="216"/>
    </row>
    <row r="248" ht="14.25" customHeight="1">
      <c r="B248" s="216"/>
      <c r="C248" s="216"/>
      <c r="D248" s="216"/>
      <c r="E248" s="216"/>
      <c r="F248" s="216"/>
    </row>
    <row r="249" ht="14.25" customHeight="1">
      <c r="B249" s="216"/>
      <c r="C249" s="216"/>
      <c r="D249" s="216"/>
      <c r="E249" s="216"/>
      <c r="F249" s="216"/>
    </row>
    <row r="250" ht="14.25" customHeight="1">
      <c r="B250" s="216"/>
      <c r="C250" s="216"/>
      <c r="D250" s="216"/>
      <c r="E250" s="216"/>
      <c r="F250" s="216"/>
    </row>
    <row r="251" ht="14.25" customHeight="1">
      <c r="B251" s="216"/>
      <c r="C251" s="216"/>
      <c r="D251" s="216"/>
      <c r="E251" s="216"/>
      <c r="F251" s="216"/>
    </row>
    <row r="252" ht="14.25" customHeight="1">
      <c r="B252" s="216"/>
      <c r="C252" s="216"/>
      <c r="D252" s="216"/>
      <c r="E252" s="216"/>
      <c r="F252" s="216"/>
    </row>
    <row r="253" ht="14.25" customHeight="1">
      <c r="B253" s="216"/>
      <c r="C253" s="216"/>
      <c r="D253" s="216"/>
      <c r="E253" s="216"/>
      <c r="F253" s="216"/>
    </row>
    <row r="254" ht="14.25" customHeight="1">
      <c r="B254" s="216"/>
      <c r="C254" s="216"/>
      <c r="D254" s="216"/>
      <c r="E254" s="216"/>
      <c r="F254" s="216"/>
    </row>
    <row r="255" ht="14.25" customHeight="1">
      <c r="B255" s="216"/>
      <c r="C255" s="216"/>
      <c r="D255" s="216"/>
      <c r="E255" s="216"/>
      <c r="F255" s="216"/>
    </row>
    <row r="256" ht="14.25" customHeight="1">
      <c r="B256" s="216"/>
      <c r="C256" s="216"/>
      <c r="D256" s="216"/>
      <c r="E256" s="216"/>
      <c r="F256" s="216"/>
    </row>
    <row r="257" ht="14.25" customHeight="1">
      <c r="B257" s="216"/>
      <c r="C257" s="216"/>
      <c r="D257" s="216"/>
      <c r="E257" s="216"/>
      <c r="F257" s="216"/>
    </row>
    <row r="258" ht="14.25" customHeight="1">
      <c r="B258" s="216"/>
      <c r="C258" s="216"/>
      <c r="D258" s="216"/>
      <c r="E258" s="216"/>
      <c r="F258" s="216"/>
    </row>
    <row r="259" ht="14.25" customHeight="1">
      <c r="B259" s="216"/>
      <c r="C259" s="216"/>
      <c r="D259" s="216"/>
      <c r="E259" s="216"/>
      <c r="F259" s="216"/>
    </row>
    <row r="260" ht="14.25" customHeight="1">
      <c r="B260" s="216"/>
      <c r="C260" s="216"/>
      <c r="D260" s="216"/>
      <c r="E260" s="216"/>
      <c r="F260" s="216"/>
    </row>
    <row r="261" ht="14.25" customHeight="1">
      <c r="B261" s="216"/>
      <c r="C261" s="216"/>
      <c r="D261" s="216"/>
      <c r="E261" s="216"/>
      <c r="F261" s="216"/>
    </row>
    <row r="262" ht="14.25" customHeight="1">
      <c r="B262" s="216"/>
      <c r="C262" s="216"/>
      <c r="D262" s="216"/>
      <c r="E262" s="216"/>
      <c r="F262" s="216"/>
    </row>
    <row r="263" ht="14.25" customHeight="1">
      <c r="B263" s="216"/>
      <c r="C263" s="216"/>
      <c r="D263" s="216"/>
      <c r="E263" s="216"/>
      <c r="F263" s="216"/>
    </row>
    <row r="264" ht="14.25" customHeight="1">
      <c r="B264" s="216"/>
      <c r="C264" s="216"/>
      <c r="D264" s="216"/>
      <c r="E264" s="216"/>
      <c r="F264" s="216"/>
    </row>
    <row r="265" ht="14.25" customHeight="1">
      <c r="B265" s="216"/>
      <c r="C265" s="216"/>
      <c r="D265" s="216"/>
      <c r="E265" s="216"/>
      <c r="F265" s="216"/>
    </row>
    <row r="266" ht="14.25" customHeight="1">
      <c r="B266" s="216"/>
      <c r="C266" s="216"/>
      <c r="D266" s="216"/>
      <c r="E266" s="216"/>
      <c r="F266" s="216"/>
    </row>
    <row r="267" ht="14.25" customHeight="1">
      <c r="B267" s="216"/>
      <c r="C267" s="216"/>
      <c r="D267" s="216"/>
      <c r="E267" s="216"/>
      <c r="F267" s="216"/>
    </row>
    <row r="268" ht="14.25" customHeight="1">
      <c r="B268" s="216"/>
      <c r="C268" s="216"/>
      <c r="D268" s="216"/>
      <c r="E268" s="216"/>
      <c r="F268" s="216"/>
    </row>
    <row r="269" ht="14.25" customHeight="1">
      <c r="B269" s="216"/>
      <c r="C269" s="216"/>
      <c r="D269" s="216"/>
      <c r="E269" s="216"/>
      <c r="F269" s="216"/>
    </row>
    <row r="270" ht="14.25" customHeight="1">
      <c r="B270" s="216"/>
      <c r="C270" s="216"/>
      <c r="D270" s="216"/>
      <c r="E270" s="216"/>
      <c r="F270" s="216"/>
    </row>
    <row r="271" ht="14.25" customHeight="1">
      <c r="B271" s="216"/>
      <c r="C271" s="216"/>
      <c r="D271" s="216"/>
      <c r="E271" s="216"/>
      <c r="F271" s="216"/>
    </row>
    <row r="272" ht="14.25" customHeight="1">
      <c r="B272" s="216"/>
      <c r="C272" s="216"/>
      <c r="D272" s="216"/>
      <c r="E272" s="216"/>
      <c r="F272" s="216"/>
    </row>
    <row r="273" ht="14.25" customHeight="1">
      <c r="B273" s="216"/>
      <c r="C273" s="216"/>
      <c r="D273" s="216"/>
      <c r="E273" s="216"/>
      <c r="F273" s="216"/>
    </row>
    <row r="274" ht="14.25" customHeight="1">
      <c r="B274" s="216"/>
      <c r="C274" s="216"/>
      <c r="D274" s="216"/>
      <c r="E274" s="216"/>
      <c r="F274" s="216"/>
    </row>
    <row r="275" ht="14.25" customHeight="1">
      <c r="B275" s="216"/>
      <c r="C275" s="216"/>
      <c r="D275" s="216"/>
      <c r="E275" s="216"/>
      <c r="F275" s="216"/>
    </row>
    <row r="276" ht="14.25" customHeight="1">
      <c r="B276" s="216"/>
      <c r="C276" s="216"/>
      <c r="D276" s="216"/>
      <c r="E276" s="216"/>
      <c r="F276" s="216"/>
    </row>
    <row r="277" ht="14.25" customHeight="1">
      <c r="B277" s="216"/>
      <c r="C277" s="216"/>
      <c r="D277" s="216"/>
      <c r="E277" s="216"/>
      <c r="F277" s="216"/>
    </row>
    <row r="278" ht="14.25" customHeight="1">
      <c r="B278" s="216"/>
      <c r="C278" s="216"/>
      <c r="D278" s="216"/>
      <c r="E278" s="216"/>
      <c r="F278" s="216"/>
    </row>
    <row r="279" ht="14.25" customHeight="1">
      <c r="B279" s="216"/>
      <c r="C279" s="216"/>
      <c r="D279" s="216"/>
      <c r="E279" s="216"/>
      <c r="F279" s="216"/>
    </row>
    <row r="280" ht="14.25" customHeight="1">
      <c r="B280" s="216"/>
      <c r="C280" s="216"/>
      <c r="D280" s="216"/>
      <c r="E280" s="216"/>
      <c r="F280" s="216"/>
    </row>
    <row r="281" ht="14.25" customHeight="1">
      <c r="B281" s="216"/>
      <c r="C281" s="216"/>
      <c r="D281" s="216"/>
      <c r="E281" s="216"/>
      <c r="F281" s="216"/>
    </row>
    <row r="282" ht="14.25" customHeight="1">
      <c r="B282" s="216"/>
      <c r="C282" s="216"/>
      <c r="D282" s="216"/>
      <c r="E282" s="216"/>
      <c r="F282" s="216"/>
    </row>
    <row r="283" ht="14.25" customHeight="1">
      <c r="B283" s="216"/>
      <c r="C283" s="216"/>
      <c r="D283" s="216"/>
      <c r="E283" s="216"/>
      <c r="F283" s="216"/>
    </row>
    <row r="284" ht="14.25" customHeight="1">
      <c r="B284" s="216"/>
      <c r="C284" s="216"/>
      <c r="D284" s="216"/>
      <c r="E284" s="216"/>
      <c r="F284" s="216"/>
    </row>
    <row r="285" ht="14.25" customHeight="1">
      <c r="B285" s="216"/>
      <c r="C285" s="216"/>
      <c r="D285" s="216"/>
      <c r="E285" s="216"/>
      <c r="F285" s="216"/>
    </row>
    <row r="286" ht="14.25" customHeight="1">
      <c r="B286" s="216"/>
      <c r="C286" s="216"/>
      <c r="D286" s="216"/>
      <c r="E286" s="216"/>
      <c r="F286" s="216"/>
    </row>
    <row r="287" ht="14.25" customHeight="1">
      <c r="B287" s="216"/>
      <c r="C287" s="216"/>
      <c r="D287" s="216"/>
      <c r="E287" s="216"/>
      <c r="F287" s="216"/>
    </row>
    <row r="288" ht="14.25" customHeight="1">
      <c r="B288" s="216"/>
      <c r="C288" s="216"/>
      <c r="D288" s="216"/>
      <c r="E288" s="216"/>
      <c r="F288" s="216"/>
    </row>
    <row r="289" ht="14.25" customHeight="1">
      <c r="B289" s="216"/>
      <c r="C289" s="216"/>
      <c r="D289" s="216"/>
      <c r="E289" s="216"/>
      <c r="F289" s="216"/>
    </row>
    <row r="290" ht="14.25" customHeight="1">
      <c r="B290" s="216"/>
      <c r="C290" s="216"/>
      <c r="D290" s="216"/>
      <c r="E290" s="216"/>
      <c r="F290" s="216"/>
    </row>
    <row r="291" ht="14.25" customHeight="1">
      <c r="B291" s="216"/>
      <c r="C291" s="216"/>
      <c r="D291" s="216"/>
      <c r="E291" s="216"/>
      <c r="F291" s="216"/>
    </row>
    <row r="292" ht="14.25" customHeight="1">
      <c r="B292" s="216"/>
      <c r="C292" s="216"/>
      <c r="D292" s="216"/>
      <c r="E292" s="216"/>
      <c r="F292" s="216"/>
    </row>
    <row r="293" ht="14.25" customHeight="1">
      <c r="B293" s="216"/>
      <c r="C293" s="216"/>
      <c r="D293" s="216"/>
      <c r="E293" s="216"/>
      <c r="F293" s="216"/>
    </row>
    <row r="294" ht="14.25" customHeight="1">
      <c r="B294" s="216"/>
      <c r="C294" s="216"/>
      <c r="D294" s="216"/>
      <c r="E294" s="216"/>
      <c r="F294" s="216"/>
    </row>
    <row r="295" ht="14.25" customHeight="1">
      <c r="B295" s="216"/>
      <c r="C295" s="216"/>
      <c r="D295" s="216"/>
      <c r="E295" s="216"/>
      <c r="F295" s="216"/>
    </row>
    <row r="296" ht="14.25" customHeight="1">
      <c r="B296" s="216"/>
      <c r="C296" s="216"/>
      <c r="D296" s="216"/>
      <c r="E296" s="216"/>
      <c r="F296" s="216"/>
    </row>
    <row r="297" ht="14.25" customHeight="1">
      <c r="B297" s="216"/>
      <c r="C297" s="216"/>
      <c r="D297" s="216"/>
      <c r="E297" s="216"/>
      <c r="F297" s="216"/>
    </row>
    <row r="298" ht="14.25" customHeight="1">
      <c r="B298" s="216"/>
      <c r="C298" s="216"/>
      <c r="D298" s="216"/>
      <c r="E298" s="216"/>
      <c r="F298" s="216"/>
    </row>
    <row r="299" ht="14.25" customHeight="1">
      <c r="B299" s="216"/>
      <c r="C299" s="216"/>
      <c r="D299" s="216"/>
      <c r="E299" s="216"/>
      <c r="F299" s="216"/>
    </row>
    <row r="300" ht="14.25" customHeight="1">
      <c r="B300" s="216"/>
      <c r="C300" s="216"/>
      <c r="D300" s="216"/>
      <c r="E300" s="216"/>
      <c r="F300" s="216"/>
    </row>
    <row r="301" ht="14.25" customHeight="1">
      <c r="B301" s="216"/>
      <c r="C301" s="216"/>
      <c r="D301" s="216"/>
      <c r="E301" s="216"/>
      <c r="F301" s="216"/>
    </row>
    <row r="302" ht="14.25" customHeight="1">
      <c r="B302" s="216"/>
      <c r="C302" s="216"/>
      <c r="D302" s="216"/>
      <c r="E302" s="216"/>
      <c r="F302" s="216"/>
    </row>
    <row r="303" ht="14.25" customHeight="1">
      <c r="B303" s="216"/>
      <c r="C303" s="216"/>
      <c r="D303" s="216"/>
      <c r="E303" s="216"/>
      <c r="F303" s="216"/>
    </row>
    <row r="304" ht="14.25" customHeight="1">
      <c r="B304" s="216"/>
      <c r="C304" s="216"/>
      <c r="D304" s="216"/>
      <c r="E304" s="216"/>
      <c r="F304" s="216"/>
    </row>
    <row r="305" ht="14.25" customHeight="1">
      <c r="B305" s="216"/>
      <c r="C305" s="216"/>
      <c r="D305" s="216"/>
      <c r="E305" s="216"/>
      <c r="F305" s="216"/>
    </row>
    <row r="306" ht="14.25" customHeight="1">
      <c r="B306" s="216"/>
      <c r="C306" s="216"/>
      <c r="D306" s="216"/>
      <c r="E306" s="216"/>
      <c r="F306" s="216"/>
    </row>
    <row r="307" ht="14.25" customHeight="1">
      <c r="B307" s="216"/>
      <c r="C307" s="216"/>
      <c r="D307" s="216"/>
      <c r="E307" s="216"/>
      <c r="F307" s="216"/>
    </row>
    <row r="308" ht="14.25" customHeight="1">
      <c r="B308" s="216"/>
      <c r="C308" s="216"/>
      <c r="D308" s="216"/>
      <c r="E308" s="216"/>
      <c r="F308" s="216"/>
    </row>
    <row r="309" ht="14.25" customHeight="1">
      <c r="B309" s="216"/>
      <c r="C309" s="216"/>
      <c r="D309" s="216"/>
      <c r="E309" s="216"/>
      <c r="F309" s="216"/>
    </row>
    <row r="310" ht="14.25" customHeight="1">
      <c r="B310" s="216"/>
      <c r="C310" s="216"/>
      <c r="D310" s="216"/>
      <c r="E310" s="216"/>
      <c r="F310" s="216"/>
    </row>
    <row r="311" ht="14.25" customHeight="1">
      <c r="B311" s="216"/>
      <c r="C311" s="216"/>
      <c r="D311" s="216"/>
      <c r="E311" s="216"/>
      <c r="F311" s="216"/>
    </row>
    <row r="312" ht="14.25" customHeight="1">
      <c r="B312" s="216"/>
      <c r="C312" s="216"/>
      <c r="D312" s="216"/>
      <c r="E312" s="216"/>
      <c r="F312" s="216"/>
    </row>
    <row r="313" ht="14.25" customHeight="1">
      <c r="B313" s="216"/>
      <c r="C313" s="216"/>
      <c r="D313" s="216"/>
      <c r="E313" s="216"/>
      <c r="F313" s="216"/>
    </row>
    <row r="314" ht="14.25" customHeight="1">
      <c r="B314" s="216"/>
      <c r="C314" s="216"/>
      <c r="D314" s="216"/>
      <c r="E314" s="216"/>
      <c r="F314" s="216"/>
    </row>
    <row r="315" ht="14.25" customHeight="1">
      <c r="B315" s="216"/>
      <c r="C315" s="216"/>
      <c r="D315" s="216"/>
      <c r="E315" s="216"/>
      <c r="F315" s="216"/>
    </row>
    <row r="316" ht="14.25" customHeight="1">
      <c r="B316" s="216"/>
      <c r="C316" s="216"/>
      <c r="D316" s="216"/>
      <c r="E316" s="216"/>
      <c r="F316" s="216"/>
    </row>
    <row r="317" ht="14.25" customHeight="1">
      <c r="B317" s="216"/>
      <c r="C317" s="216"/>
      <c r="D317" s="216"/>
      <c r="E317" s="216"/>
      <c r="F317" s="216"/>
    </row>
    <row r="318" ht="14.25" customHeight="1">
      <c r="B318" s="216"/>
      <c r="C318" s="216"/>
      <c r="D318" s="216"/>
      <c r="E318" s="216"/>
      <c r="F318" s="216"/>
    </row>
    <row r="319" ht="14.25" customHeight="1">
      <c r="B319" s="216"/>
      <c r="C319" s="216"/>
      <c r="D319" s="216"/>
      <c r="E319" s="216"/>
      <c r="F319" s="216"/>
    </row>
    <row r="320" ht="14.25" customHeight="1">
      <c r="B320" s="216"/>
      <c r="C320" s="216"/>
      <c r="D320" s="216"/>
      <c r="E320" s="216"/>
      <c r="F320" s="216"/>
    </row>
    <row r="321" ht="14.25" customHeight="1">
      <c r="B321" s="216"/>
      <c r="C321" s="216"/>
      <c r="D321" s="216"/>
      <c r="E321" s="216"/>
      <c r="F321" s="216"/>
    </row>
    <row r="322" ht="14.25" customHeight="1">
      <c r="B322" s="216"/>
      <c r="C322" s="216"/>
      <c r="D322" s="216"/>
      <c r="E322" s="216"/>
      <c r="F322" s="216"/>
    </row>
    <row r="323" ht="14.25" customHeight="1">
      <c r="B323" s="216"/>
      <c r="C323" s="216"/>
      <c r="D323" s="216"/>
      <c r="E323" s="216"/>
      <c r="F323" s="216"/>
    </row>
    <row r="324" ht="14.25" customHeight="1">
      <c r="B324" s="216"/>
      <c r="C324" s="216"/>
      <c r="D324" s="216"/>
      <c r="E324" s="216"/>
      <c r="F324" s="216"/>
    </row>
    <row r="325" ht="14.25" customHeight="1">
      <c r="B325" s="216"/>
      <c r="C325" s="216"/>
      <c r="D325" s="216"/>
      <c r="E325" s="216"/>
      <c r="F325" s="216"/>
    </row>
    <row r="326" ht="14.25" customHeight="1">
      <c r="B326" s="216"/>
      <c r="C326" s="216"/>
      <c r="D326" s="216"/>
      <c r="E326" s="216"/>
      <c r="F326" s="216"/>
    </row>
    <row r="327" ht="14.25" customHeight="1">
      <c r="B327" s="216"/>
      <c r="C327" s="216"/>
      <c r="D327" s="216"/>
      <c r="E327" s="216"/>
      <c r="F327" s="216"/>
    </row>
    <row r="328" ht="14.25" customHeight="1">
      <c r="B328" s="216"/>
      <c r="C328" s="216"/>
      <c r="D328" s="216"/>
      <c r="E328" s="216"/>
      <c r="F328" s="216"/>
    </row>
    <row r="329" ht="14.25" customHeight="1">
      <c r="B329" s="216"/>
      <c r="C329" s="216"/>
      <c r="D329" s="216"/>
      <c r="E329" s="216"/>
      <c r="F329" s="216"/>
    </row>
    <row r="330" ht="14.25" customHeight="1">
      <c r="B330" s="216"/>
      <c r="C330" s="216"/>
      <c r="D330" s="216"/>
      <c r="E330" s="216"/>
      <c r="F330" s="216"/>
    </row>
    <row r="331" ht="14.25" customHeight="1">
      <c r="B331" s="216"/>
      <c r="C331" s="216"/>
      <c r="D331" s="216"/>
      <c r="E331" s="216"/>
      <c r="F331" s="216"/>
    </row>
    <row r="332" ht="14.25" customHeight="1">
      <c r="B332" s="216"/>
      <c r="C332" s="216"/>
      <c r="D332" s="216"/>
      <c r="E332" s="216"/>
      <c r="F332" s="216"/>
    </row>
    <row r="333" ht="14.25" customHeight="1">
      <c r="B333" s="216"/>
      <c r="C333" s="216"/>
      <c r="D333" s="216"/>
      <c r="E333" s="216"/>
      <c r="F333" s="216"/>
    </row>
    <row r="334" ht="14.25" customHeight="1">
      <c r="B334" s="216"/>
      <c r="C334" s="216"/>
      <c r="D334" s="216"/>
      <c r="E334" s="216"/>
      <c r="F334" s="216"/>
    </row>
    <row r="335" ht="14.25" customHeight="1">
      <c r="B335" s="216"/>
      <c r="C335" s="216"/>
      <c r="D335" s="216"/>
      <c r="E335" s="216"/>
      <c r="F335" s="216"/>
    </row>
    <row r="336" ht="14.25" customHeight="1">
      <c r="B336" s="216"/>
      <c r="C336" s="216"/>
      <c r="D336" s="216"/>
      <c r="E336" s="216"/>
      <c r="F336" s="216"/>
    </row>
    <row r="337" ht="14.25" customHeight="1">
      <c r="B337" s="216"/>
      <c r="C337" s="216"/>
      <c r="D337" s="216"/>
      <c r="E337" s="216"/>
      <c r="F337" s="216"/>
    </row>
    <row r="338" ht="14.25" customHeight="1">
      <c r="B338" s="216"/>
      <c r="C338" s="216"/>
      <c r="D338" s="216"/>
      <c r="E338" s="216"/>
      <c r="F338" s="216"/>
    </row>
    <row r="339" ht="14.25" customHeight="1">
      <c r="B339" s="216"/>
      <c r="C339" s="216"/>
      <c r="D339" s="216"/>
      <c r="E339" s="216"/>
      <c r="F339" s="216"/>
    </row>
    <row r="340" ht="14.25" customHeight="1">
      <c r="B340" s="216"/>
      <c r="C340" s="216"/>
      <c r="D340" s="216"/>
      <c r="E340" s="216"/>
      <c r="F340" s="216"/>
    </row>
    <row r="341" ht="14.25" customHeight="1">
      <c r="B341" s="216"/>
      <c r="C341" s="216"/>
      <c r="D341" s="216"/>
      <c r="E341" s="216"/>
      <c r="F341" s="216"/>
    </row>
    <row r="342" ht="14.25" customHeight="1">
      <c r="B342" s="216"/>
      <c r="C342" s="216"/>
      <c r="D342" s="216"/>
      <c r="E342" s="216"/>
      <c r="F342" s="216"/>
    </row>
    <row r="343" ht="14.25" customHeight="1">
      <c r="B343" s="216"/>
      <c r="C343" s="216"/>
      <c r="D343" s="216"/>
      <c r="E343" s="216"/>
      <c r="F343" s="216"/>
    </row>
    <row r="344" ht="14.25" customHeight="1">
      <c r="B344" s="216"/>
      <c r="C344" s="216"/>
      <c r="D344" s="216"/>
      <c r="E344" s="216"/>
      <c r="F344" s="216"/>
    </row>
    <row r="345" ht="14.25" customHeight="1">
      <c r="B345" s="216"/>
      <c r="C345" s="216"/>
      <c r="D345" s="216"/>
      <c r="E345" s="216"/>
      <c r="F345" s="216"/>
    </row>
    <row r="346" ht="14.25" customHeight="1">
      <c r="B346" s="216"/>
      <c r="C346" s="216"/>
      <c r="D346" s="216"/>
      <c r="E346" s="216"/>
      <c r="F346" s="216"/>
    </row>
    <row r="347" ht="14.25" customHeight="1">
      <c r="B347" s="216"/>
      <c r="C347" s="216"/>
      <c r="D347" s="216"/>
      <c r="E347" s="216"/>
      <c r="F347" s="216"/>
    </row>
    <row r="348" ht="14.25" customHeight="1">
      <c r="B348" s="216"/>
      <c r="C348" s="216"/>
      <c r="D348" s="216"/>
      <c r="E348" s="216"/>
      <c r="F348" s="216"/>
    </row>
    <row r="349" ht="14.25" customHeight="1">
      <c r="B349" s="216"/>
      <c r="C349" s="216"/>
      <c r="D349" s="216"/>
      <c r="E349" s="216"/>
      <c r="F349" s="216"/>
    </row>
    <row r="350" ht="14.25" customHeight="1">
      <c r="B350" s="216"/>
      <c r="C350" s="216"/>
      <c r="D350" s="216"/>
      <c r="E350" s="216"/>
      <c r="F350" s="216"/>
    </row>
    <row r="351" ht="14.25" customHeight="1">
      <c r="B351" s="216"/>
      <c r="C351" s="216"/>
      <c r="D351" s="216"/>
      <c r="E351" s="216"/>
      <c r="F351" s="216"/>
    </row>
    <row r="352" ht="14.25" customHeight="1">
      <c r="B352" s="216"/>
      <c r="C352" s="216"/>
      <c r="D352" s="216"/>
      <c r="E352" s="216"/>
      <c r="F352" s="216"/>
    </row>
    <row r="353" ht="14.25" customHeight="1">
      <c r="B353" s="216"/>
      <c r="C353" s="216"/>
      <c r="D353" s="216"/>
      <c r="E353" s="216"/>
      <c r="F353" s="216"/>
    </row>
    <row r="354" ht="14.25" customHeight="1">
      <c r="B354" s="216"/>
      <c r="C354" s="216"/>
      <c r="D354" s="216"/>
      <c r="E354" s="216"/>
      <c r="F354" s="216"/>
    </row>
    <row r="355" ht="14.25" customHeight="1">
      <c r="B355" s="216"/>
      <c r="C355" s="216"/>
      <c r="D355" s="216"/>
      <c r="E355" s="216"/>
      <c r="F355" s="216"/>
    </row>
    <row r="356" ht="14.25" customHeight="1">
      <c r="B356" s="216"/>
      <c r="C356" s="216"/>
      <c r="D356" s="216"/>
      <c r="E356" s="216"/>
      <c r="F356" s="216"/>
    </row>
    <row r="357" ht="14.25" customHeight="1">
      <c r="B357" s="216"/>
      <c r="C357" s="216"/>
      <c r="D357" s="216"/>
      <c r="E357" s="216"/>
      <c r="F357" s="216"/>
    </row>
    <row r="358" ht="14.25" customHeight="1">
      <c r="B358" s="216"/>
      <c r="C358" s="216"/>
      <c r="D358" s="216"/>
      <c r="E358" s="216"/>
      <c r="F358" s="216"/>
    </row>
    <row r="359" ht="14.25" customHeight="1">
      <c r="B359" s="216"/>
      <c r="C359" s="216"/>
      <c r="D359" s="216"/>
      <c r="E359" s="216"/>
      <c r="F359" s="216"/>
    </row>
    <row r="360" ht="14.25" customHeight="1">
      <c r="B360" s="216"/>
      <c r="C360" s="216"/>
      <c r="D360" s="216"/>
      <c r="E360" s="216"/>
      <c r="F360" s="216"/>
    </row>
    <row r="361" ht="14.25" customHeight="1">
      <c r="B361" s="216"/>
      <c r="C361" s="216"/>
      <c r="D361" s="216"/>
      <c r="E361" s="216"/>
      <c r="F361" s="216"/>
    </row>
    <row r="362" ht="14.25" customHeight="1">
      <c r="B362" s="216"/>
      <c r="C362" s="216"/>
      <c r="D362" s="216"/>
      <c r="E362" s="216"/>
      <c r="F362" s="216"/>
    </row>
    <row r="363" ht="14.25" customHeight="1">
      <c r="B363" s="216"/>
      <c r="C363" s="216"/>
      <c r="D363" s="216"/>
      <c r="E363" s="216"/>
      <c r="F363" s="216"/>
    </row>
    <row r="364" ht="14.25" customHeight="1">
      <c r="B364" s="216"/>
      <c r="C364" s="216"/>
      <c r="D364" s="216"/>
      <c r="E364" s="216"/>
      <c r="F364" s="216"/>
    </row>
    <row r="365" ht="14.25" customHeight="1">
      <c r="B365" s="216"/>
      <c r="C365" s="216"/>
      <c r="D365" s="216"/>
      <c r="E365" s="216"/>
      <c r="F365" s="216"/>
    </row>
    <row r="366" ht="14.25" customHeight="1">
      <c r="B366" s="216"/>
      <c r="C366" s="216"/>
      <c r="D366" s="216"/>
      <c r="E366" s="216"/>
      <c r="F366" s="216"/>
    </row>
    <row r="367" ht="14.25" customHeight="1">
      <c r="B367" s="216"/>
      <c r="C367" s="216"/>
      <c r="D367" s="216"/>
      <c r="E367" s="216"/>
      <c r="F367" s="216"/>
    </row>
    <row r="368" ht="14.25" customHeight="1">
      <c r="B368" s="216"/>
      <c r="C368" s="216"/>
      <c r="D368" s="216"/>
      <c r="E368" s="216"/>
      <c r="F368" s="216"/>
    </row>
    <row r="369" ht="14.25" customHeight="1">
      <c r="B369" s="216"/>
      <c r="C369" s="216"/>
      <c r="D369" s="216"/>
      <c r="E369" s="216"/>
      <c r="F369" s="216"/>
    </row>
    <row r="370" ht="14.25" customHeight="1">
      <c r="B370" s="216"/>
      <c r="C370" s="216"/>
      <c r="D370" s="216"/>
      <c r="E370" s="216"/>
      <c r="F370" s="216"/>
    </row>
    <row r="371" ht="14.25" customHeight="1">
      <c r="B371" s="216"/>
      <c r="C371" s="216"/>
      <c r="D371" s="216"/>
      <c r="E371" s="216"/>
      <c r="F371" s="216"/>
    </row>
    <row r="372" ht="14.25" customHeight="1">
      <c r="B372" s="216"/>
      <c r="C372" s="216"/>
      <c r="D372" s="216"/>
      <c r="E372" s="216"/>
      <c r="F372" s="216"/>
    </row>
    <row r="373" ht="14.25" customHeight="1">
      <c r="B373" s="216"/>
      <c r="C373" s="216"/>
      <c r="D373" s="216"/>
      <c r="E373" s="216"/>
      <c r="F373" s="216"/>
    </row>
    <row r="374" ht="14.25" customHeight="1">
      <c r="B374" s="216"/>
      <c r="C374" s="216"/>
      <c r="D374" s="216"/>
      <c r="E374" s="216"/>
      <c r="F374" s="216"/>
    </row>
    <row r="375" ht="14.25" customHeight="1">
      <c r="B375" s="216"/>
      <c r="C375" s="216"/>
      <c r="D375" s="216"/>
      <c r="E375" s="216"/>
      <c r="F375" s="216"/>
    </row>
    <row r="376" ht="14.25" customHeight="1">
      <c r="B376" s="216"/>
      <c r="C376" s="216"/>
      <c r="D376" s="216"/>
      <c r="E376" s="216"/>
      <c r="F376" s="216"/>
    </row>
    <row r="377" ht="14.25" customHeight="1">
      <c r="B377" s="216"/>
      <c r="C377" s="216"/>
      <c r="D377" s="216"/>
      <c r="E377" s="216"/>
      <c r="F377" s="216"/>
    </row>
    <row r="378" ht="14.25" customHeight="1">
      <c r="B378" s="216"/>
      <c r="C378" s="216"/>
      <c r="D378" s="216"/>
      <c r="E378" s="216"/>
      <c r="F378" s="216"/>
    </row>
    <row r="379" ht="14.25" customHeight="1">
      <c r="B379" s="216"/>
      <c r="C379" s="216"/>
      <c r="D379" s="216"/>
      <c r="E379" s="216"/>
      <c r="F379" s="216"/>
    </row>
    <row r="380" ht="14.25" customHeight="1">
      <c r="B380" s="216"/>
      <c r="C380" s="216"/>
      <c r="D380" s="216"/>
      <c r="E380" s="216"/>
      <c r="F380" s="216"/>
    </row>
    <row r="381" ht="14.25" customHeight="1">
      <c r="B381" s="216"/>
      <c r="C381" s="216"/>
      <c r="D381" s="216"/>
      <c r="E381" s="216"/>
      <c r="F381" s="216"/>
    </row>
    <row r="382" ht="14.25" customHeight="1">
      <c r="B382" s="216"/>
      <c r="C382" s="216"/>
      <c r="D382" s="216"/>
      <c r="E382" s="216"/>
      <c r="F382" s="216"/>
    </row>
    <row r="383" ht="14.25" customHeight="1">
      <c r="B383" s="216"/>
      <c r="C383" s="216"/>
      <c r="D383" s="216"/>
      <c r="E383" s="216"/>
      <c r="F383" s="216"/>
    </row>
    <row r="384" ht="14.25" customHeight="1">
      <c r="B384" s="216"/>
      <c r="C384" s="216"/>
      <c r="D384" s="216"/>
      <c r="E384" s="216"/>
      <c r="F384" s="216"/>
    </row>
    <row r="385" ht="14.25" customHeight="1">
      <c r="B385" s="216"/>
      <c r="C385" s="216"/>
      <c r="D385" s="216"/>
      <c r="E385" s="216"/>
      <c r="F385" s="216"/>
    </row>
    <row r="386" ht="14.25" customHeight="1">
      <c r="B386" s="216"/>
      <c r="C386" s="216"/>
      <c r="D386" s="216"/>
      <c r="E386" s="216"/>
      <c r="F386" s="216"/>
    </row>
    <row r="387" ht="14.25" customHeight="1">
      <c r="B387" s="216"/>
      <c r="C387" s="216"/>
      <c r="D387" s="216"/>
      <c r="E387" s="216"/>
      <c r="F387" s="216"/>
    </row>
    <row r="388" ht="14.25" customHeight="1">
      <c r="B388" s="216"/>
      <c r="C388" s="216"/>
      <c r="D388" s="216"/>
      <c r="E388" s="216"/>
      <c r="F388" s="216"/>
    </row>
    <row r="389" ht="14.25" customHeight="1">
      <c r="B389" s="216"/>
      <c r="C389" s="216"/>
      <c r="D389" s="216"/>
      <c r="E389" s="216"/>
      <c r="F389" s="216"/>
    </row>
    <row r="390" ht="14.25" customHeight="1">
      <c r="B390" s="216"/>
      <c r="C390" s="216"/>
      <c r="D390" s="216"/>
      <c r="E390" s="216"/>
      <c r="F390" s="216"/>
    </row>
    <row r="391" ht="14.25" customHeight="1">
      <c r="B391" s="216"/>
      <c r="C391" s="216"/>
      <c r="D391" s="216"/>
      <c r="E391" s="216"/>
      <c r="F391" s="216"/>
    </row>
    <row r="392" ht="14.25" customHeight="1">
      <c r="B392" s="216"/>
      <c r="C392" s="216"/>
      <c r="D392" s="216"/>
      <c r="E392" s="216"/>
      <c r="F392" s="216"/>
    </row>
    <row r="393" ht="14.25" customHeight="1">
      <c r="B393" s="216"/>
      <c r="C393" s="216"/>
      <c r="D393" s="216"/>
      <c r="E393" s="216"/>
      <c r="F393" s="216"/>
    </row>
    <row r="394" ht="14.25" customHeight="1">
      <c r="B394" s="216"/>
      <c r="C394" s="216"/>
      <c r="D394" s="216"/>
      <c r="E394" s="216"/>
      <c r="F394" s="216"/>
    </row>
    <row r="395" ht="14.25" customHeight="1">
      <c r="B395" s="216"/>
      <c r="C395" s="216"/>
      <c r="D395" s="216"/>
      <c r="E395" s="216"/>
      <c r="F395" s="216"/>
    </row>
    <row r="396" ht="14.25" customHeight="1">
      <c r="B396" s="216"/>
      <c r="C396" s="216"/>
      <c r="D396" s="216"/>
      <c r="E396" s="216"/>
      <c r="F396" s="216"/>
    </row>
    <row r="397" ht="14.25" customHeight="1">
      <c r="B397" s="216"/>
      <c r="C397" s="216"/>
      <c r="D397" s="216"/>
      <c r="E397" s="216"/>
      <c r="F397" s="216"/>
    </row>
    <row r="398" ht="14.25" customHeight="1">
      <c r="B398" s="216"/>
      <c r="C398" s="216"/>
      <c r="D398" s="216"/>
      <c r="E398" s="216"/>
      <c r="F398" s="216"/>
    </row>
    <row r="399" ht="14.25" customHeight="1">
      <c r="B399" s="216"/>
      <c r="C399" s="216"/>
      <c r="D399" s="216"/>
      <c r="E399" s="216"/>
      <c r="F399" s="216"/>
    </row>
    <row r="400" ht="14.25" customHeight="1">
      <c r="B400" s="216"/>
      <c r="C400" s="216"/>
      <c r="D400" s="216"/>
      <c r="E400" s="216"/>
      <c r="F400" s="216"/>
    </row>
    <row r="401" ht="14.25" customHeight="1">
      <c r="B401" s="216"/>
      <c r="C401" s="216"/>
      <c r="D401" s="216"/>
      <c r="E401" s="216"/>
      <c r="F401" s="216"/>
    </row>
    <row r="402" ht="14.25" customHeight="1">
      <c r="B402" s="216"/>
      <c r="C402" s="216"/>
      <c r="D402" s="216"/>
      <c r="E402" s="216"/>
      <c r="F402" s="216"/>
    </row>
    <row r="403" ht="14.25" customHeight="1">
      <c r="B403" s="216"/>
      <c r="C403" s="216"/>
      <c r="D403" s="216"/>
      <c r="E403" s="216"/>
      <c r="F403" s="216"/>
    </row>
    <row r="404" ht="14.25" customHeight="1">
      <c r="B404" s="216"/>
      <c r="C404" s="216"/>
      <c r="D404" s="216"/>
      <c r="E404" s="216"/>
      <c r="F404" s="216"/>
    </row>
    <row r="405" ht="14.25" customHeight="1">
      <c r="B405" s="216"/>
      <c r="C405" s="216"/>
      <c r="D405" s="216"/>
      <c r="E405" s="216"/>
      <c r="F405" s="216"/>
    </row>
    <row r="406" ht="14.25" customHeight="1">
      <c r="B406" s="216"/>
      <c r="C406" s="216"/>
      <c r="D406" s="216"/>
      <c r="E406" s="216"/>
      <c r="F406" s="216"/>
    </row>
    <row r="407" ht="14.25" customHeight="1">
      <c r="B407" s="216"/>
      <c r="C407" s="216"/>
      <c r="D407" s="216"/>
      <c r="E407" s="216"/>
      <c r="F407" s="216"/>
    </row>
    <row r="408" ht="14.25" customHeight="1">
      <c r="B408" s="216"/>
      <c r="C408" s="216"/>
      <c r="D408" s="216"/>
      <c r="E408" s="216"/>
      <c r="F408" s="216"/>
    </row>
    <row r="409" ht="14.25" customHeight="1">
      <c r="B409" s="216"/>
      <c r="C409" s="216"/>
      <c r="D409" s="216"/>
      <c r="E409" s="216"/>
      <c r="F409" s="216"/>
    </row>
    <row r="410" ht="14.25" customHeight="1">
      <c r="B410" s="216"/>
      <c r="C410" s="216"/>
      <c r="D410" s="216"/>
      <c r="E410" s="216"/>
      <c r="F410" s="216"/>
    </row>
    <row r="411" ht="14.25" customHeight="1">
      <c r="B411" s="216"/>
      <c r="C411" s="216"/>
      <c r="D411" s="216"/>
      <c r="E411" s="216"/>
      <c r="F411" s="216"/>
    </row>
    <row r="412" ht="14.25" customHeight="1">
      <c r="B412" s="216"/>
      <c r="C412" s="216"/>
      <c r="D412" s="216"/>
      <c r="E412" s="216"/>
      <c r="F412" s="216"/>
    </row>
    <row r="413" ht="14.25" customHeight="1">
      <c r="B413" s="216"/>
      <c r="C413" s="216"/>
      <c r="D413" s="216"/>
      <c r="E413" s="216"/>
      <c r="F413" s="216"/>
    </row>
    <row r="414" ht="14.25" customHeight="1">
      <c r="B414" s="216"/>
      <c r="C414" s="216"/>
      <c r="D414" s="216"/>
      <c r="E414" s="216"/>
      <c r="F414" s="216"/>
    </row>
    <row r="415" ht="14.25" customHeight="1">
      <c r="B415" s="216"/>
      <c r="C415" s="216"/>
      <c r="D415" s="216"/>
      <c r="E415" s="216"/>
      <c r="F415" s="216"/>
    </row>
    <row r="416" ht="14.25" customHeight="1">
      <c r="B416" s="216"/>
      <c r="C416" s="216"/>
      <c r="D416" s="216"/>
      <c r="E416" s="216"/>
      <c r="F416" s="216"/>
    </row>
    <row r="417" ht="14.25" customHeight="1">
      <c r="B417" s="216"/>
      <c r="C417" s="216"/>
      <c r="D417" s="216"/>
      <c r="E417" s="216"/>
      <c r="F417" s="216"/>
    </row>
    <row r="418" ht="14.25" customHeight="1">
      <c r="B418" s="216"/>
      <c r="C418" s="216"/>
      <c r="D418" s="216"/>
      <c r="E418" s="216"/>
      <c r="F418" s="216"/>
    </row>
    <row r="419" ht="14.25" customHeight="1">
      <c r="B419" s="216"/>
      <c r="C419" s="216"/>
      <c r="D419" s="216"/>
      <c r="E419" s="216"/>
      <c r="F419" s="216"/>
    </row>
    <row r="420" ht="14.25" customHeight="1">
      <c r="B420" s="216"/>
      <c r="C420" s="216"/>
      <c r="D420" s="216"/>
      <c r="E420" s="216"/>
      <c r="F420" s="216"/>
    </row>
    <row r="421" ht="14.25" customHeight="1">
      <c r="B421" s="216"/>
      <c r="C421" s="216"/>
      <c r="D421" s="216"/>
      <c r="E421" s="216"/>
      <c r="F421" s="216"/>
    </row>
    <row r="422" ht="14.25" customHeight="1">
      <c r="B422" s="216"/>
      <c r="C422" s="216"/>
      <c r="D422" s="216"/>
      <c r="E422" s="216"/>
      <c r="F422" s="216"/>
    </row>
    <row r="423" ht="14.25" customHeight="1">
      <c r="B423" s="216"/>
      <c r="C423" s="216"/>
      <c r="D423" s="216"/>
      <c r="E423" s="216"/>
      <c r="F423" s="216"/>
    </row>
    <row r="424" ht="14.25" customHeight="1">
      <c r="B424" s="216"/>
      <c r="C424" s="216"/>
      <c r="D424" s="216"/>
      <c r="E424" s="216"/>
      <c r="F424" s="216"/>
    </row>
    <row r="425" ht="14.25" customHeight="1">
      <c r="B425" s="216"/>
      <c r="C425" s="216"/>
      <c r="D425" s="216"/>
      <c r="E425" s="216"/>
      <c r="F425" s="216"/>
    </row>
    <row r="426" ht="14.25" customHeight="1">
      <c r="B426" s="216"/>
      <c r="C426" s="216"/>
      <c r="D426" s="216"/>
      <c r="E426" s="216"/>
      <c r="F426" s="216"/>
    </row>
    <row r="427" ht="14.25" customHeight="1">
      <c r="B427" s="216"/>
      <c r="C427" s="216"/>
      <c r="D427" s="216"/>
      <c r="E427" s="216"/>
      <c r="F427" s="216"/>
    </row>
    <row r="428" ht="14.25" customHeight="1">
      <c r="B428" s="216"/>
      <c r="C428" s="216"/>
      <c r="D428" s="216"/>
      <c r="E428" s="216"/>
      <c r="F428" s="216"/>
    </row>
    <row r="429" ht="14.25" customHeight="1">
      <c r="B429" s="216"/>
      <c r="C429" s="216"/>
      <c r="D429" s="216"/>
      <c r="E429" s="216"/>
      <c r="F429" s="216"/>
    </row>
    <row r="430" ht="14.25" customHeight="1">
      <c r="B430" s="216"/>
      <c r="C430" s="216"/>
      <c r="D430" s="216"/>
      <c r="E430" s="216"/>
      <c r="F430" s="216"/>
    </row>
    <row r="431" ht="14.25" customHeight="1">
      <c r="B431" s="216"/>
      <c r="C431" s="216"/>
      <c r="D431" s="216"/>
      <c r="E431" s="216"/>
      <c r="F431" s="216"/>
    </row>
    <row r="432" ht="14.25" customHeight="1">
      <c r="B432" s="216"/>
      <c r="C432" s="216"/>
      <c r="D432" s="216"/>
      <c r="E432" s="216"/>
      <c r="F432" s="216"/>
    </row>
    <row r="433" ht="14.25" customHeight="1">
      <c r="B433" s="216"/>
      <c r="C433" s="216"/>
      <c r="D433" s="216"/>
      <c r="E433" s="216"/>
      <c r="F433" s="216"/>
    </row>
    <row r="434" ht="14.25" customHeight="1">
      <c r="B434" s="216"/>
      <c r="C434" s="216"/>
      <c r="D434" s="216"/>
      <c r="E434" s="216"/>
      <c r="F434" s="216"/>
    </row>
    <row r="435" ht="14.25" customHeight="1">
      <c r="B435" s="216"/>
      <c r="C435" s="216"/>
      <c r="D435" s="216"/>
      <c r="E435" s="216"/>
      <c r="F435" s="216"/>
    </row>
    <row r="436" ht="14.25" customHeight="1">
      <c r="B436" s="216"/>
      <c r="C436" s="216"/>
      <c r="D436" s="216"/>
      <c r="E436" s="216"/>
      <c r="F436" s="216"/>
    </row>
    <row r="437" ht="14.25" customHeight="1">
      <c r="B437" s="216"/>
      <c r="C437" s="216"/>
      <c r="D437" s="216"/>
      <c r="E437" s="216"/>
      <c r="F437" s="216"/>
    </row>
    <row r="438" ht="14.25" customHeight="1">
      <c r="B438" s="216"/>
      <c r="C438" s="216"/>
      <c r="D438" s="216"/>
      <c r="E438" s="216"/>
      <c r="F438" s="216"/>
    </row>
    <row r="439" ht="14.25" customHeight="1">
      <c r="B439" s="216"/>
      <c r="C439" s="216"/>
      <c r="D439" s="216"/>
      <c r="E439" s="216"/>
      <c r="F439" s="216"/>
    </row>
    <row r="440" ht="14.25" customHeight="1">
      <c r="B440" s="216"/>
      <c r="C440" s="216"/>
      <c r="D440" s="216"/>
      <c r="E440" s="216"/>
      <c r="F440" s="216"/>
    </row>
    <row r="441" ht="14.25" customHeight="1">
      <c r="B441" s="216"/>
      <c r="C441" s="216"/>
      <c r="D441" s="216"/>
      <c r="E441" s="216"/>
      <c r="F441" s="216"/>
    </row>
    <row r="442" ht="14.25" customHeight="1">
      <c r="B442" s="216"/>
      <c r="C442" s="216"/>
      <c r="D442" s="216"/>
      <c r="E442" s="216"/>
      <c r="F442" s="216"/>
    </row>
    <row r="443" ht="14.25" customHeight="1">
      <c r="B443" s="216"/>
      <c r="C443" s="216"/>
      <c r="D443" s="216"/>
      <c r="E443" s="216"/>
      <c r="F443" s="216"/>
    </row>
    <row r="444" ht="14.25" customHeight="1">
      <c r="B444" s="216"/>
      <c r="C444" s="216"/>
      <c r="D444" s="216"/>
      <c r="E444" s="216"/>
      <c r="F444" s="216"/>
    </row>
    <row r="445" ht="14.25" customHeight="1">
      <c r="B445" s="216"/>
      <c r="C445" s="216"/>
      <c r="D445" s="216"/>
      <c r="E445" s="216"/>
      <c r="F445" s="216"/>
    </row>
    <row r="446" ht="14.25" customHeight="1">
      <c r="B446" s="216"/>
      <c r="C446" s="216"/>
      <c r="D446" s="216"/>
      <c r="E446" s="216"/>
      <c r="F446" s="216"/>
    </row>
    <row r="447" ht="14.25" customHeight="1">
      <c r="B447" s="216"/>
      <c r="C447" s="216"/>
      <c r="D447" s="216"/>
      <c r="E447" s="216"/>
      <c r="F447" s="216"/>
    </row>
    <row r="448" ht="14.25" customHeight="1">
      <c r="B448" s="216"/>
      <c r="C448" s="216"/>
      <c r="D448" s="216"/>
      <c r="E448" s="216"/>
      <c r="F448" s="216"/>
    </row>
    <row r="449" ht="14.25" customHeight="1">
      <c r="B449" s="216"/>
      <c r="C449" s="216"/>
      <c r="D449" s="216"/>
      <c r="E449" s="216"/>
      <c r="F449" s="216"/>
    </row>
    <row r="450" ht="14.25" customHeight="1">
      <c r="B450" s="216"/>
      <c r="C450" s="216"/>
      <c r="D450" s="216"/>
      <c r="E450" s="216"/>
      <c r="F450" s="216"/>
    </row>
    <row r="451" ht="14.25" customHeight="1">
      <c r="B451" s="216"/>
      <c r="C451" s="216"/>
      <c r="D451" s="216"/>
      <c r="E451" s="216"/>
      <c r="F451" s="216"/>
    </row>
    <row r="452" ht="14.25" customHeight="1">
      <c r="B452" s="216"/>
      <c r="C452" s="216"/>
      <c r="D452" s="216"/>
      <c r="E452" s="216"/>
      <c r="F452" s="216"/>
    </row>
    <row r="453" ht="14.25" customHeight="1">
      <c r="B453" s="216"/>
      <c r="C453" s="216"/>
      <c r="D453" s="216"/>
      <c r="E453" s="216"/>
      <c r="F453" s="216"/>
    </row>
    <row r="454" ht="14.25" customHeight="1">
      <c r="B454" s="216"/>
      <c r="C454" s="216"/>
      <c r="D454" s="216"/>
      <c r="E454" s="216"/>
      <c r="F454" s="216"/>
    </row>
    <row r="455" ht="14.25" customHeight="1">
      <c r="B455" s="216"/>
      <c r="C455" s="216"/>
      <c r="D455" s="216"/>
      <c r="E455" s="216"/>
      <c r="F455" s="216"/>
    </row>
    <row r="456" ht="14.25" customHeight="1">
      <c r="B456" s="216"/>
      <c r="C456" s="216"/>
      <c r="D456" s="216"/>
      <c r="E456" s="216"/>
      <c r="F456" s="216"/>
    </row>
    <row r="457" ht="14.25" customHeight="1">
      <c r="B457" s="216"/>
      <c r="C457" s="216"/>
      <c r="D457" s="216"/>
      <c r="E457" s="216"/>
      <c r="F457" s="216"/>
    </row>
    <row r="458" ht="14.25" customHeight="1">
      <c r="B458" s="216"/>
      <c r="C458" s="216"/>
      <c r="D458" s="216"/>
      <c r="E458" s="216"/>
      <c r="F458" s="216"/>
    </row>
    <row r="459" ht="14.25" customHeight="1">
      <c r="B459" s="216"/>
      <c r="C459" s="216"/>
      <c r="D459" s="216"/>
      <c r="E459" s="216"/>
      <c r="F459" s="216"/>
    </row>
    <row r="460" ht="14.25" customHeight="1">
      <c r="B460" s="216"/>
      <c r="C460" s="216"/>
      <c r="D460" s="216"/>
      <c r="E460" s="216"/>
      <c r="F460" s="216"/>
    </row>
    <row r="461" ht="14.25" customHeight="1">
      <c r="B461" s="216"/>
      <c r="C461" s="216"/>
      <c r="D461" s="216"/>
      <c r="E461" s="216"/>
      <c r="F461" s="216"/>
    </row>
    <row r="462" ht="14.25" customHeight="1">
      <c r="B462" s="216"/>
      <c r="C462" s="216"/>
      <c r="D462" s="216"/>
      <c r="E462" s="216"/>
      <c r="F462" s="216"/>
    </row>
    <row r="463" ht="14.25" customHeight="1">
      <c r="B463" s="216"/>
      <c r="C463" s="216"/>
      <c r="D463" s="216"/>
      <c r="E463" s="216"/>
      <c r="F463" s="216"/>
    </row>
    <row r="464" ht="14.25" customHeight="1">
      <c r="B464" s="216"/>
      <c r="C464" s="216"/>
      <c r="D464" s="216"/>
      <c r="E464" s="216"/>
      <c r="F464" s="216"/>
    </row>
    <row r="465" ht="14.25" customHeight="1">
      <c r="B465" s="216"/>
      <c r="C465" s="216"/>
      <c r="D465" s="216"/>
      <c r="E465" s="216"/>
      <c r="F465" s="216"/>
    </row>
    <row r="466" ht="14.25" customHeight="1">
      <c r="B466" s="216"/>
      <c r="C466" s="216"/>
      <c r="D466" s="216"/>
      <c r="E466" s="216"/>
      <c r="F466" s="216"/>
    </row>
    <row r="467" ht="14.25" customHeight="1">
      <c r="B467" s="216"/>
      <c r="C467" s="216"/>
      <c r="D467" s="216"/>
      <c r="E467" s="216"/>
      <c r="F467" s="216"/>
    </row>
    <row r="468" ht="14.25" customHeight="1">
      <c r="B468" s="216"/>
      <c r="C468" s="216"/>
      <c r="D468" s="216"/>
      <c r="E468" s="216"/>
      <c r="F468" s="216"/>
    </row>
    <row r="469" ht="14.25" customHeight="1">
      <c r="B469" s="216"/>
      <c r="C469" s="216"/>
      <c r="D469" s="216"/>
      <c r="E469" s="216"/>
      <c r="F469" s="216"/>
    </row>
    <row r="470" ht="14.25" customHeight="1">
      <c r="B470" s="216"/>
      <c r="C470" s="216"/>
      <c r="D470" s="216"/>
      <c r="E470" s="216"/>
      <c r="F470" s="216"/>
    </row>
    <row r="471" ht="14.25" customHeight="1">
      <c r="B471" s="216"/>
      <c r="C471" s="216"/>
      <c r="D471" s="216"/>
      <c r="E471" s="216"/>
      <c r="F471" s="216"/>
    </row>
    <row r="472" ht="14.25" customHeight="1">
      <c r="B472" s="216"/>
      <c r="C472" s="216"/>
      <c r="D472" s="216"/>
      <c r="E472" s="216"/>
      <c r="F472" s="216"/>
    </row>
    <row r="473" ht="14.25" customHeight="1">
      <c r="B473" s="216"/>
      <c r="C473" s="216"/>
      <c r="D473" s="216"/>
      <c r="E473" s="216"/>
      <c r="F473" s="216"/>
    </row>
    <row r="474" ht="14.25" customHeight="1">
      <c r="B474" s="216"/>
      <c r="C474" s="216"/>
      <c r="D474" s="216"/>
      <c r="E474" s="216"/>
      <c r="F474" s="216"/>
    </row>
    <row r="475" ht="14.25" customHeight="1">
      <c r="B475" s="216"/>
      <c r="C475" s="216"/>
      <c r="D475" s="216"/>
      <c r="E475" s="216"/>
      <c r="F475" s="216"/>
    </row>
    <row r="476" ht="14.25" customHeight="1">
      <c r="B476" s="216"/>
      <c r="C476" s="216"/>
      <c r="D476" s="216"/>
      <c r="E476" s="216"/>
      <c r="F476" s="216"/>
    </row>
    <row r="477" ht="14.25" customHeight="1">
      <c r="B477" s="216"/>
      <c r="C477" s="216"/>
      <c r="D477" s="216"/>
      <c r="E477" s="216"/>
      <c r="F477" s="216"/>
    </row>
    <row r="478" ht="14.25" customHeight="1">
      <c r="B478" s="216"/>
      <c r="C478" s="216"/>
      <c r="D478" s="216"/>
      <c r="E478" s="216"/>
      <c r="F478" s="216"/>
    </row>
    <row r="479" ht="14.25" customHeight="1">
      <c r="B479" s="216"/>
      <c r="C479" s="216"/>
      <c r="D479" s="216"/>
      <c r="E479" s="216"/>
      <c r="F479" s="216"/>
    </row>
    <row r="480" ht="14.25" customHeight="1">
      <c r="B480" s="216"/>
      <c r="C480" s="216"/>
      <c r="D480" s="216"/>
      <c r="E480" s="216"/>
      <c r="F480" s="216"/>
    </row>
    <row r="481" ht="14.25" customHeight="1">
      <c r="B481" s="216"/>
      <c r="C481" s="216"/>
      <c r="D481" s="216"/>
      <c r="E481" s="216"/>
      <c r="F481" s="216"/>
    </row>
    <row r="482" ht="14.25" customHeight="1">
      <c r="B482" s="216"/>
      <c r="C482" s="216"/>
      <c r="D482" s="216"/>
      <c r="E482" s="216"/>
      <c r="F482" s="216"/>
    </row>
    <row r="483" ht="14.25" customHeight="1">
      <c r="B483" s="216"/>
      <c r="C483" s="216"/>
      <c r="D483" s="216"/>
      <c r="E483" s="216"/>
      <c r="F483" s="216"/>
    </row>
    <row r="484" ht="14.25" customHeight="1">
      <c r="B484" s="216"/>
      <c r="C484" s="216"/>
      <c r="D484" s="216"/>
      <c r="E484" s="216"/>
      <c r="F484" s="216"/>
    </row>
    <row r="485" ht="14.25" customHeight="1">
      <c r="B485" s="216"/>
      <c r="C485" s="216"/>
      <c r="D485" s="216"/>
      <c r="E485" s="216"/>
      <c r="F485" s="216"/>
    </row>
    <row r="486" ht="14.25" customHeight="1">
      <c r="B486" s="216"/>
      <c r="C486" s="216"/>
      <c r="D486" s="216"/>
      <c r="E486" s="216"/>
      <c r="F486" s="216"/>
    </row>
    <row r="487" ht="14.25" customHeight="1">
      <c r="B487" s="216"/>
      <c r="C487" s="216"/>
      <c r="D487" s="216"/>
      <c r="E487" s="216"/>
      <c r="F487" s="216"/>
    </row>
    <row r="488" ht="14.25" customHeight="1">
      <c r="B488" s="216"/>
      <c r="C488" s="216"/>
      <c r="D488" s="216"/>
      <c r="E488" s="216"/>
      <c r="F488" s="216"/>
    </row>
    <row r="489" ht="14.25" customHeight="1">
      <c r="B489" s="216"/>
      <c r="C489" s="216"/>
      <c r="D489" s="216"/>
      <c r="E489" s="216"/>
      <c r="F489" s="216"/>
    </row>
    <row r="490" ht="14.25" customHeight="1">
      <c r="B490" s="216"/>
      <c r="C490" s="216"/>
      <c r="D490" s="216"/>
      <c r="E490" s="216"/>
      <c r="F490" s="216"/>
    </row>
    <row r="491" ht="14.25" customHeight="1">
      <c r="B491" s="216"/>
      <c r="C491" s="216"/>
      <c r="D491" s="216"/>
      <c r="E491" s="216"/>
      <c r="F491" s="216"/>
    </row>
    <row r="492" ht="14.25" customHeight="1">
      <c r="B492" s="216"/>
      <c r="C492" s="216"/>
      <c r="D492" s="216"/>
      <c r="E492" s="216"/>
      <c r="F492" s="216"/>
    </row>
    <row r="493" ht="14.25" customHeight="1">
      <c r="B493" s="216"/>
      <c r="C493" s="216"/>
      <c r="D493" s="216"/>
      <c r="E493" s="216"/>
      <c r="F493" s="216"/>
    </row>
    <row r="494" ht="14.25" customHeight="1">
      <c r="B494" s="216"/>
      <c r="C494" s="216"/>
      <c r="D494" s="216"/>
      <c r="E494" s="216"/>
      <c r="F494" s="216"/>
    </row>
    <row r="495" ht="14.25" customHeight="1">
      <c r="B495" s="216"/>
      <c r="C495" s="216"/>
      <c r="D495" s="216"/>
      <c r="E495" s="216"/>
      <c r="F495" s="216"/>
    </row>
    <row r="496" ht="14.25" customHeight="1">
      <c r="B496" s="216"/>
      <c r="C496" s="216"/>
      <c r="D496" s="216"/>
      <c r="E496" s="216"/>
      <c r="F496" s="216"/>
    </row>
    <row r="497" ht="14.25" customHeight="1">
      <c r="B497" s="216"/>
      <c r="C497" s="216"/>
      <c r="D497" s="216"/>
      <c r="E497" s="216"/>
      <c r="F497" s="216"/>
    </row>
    <row r="498" ht="14.25" customHeight="1">
      <c r="B498" s="216"/>
      <c r="C498" s="216"/>
      <c r="D498" s="216"/>
      <c r="E498" s="216"/>
      <c r="F498" s="216"/>
    </row>
    <row r="499" ht="14.25" customHeight="1">
      <c r="B499" s="216"/>
      <c r="C499" s="216"/>
      <c r="D499" s="216"/>
      <c r="E499" s="216"/>
      <c r="F499" s="216"/>
    </row>
    <row r="500" ht="14.25" customHeight="1">
      <c r="B500" s="216"/>
      <c r="C500" s="216"/>
      <c r="D500" s="216"/>
      <c r="E500" s="216"/>
      <c r="F500" s="216"/>
    </row>
    <row r="501" ht="14.25" customHeight="1">
      <c r="B501" s="216"/>
      <c r="C501" s="216"/>
      <c r="D501" s="216"/>
      <c r="E501" s="216"/>
      <c r="F501" s="216"/>
    </row>
    <row r="502" ht="14.25" customHeight="1">
      <c r="B502" s="216"/>
      <c r="C502" s="216"/>
      <c r="D502" s="216"/>
      <c r="E502" s="216"/>
      <c r="F502" s="216"/>
    </row>
    <row r="503" ht="14.25" customHeight="1">
      <c r="B503" s="216"/>
      <c r="C503" s="216"/>
      <c r="D503" s="216"/>
      <c r="E503" s="216"/>
      <c r="F503" s="216"/>
    </row>
    <row r="504" ht="14.25" customHeight="1">
      <c r="B504" s="216"/>
      <c r="C504" s="216"/>
      <c r="D504" s="216"/>
      <c r="E504" s="216"/>
      <c r="F504" s="216"/>
    </row>
    <row r="505" ht="14.25" customHeight="1">
      <c r="B505" s="216"/>
      <c r="C505" s="216"/>
      <c r="D505" s="216"/>
      <c r="E505" s="216"/>
      <c r="F505" s="216"/>
    </row>
    <row r="506" ht="14.25" customHeight="1">
      <c r="B506" s="216"/>
      <c r="C506" s="216"/>
      <c r="D506" s="216"/>
      <c r="E506" s="216"/>
      <c r="F506" s="216"/>
    </row>
    <row r="507" ht="14.25" customHeight="1">
      <c r="B507" s="216"/>
      <c r="C507" s="216"/>
      <c r="D507" s="216"/>
      <c r="E507" s="216"/>
      <c r="F507" s="216"/>
    </row>
    <row r="508" ht="14.25" customHeight="1">
      <c r="B508" s="216"/>
      <c r="C508" s="216"/>
      <c r="D508" s="216"/>
      <c r="E508" s="216"/>
      <c r="F508" s="216"/>
    </row>
    <row r="509" ht="14.25" customHeight="1">
      <c r="B509" s="216"/>
      <c r="C509" s="216"/>
      <c r="D509" s="216"/>
      <c r="E509" s="216"/>
      <c r="F509" s="216"/>
    </row>
    <row r="510" ht="14.25" customHeight="1">
      <c r="B510" s="216"/>
      <c r="C510" s="216"/>
      <c r="D510" s="216"/>
      <c r="E510" s="216"/>
      <c r="F510" s="216"/>
    </row>
    <row r="511" ht="14.25" customHeight="1">
      <c r="B511" s="216"/>
      <c r="C511" s="216"/>
      <c r="D511" s="216"/>
      <c r="E511" s="216"/>
      <c r="F511" s="216"/>
    </row>
    <row r="512" ht="14.25" customHeight="1">
      <c r="B512" s="216"/>
      <c r="C512" s="216"/>
      <c r="D512" s="216"/>
      <c r="E512" s="216"/>
      <c r="F512" s="216"/>
    </row>
    <row r="513" ht="14.25" customHeight="1">
      <c r="B513" s="216"/>
      <c r="C513" s="216"/>
      <c r="D513" s="216"/>
      <c r="E513" s="216"/>
      <c r="F513" s="216"/>
    </row>
    <row r="514" ht="14.25" customHeight="1">
      <c r="B514" s="216"/>
      <c r="C514" s="216"/>
      <c r="D514" s="216"/>
      <c r="E514" s="216"/>
      <c r="F514" s="216"/>
    </row>
    <row r="515" ht="14.25" customHeight="1">
      <c r="B515" s="216"/>
      <c r="C515" s="216"/>
      <c r="D515" s="216"/>
      <c r="E515" s="216"/>
      <c r="F515" s="216"/>
    </row>
    <row r="516" ht="14.25" customHeight="1">
      <c r="B516" s="216"/>
      <c r="C516" s="216"/>
      <c r="D516" s="216"/>
      <c r="E516" s="216"/>
      <c r="F516" s="216"/>
    </row>
    <row r="517" ht="14.25" customHeight="1">
      <c r="B517" s="216"/>
      <c r="C517" s="216"/>
      <c r="D517" s="216"/>
      <c r="E517" s="216"/>
      <c r="F517" s="216"/>
    </row>
    <row r="518" ht="14.25" customHeight="1">
      <c r="B518" s="216"/>
      <c r="C518" s="216"/>
      <c r="D518" s="216"/>
      <c r="E518" s="216"/>
      <c r="F518" s="216"/>
    </row>
    <row r="519" ht="14.25" customHeight="1">
      <c r="B519" s="216"/>
      <c r="C519" s="216"/>
      <c r="D519" s="216"/>
      <c r="E519" s="216"/>
      <c r="F519" s="216"/>
    </row>
    <row r="520" ht="14.25" customHeight="1">
      <c r="B520" s="216"/>
      <c r="C520" s="216"/>
      <c r="D520" s="216"/>
      <c r="E520" s="216"/>
      <c r="F520" s="216"/>
    </row>
    <row r="521" ht="14.25" customHeight="1">
      <c r="B521" s="216"/>
      <c r="C521" s="216"/>
      <c r="D521" s="216"/>
      <c r="E521" s="216"/>
      <c r="F521" s="216"/>
    </row>
    <row r="522" ht="14.25" customHeight="1">
      <c r="B522" s="216"/>
      <c r="C522" s="216"/>
      <c r="D522" s="216"/>
      <c r="E522" s="216"/>
      <c r="F522" s="216"/>
    </row>
    <row r="523" ht="14.25" customHeight="1">
      <c r="B523" s="216"/>
      <c r="C523" s="216"/>
      <c r="D523" s="216"/>
      <c r="E523" s="216"/>
      <c r="F523" s="216"/>
    </row>
    <row r="524" ht="14.25" customHeight="1">
      <c r="B524" s="216"/>
      <c r="C524" s="216"/>
      <c r="D524" s="216"/>
      <c r="E524" s="216"/>
      <c r="F524" s="216"/>
    </row>
    <row r="525" ht="14.25" customHeight="1">
      <c r="B525" s="216"/>
      <c r="C525" s="216"/>
      <c r="D525" s="216"/>
      <c r="E525" s="216"/>
      <c r="F525" s="216"/>
    </row>
    <row r="526" ht="14.25" customHeight="1">
      <c r="B526" s="216"/>
      <c r="C526" s="216"/>
      <c r="D526" s="216"/>
      <c r="E526" s="216"/>
      <c r="F526" s="216"/>
    </row>
    <row r="527" ht="14.25" customHeight="1">
      <c r="B527" s="216"/>
      <c r="C527" s="216"/>
      <c r="D527" s="216"/>
      <c r="E527" s="216"/>
      <c r="F527" s="216"/>
    </row>
    <row r="528" ht="14.25" customHeight="1">
      <c r="B528" s="216"/>
      <c r="C528" s="216"/>
      <c r="D528" s="216"/>
      <c r="E528" s="216"/>
      <c r="F528" s="216"/>
    </row>
    <row r="529" ht="14.25" customHeight="1">
      <c r="B529" s="216"/>
      <c r="C529" s="216"/>
      <c r="D529" s="216"/>
      <c r="E529" s="216"/>
      <c r="F529" s="216"/>
    </row>
    <row r="530" ht="14.25" customHeight="1">
      <c r="B530" s="216"/>
      <c r="C530" s="216"/>
      <c r="D530" s="216"/>
      <c r="E530" s="216"/>
      <c r="F530" s="216"/>
    </row>
    <row r="531" ht="14.25" customHeight="1">
      <c r="B531" s="216"/>
      <c r="C531" s="216"/>
      <c r="D531" s="216"/>
      <c r="E531" s="216"/>
      <c r="F531" s="216"/>
    </row>
    <row r="532" ht="14.25" customHeight="1">
      <c r="B532" s="216"/>
      <c r="C532" s="216"/>
      <c r="D532" s="216"/>
      <c r="E532" s="216"/>
      <c r="F532" s="216"/>
    </row>
    <row r="533" ht="14.25" customHeight="1">
      <c r="B533" s="216"/>
      <c r="C533" s="216"/>
      <c r="D533" s="216"/>
      <c r="E533" s="216"/>
      <c r="F533" s="216"/>
    </row>
    <row r="534" ht="14.25" customHeight="1">
      <c r="B534" s="216"/>
      <c r="C534" s="216"/>
      <c r="D534" s="216"/>
      <c r="E534" s="216"/>
      <c r="F534" s="216"/>
    </row>
    <row r="535" ht="14.25" customHeight="1">
      <c r="B535" s="216"/>
      <c r="C535" s="216"/>
      <c r="D535" s="216"/>
      <c r="E535" s="216"/>
      <c r="F535" s="216"/>
    </row>
    <row r="536" ht="14.25" customHeight="1">
      <c r="B536" s="216"/>
      <c r="C536" s="216"/>
      <c r="D536" s="216"/>
      <c r="E536" s="216"/>
      <c r="F536" s="216"/>
    </row>
    <row r="537" ht="14.25" customHeight="1">
      <c r="B537" s="216"/>
      <c r="C537" s="216"/>
      <c r="D537" s="216"/>
      <c r="E537" s="216"/>
      <c r="F537" s="216"/>
    </row>
    <row r="538" ht="14.25" customHeight="1">
      <c r="B538" s="216"/>
      <c r="C538" s="216"/>
      <c r="D538" s="216"/>
      <c r="E538" s="216"/>
      <c r="F538" s="216"/>
    </row>
    <row r="539" ht="14.25" customHeight="1">
      <c r="B539" s="216"/>
      <c r="C539" s="216"/>
      <c r="D539" s="216"/>
      <c r="E539" s="216"/>
      <c r="F539" s="216"/>
    </row>
    <row r="540" ht="14.25" customHeight="1">
      <c r="B540" s="216"/>
      <c r="C540" s="216"/>
      <c r="D540" s="216"/>
      <c r="E540" s="216"/>
      <c r="F540" s="216"/>
    </row>
    <row r="541" ht="14.25" customHeight="1">
      <c r="B541" s="216"/>
      <c r="C541" s="216"/>
      <c r="D541" s="216"/>
      <c r="E541" s="216"/>
      <c r="F541" s="216"/>
    </row>
    <row r="542" ht="14.25" customHeight="1">
      <c r="B542" s="216"/>
      <c r="C542" s="216"/>
      <c r="D542" s="216"/>
      <c r="E542" s="216"/>
      <c r="F542" s="216"/>
    </row>
    <row r="543" ht="14.25" customHeight="1">
      <c r="B543" s="216"/>
      <c r="C543" s="216"/>
      <c r="D543" s="216"/>
      <c r="E543" s="216"/>
      <c r="F543" s="216"/>
    </row>
    <row r="544" ht="14.25" customHeight="1">
      <c r="B544" s="216"/>
      <c r="C544" s="216"/>
      <c r="D544" s="216"/>
      <c r="E544" s="216"/>
      <c r="F544" s="216"/>
    </row>
    <row r="545" ht="14.25" customHeight="1">
      <c r="B545" s="216"/>
      <c r="C545" s="216"/>
      <c r="D545" s="216"/>
      <c r="E545" s="216"/>
      <c r="F545" s="216"/>
    </row>
    <row r="546" ht="14.25" customHeight="1">
      <c r="B546" s="216"/>
      <c r="C546" s="216"/>
      <c r="D546" s="216"/>
      <c r="E546" s="216"/>
      <c r="F546" s="216"/>
    </row>
    <row r="547" ht="14.25" customHeight="1">
      <c r="B547" s="216"/>
      <c r="C547" s="216"/>
      <c r="D547" s="216"/>
      <c r="E547" s="216"/>
      <c r="F547" s="216"/>
    </row>
    <row r="548" ht="14.25" customHeight="1">
      <c r="B548" s="216"/>
      <c r="C548" s="216"/>
      <c r="D548" s="216"/>
      <c r="E548" s="216"/>
      <c r="F548" s="216"/>
    </row>
    <row r="549" ht="14.25" customHeight="1">
      <c r="B549" s="216"/>
      <c r="C549" s="216"/>
      <c r="D549" s="216"/>
      <c r="E549" s="216"/>
      <c r="F549" s="216"/>
    </row>
    <row r="550" ht="14.25" customHeight="1">
      <c r="B550" s="216"/>
      <c r="C550" s="216"/>
      <c r="D550" s="216"/>
      <c r="E550" s="216"/>
      <c r="F550" s="216"/>
    </row>
    <row r="551" ht="14.25" customHeight="1">
      <c r="B551" s="216"/>
      <c r="C551" s="216"/>
      <c r="D551" s="216"/>
      <c r="E551" s="216"/>
      <c r="F551" s="216"/>
    </row>
    <row r="552" ht="14.25" customHeight="1">
      <c r="B552" s="216"/>
      <c r="C552" s="216"/>
      <c r="D552" s="216"/>
      <c r="E552" s="216"/>
      <c r="F552" s="216"/>
    </row>
    <row r="553" ht="14.25" customHeight="1">
      <c r="B553" s="216"/>
      <c r="C553" s="216"/>
      <c r="D553" s="216"/>
      <c r="E553" s="216"/>
      <c r="F553" s="216"/>
    </row>
    <row r="554" ht="14.25" customHeight="1">
      <c r="B554" s="216"/>
      <c r="C554" s="216"/>
      <c r="D554" s="216"/>
      <c r="E554" s="216"/>
      <c r="F554" s="216"/>
    </row>
    <row r="555" ht="14.25" customHeight="1">
      <c r="B555" s="216"/>
      <c r="C555" s="216"/>
      <c r="D555" s="216"/>
      <c r="E555" s="216"/>
      <c r="F555" s="216"/>
    </row>
    <row r="556" ht="14.25" customHeight="1">
      <c r="B556" s="216"/>
      <c r="C556" s="216"/>
      <c r="D556" s="216"/>
      <c r="E556" s="216"/>
      <c r="F556" s="216"/>
    </row>
    <row r="557" ht="14.25" customHeight="1">
      <c r="B557" s="216"/>
      <c r="C557" s="216"/>
      <c r="D557" s="216"/>
      <c r="E557" s="216"/>
      <c r="F557" s="216"/>
    </row>
    <row r="558" ht="14.25" customHeight="1">
      <c r="B558" s="216"/>
      <c r="C558" s="216"/>
      <c r="D558" s="216"/>
      <c r="E558" s="216"/>
      <c r="F558" s="216"/>
    </row>
    <row r="559" ht="14.25" customHeight="1">
      <c r="B559" s="216"/>
      <c r="C559" s="216"/>
      <c r="D559" s="216"/>
      <c r="E559" s="216"/>
      <c r="F559" s="216"/>
    </row>
    <row r="560" ht="14.25" customHeight="1">
      <c r="B560" s="216"/>
      <c r="C560" s="216"/>
      <c r="D560" s="216"/>
      <c r="E560" s="216"/>
      <c r="F560" s="216"/>
    </row>
    <row r="561" ht="14.25" customHeight="1">
      <c r="B561" s="216"/>
      <c r="C561" s="216"/>
      <c r="D561" s="216"/>
      <c r="E561" s="216"/>
      <c r="F561" s="216"/>
    </row>
    <row r="562" ht="14.25" customHeight="1">
      <c r="B562" s="216"/>
      <c r="C562" s="216"/>
      <c r="D562" s="216"/>
      <c r="E562" s="216"/>
      <c r="F562" s="216"/>
    </row>
    <row r="563" ht="14.25" customHeight="1">
      <c r="B563" s="216"/>
      <c r="C563" s="216"/>
      <c r="D563" s="216"/>
      <c r="E563" s="216"/>
      <c r="F563" s="216"/>
    </row>
    <row r="564" ht="14.25" customHeight="1">
      <c r="B564" s="216"/>
      <c r="C564" s="216"/>
      <c r="D564" s="216"/>
      <c r="E564" s="216"/>
      <c r="F564" s="216"/>
    </row>
    <row r="565" ht="14.25" customHeight="1">
      <c r="B565" s="216"/>
      <c r="C565" s="216"/>
      <c r="D565" s="216"/>
      <c r="E565" s="216"/>
      <c r="F565" s="216"/>
    </row>
    <row r="566" ht="14.25" customHeight="1">
      <c r="B566" s="216"/>
      <c r="C566" s="216"/>
      <c r="D566" s="216"/>
      <c r="E566" s="216"/>
      <c r="F566" s="216"/>
    </row>
    <row r="567" ht="14.25" customHeight="1">
      <c r="B567" s="216"/>
      <c r="C567" s="216"/>
      <c r="D567" s="216"/>
      <c r="E567" s="216"/>
      <c r="F567" s="216"/>
    </row>
    <row r="568" ht="14.25" customHeight="1">
      <c r="B568" s="216"/>
      <c r="C568" s="216"/>
      <c r="D568" s="216"/>
      <c r="E568" s="216"/>
      <c r="F568" s="216"/>
    </row>
    <row r="569" ht="14.25" customHeight="1">
      <c r="B569" s="216"/>
      <c r="C569" s="216"/>
      <c r="D569" s="216"/>
      <c r="E569" s="216"/>
      <c r="F569" s="216"/>
    </row>
    <row r="570" ht="14.25" customHeight="1">
      <c r="B570" s="216"/>
      <c r="C570" s="216"/>
      <c r="D570" s="216"/>
      <c r="E570" s="216"/>
      <c r="F570" s="216"/>
    </row>
    <row r="571" ht="14.25" customHeight="1">
      <c r="B571" s="216"/>
      <c r="C571" s="216"/>
      <c r="D571" s="216"/>
      <c r="E571" s="216"/>
      <c r="F571" s="216"/>
    </row>
    <row r="572" ht="14.25" customHeight="1">
      <c r="B572" s="216"/>
      <c r="C572" s="216"/>
      <c r="D572" s="216"/>
      <c r="E572" s="216"/>
      <c r="F572" s="216"/>
    </row>
    <row r="573" ht="14.25" customHeight="1">
      <c r="B573" s="216"/>
      <c r="C573" s="216"/>
      <c r="D573" s="216"/>
      <c r="E573" s="216"/>
      <c r="F573" s="216"/>
    </row>
    <row r="574" ht="14.25" customHeight="1">
      <c r="B574" s="216"/>
      <c r="C574" s="216"/>
      <c r="D574" s="216"/>
      <c r="E574" s="216"/>
      <c r="F574" s="216"/>
    </row>
    <row r="575" ht="14.25" customHeight="1">
      <c r="B575" s="216"/>
      <c r="C575" s="216"/>
      <c r="D575" s="216"/>
      <c r="E575" s="216"/>
      <c r="F575" s="216"/>
    </row>
    <row r="576" ht="14.25" customHeight="1">
      <c r="B576" s="216"/>
      <c r="C576" s="216"/>
      <c r="D576" s="216"/>
      <c r="E576" s="216"/>
      <c r="F576" s="216"/>
    </row>
    <row r="577" ht="14.25" customHeight="1">
      <c r="B577" s="216"/>
      <c r="C577" s="216"/>
      <c r="D577" s="216"/>
      <c r="E577" s="216"/>
      <c r="F577" s="216"/>
    </row>
    <row r="578" ht="14.25" customHeight="1">
      <c r="B578" s="216"/>
      <c r="C578" s="216"/>
      <c r="D578" s="216"/>
      <c r="E578" s="216"/>
      <c r="F578" s="216"/>
    </row>
    <row r="579" ht="14.25" customHeight="1">
      <c r="B579" s="216"/>
      <c r="C579" s="216"/>
      <c r="D579" s="216"/>
      <c r="E579" s="216"/>
      <c r="F579" s="216"/>
    </row>
    <row r="580" ht="14.25" customHeight="1">
      <c r="B580" s="216"/>
      <c r="C580" s="216"/>
      <c r="D580" s="216"/>
      <c r="E580" s="216"/>
      <c r="F580" s="216"/>
    </row>
    <row r="581" ht="14.25" customHeight="1">
      <c r="B581" s="216"/>
      <c r="C581" s="216"/>
      <c r="D581" s="216"/>
      <c r="E581" s="216"/>
      <c r="F581" s="216"/>
    </row>
    <row r="582" ht="14.25" customHeight="1">
      <c r="B582" s="216"/>
      <c r="C582" s="216"/>
      <c r="D582" s="216"/>
      <c r="E582" s="216"/>
      <c r="F582" s="216"/>
    </row>
    <row r="583" ht="14.25" customHeight="1">
      <c r="B583" s="216"/>
      <c r="C583" s="216"/>
      <c r="D583" s="216"/>
      <c r="E583" s="216"/>
      <c r="F583" s="216"/>
    </row>
    <row r="584" ht="14.25" customHeight="1">
      <c r="B584" s="216"/>
      <c r="C584" s="216"/>
      <c r="D584" s="216"/>
      <c r="E584" s="216"/>
      <c r="F584" s="216"/>
    </row>
    <row r="585" ht="14.25" customHeight="1">
      <c r="B585" s="216"/>
      <c r="C585" s="216"/>
      <c r="D585" s="216"/>
      <c r="E585" s="216"/>
      <c r="F585" s="216"/>
    </row>
    <row r="586" ht="14.25" customHeight="1">
      <c r="B586" s="216"/>
      <c r="C586" s="216"/>
      <c r="D586" s="216"/>
      <c r="E586" s="216"/>
      <c r="F586" s="216"/>
    </row>
    <row r="587" ht="14.25" customHeight="1">
      <c r="B587" s="216"/>
      <c r="C587" s="216"/>
      <c r="D587" s="216"/>
      <c r="E587" s="216"/>
      <c r="F587" s="216"/>
    </row>
    <row r="588" ht="14.25" customHeight="1">
      <c r="B588" s="216"/>
      <c r="C588" s="216"/>
      <c r="D588" s="216"/>
      <c r="E588" s="216"/>
      <c r="F588" s="216"/>
    </row>
    <row r="589" ht="14.25" customHeight="1">
      <c r="B589" s="216"/>
      <c r="C589" s="216"/>
      <c r="D589" s="216"/>
      <c r="E589" s="216"/>
      <c r="F589" s="216"/>
    </row>
    <row r="590" ht="14.25" customHeight="1">
      <c r="B590" s="216"/>
      <c r="C590" s="216"/>
      <c r="D590" s="216"/>
      <c r="E590" s="216"/>
      <c r="F590" s="216"/>
    </row>
    <row r="591" ht="14.25" customHeight="1">
      <c r="B591" s="216"/>
      <c r="C591" s="216"/>
      <c r="D591" s="216"/>
      <c r="E591" s="216"/>
      <c r="F591" s="216"/>
    </row>
    <row r="592" ht="14.25" customHeight="1">
      <c r="B592" s="216"/>
      <c r="C592" s="216"/>
      <c r="D592" s="216"/>
      <c r="E592" s="216"/>
      <c r="F592" s="216"/>
    </row>
    <row r="593" ht="14.25" customHeight="1">
      <c r="B593" s="216"/>
      <c r="C593" s="216"/>
      <c r="D593" s="216"/>
      <c r="E593" s="216"/>
      <c r="F593" s="216"/>
    </row>
    <row r="594" ht="14.25" customHeight="1">
      <c r="B594" s="216"/>
      <c r="C594" s="216"/>
      <c r="D594" s="216"/>
      <c r="E594" s="216"/>
      <c r="F594" s="216"/>
    </row>
    <row r="595" ht="14.25" customHeight="1">
      <c r="B595" s="216"/>
      <c r="C595" s="216"/>
      <c r="D595" s="216"/>
      <c r="E595" s="216"/>
      <c r="F595" s="216"/>
    </row>
    <row r="596" ht="14.25" customHeight="1">
      <c r="B596" s="216"/>
      <c r="C596" s="216"/>
      <c r="D596" s="216"/>
      <c r="E596" s="216"/>
      <c r="F596" s="216"/>
    </row>
    <row r="597" ht="14.25" customHeight="1">
      <c r="B597" s="216"/>
      <c r="C597" s="216"/>
      <c r="D597" s="216"/>
      <c r="E597" s="216"/>
      <c r="F597" s="216"/>
    </row>
    <row r="598" ht="14.25" customHeight="1">
      <c r="B598" s="216"/>
      <c r="C598" s="216"/>
      <c r="D598" s="216"/>
      <c r="E598" s="216"/>
      <c r="F598" s="216"/>
    </row>
    <row r="599" ht="14.25" customHeight="1">
      <c r="B599" s="216"/>
      <c r="C599" s="216"/>
      <c r="D599" s="216"/>
      <c r="E599" s="216"/>
      <c r="F599" s="216"/>
    </row>
    <row r="600" ht="14.25" customHeight="1">
      <c r="B600" s="216"/>
      <c r="C600" s="216"/>
      <c r="D600" s="216"/>
      <c r="E600" s="216"/>
      <c r="F600" s="216"/>
    </row>
    <row r="601" ht="14.25" customHeight="1">
      <c r="B601" s="216"/>
      <c r="C601" s="216"/>
      <c r="D601" s="216"/>
      <c r="E601" s="216"/>
      <c r="F601" s="216"/>
    </row>
    <row r="602" ht="14.25" customHeight="1">
      <c r="B602" s="216"/>
      <c r="C602" s="216"/>
      <c r="D602" s="216"/>
      <c r="E602" s="216"/>
      <c r="F602" s="216"/>
    </row>
    <row r="603" ht="14.25" customHeight="1">
      <c r="B603" s="216"/>
      <c r="C603" s="216"/>
      <c r="D603" s="216"/>
      <c r="E603" s="216"/>
      <c r="F603" s="216"/>
    </row>
    <row r="604" ht="14.25" customHeight="1">
      <c r="B604" s="216"/>
      <c r="C604" s="216"/>
      <c r="D604" s="216"/>
      <c r="E604" s="216"/>
      <c r="F604" s="216"/>
    </row>
    <row r="605" ht="14.25" customHeight="1">
      <c r="B605" s="216"/>
      <c r="C605" s="216"/>
      <c r="D605" s="216"/>
      <c r="E605" s="216"/>
      <c r="F605" s="216"/>
    </row>
    <row r="606" ht="14.25" customHeight="1">
      <c r="B606" s="216"/>
      <c r="C606" s="216"/>
      <c r="D606" s="216"/>
      <c r="E606" s="216"/>
      <c r="F606" s="216"/>
    </row>
    <row r="607" ht="14.25" customHeight="1">
      <c r="B607" s="216"/>
      <c r="C607" s="216"/>
      <c r="D607" s="216"/>
      <c r="E607" s="216"/>
      <c r="F607" s="216"/>
    </row>
    <row r="608" ht="14.25" customHeight="1">
      <c r="B608" s="216"/>
      <c r="C608" s="216"/>
      <c r="D608" s="216"/>
      <c r="E608" s="216"/>
      <c r="F608" s="216"/>
    </row>
    <row r="609" ht="14.25" customHeight="1">
      <c r="B609" s="216"/>
      <c r="C609" s="216"/>
      <c r="D609" s="216"/>
      <c r="E609" s="216"/>
      <c r="F609" s="216"/>
    </row>
    <row r="610" ht="14.25" customHeight="1">
      <c r="B610" s="216"/>
      <c r="C610" s="216"/>
      <c r="D610" s="216"/>
      <c r="E610" s="216"/>
      <c r="F610" s="216"/>
    </row>
    <row r="611" ht="14.25" customHeight="1">
      <c r="B611" s="216"/>
      <c r="C611" s="216"/>
      <c r="D611" s="216"/>
      <c r="E611" s="216"/>
      <c r="F611" s="216"/>
    </row>
    <row r="612" ht="14.25" customHeight="1">
      <c r="B612" s="216"/>
      <c r="C612" s="216"/>
      <c r="D612" s="216"/>
      <c r="E612" s="216"/>
      <c r="F612" s="216"/>
    </row>
    <row r="613" ht="14.25" customHeight="1">
      <c r="B613" s="216"/>
      <c r="C613" s="216"/>
      <c r="D613" s="216"/>
      <c r="E613" s="216"/>
      <c r="F613" s="216"/>
    </row>
    <row r="614" ht="14.25" customHeight="1">
      <c r="B614" s="216"/>
      <c r="C614" s="216"/>
      <c r="D614" s="216"/>
      <c r="E614" s="216"/>
      <c r="F614" s="216"/>
    </row>
    <row r="615" ht="14.25" customHeight="1">
      <c r="B615" s="216"/>
      <c r="C615" s="216"/>
      <c r="D615" s="216"/>
      <c r="E615" s="216"/>
      <c r="F615" s="216"/>
    </row>
    <row r="616" ht="14.25" customHeight="1">
      <c r="B616" s="216"/>
      <c r="C616" s="216"/>
      <c r="D616" s="216"/>
      <c r="E616" s="216"/>
      <c r="F616" s="216"/>
    </row>
    <row r="617" ht="14.25" customHeight="1">
      <c r="B617" s="216"/>
      <c r="C617" s="216"/>
      <c r="D617" s="216"/>
      <c r="E617" s="216"/>
      <c r="F617" s="216"/>
    </row>
    <row r="618" ht="14.25" customHeight="1">
      <c r="B618" s="216"/>
      <c r="C618" s="216"/>
      <c r="D618" s="216"/>
      <c r="E618" s="216"/>
      <c r="F618" s="216"/>
    </row>
    <row r="619" ht="14.25" customHeight="1">
      <c r="B619" s="216"/>
      <c r="C619" s="216"/>
      <c r="D619" s="216"/>
      <c r="E619" s="216"/>
      <c r="F619" s="216"/>
    </row>
    <row r="620" ht="14.25" customHeight="1">
      <c r="B620" s="216"/>
      <c r="C620" s="216"/>
      <c r="D620" s="216"/>
      <c r="E620" s="216"/>
      <c r="F620" s="216"/>
    </row>
    <row r="621" ht="14.25" customHeight="1">
      <c r="B621" s="216"/>
      <c r="C621" s="216"/>
      <c r="D621" s="216"/>
      <c r="E621" s="216"/>
      <c r="F621" s="216"/>
    </row>
    <row r="622" ht="14.25" customHeight="1">
      <c r="B622" s="216"/>
      <c r="C622" s="216"/>
      <c r="D622" s="216"/>
      <c r="E622" s="216"/>
      <c r="F622" s="216"/>
    </row>
    <row r="623" ht="14.25" customHeight="1">
      <c r="B623" s="216"/>
      <c r="C623" s="216"/>
      <c r="D623" s="216"/>
      <c r="E623" s="216"/>
      <c r="F623" s="216"/>
    </row>
    <row r="624" ht="14.25" customHeight="1">
      <c r="B624" s="216"/>
      <c r="C624" s="216"/>
      <c r="D624" s="216"/>
      <c r="E624" s="216"/>
      <c r="F624" s="216"/>
    </row>
    <row r="625" ht="14.25" customHeight="1">
      <c r="B625" s="216"/>
      <c r="C625" s="216"/>
      <c r="D625" s="216"/>
      <c r="E625" s="216"/>
      <c r="F625" s="216"/>
    </row>
    <row r="626" ht="14.25" customHeight="1">
      <c r="B626" s="216"/>
      <c r="C626" s="216"/>
      <c r="D626" s="216"/>
      <c r="E626" s="216"/>
      <c r="F626" s="216"/>
    </row>
    <row r="627" ht="14.25" customHeight="1">
      <c r="B627" s="216"/>
      <c r="C627" s="216"/>
      <c r="D627" s="216"/>
      <c r="E627" s="216"/>
      <c r="F627" s="216"/>
    </row>
    <row r="628" ht="14.25" customHeight="1">
      <c r="B628" s="216"/>
      <c r="C628" s="216"/>
      <c r="D628" s="216"/>
      <c r="E628" s="216"/>
      <c r="F628" s="216"/>
    </row>
    <row r="629" ht="14.25" customHeight="1">
      <c r="B629" s="216"/>
      <c r="C629" s="216"/>
      <c r="D629" s="216"/>
      <c r="E629" s="216"/>
      <c r="F629" s="216"/>
    </row>
    <row r="630" ht="14.25" customHeight="1">
      <c r="B630" s="216"/>
      <c r="C630" s="216"/>
      <c r="D630" s="216"/>
      <c r="E630" s="216"/>
      <c r="F630" s="216"/>
    </row>
    <row r="631" ht="14.25" customHeight="1">
      <c r="B631" s="216"/>
      <c r="C631" s="216"/>
      <c r="D631" s="216"/>
      <c r="E631" s="216"/>
      <c r="F631" s="216"/>
    </row>
    <row r="632" ht="14.25" customHeight="1">
      <c r="B632" s="216"/>
      <c r="C632" s="216"/>
      <c r="D632" s="216"/>
      <c r="E632" s="216"/>
      <c r="F632" s="216"/>
    </row>
    <row r="633" ht="14.25" customHeight="1">
      <c r="B633" s="216"/>
      <c r="C633" s="216"/>
      <c r="D633" s="216"/>
      <c r="E633" s="216"/>
      <c r="F633" s="216"/>
    </row>
    <row r="634" ht="14.25" customHeight="1">
      <c r="B634" s="216"/>
      <c r="C634" s="216"/>
      <c r="D634" s="216"/>
      <c r="E634" s="216"/>
      <c r="F634" s="216"/>
    </row>
    <row r="635" ht="14.25" customHeight="1">
      <c r="B635" s="216"/>
      <c r="C635" s="216"/>
      <c r="D635" s="216"/>
      <c r="E635" s="216"/>
      <c r="F635" s="216"/>
    </row>
    <row r="636" ht="14.25" customHeight="1">
      <c r="B636" s="216"/>
      <c r="C636" s="216"/>
      <c r="D636" s="216"/>
      <c r="E636" s="216"/>
      <c r="F636" s="216"/>
    </row>
    <row r="637" ht="14.25" customHeight="1">
      <c r="B637" s="216"/>
      <c r="C637" s="216"/>
      <c r="D637" s="216"/>
      <c r="E637" s="216"/>
      <c r="F637" s="216"/>
    </row>
    <row r="638" ht="14.25" customHeight="1">
      <c r="B638" s="216"/>
      <c r="C638" s="216"/>
      <c r="D638" s="216"/>
      <c r="E638" s="216"/>
      <c r="F638" s="216"/>
    </row>
    <row r="639" ht="14.25" customHeight="1">
      <c r="B639" s="216"/>
      <c r="C639" s="216"/>
      <c r="D639" s="216"/>
      <c r="E639" s="216"/>
      <c r="F639" s="216"/>
    </row>
    <row r="640" ht="14.25" customHeight="1">
      <c r="B640" s="216"/>
      <c r="C640" s="216"/>
      <c r="D640" s="216"/>
      <c r="E640" s="216"/>
      <c r="F640" s="216"/>
    </row>
    <row r="641" ht="14.25" customHeight="1">
      <c r="B641" s="216"/>
      <c r="C641" s="216"/>
      <c r="D641" s="216"/>
      <c r="E641" s="216"/>
      <c r="F641" s="216"/>
    </row>
    <row r="642" ht="14.25" customHeight="1">
      <c r="B642" s="216"/>
      <c r="C642" s="216"/>
      <c r="D642" s="216"/>
      <c r="E642" s="216"/>
      <c r="F642" s="216"/>
    </row>
    <row r="643" ht="14.25" customHeight="1">
      <c r="B643" s="216"/>
      <c r="C643" s="216"/>
      <c r="D643" s="216"/>
      <c r="E643" s="216"/>
      <c r="F643" s="216"/>
    </row>
    <row r="644" ht="14.25" customHeight="1">
      <c r="B644" s="216"/>
      <c r="C644" s="216"/>
      <c r="D644" s="216"/>
      <c r="E644" s="216"/>
      <c r="F644" s="216"/>
    </row>
    <row r="645" ht="14.25" customHeight="1">
      <c r="B645" s="216"/>
      <c r="C645" s="216"/>
      <c r="D645" s="216"/>
      <c r="E645" s="216"/>
      <c r="F645" s="216"/>
    </row>
    <row r="646" ht="14.25" customHeight="1">
      <c r="B646" s="216"/>
      <c r="C646" s="216"/>
      <c r="D646" s="216"/>
      <c r="E646" s="216"/>
      <c r="F646" s="216"/>
    </row>
    <row r="647" ht="14.25" customHeight="1">
      <c r="B647" s="216"/>
      <c r="C647" s="216"/>
      <c r="D647" s="216"/>
      <c r="E647" s="216"/>
      <c r="F647" s="216"/>
    </row>
    <row r="648" ht="14.25" customHeight="1">
      <c r="B648" s="216"/>
      <c r="C648" s="216"/>
      <c r="D648" s="216"/>
      <c r="E648" s="216"/>
      <c r="F648" s="216"/>
    </row>
    <row r="649" ht="14.25" customHeight="1">
      <c r="B649" s="216"/>
      <c r="C649" s="216"/>
      <c r="D649" s="216"/>
      <c r="E649" s="216"/>
      <c r="F649" s="216"/>
    </row>
    <row r="650" ht="14.25" customHeight="1">
      <c r="B650" s="216"/>
      <c r="C650" s="216"/>
      <c r="D650" s="216"/>
      <c r="E650" s="216"/>
      <c r="F650" s="216"/>
    </row>
    <row r="651" ht="14.25" customHeight="1">
      <c r="B651" s="216"/>
      <c r="C651" s="216"/>
      <c r="D651" s="216"/>
      <c r="E651" s="216"/>
      <c r="F651" s="216"/>
    </row>
    <row r="652" ht="14.25" customHeight="1">
      <c r="B652" s="216"/>
      <c r="C652" s="216"/>
      <c r="D652" s="216"/>
      <c r="E652" s="216"/>
      <c r="F652" s="216"/>
    </row>
    <row r="653" ht="14.25" customHeight="1">
      <c r="B653" s="216"/>
      <c r="C653" s="216"/>
      <c r="D653" s="216"/>
      <c r="E653" s="216"/>
      <c r="F653" s="216"/>
    </row>
    <row r="654" ht="14.25" customHeight="1">
      <c r="B654" s="216"/>
      <c r="C654" s="216"/>
      <c r="D654" s="216"/>
      <c r="E654" s="216"/>
      <c r="F654" s="216"/>
    </row>
    <row r="655" ht="14.25" customHeight="1">
      <c r="B655" s="216"/>
      <c r="C655" s="216"/>
      <c r="D655" s="216"/>
      <c r="E655" s="216"/>
      <c r="F655" s="216"/>
    </row>
    <row r="656" ht="14.25" customHeight="1">
      <c r="B656" s="216"/>
      <c r="C656" s="216"/>
      <c r="D656" s="216"/>
      <c r="E656" s="216"/>
      <c r="F656" s="216"/>
    </row>
    <row r="657" ht="14.25" customHeight="1">
      <c r="B657" s="216"/>
      <c r="C657" s="216"/>
      <c r="D657" s="216"/>
      <c r="E657" s="216"/>
      <c r="F657" s="216"/>
    </row>
    <row r="658" ht="14.25" customHeight="1">
      <c r="B658" s="216"/>
      <c r="C658" s="216"/>
      <c r="D658" s="216"/>
      <c r="E658" s="216"/>
      <c r="F658" s="216"/>
    </row>
    <row r="659" ht="14.25" customHeight="1">
      <c r="B659" s="216"/>
      <c r="C659" s="216"/>
      <c r="D659" s="216"/>
      <c r="E659" s="216"/>
      <c r="F659" s="216"/>
    </row>
    <row r="660" ht="14.25" customHeight="1">
      <c r="B660" s="216"/>
      <c r="C660" s="216"/>
      <c r="D660" s="216"/>
      <c r="E660" s="216"/>
      <c r="F660" s="216"/>
    </row>
    <row r="661" ht="14.25" customHeight="1">
      <c r="B661" s="216"/>
      <c r="C661" s="216"/>
      <c r="D661" s="216"/>
      <c r="E661" s="216"/>
      <c r="F661" s="216"/>
    </row>
    <row r="662" ht="14.25" customHeight="1">
      <c r="B662" s="216"/>
      <c r="C662" s="216"/>
      <c r="D662" s="216"/>
      <c r="E662" s="216"/>
      <c r="F662" s="216"/>
    </row>
    <row r="663" ht="14.25" customHeight="1">
      <c r="B663" s="216"/>
      <c r="C663" s="216"/>
      <c r="D663" s="216"/>
      <c r="E663" s="216"/>
      <c r="F663" s="216"/>
    </row>
    <row r="664" ht="14.25" customHeight="1">
      <c r="B664" s="216"/>
      <c r="C664" s="216"/>
      <c r="D664" s="216"/>
      <c r="E664" s="216"/>
      <c r="F664" s="216"/>
    </row>
    <row r="665" ht="14.25" customHeight="1">
      <c r="B665" s="216"/>
      <c r="C665" s="216"/>
      <c r="D665" s="216"/>
      <c r="E665" s="216"/>
      <c r="F665" s="216"/>
    </row>
    <row r="666" ht="14.25" customHeight="1">
      <c r="B666" s="216"/>
      <c r="C666" s="216"/>
      <c r="D666" s="216"/>
      <c r="E666" s="216"/>
      <c r="F666" s="216"/>
    </row>
    <row r="667" ht="14.25" customHeight="1">
      <c r="B667" s="216"/>
      <c r="C667" s="216"/>
      <c r="D667" s="216"/>
      <c r="E667" s="216"/>
      <c r="F667" s="216"/>
    </row>
    <row r="668" ht="14.25" customHeight="1">
      <c r="B668" s="216"/>
      <c r="C668" s="216"/>
      <c r="D668" s="216"/>
      <c r="E668" s="216"/>
      <c r="F668" s="216"/>
    </row>
    <row r="669" ht="14.25" customHeight="1">
      <c r="B669" s="216"/>
      <c r="C669" s="216"/>
      <c r="D669" s="216"/>
      <c r="E669" s="216"/>
      <c r="F669" s="216"/>
    </row>
    <row r="670" ht="14.25" customHeight="1">
      <c r="B670" s="216"/>
      <c r="C670" s="216"/>
      <c r="D670" s="216"/>
      <c r="E670" s="216"/>
      <c r="F670" s="216"/>
    </row>
    <row r="671" ht="14.25" customHeight="1">
      <c r="B671" s="216"/>
      <c r="C671" s="216"/>
      <c r="D671" s="216"/>
      <c r="E671" s="216"/>
      <c r="F671" s="216"/>
    </row>
    <row r="672" ht="14.25" customHeight="1">
      <c r="B672" s="216"/>
      <c r="C672" s="216"/>
      <c r="D672" s="216"/>
      <c r="E672" s="216"/>
      <c r="F672" s="216"/>
    </row>
    <row r="673" ht="14.25" customHeight="1">
      <c r="B673" s="216"/>
      <c r="C673" s="216"/>
      <c r="D673" s="216"/>
      <c r="E673" s="216"/>
      <c r="F673" s="216"/>
    </row>
    <row r="674" ht="14.25" customHeight="1">
      <c r="B674" s="216"/>
      <c r="C674" s="216"/>
      <c r="D674" s="216"/>
      <c r="E674" s="216"/>
      <c r="F674" s="216"/>
    </row>
    <row r="675" ht="14.25" customHeight="1">
      <c r="B675" s="216"/>
      <c r="C675" s="216"/>
      <c r="D675" s="216"/>
      <c r="E675" s="216"/>
      <c r="F675" s="216"/>
    </row>
    <row r="676" ht="14.25" customHeight="1">
      <c r="B676" s="216"/>
      <c r="C676" s="216"/>
      <c r="D676" s="216"/>
      <c r="E676" s="216"/>
      <c r="F676" s="216"/>
    </row>
    <row r="677" ht="14.25" customHeight="1">
      <c r="B677" s="216"/>
      <c r="C677" s="216"/>
      <c r="D677" s="216"/>
      <c r="E677" s="216"/>
      <c r="F677" s="216"/>
    </row>
    <row r="678" ht="14.25" customHeight="1">
      <c r="B678" s="216"/>
      <c r="C678" s="216"/>
      <c r="D678" s="216"/>
      <c r="E678" s="216"/>
      <c r="F678" s="216"/>
    </row>
    <row r="679" ht="14.25" customHeight="1">
      <c r="B679" s="216"/>
      <c r="C679" s="216"/>
      <c r="D679" s="216"/>
      <c r="E679" s="216"/>
      <c r="F679" s="216"/>
    </row>
    <row r="680" ht="14.25" customHeight="1">
      <c r="B680" s="216"/>
      <c r="C680" s="216"/>
      <c r="D680" s="216"/>
      <c r="E680" s="216"/>
      <c r="F680" s="216"/>
    </row>
    <row r="681" ht="14.25" customHeight="1">
      <c r="B681" s="216"/>
      <c r="C681" s="216"/>
      <c r="D681" s="216"/>
      <c r="E681" s="216"/>
      <c r="F681" s="216"/>
    </row>
    <row r="682" ht="14.25" customHeight="1">
      <c r="B682" s="216"/>
      <c r="C682" s="216"/>
      <c r="D682" s="216"/>
      <c r="E682" s="216"/>
      <c r="F682" s="216"/>
    </row>
    <row r="683" ht="14.25" customHeight="1">
      <c r="B683" s="216"/>
      <c r="C683" s="216"/>
      <c r="D683" s="216"/>
      <c r="E683" s="216"/>
      <c r="F683" s="216"/>
    </row>
    <row r="684" ht="14.25" customHeight="1">
      <c r="B684" s="216"/>
      <c r="C684" s="216"/>
      <c r="D684" s="216"/>
      <c r="E684" s="216"/>
      <c r="F684" s="216"/>
    </row>
    <row r="685" ht="14.25" customHeight="1">
      <c r="B685" s="216"/>
      <c r="C685" s="216"/>
      <c r="D685" s="216"/>
      <c r="E685" s="216"/>
      <c r="F685" s="216"/>
    </row>
    <row r="686" ht="14.25" customHeight="1">
      <c r="B686" s="216"/>
      <c r="C686" s="216"/>
      <c r="D686" s="216"/>
      <c r="E686" s="216"/>
      <c r="F686" s="216"/>
    </row>
    <row r="687" ht="14.25" customHeight="1">
      <c r="B687" s="216"/>
      <c r="C687" s="216"/>
      <c r="D687" s="216"/>
      <c r="E687" s="216"/>
      <c r="F687" s="216"/>
    </row>
    <row r="688" ht="14.25" customHeight="1">
      <c r="B688" s="216"/>
      <c r="C688" s="216"/>
      <c r="D688" s="216"/>
      <c r="E688" s="216"/>
      <c r="F688" s="216"/>
    </row>
    <row r="689" ht="14.25" customHeight="1">
      <c r="B689" s="216"/>
      <c r="C689" s="216"/>
      <c r="D689" s="216"/>
      <c r="E689" s="216"/>
      <c r="F689" s="216"/>
    </row>
    <row r="690" ht="14.25" customHeight="1">
      <c r="B690" s="216"/>
      <c r="C690" s="216"/>
      <c r="D690" s="216"/>
      <c r="E690" s="216"/>
      <c r="F690" s="216"/>
    </row>
    <row r="691" ht="14.25" customHeight="1">
      <c r="B691" s="216"/>
      <c r="C691" s="216"/>
      <c r="D691" s="216"/>
      <c r="E691" s="216"/>
      <c r="F691" s="216"/>
    </row>
    <row r="692" ht="14.25" customHeight="1">
      <c r="B692" s="216"/>
      <c r="C692" s="216"/>
      <c r="D692" s="216"/>
      <c r="E692" s="216"/>
      <c r="F692" s="216"/>
    </row>
    <row r="693" ht="14.25" customHeight="1">
      <c r="B693" s="216"/>
      <c r="C693" s="216"/>
      <c r="D693" s="216"/>
      <c r="E693" s="216"/>
      <c r="F693" s="216"/>
    </row>
    <row r="694" ht="14.25" customHeight="1">
      <c r="B694" s="216"/>
      <c r="C694" s="216"/>
      <c r="D694" s="216"/>
      <c r="E694" s="216"/>
      <c r="F694" s="216"/>
    </row>
    <row r="695" ht="14.25" customHeight="1">
      <c r="B695" s="216"/>
      <c r="C695" s="216"/>
      <c r="D695" s="216"/>
      <c r="E695" s="216"/>
      <c r="F695" s="216"/>
    </row>
    <row r="696" ht="14.25" customHeight="1">
      <c r="B696" s="216"/>
      <c r="C696" s="216"/>
      <c r="D696" s="216"/>
      <c r="E696" s="216"/>
      <c r="F696" s="216"/>
    </row>
    <row r="697" ht="14.25" customHeight="1">
      <c r="B697" s="216"/>
      <c r="C697" s="216"/>
      <c r="D697" s="216"/>
      <c r="E697" s="216"/>
      <c r="F697" s="216"/>
    </row>
    <row r="698" ht="14.25" customHeight="1">
      <c r="B698" s="216"/>
      <c r="C698" s="216"/>
      <c r="D698" s="216"/>
      <c r="E698" s="216"/>
      <c r="F698" s="216"/>
    </row>
    <row r="699" ht="14.25" customHeight="1">
      <c r="B699" s="216"/>
      <c r="C699" s="216"/>
      <c r="D699" s="216"/>
      <c r="E699" s="216"/>
      <c r="F699" s="216"/>
    </row>
    <row r="700" ht="14.25" customHeight="1">
      <c r="B700" s="216"/>
      <c r="C700" s="216"/>
      <c r="D700" s="216"/>
      <c r="E700" s="216"/>
      <c r="F700" s="216"/>
    </row>
    <row r="701" ht="14.25" customHeight="1">
      <c r="B701" s="216"/>
      <c r="C701" s="216"/>
      <c r="D701" s="216"/>
      <c r="E701" s="216"/>
      <c r="F701" s="216"/>
    </row>
    <row r="702" ht="14.25" customHeight="1">
      <c r="B702" s="216"/>
      <c r="C702" s="216"/>
      <c r="D702" s="216"/>
      <c r="E702" s="216"/>
      <c r="F702" s="216"/>
    </row>
    <row r="703" ht="14.25" customHeight="1">
      <c r="B703" s="216"/>
      <c r="C703" s="216"/>
      <c r="D703" s="216"/>
      <c r="E703" s="216"/>
      <c r="F703" s="216"/>
    </row>
    <row r="704" ht="14.25" customHeight="1">
      <c r="B704" s="216"/>
      <c r="C704" s="216"/>
      <c r="D704" s="216"/>
      <c r="E704" s="216"/>
      <c r="F704" s="216"/>
    </row>
    <row r="705" ht="14.25" customHeight="1">
      <c r="B705" s="216"/>
      <c r="C705" s="216"/>
      <c r="D705" s="216"/>
      <c r="E705" s="216"/>
      <c r="F705" s="216"/>
    </row>
    <row r="706" ht="14.25" customHeight="1">
      <c r="B706" s="216"/>
      <c r="C706" s="216"/>
      <c r="D706" s="216"/>
      <c r="E706" s="216"/>
      <c r="F706" s="216"/>
    </row>
    <row r="707" ht="14.25" customHeight="1">
      <c r="B707" s="216"/>
      <c r="C707" s="216"/>
      <c r="D707" s="216"/>
      <c r="E707" s="216"/>
      <c r="F707" s="216"/>
    </row>
    <row r="708" ht="14.25" customHeight="1">
      <c r="B708" s="216"/>
      <c r="C708" s="216"/>
      <c r="D708" s="216"/>
      <c r="E708" s="216"/>
      <c r="F708" s="216"/>
    </row>
    <row r="709" ht="14.25" customHeight="1">
      <c r="B709" s="216"/>
      <c r="C709" s="216"/>
      <c r="D709" s="216"/>
      <c r="E709" s="216"/>
      <c r="F709" s="216"/>
    </row>
    <row r="710" ht="14.25" customHeight="1">
      <c r="B710" s="216"/>
      <c r="C710" s="216"/>
      <c r="D710" s="216"/>
      <c r="E710" s="216"/>
      <c r="F710" s="216"/>
    </row>
    <row r="711" ht="14.25" customHeight="1">
      <c r="B711" s="216"/>
      <c r="C711" s="216"/>
      <c r="D711" s="216"/>
      <c r="E711" s="216"/>
      <c r="F711" s="216"/>
    </row>
    <row r="712" ht="14.25" customHeight="1">
      <c r="B712" s="216"/>
      <c r="C712" s="216"/>
      <c r="D712" s="216"/>
      <c r="E712" s="216"/>
      <c r="F712" s="216"/>
    </row>
    <row r="713" ht="14.25" customHeight="1">
      <c r="B713" s="216"/>
      <c r="C713" s="216"/>
      <c r="D713" s="216"/>
      <c r="E713" s="216"/>
      <c r="F713" s="216"/>
    </row>
    <row r="714" ht="14.25" customHeight="1">
      <c r="B714" s="216"/>
      <c r="C714" s="216"/>
      <c r="D714" s="216"/>
      <c r="E714" s="216"/>
      <c r="F714" s="216"/>
    </row>
    <row r="715" ht="14.25" customHeight="1">
      <c r="B715" s="216"/>
      <c r="C715" s="216"/>
      <c r="D715" s="216"/>
      <c r="E715" s="216"/>
      <c r="F715" s="216"/>
    </row>
    <row r="716" ht="14.25" customHeight="1">
      <c r="B716" s="216"/>
      <c r="C716" s="216"/>
      <c r="D716" s="216"/>
      <c r="E716" s="216"/>
      <c r="F716" s="216"/>
    </row>
    <row r="717" ht="14.25" customHeight="1">
      <c r="B717" s="216"/>
      <c r="C717" s="216"/>
      <c r="D717" s="216"/>
      <c r="E717" s="216"/>
      <c r="F717" s="216"/>
    </row>
    <row r="718" ht="14.25" customHeight="1">
      <c r="B718" s="216"/>
      <c r="C718" s="216"/>
      <c r="D718" s="216"/>
      <c r="E718" s="216"/>
      <c r="F718" s="216"/>
    </row>
    <row r="719" ht="14.25" customHeight="1">
      <c r="B719" s="216"/>
      <c r="C719" s="216"/>
      <c r="D719" s="216"/>
      <c r="E719" s="216"/>
      <c r="F719" s="216"/>
    </row>
    <row r="720" ht="14.25" customHeight="1">
      <c r="B720" s="216"/>
      <c r="C720" s="216"/>
      <c r="D720" s="216"/>
      <c r="E720" s="216"/>
      <c r="F720" s="216"/>
    </row>
    <row r="721" ht="14.25" customHeight="1">
      <c r="B721" s="216"/>
      <c r="C721" s="216"/>
      <c r="D721" s="216"/>
      <c r="E721" s="216"/>
      <c r="F721" s="216"/>
    </row>
    <row r="722" ht="14.25" customHeight="1">
      <c r="B722" s="216"/>
      <c r="C722" s="216"/>
      <c r="D722" s="216"/>
      <c r="E722" s="216"/>
      <c r="F722" s="216"/>
    </row>
    <row r="723" ht="14.25" customHeight="1">
      <c r="B723" s="216"/>
      <c r="C723" s="216"/>
      <c r="D723" s="216"/>
      <c r="E723" s="216"/>
      <c r="F723" s="216"/>
    </row>
    <row r="724" ht="14.25" customHeight="1">
      <c r="B724" s="216"/>
      <c r="C724" s="216"/>
      <c r="D724" s="216"/>
      <c r="E724" s="216"/>
      <c r="F724" s="216"/>
    </row>
    <row r="725" ht="14.25" customHeight="1">
      <c r="B725" s="216"/>
      <c r="C725" s="216"/>
      <c r="D725" s="216"/>
      <c r="E725" s="216"/>
      <c r="F725" s="216"/>
    </row>
    <row r="726" ht="14.25" customHeight="1">
      <c r="B726" s="216"/>
      <c r="C726" s="216"/>
      <c r="D726" s="216"/>
      <c r="E726" s="216"/>
      <c r="F726" s="216"/>
    </row>
    <row r="727" ht="14.25" customHeight="1">
      <c r="B727" s="216"/>
      <c r="C727" s="216"/>
      <c r="D727" s="216"/>
      <c r="E727" s="216"/>
      <c r="F727" s="216"/>
    </row>
    <row r="728" ht="14.25" customHeight="1">
      <c r="B728" s="216"/>
      <c r="C728" s="216"/>
      <c r="D728" s="216"/>
      <c r="E728" s="216"/>
      <c r="F728" s="216"/>
    </row>
    <row r="729" ht="14.25" customHeight="1">
      <c r="B729" s="216"/>
      <c r="C729" s="216"/>
      <c r="D729" s="216"/>
      <c r="E729" s="216"/>
      <c r="F729" s="216"/>
    </row>
    <row r="730" ht="14.25" customHeight="1">
      <c r="B730" s="216"/>
      <c r="C730" s="216"/>
      <c r="D730" s="216"/>
      <c r="E730" s="216"/>
      <c r="F730" s="216"/>
    </row>
    <row r="731" ht="14.25" customHeight="1">
      <c r="B731" s="216"/>
      <c r="C731" s="216"/>
      <c r="D731" s="216"/>
      <c r="E731" s="216"/>
      <c r="F731" s="216"/>
    </row>
    <row r="732" ht="14.25" customHeight="1">
      <c r="B732" s="216"/>
      <c r="C732" s="216"/>
      <c r="D732" s="216"/>
      <c r="E732" s="216"/>
      <c r="F732" s="216"/>
    </row>
    <row r="733" ht="14.25" customHeight="1">
      <c r="B733" s="216"/>
      <c r="C733" s="216"/>
      <c r="D733" s="216"/>
      <c r="E733" s="216"/>
      <c r="F733" s="216"/>
    </row>
    <row r="734" ht="14.25" customHeight="1">
      <c r="B734" s="216"/>
      <c r="C734" s="216"/>
      <c r="D734" s="216"/>
      <c r="E734" s="216"/>
      <c r="F734" s="216"/>
    </row>
    <row r="735" ht="14.25" customHeight="1">
      <c r="B735" s="216"/>
      <c r="C735" s="216"/>
      <c r="D735" s="216"/>
      <c r="E735" s="216"/>
      <c r="F735" s="216"/>
    </row>
    <row r="736" ht="14.25" customHeight="1">
      <c r="B736" s="216"/>
      <c r="C736" s="216"/>
      <c r="D736" s="216"/>
      <c r="E736" s="216"/>
      <c r="F736" s="216"/>
    </row>
    <row r="737" ht="14.25" customHeight="1">
      <c r="B737" s="216"/>
      <c r="C737" s="216"/>
      <c r="D737" s="216"/>
      <c r="E737" s="216"/>
      <c r="F737" s="216"/>
    </row>
    <row r="738" ht="14.25" customHeight="1">
      <c r="B738" s="216"/>
      <c r="C738" s="216"/>
      <c r="D738" s="216"/>
      <c r="E738" s="216"/>
      <c r="F738" s="216"/>
    </row>
    <row r="739" ht="14.25" customHeight="1">
      <c r="B739" s="216"/>
      <c r="C739" s="216"/>
      <c r="D739" s="216"/>
      <c r="E739" s="216"/>
      <c r="F739" s="216"/>
    </row>
    <row r="740" ht="14.25" customHeight="1">
      <c r="B740" s="216"/>
      <c r="C740" s="216"/>
      <c r="D740" s="216"/>
      <c r="E740" s="216"/>
      <c r="F740" s="216"/>
    </row>
    <row r="741" ht="14.25" customHeight="1">
      <c r="B741" s="216"/>
      <c r="C741" s="216"/>
      <c r="D741" s="216"/>
      <c r="E741" s="216"/>
      <c r="F741" s="216"/>
    </row>
    <row r="742" ht="14.25" customHeight="1">
      <c r="B742" s="216"/>
      <c r="C742" s="216"/>
      <c r="D742" s="216"/>
      <c r="E742" s="216"/>
      <c r="F742" s="216"/>
    </row>
    <row r="743" ht="14.25" customHeight="1">
      <c r="B743" s="216"/>
      <c r="C743" s="216"/>
      <c r="D743" s="216"/>
      <c r="E743" s="216"/>
      <c r="F743" s="216"/>
    </row>
    <row r="744" ht="14.25" customHeight="1">
      <c r="B744" s="216"/>
      <c r="C744" s="216"/>
      <c r="D744" s="216"/>
      <c r="E744" s="216"/>
      <c r="F744" s="216"/>
    </row>
    <row r="745" ht="14.25" customHeight="1">
      <c r="B745" s="216"/>
      <c r="C745" s="216"/>
      <c r="D745" s="216"/>
      <c r="E745" s="216"/>
      <c r="F745" s="216"/>
    </row>
    <row r="746" ht="14.25" customHeight="1">
      <c r="B746" s="216"/>
      <c r="C746" s="216"/>
      <c r="D746" s="216"/>
      <c r="E746" s="216"/>
      <c r="F746" s="216"/>
    </row>
    <row r="747" ht="14.25" customHeight="1">
      <c r="B747" s="216"/>
      <c r="C747" s="216"/>
      <c r="D747" s="216"/>
      <c r="E747" s="216"/>
      <c r="F747" s="216"/>
    </row>
    <row r="748" ht="14.25" customHeight="1">
      <c r="B748" s="216"/>
      <c r="C748" s="216"/>
      <c r="D748" s="216"/>
      <c r="E748" s="216"/>
      <c r="F748" s="216"/>
    </row>
    <row r="749" ht="14.25" customHeight="1">
      <c r="B749" s="216"/>
      <c r="C749" s="216"/>
      <c r="D749" s="216"/>
      <c r="E749" s="216"/>
      <c r="F749" s="216"/>
    </row>
    <row r="750" ht="14.25" customHeight="1">
      <c r="B750" s="216"/>
      <c r="C750" s="216"/>
      <c r="D750" s="216"/>
      <c r="E750" s="216"/>
      <c r="F750" s="216"/>
    </row>
    <row r="751" ht="14.25" customHeight="1">
      <c r="B751" s="216"/>
      <c r="C751" s="216"/>
      <c r="D751" s="216"/>
      <c r="E751" s="216"/>
      <c r="F751" s="216"/>
    </row>
    <row r="752" ht="14.25" customHeight="1">
      <c r="B752" s="216"/>
      <c r="C752" s="216"/>
      <c r="D752" s="216"/>
      <c r="E752" s="216"/>
      <c r="F752" s="216"/>
    </row>
    <row r="753" ht="14.25" customHeight="1">
      <c r="B753" s="216"/>
      <c r="C753" s="216"/>
      <c r="D753" s="216"/>
      <c r="E753" s="216"/>
      <c r="F753" s="216"/>
    </row>
    <row r="754" ht="14.25" customHeight="1">
      <c r="B754" s="216"/>
      <c r="C754" s="216"/>
      <c r="D754" s="216"/>
      <c r="E754" s="216"/>
      <c r="F754" s="216"/>
    </row>
    <row r="755" ht="14.25" customHeight="1">
      <c r="B755" s="216"/>
      <c r="C755" s="216"/>
      <c r="D755" s="216"/>
      <c r="E755" s="216"/>
      <c r="F755" s="216"/>
    </row>
    <row r="756" ht="14.25" customHeight="1">
      <c r="B756" s="216"/>
      <c r="C756" s="216"/>
      <c r="D756" s="216"/>
      <c r="E756" s="216"/>
      <c r="F756" s="216"/>
    </row>
    <row r="757" ht="14.25" customHeight="1">
      <c r="B757" s="216"/>
      <c r="C757" s="216"/>
      <c r="D757" s="216"/>
      <c r="E757" s="216"/>
      <c r="F757" s="216"/>
    </row>
    <row r="758" ht="14.25" customHeight="1">
      <c r="B758" s="216"/>
      <c r="C758" s="216"/>
      <c r="D758" s="216"/>
      <c r="E758" s="216"/>
      <c r="F758" s="216"/>
    </row>
    <row r="759" ht="14.25" customHeight="1">
      <c r="B759" s="216"/>
      <c r="C759" s="216"/>
      <c r="D759" s="216"/>
      <c r="E759" s="216"/>
      <c r="F759" s="216"/>
    </row>
    <row r="760" ht="14.25" customHeight="1">
      <c r="B760" s="216"/>
      <c r="C760" s="216"/>
      <c r="D760" s="216"/>
      <c r="E760" s="216"/>
      <c r="F760" s="216"/>
    </row>
    <row r="761" ht="14.25" customHeight="1">
      <c r="B761" s="216"/>
      <c r="C761" s="216"/>
      <c r="D761" s="216"/>
      <c r="E761" s="216"/>
      <c r="F761" s="216"/>
    </row>
    <row r="762" ht="14.25" customHeight="1">
      <c r="B762" s="216"/>
      <c r="C762" s="216"/>
      <c r="D762" s="216"/>
      <c r="E762" s="216"/>
      <c r="F762" s="216"/>
    </row>
    <row r="763" ht="14.25" customHeight="1">
      <c r="B763" s="216"/>
      <c r="C763" s="216"/>
      <c r="D763" s="216"/>
      <c r="E763" s="216"/>
      <c r="F763" s="216"/>
    </row>
    <row r="764" ht="14.25" customHeight="1">
      <c r="B764" s="216"/>
      <c r="C764" s="216"/>
      <c r="D764" s="216"/>
      <c r="E764" s="216"/>
      <c r="F764" s="216"/>
    </row>
    <row r="765" ht="14.25" customHeight="1">
      <c r="B765" s="216"/>
      <c r="C765" s="216"/>
      <c r="D765" s="216"/>
      <c r="E765" s="216"/>
      <c r="F765" s="216"/>
    </row>
    <row r="766" ht="14.25" customHeight="1">
      <c r="B766" s="216"/>
      <c r="C766" s="216"/>
      <c r="D766" s="216"/>
      <c r="E766" s="216"/>
      <c r="F766" s="216"/>
    </row>
    <row r="767" ht="14.25" customHeight="1">
      <c r="B767" s="216"/>
      <c r="C767" s="216"/>
      <c r="D767" s="216"/>
      <c r="E767" s="216"/>
      <c r="F767" s="216"/>
    </row>
    <row r="768" ht="14.25" customHeight="1">
      <c r="B768" s="216"/>
      <c r="C768" s="216"/>
      <c r="D768" s="216"/>
      <c r="E768" s="216"/>
      <c r="F768" s="216"/>
    </row>
    <row r="769" ht="14.25" customHeight="1">
      <c r="B769" s="216"/>
      <c r="C769" s="216"/>
      <c r="D769" s="216"/>
      <c r="E769" s="216"/>
      <c r="F769" s="216"/>
    </row>
    <row r="770" ht="14.25" customHeight="1">
      <c r="B770" s="216"/>
      <c r="C770" s="216"/>
      <c r="D770" s="216"/>
      <c r="E770" s="216"/>
      <c r="F770" s="216"/>
    </row>
    <row r="771" ht="14.25" customHeight="1">
      <c r="B771" s="216"/>
      <c r="C771" s="216"/>
      <c r="D771" s="216"/>
      <c r="E771" s="216"/>
      <c r="F771" s="216"/>
    </row>
    <row r="772" ht="14.25" customHeight="1">
      <c r="B772" s="216"/>
      <c r="C772" s="216"/>
      <c r="D772" s="216"/>
      <c r="E772" s="216"/>
      <c r="F772" s="216"/>
    </row>
    <row r="773" ht="14.25" customHeight="1">
      <c r="B773" s="216"/>
      <c r="C773" s="216"/>
      <c r="D773" s="216"/>
      <c r="E773" s="216"/>
      <c r="F773" s="216"/>
    </row>
    <row r="774" ht="14.25" customHeight="1">
      <c r="B774" s="216"/>
      <c r="C774" s="216"/>
      <c r="D774" s="216"/>
      <c r="E774" s="216"/>
      <c r="F774" s="216"/>
    </row>
    <row r="775" ht="14.25" customHeight="1">
      <c r="B775" s="216"/>
      <c r="C775" s="216"/>
      <c r="D775" s="216"/>
      <c r="E775" s="216"/>
      <c r="F775" s="216"/>
    </row>
    <row r="776" ht="14.25" customHeight="1">
      <c r="B776" s="216"/>
      <c r="C776" s="216"/>
      <c r="D776" s="216"/>
      <c r="E776" s="216"/>
      <c r="F776" s="216"/>
    </row>
    <row r="777" ht="14.25" customHeight="1">
      <c r="B777" s="216"/>
      <c r="C777" s="216"/>
      <c r="D777" s="216"/>
      <c r="E777" s="216"/>
      <c r="F777" s="216"/>
    </row>
    <row r="778" ht="14.25" customHeight="1">
      <c r="B778" s="216"/>
      <c r="C778" s="216"/>
      <c r="D778" s="216"/>
      <c r="E778" s="216"/>
      <c r="F778" s="216"/>
    </row>
    <row r="779" ht="14.25" customHeight="1">
      <c r="B779" s="216"/>
      <c r="C779" s="216"/>
      <c r="D779" s="216"/>
      <c r="E779" s="216"/>
      <c r="F779" s="216"/>
    </row>
    <row r="780" ht="14.25" customHeight="1">
      <c r="B780" s="216"/>
      <c r="C780" s="216"/>
      <c r="D780" s="216"/>
      <c r="E780" s="216"/>
      <c r="F780" s="216"/>
    </row>
    <row r="781" ht="14.25" customHeight="1">
      <c r="B781" s="216"/>
      <c r="C781" s="216"/>
      <c r="D781" s="216"/>
      <c r="E781" s="216"/>
      <c r="F781" s="216"/>
    </row>
    <row r="782" ht="14.25" customHeight="1">
      <c r="B782" s="216"/>
      <c r="C782" s="216"/>
      <c r="D782" s="216"/>
      <c r="E782" s="216"/>
      <c r="F782" s="216"/>
    </row>
    <row r="783" ht="14.25" customHeight="1">
      <c r="B783" s="216"/>
      <c r="C783" s="216"/>
      <c r="D783" s="216"/>
      <c r="E783" s="216"/>
      <c r="F783" s="216"/>
    </row>
    <row r="784" ht="14.25" customHeight="1">
      <c r="B784" s="216"/>
      <c r="C784" s="216"/>
      <c r="D784" s="216"/>
      <c r="E784" s="216"/>
      <c r="F784" s="216"/>
    </row>
    <row r="785" ht="14.25" customHeight="1">
      <c r="B785" s="216"/>
      <c r="C785" s="216"/>
      <c r="D785" s="216"/>
      <c r="E785" s="216"/>
      <c r="F785" s="216"/>
    </row>
    <row r="786" ht="14.25" customHeight="1">
      <c r="B786" s="216"/>
      <c r="C786" s="216"/>
      <c r="D786" s="216"/>
      <c r="E786" s="216"/>
      <c r="F786" s="216"/>
    </row>
    <row r="787" ht="14.25" customHeight="1">
      <c r="B787" s="216"/>
      <c r="C787" s="216"/>
      <c r="D787" s="216"/>
      <c r="E787" s="216"/>
      <c r="F787" s="216"/>
    </row>
    <row r="788" ht="14.25" customHeight="1">
      <c r="B788" s="216"/>
      <c r="C788" s="216"/>
      <c r="D788" s="216"/>
      <c r="E788" s="216"/>
      <c r="F788" s="216"/>
    </row>
    <row r="789" ht="14.25" customHeight="1">
      <c r="B789" s="216"/>
      <c r="C789" s="216"/>
      <c r="D789" s="216"/>
      <c r="E789" s="216"/>
      <c r="F789" s="216"/>
    </row>
    <row r="790" ht="14.25" customHeight="1">
      <c r="B790" s="216"/>
      <c r="C790" s="216"/>
      <c r="D790" s="216"/>
      <c r="E790" s="216"/>
      <c r="F790" s="216"/>
    </row>
    <row r="791" ht="14.25" customHeight="1">
      <c r="B791" s="216"/>
      <c r="C791" s="216"/>
      <c r="D791" s="216"/>
      <c r="E791" s="216"/>
      <c r="F791" s="216"/>
    </row>
    <row r="792" ht="14.25" customHeight="1">
      <c r="B792" s="216"/>
      <c r="C792" s="216"/>
      <c r="D792" s="216"/>
      <c r="E792" s="216"/>
      <c r="F792" s="216"/>
    </row>
    <row r="793" ht="14.25" customHeight="1">
      <c r="B793" s="216"/>
      <c r="C793" s="216"/>
      <c r="D793" s="216"/>
      <c r="E793" s="216"/>
      <c r="F793" s="216"/>
    </row>
    <row r="794" ht="14.25" customHeight="1">
      <c r="B794" s="216"/>
      <c r="C794" s="216"/>
      <c r="D794" s="216"/>
      <c r="E794" s="216"/>
      <c r="F794" s="216"/>
    </row>
    <row r="795" ht="14.25" customHeight="1">
      <c r="B795" s="216"/>
      <c r="C795" s="216"/>
      <c r="D795" s="216"/>
      <c r="E795" s="216"/>
      <c r="F795" s="216"/>
    </row>
    <row r="796" ht="14.25" customHeight="1">
      <c r="B796" s="216"/>
      <c r="C796" s="216"/>
      <c r="D796" s="216"/>
      <c r="E796" s="216"/>
      <c r="F796" s="216"/>
    </row>
    <row r="797" ht="14.25" customHeight="1">
      <c r="B797" s="216"/>
      <c r="C797" s="216"/>
      <c r="D797" s="216"/>
      <c r="E797" s="216"/>
      <c r="F797" s="216"/>
    </row>
    <row r="798" ht="14.25" customHeight="1">
      <c r="B798" s="216"/>
      <c r="C798" s="216"/>
      <c r="D798" s="216"/>
      <c r="E798" s="216"/>
      <c r="F798" s="216"/>
    </row>
    <row r="799" ht="14.25" customHeight="1">
      <c r="B799" s="216"/>
      <c r="C799" s="216"/>
      <c r="D799" s="216"/>
      <c r="E799" s="216"/>
      <c r="F799" s="216"/>
    </row>
    <row r="800" ht="14.25" customHeight="1">
      <c r="B800" s="216"/>
      <c r="C800" s="216"/>
      <c r="D800" s="216"/>
      <c r="E800" s="216"/>
      <c r="F800" s="216"/>
    </row>
    <row r="801" ht="14.25" customHeight="1">
      <c r="B801" s="216"/>
      <c r="C801" s="216"/>
      <c r="D801" s="216"/>
      <c r="E801" s="216"/>
      <c r="F801" s="216"/>
    </row>
    <row r="802" ht="14.25" customHeight="1">
      <c r="B802" s="216"/>
      <c r="C802" s="216"/>
      <c r="D802" s="216"/>
      <c r="E802" s="216"/>
      <c r="F802" s="216"/>
    </row>
    <row r="803" ht="14.25" customHeight="1">
      <c r="B803" s="216"/>
      <c r="C803" s="216"/>
      <c r="D803" s="216"/>
      <c r="E803" s="216"/>
      <c r="F803" s="216"/>
    </row>
    <row r="804" ht="14.25" customHeight="1">
      <c r="B804" s="216"/>
      <c r="C804" s="216"/>
      <c r="D804" s="216"/>
      <c r="E804" s="216"/>
      <c r="F804" s="216"/>
    </row>
    <row r="805" ht="14.25" customHeight="1">
      <c r="B805" s="216"/>
      <c r="C805" s="216"/>
      <c r="D805" s="216"/>
      <c r="E805" s="216"/>
      <c r="F805" s="216"/>
    </row>
    <row r="806" ht="14.25" customHeight="1">
      <c r="B806" s="216"/>
      <c r="C806" s="216"/>
      <c r="D806" s="216"/>
      <c r="E806" s="216"/>
      <c r="F806" s="216"/>
    </row>
    <row r="807" ht="14.25" customHeight="1">
      <c r="B807" s="216"/>
      <c r="C807" s="216"/>
      <c r="D807" s="216"/>
      <c r="E807" s="216"/>
      <c r="F807" s="216"/>
    </row>
    <row r="808" ht="14.25" customHeight="1">
      <c r="B808" s="216"/>
      <c r="C808" s="216"/>
      <c r="D808" s="216"/>
      <c r="E808" s="216"/>
      <c r="F808" s="216"/>
    </row>
    <row r="809" ht="14.25" customHeight="1">
      <c r="B809" s="216"/>
      <c r="C809" s="216"/>
      <c r="D809" s="216"/>
      <c r="E809" s="216"/>
      <c r="F809" s="216"/>
    </row>
    <row r="810" ht="14.25" customHeight="1">
      <c r="B810" s="216"/>
      <c r="C810" s="216"/>
      <c r="D810" s="216"/>
      <c r="E810" s="216"/>
      <c r="F810" s="216"/>
    </row>
    <row r="811" ht="14.25" customHeight="1">
      <c r="B811" s="216"/>
      <c r="C811" s="216"/>
      <c r="D811" s="216"/>
      <c r="E811" s="216"/>
      <c r="F811" s="216"/>
    </row>
    <row r="812" ht="14.25" customHeight="1">
      <c r="B812" s="216"/>
      <c r="C812" s="216"/>
      <c r="D812" s="216"/>
      <c r="E812" s="216"/>
      <c r="F812" s="216"/>
    </row>
    <row r="813" ht="14.25" customHeight="1">
      <c r="B813" s="216"/>
      <c r="C813" s="216"/>
      <c r="D813" s="216"/>
      <c r="E813" s="216"/>
      <c r="F813" s="216"/>
    </row>
    <row r="814" ht="14.25" customHeight="1">
      <c r="B814" s="216"/>
      <c r="C814" s="216"/>
      <c r="D814" s="216"/>
      <c r="E814" s="216"/>
      <c r="F814" s="216"/>
    </row>
    <row r="815" ht="14.25" customHeight="1">
      <c r="B815" s="216"/>
      <c r="C815" s="216"/>
      <c r="D815" s="216"/>
      <c r="E815" s="216"/>
      <c r="F815" s="216"/>
    </row>
    <row r="816" ht="14.25" customHeight="1">
      <c r="B816" s="216"/>
      <c r="C816" s="216"/>
      <c r="D816" s="216"/>
      <c r="E816" s="216"/>
      <c r="F816" s="216"/>
    </row>
    <row r="817" ht="14.25" customHeight="1">
      <c r="B817" s="216"/>
      <c r="C817" s="216"/>
      <c r="D817" s="216"/>
      <c r="E817" s="216"/>
      <c r="F817" s="216"/>
    </row>
    <row r="818" ht="14.25" customHeight="1">
      <c r="B818" s="216"/>
      <c r="C818" s="216"/>
      <c r="D818" s="216"/>
      <c r="E818" s="216"/>
      <c r="F818" s="216"/>
    </row>
    <row r="819" ht="14.25" customHeight="1">
      <c r="B819" s="216"/>
      <c r="C819" s="216"/>
      <c r="D819" s="216"/>
      <c r="E819" s="216"/>
      <c r="F819" s="216"/>
    </row>
    <row r="820" ht="14.25" customHeight="1">
      <c r="B820" s="216"/>
      <c r="C820" s="216"/>
      <c r="D820" s="216"/>
      <c r="E820" s="216"/>
      <c r="F820" s="216"/>
    </row>
    <row r="821" ht="14.25" customHeight="1">
      <c r="B821" s="216"/>
      <c r="C821" s="216"/>
      <c r="D821" s="216"/>
      <c r="E821" s="216"/>
      <c r="F821" s="216"/>
    </row>
    <row r="822" ht="14.25" customHeight="1">
      <c r="B822" s="216"/>
      <c r="C822" s="216"/>
      <c r="D822" s="216"/>
      <c r="E822" s="216"/>
      <c r="F822" s="216"/>
    </row>
    <row r="823" ht="14.25" customHeight="1">
      <c r="B823" s="216"/>
      <c r="C823" s="216"/>
      <c r="D823" s="216"/>
      <c r="E823" s="216"/>
      <c r="F823" s="216"/>
    </row>
    <row r="824" ht="14.25" customHeight="1">
      <c r="B824" s="216"/>
      <c r="C824" s="216"/>
      <c r="D824" s="216"/>
      <c r="E824" s="216"/>
      <c r="F824" s="216"/>
    </row>
    <row r="825" ht="14.25" customHeight="1">
      <c r="B825" s="216"/>
      <c r="C825" s="216"/>
      <c r="D825" s="216"/>
      <c r="E825" s="216"/>
      <c r="F825" s="216"/>
    </row>
    <row r="826" ht="14.25" customHeight="1">
      <c r="B826" s="216"/>
      <c r="C826" s="216"/>
      <c r="D826" s="216"/>
      <c r="E826" s="216"/>
      <c r="F826" s="216"/>
    </row>
    <row r="827" ht="14.25" customHeight="1">
      <c r="B827" s="216"/>
      <c r="C827" s="216"/>
      <c r="D827" s="216"/>
      <c r="E827" s="216"/>
      <c r="F827" s="216"/>
    </row>
    <row r="828" ht="14.25" customHeight="1">
      <c r="B828" s="216"/>
      <c r="C828" s="216"/>
      <c r="D828" s="216"/>
      <c r="E828" s="216"/>
      <c r="F828" s="216"/>
    </row>
    <row r="829" ht="14.25" customHeight="1">
      <c r="B829" s="216"/>
      <c r="C829" s="216"/>
      <c r="D829" s="216"/>
      <c r="E829" s="216"/>
      <c r="F829" s="216"/>
    </row>
    <row r="830" ht="14.25" customHeight="1">
      <c r="B830" s="216"/>
      <c r="C830" s="216"/>
      <c r="D830" s="216"/>
      <c r="E830" s="216"/>
      <c r="F830" s="216"/>
    </row>
    <row r="831" ht="14.25" customHeight="1">
      <c r="B831" s="216"/>
      <c r="C831" s="216"/>
      <c r="D831" s="216"/>
      <c r="E831" s="216"/>
      <c r="F831" s="216"/>
    </row>
    <row r="832" ht="14.25" customHeight="1">
      <c r="B832" s="216"/>
      <c r="C832" s="216"/>
      <c r="D832" s="216"/>
      <c r="E832" s="216"/>
      <c r="F832" s="216"/>
    </row>
    <row r="833" ht="14.25" customHeight="1">
      <c r="B833" s="216"/>
      <c r="C833" s="216"/>
      <c r="D833" s="216"/>
      <c r="E833" s="216"/>
      <c r="F833" s="216"/>
    </row>
    <row r="834" ht="14.25" customHeight="1">
      <c r="B834" s="216"/>
      <c r="C834" s="216"/>
      <c r="D834" s="216"/>
      <c r="E834" s="216"/>
      <c r="F834" s="216"/>
    </row>
    <row r="835" ht="14.25" customHeight="1">
      <c r="B835" s="216"/>
      <c r="C835" s="216"/>
      <c r="D835" s="216"/>
      <c r="E835" s="216"/>
      <c r="F835" s="216"/>
    </row>
    <row r="836" ht="14.25" customHeight="1">
      <c r="B836" s="216"/>
      <c r="C836" s="216"/>
      <c r="D836" s="216"/>
      <c r="E836" s="216"/>
      <c r="F836" s="216"/>
    </row>
    <row r="837" ht="14.25" customHeight="1">
      <c r="B837" s="216"/>
      <c r="C837" s="216"/>
      <c r="D837" s="216"/>
      <c r="E837" s="216"/>
      <c r="F837" s="216"/>
    </row>
    <row r="838" ht="14.25" customHeight="1">
      <c r="B838" s="216"/>
      <c r="C838" s="216"/>
      <c r="D838" s="216"/>
      <c r="E838" s="216"/>
      <c r="F838" s="216"/>
    </row>
    <row r="839" ht="14.25" customHeight="1">
      <c r="B839" s="216"/>
      <c r="C839" s="216"/>
      <c r="D839" s="216"/>
      <c r="E839" s="216"/>
      <c r="F839" s="216"/>
    </row>
    <row r="840" ht="14.25" customHeight="1">
      <c r="B840" s="216"/>
      <c r="C840" s="216"/>
      <c r="D840" s="216"/>
      <c r="E840" s="216"/>
      <c r="F840" s="216"/>
    </row>
    <row r="841" ht="14.25" customHeight="1">
      <c r="B841" s="216"/>
      <c r="C841" s="216"/>
      <c r="D841" s="216"/>
      <c r="E841" s="216"/>
      <c r="F841" s="216"/>
    </row>
    <row r="842" ht="14.25" customHeight="1">
      <c r="B842" s="216"/>
      <c r="C842" s="216"/>
      <c r="D842" s="216"/>
      <c r="E842" s="216"/>
      <c r="F842" s="216"/>
    </row>
    <row r="843" ht="14.25" customHeight="1">
      <c r="B843" s="216"/>
      <c r="C843" s="216"/>
      <c r="D843" s="216"/>
      <c r="E843" s="216"/>
      <c r="F843" s="216"/>
    </row>
    <row r="844" ht="14.25" customHeight="1">
      <c r="B844" s="216"/>
      <c r="C844" s="216"/>
      <c r="D844" s="216"/>
      <c r="E844" s="216"/>
      <c r="F844" s="216"/>
    </row>
    <row r="845" ht="14.25" customHeight="1">
      <c r="B845" s="216"/>
      <c r="C845" s="216"/>
      <c r="D845" s="216"/>
      <c r="E845" s="216"/>
      <c r="F845" s="216"/>
    </row>
    <row r="846" ht="14.25" customHeight="1">
      <c r="B846" s="216"/>
      <c r="C846" s="216"/>
      <c r="D846" s="216"/>
      <c r="E846" s="216"/>
      <c r="F846" s="216"/>
    </row>
    <row r="847" ht="14.25" customHeight="1">
      <c r="B847" s="216"/>
      <c r="C847" s="216"/>
      <c r="D847" s="216"/>
      <c r="E847" s="216"/>
      <c r="F847" s="216"/>
    </row>
    <row r="848" ht="14.25" customHeight="1">
      <c r="B848" s="216"/>
      <c r="C848" s="216"/>
      <c r="D848" s="216"/>
      <c r="E848" s="216"/>
      <c r="F848" s="216"/>
    </row>
    <row r="849" ht="14.25" customHeight="1">
      <c r="B849" s="216"/>
      <c r="C849" s="216"/>
      <c r="D849" s="216"/>
      <c r="E849" s="216"/>
      <c r="F849" s="216"/>
    </row>
    <row r="850" ht="14.25" customHeight="1">
      <c r="B850" s="216"/>
      <c r="C850" s="216"/>
      <c r="D850" s="216"/>
      <c r="E850" s="216"/>
      <c r="F850" s="216"/>
    </row>
    <row r="851" ht="14.25" customHeight="1">
      <c r="B851" s="216"/>
      <c r="C851" s="216"/>
      <c r="D851" s="216"/>
      <c r="E851" s="216"/>
      <c r="F851" s="216"/>
    </row>
    <row r="852" ht="14.25" customHeight="1">
      <c r="B852" s="216"/>
      <c r="C852" s="216"/>
      <c r="D852" s="216"/>
      <c r="E852" s="216"/>
      <c r="F852" s="216"/>
    </row>
    <row r="853" ht="14.25" customHeight="1">
      <c r="B853" s="216"/>
      <c r="C853" s="216"/>
      <c r="D853" s="216"/>
      <c r="E853" s="216"/>
      <c r="F853" s="216"/>
    </row>
    <row r="854" ht="14.25" customHeight="1">
      <c r="B854" s="216"/>
      <c r="C854" s="216"/>
      <c r="D854" s="216"/>
      <c r="E854" s="216"/>
      <c r="F854" s="216"/>
    </row>
    <row r="855" ht="14.25" customHeight="1">
      <c r="B855" s="216"/>
      <c r="C855" s="216"/>
      <c r="D855" s="216"/>
      <c r="E855" s="216"/>
      <c r="F855" s="216"/>
    </row>
    <row r="856" ht="14.25" customHeight="1">
      <c r="B856" s="216"/>
      <c r="C856" s="216"/>
      <c r="D856" s="216"/>
      <c r="E856" s="216"/>
      <c r="F856" s="216"/>
    </row>
    <row r="857" ht="14.25" customHeight="1">
      <c r="B857" s="216"/>
      <c r="C857" s="216"/>
      <c r="D857" s="216"/>
      <c r="E857" s="216"/>
      <c r="F857" s="216"/>
    </row>
    <row r="858" ht="14.25" customHeight="1">
      <c r="B858" s="216"/>
      <c r="C858" s="216"/>
      <c r="D858" s="216"/>
      <c r="E858" s="216"/>
      <c r="F858" s="216"/>
    </row>
    <row r="859" ht="14.25" customHeight="1">
      <c r="B859" s="216"/>
      <c r="C859" s="216"/>
      <c r="D859" s="216"/>
      <c r="E859" s="216"/>
      <c r="F859" s="216"/>
    </row>
    <row r="860" ht="14.25" customHeight="1">
      <c r="B860" s="216"/>
      <c r="C860" s="216"/>
      <c r="D860" s="216"/>
      <c r="E860" s="216"/>
      <c r="F860" s="216"/>
    </row>
    <row r="861" ht="14.25" customHeight="1">
      <c r="B861" s="216"/>
      <c r="C861" s="216"/>
      <c r="D861" s="216"/>
      <c r="E861" s="216"/>
      <c r="F861" s="216"/>
    </row>
    <row r="862" ht="14.25" customHeight="1">
      <c r="B862" s="216"/>
      <c r="C862" s="216"/>
      <c r="D862" s="216"/>
      <c r="E862" s="216"/>
      <c r="F862" s="216"/>
    </row>
    <row r="863" ht="14.25" customHeight="1">
      <c r="B863" s="216"/>
      <c r="C863" s="216"/>
      <c r="D863" s="216"/>
      <c r="E863" s="216"/>
      <c r="F863" s="216"/>
    </row>
    <row r="864" ht="14.25" customHeight="1">
      <c r="B864" s="216"/>
      <c r="C864" s="216"/>
      <c r="D864" s="216"/>
      <c r="E864" s="216"/>
      <c r="F864" s="216"/>
    </row>
    <row r="865" ht="14.25" customHeight="1">
      <c r="B865" s="216"/>
      <c r="C865" s="216"/>
      <c r="D865" s="216"/>
      <c r="E865" s="216"/>
      <c r="F865" s="216"/>
    </row>
    <row r="866" ht="14.25" customHeight="1">
      <c r="B866" s="216"/>
      <c r="C866" s="216"/>
      <c r="D866" s="216"/>
      <c r="E866" s="216"/>
      <c r="F866" s="216"/>
    </row>
    <row r="867" ht="14.25" customHeight="1">
      <c r="B867" s="216"/>
      <c r="C867" s="216"/>
      <c r="D867" s="216"/>
      <c r="E867" s="216"/>
      <c r="F867" s="216"/>
    </row>
    <row r="868" ht="14.25" customHeight="1">
      <c r="B868" s="216"/>
      <c r="C868" s="216"/>
      <c r="D868" s="216"/>
      <c r="E868" s="216"/>
      <c r="F868" s="216"/>
    </row>
    <row r="869" ht="14.25" customHeight="1">
      <c r="B869" s="216"/>
      <c r="C869" s="216"/>
      <c r="D869" s="216"/>
      <c r="E869" s="216"/>
      <c r="F869" s="216"/>
    </row>
    <row r="870" ht="14.25" customHeight="1">
      <c r="B870" s="216"/>
      <c r="C870" s="216"/>
      <c r="D870" s="216"/>
      <c r="E870" s="216"/>
      <c r="F870" s="216"/>
    </row>
    <row r="871" ht="14.25" customHeight="1">
      <c r="B871" s="216"/>
      <c r="C871" s="216"/>
      <c r="D871" s="216"/>
      <c r="E871" s="216"/>
      <c r="F871" s="216"/>
    </row>
    <row r="872" ht="14.25" customHeight="1">
      <c r="B872" s="216"/>
      <c r="C872" s="216"/>
      <c r="D872" s="216"/>
      <c r="E872" s="216"/>
      <c r="F872" s="216"/>
    </row>
    <row r="873" ht="14.25" customHeight="1">
      <c r="B873" s="216"/>
      <c r="C873" s="216"/>
      <c r="D873" s="216"/>
      <c r="E873" s="216"/>
      <c r="F873" s="216"/>
    </row>
    <row r="874" ht="14.25" customHeight="1">
      <c r="B874" s="216"/>
      <c r="C874" s="216"/>
      <c r="D874" s="216"/>
      <c r="E874" s="216"/>
      <c r="F874" s="216"/>
    </row>
    <row r="875" ht="14.25" customHeight="1">
      <c r="B875" s="216"/>
      <c r="C875" s="216"/>
      <c r="D875" s="216"/>
      <c r="E875" s="216"/>
      <c r="F875" s="216"/>
    </row>
    <row r="876" ht="14.25" customHeight="1">
      <c r="B876" s="216"/>
      <c r="C876" s="216"/>
      <c r="D876" s="216"/>
      <c r="E876" s="216"/>
      <c r="F876" s="216"/>
    </row>
    <row r="877" ht="14.25" customHeight="1">
      <c r="B877" s="216"/>
      <c r="C877" s="216"/>
      <c r="D877" s="216"/>
      <c r="E877" s="216"/>
      <c r="F877" s="216"/>
    </row>
    <row r="878" ht="14.25" customHeight="1">
      <c r="B878" s="216"/>
      <c r="C878" s="216"/>
      <c r="D878" s="216"/>
      <c r="E878" s="216"/>
      <c r="F878" s="216"/>
    </row>
    <row r="879" ht="14.25" customHeight="1">
      <c r="B879" s="216"/>
      <c r="C879" s="216"/>
      <c r="D879" s="216"/>
      <c r="E879" s="216"/>
      <c r="F879" s="216"/>
    </row>
    <row r="880" ht="14.25" customHeight="1">
      <c r="B880" s="216"/>
      <c r="C880" s="216"/>
      <c r="D880" s="216"/>
      <c r="E880" s="216"/>
      <c r="F880" s="216"/>
    </row>
    <row r="881" ht="14.25" customHeight="1">
      <c r="B881" s="216"/>
      <c r="C881" s="216"/>
      <c r="D881" s="216"/>
      <c r="E881" s="216"/>
      <c r="F881" s="216"/>
    </row>
    <row r="882" ht="14.25" customHeight="1">
      <c r="B882" s="216"/>
      <c r="C882" s="216"/>
      <c r="D882" s="216"/>
      <c r="E882" s="216"/>
      <c r="F882" s="216"/>
    </row>
    <row r="883" ht="14.25" customHeight="1">
      <c r="B883" s="216"/>
      <c r="C883" s="216"/>
      <c r="D883" s="216"/>
      <c r="E883" s="216"/>
      <c r="F883" s="216"/>
    </row>
    <row r="884" ht="14.25" customHeight="1">
      <c r="B884" s="216"/>
      <c r="C884" s="216"/>
      <c r="D884" s="216"/>
      <c r="E884" s="216"/>
      <c r="F884" s="216"/>
    </row>
    <row r="885" ht="14.25" customHeight="1">
      <c r="B885" s="216"/>
      <c r="C885" s="216"/>
      <c r="D885" s="216"/>
      <c r="E885" s="216"/>
      <c r="F885" s="216"/>
    </row>
    <row r="886" ht="14.25" customHeight="1">
      <c r="B886" s="216"/>
      <c r="C886" s="216"/>
      <c r="D886" s="216"/>
      <c r="E886" s="216"/>
      <c r="F886" s="216"/>
    </row>
    <row r="887" ht="14.25" customHeight="1">
      <c r="B887" s="216"/>
      <c r="C887" s="216"/>
      <c r="D887" s="216"/>
      <c r="E887" s="216"/>
      <c r="F887" s="216"/>
    </row>
    <row r="888" ht="14.25" customHeight="1">
      <c r="B888" s="216"/>
      <c r="C888" s="216"/>
      <c r="D888" s="216"/>
      <c r="E888" s="216"/>
      <c r="F888" s="216"/>
    </row>
    <row r="889" ht="14.25" customHeight="1">
      <c r="B889" s="216"/>
      <c r="C889" s="216"/>
      <c r="D889" s="216"/>
      <c r="E889" s="216"/>
      <c r="F889" s="216"/>
    </row>
    <row r="890" ht="14.25" customHeight="1">
      <c r="B890" s="216"/>
      <c r="C890" s="216"/>
      <c r="D890" s="216"/>
      <c r="E890" s="216"/>
      <c r="F890" s="216"/>
    </row>
    <row r="891" ht="14.25" customHeight="1">
      <c r="B891" s="216"/>
      <c r="C891" s="216"/>
      <c r="D891" s="216"/>
      <c r="E891" s="216"/>
      <c r="F891" s="216"/>
    </row>
    <row r="892" ht="14.25" customHeight="1">
      <c r="B892" s="216"/>
      <c r="C892" s="216"/>
      <c r="D892" s="216"/>
      <c r="E892" s="216"/>
      <c r="F892" s="216"/>
    </row>
    <row r="893" ht="14.25" customHeight="1">
      <c r="B893" s="216"/>
      <c r="C893" s="216"/>
      <c r="D893" s="216"/>
      <c r="E893" s="216"/>
      <c r="F893" s="216"/>
    </row>
    <row r="894" ht="14.25" customHeight="1">
      <c r="B894" s="216"/>
      <c r="C894" s="216"/>
      <c r="D894" s="216"/>
      <c r="E894" s="216"/>
      <c r="F894" s="216"/>
    </row>
    <row r="895" ht="14.25" customHeight="1">
      <c r="B895" s="216"/>
      <c r="C895" s="216"/>
      <c r="D895" s="216"/>
      <c r="E895" s="216"/>
      <c r="F895" s="216"/>
    </row>
    <row r="896" ht="14.25" customHeight="1">
      <c r="B896" s="216"/>
      <c r="C896" s="216"/>
      <c r="D896" s="216"/>
      <c r="E896" s="216"/>
      <c r="F896" s="216"/>
    </row>
    <row r="897" ht="14.25" customHeight="1">
      <c r="B897" s="216"/>
      <c r="C897" s="216"/>
      <c r="D897" s="216"/>
      <c r="E897" s="216"/>
      <c r="F897" s="216"/>
    </row>
    <row r="898" ht="14.25" customHeight="1">
      <c r="B898" s="216"/>
      <c r="C898" s="216"/>
      <c r="D898" s="216"/>
      <c r="E898" s="216"/>
      <c r="F898" s="216"/>
    </row>
    <row r="899" ht="14.25" customHeight="1">
      <c r="B899" s="216"/>
      <c r="C899" s="216"/>
      <c r="D899" s="216"/>
      <c r="E899" s="216"/>
      <c r="F899" s="216"/>
    </row>
    <row r="900" ht="14.25" customHeight="1">
      <c r="B900" s="216"/>
      <c r="C900" s="216"/>
      <c r="D900" s="216"/>
      <c r="E900" s="216"/>
      <c r="F900" s="216"/>
    </row>
    <row r="901" ht="14.25" customHeight="1">
      <c r="B901" s="216"/>
      <c r="C901" s="216"/>
      <c r="D901" s="216"/>
      <c r="E901" s="216"/>
      <c r="F901" s="216"/>
    </row>
    <row r="902" ht="14.25" customHeight="1">
      <c r="B902" s="216"/>
      <c r="C902" s="216"/>
      <c r="D902" s="216"/>
      <c r="E902" s="216"/>
      <c r="F902" s="216"/>
    </row>
    <row r="903" ht="14.25" customHeight="1">
      <c r="B903" s="216"/>
      <c r="C903" s="216"/>
      <c r="D903" s="216"/>
      <c r="E903" s="216"/>
      <c r="F903" s="216"/>
    </row>
    <row r="904" ht="14.25" customHeight="1">
      <c r="B904" s="216"/>
      <c r="C904" s="216"/>
      <c r="D904" s="216"/>
      <c r="E904" s="216"/>
      <c r="F904" s="216"/>
    </row>
    <row r="905" ht="14.25" customHeight="1">
      <c r="B905" s="216"/>
      <c r="C905" s="216"/>
      <c r="D905" s="216"/>
      <c r="E905" s="216"/>
      <c r="F905" s="216"/>
    </row>
    <row r="906" ht="14.25" customHeight="1">
      <c r="B906" s="216"/>
      <c r="C906" s="216"/>
      <c r="D906" s="216"/>
      <c r="E906" s="216"/>
      <c r="F906" s="216"/>
    </row>
    <row r="907" ht="14.25" customHeight="1">
      <c r="B907" s="216"/>
      <c r="C907" s="216"/>
      <c r="D907" s="216"/>
      <c r="E907" s="216"/>
      <c r="F907" s="216"/>
    </row>
    <row r="908" ht="14.25" customHeight="1">
      <c r="B908" s="216"/>
      <c r="C908" s="216"/>
      <c r="D908" s="216"/>
      <c r="E908" s="216"/>
      <c r="F908" s="216"/>
    </row>
    <row r="909" ht="14.25" customHeight="1">
      <c r="B909" s="216"/>
      <c r="C909" s="216"/>
      <c r="D909" s="216"/>
      <c r="E909" s="216"/>
      <c r="F909" s="216"/>
    </row>
    <row r="910" ht="14.25" customHeight="1">
      <c r="B910" s="216"/>
      <c r="C910" s="216"/>
      <c r="D910" s="216"/>
      <c r="E910" s="216"/>
      <c r="F910" s="216"/>
    </row>
    <row r="911" ht="14.25" customHeight="1">
      <c r="B911" s="216"/>
      <c r="C911" s="216"/>
      <c r="D911" s="216"/>
      <c r="E911" s="216"/>
      <c r="F911" s="216"/>
    </row>
    <row r="912" ht="14.25" customHeight="1">
      <c r="B912" s="216"/>
      <c r="C912" s="216"/>
      <c r="D912" s="216"/>
      <c r="E912" s="216"/>
      <c r="F912" s="216"/>
    </row>
    <row r="913" ht="14.25" customHeight="1">
      <c r="B913" s="216"/>
      <c r="C913" s="216"/>
      <c r="D913" s="216"/>
      <c r="E913" s="216"/>
      <c r="F913" s="216"/>
    </row>
    <row r="914" ht="14.25" customHeight="1">
      <c r="B914" s="216"/>
      <c r="C914" s="216"/>
      <c r="D914" s="216"/>
      <c r="E914" s="216"/>
      <c r="F914" s="216"/>
    </row>
    <row r="915" ht="14.25" customHeight="1">
      <c r="B915" s="216"/>
      <c r="C915" s="216"/>
      <c r="D915" s="216"/>
      <c r="E915" s="216"/>
      <c r="F915" s="216"/>
    </row>
    <row r="916" ht="14.25" customHeight="1">
      <c r="B916" s="216"/>
      <c r="C916" s="216"/>
      <c r="D916" s="216"/>
      <c r="E916" s="216"/>
      <c r="F916" s="216"/>
    </row>
    <row r="917" ht="14.25" customHeight="1">
      <c r="B917" s="216"/>
      <c r="C917" s="216"/>
      <c r="D917" s="216"/>
      <c r="E917" s="216"/>
      <c r="F917" s="216"/>
    </row>
    <row r="918" ht="14.25" customHeight="1">
      <c r="B918" s="216"/>
      <c r="C918" s="216"/>
      <c r="D918" s="216"/>
      <c r="E918" s="216"/>
      <c r="F918" s="216"/>
    </row>
    <row r="919" ht="14.25" customHeight="1">
      <c r="B919" s="216"/>
      <c r="C919" s="216"/>
      <c r="D919" s="216"/>
      <c r="E919" s="216"/>
      <c r="F919" s="216"/>
    </row>
    <row r="920" ht="14.25" customHeight="1">
      <c r="B920" s="216"/>
      <c r="C920" s="216"/>
      <c r="D920" s="216"/>
      <c r="E920" s="216"/>
      <c r="F920" s="216"/>
    </row>
    <row r="921" ht="14.25" customHeight="1">
      <c r="B921" s="216"/>
      <c r="C921" s="216"/>
      <c r="D921" s="216"/>
      <c r="E921" s="216"/>
      <c r="F921" s="216"/>
    </row>
    <row r="922" ht="14.25" customHeight="1">
      <c r="B922" s="216"/>
      <c r="C922" s="216"/>
      <c r="D922" s="216"/>
      <c r="E922" s="216"/>
      <c r="F922" s="216"/>
    </row>
    <row r="923" ht="14.25" customHeight="1">
      <c r="B923" s="216"/>
      <c r="C923" s="216"/>
      <c r="D923" s="216"/>
      <c r="E923" s="216"/>
      <c r="F923" s="216"/>
    </row>
    <row r="924" ht="14.25" customHeight="1">
      <c r="B924" s="216"/>
      <c r="C924" s="216"/>
      <c r="D924" s="216"/>
      <c r="E924" s="216"/>
      <c r="F924" s="216"/>
    </row>
    <row r="925" ht="14.25" customHeight="1">
      <c r="B925" s="216"/>
      <c r="C925" s="216"/>
      <c r="D925" s="216"/>
      <c r="E925" s="216"/>
      <c r="F925" s="216"/>
    </row>
    <row r="926" ht="14.25" customHeight="1">
      <c r="B926" s="216"/>
      <c r="C926" s="216"/>
      <c r="D926" s="216"/>
      <c r="E926" s="216"/>
      <c r="F926" s="216"/>
    </row>
    <row r="927" ht="14.25" customHeight="1">
      <c r="B927" s="216"/>
      <c r="C927" s="216"/>
      <c r="D927" s="216"/>
      <c r="E927" s="216"/>
      <c r="F927" s="216"/>
    </row>
    <row r="928" ht="14.25" customHeight="1">
      <c r="B928" s="216"/>
      <c r="C928" s="216"/>
      <c r="D928" s="216"/>
      <c r="E928" s="216"/>
      <c r="F928" s="216"/>
    </row>
    <row r="929" ht="14.25" customHeight="1">
      <c r="B929" s="216"/>
      <c r="C929" s="216"/>
      <c r="D929" s="216"/>
      <c r="E929" s="216"/>
      <c r="F929" s="216"/>
    </row>
    <row r="930" ht="14.25" customHeight="1">
      <c r="B930" s="216"/>
      <c r="C930" s="216"/>
      <c r="D930" s="216"/>
      <c r="E930" s="216"/>
      <c r="F930" s="216"/>
    </row>
    <row r="931" ht="14.25" customHeight="1">
      <c r="B931" s="216"/>
      <c r="C931" s="216"/>
      <c r="D931" s="216"/>
      <c r="E931" s="216"/>
      <c r="F931" s="216"/>
    </row>
    <row r="932" ht="14.25" customHeight="1">
      <c r="B932" s="216"/>
      <c r="C932" s="216"/>
      <c r="D932" s="216"/>
      <c r="E932" s="216"/>
      <c r="F932" s="216"/>
    </row>
    <row r="933" ht="14.25" customHeight="1">
      <c r="B933" s="216"/>
      <c r="C933" s="216"/>
      <c r="D933" s="216"/>
      <c r="E933" s="216"/>
      <c r="F933" s="216"/>
    </row>
    <row r="934" ht="14.25" customHeight="1">
      <c r="B934" s="216"/>
      <c r="C934" s="216"/>
      <c r="D934" s="216"/>
      <c r="E934" s="216"/>
      <c r="F934" s="216"/>
    </row>
    <row r="935" ht="14.25" customHeight="1">
      <c r="B935" s="216"/>
      <c r="C935" s="216"/>
      <c r="D935" s="216"/>
      <c r="E935" s="216"/>
      <c r="F935" s="216"/>
    </row>
    <row r="936" ht="14.25" customHeight="1">
      <c r="B936" s="216"/>
      <c r="C936" s="216"/>
      <c r="D936" s="216"/>
      <c r="E936" s="216"/>
      <c r="F936" s="216"/>
    </row>
    <row r="937" ht="14.25" customHeight="1">
      <c r="B937" s="216"/>
      <c r="C937" s="216"/>
      <c r="D937" s="216"/>
      <c r="E937" s="216"/>
      <c r="F937" s="216"/>
    </row>
    <row r="938" ht="14.25" customHeight="1">
      <c r="B938" s="216"/>
      <c r="C938" s="216"/>
      <c r="D938" s="216"/>
      <c r="E938" s="216"/>
      <c r="F938" s="216"/>
    </row>
    <row r="939" ht="14.25" customHeight="1">
      <c r="B939" s="216"/>
      <c r="C939" s="216"/>
      <c r="D939" s="216"/>
      <c r="E939" s="216"/>
      <c r="F939" s="216"/>
    </row>
    <row r="940" ht="14.25" customHeight="1">
      <c r="B940" s="216"/>
      <c r="C940" s="216"/>
      <c r="D940" s="216"/>
      <c r="E940" s="216"/>
      <c r="F940" s="216"/>
    </row>
    <row r="941" ht="14.25" customHeight="1">
      <c r="B941" s="216"/>
      <c r="C941" s="216"/>
      <c r="D941" s="216"/>
      <c r="E941" s="216"/>
      <c r="F941" s="216"/>
    </row>
    <row r="942" ht="14.25" customHeight="1">
      <c r="B942" s="216"/>
      <c r="C942" s="216"/>
      <c r="D942" s="216"/>
      <c r="E942" s="216"/>
      <c r="F942" s="216"/>
    </row>
    <row r="943" ht="14.25" customHeight="1">
      <c r="B943" s="216"/>
      <c r="C943" s="216"/>
      <c r="D943" s="216"/>
      <c r="E943" s="216"/>
      <c r="F943" s="216"/>
    </row>
    <row r="944" ht="14.25" customHeight="1">
      <c r="B944" s="216"/>
      <c r="C944" s="216"/>
      <c r="D944" s="216"/>
      <c r="E944" s="216"/>
      <c r="F944" s="216"/>
    </row>
    <row r="945" ht="14.25" customHeight="1">
      <c r="B945" s="216"/>
      <c r="C945" s="216"/>
      <c r="D945" s="216"/>
      <c r="E945" s="216"/>
      <c r="F945" s="216"/>
    </row>
    <row r="946" ht="14.25" customHeight="1">
      <c r="B946" s="216"/>
      <c r="C946" s="216"/>
      <c r="D946" s="216"/>
      <c r="E946" s="216"/>
      <c r="F946" s="216"/>
    </row>
    <row r="947" ht="14.25" customHeight="1">
      <c r="B947" s="216"/>
      <c r="C947" s="216"/>
      <c r="D947" s="216"/>
      <c r="E947" s="216"/>
      <c r="F947" s="216"/>
    </row>
    <row r="948" ht="14.25" customHeight="1">
      <c r="B948" s="216"/>
      <c r="C948" s="216"/>
      <c r="D948" s="216"/>
      <c r="E948" s="216"/>
      <c r="F948" s="216"/>
    </row>
    <row r="949" ht="14.25" customHeight="1">
      <c r="B949" s="216"/>
      <c r="C949" s="216"/>
      <c r="D949" s="216"/>
      <c r="E949" s="216"/>
      <c r="F949" s="216"/>
    </row>
    <row r="950" ht="14.25" customHeight="1">
      <c r="B950" s="216"/>
      <c r="C950" s="216"/>
      <c r="D950" s="216"/>
      <c r="E950" s="216"/>
      <c r="F950" s="216"/>
    </row>
    <row r="951" ht="14.25" customHeight="1">
      <c r="B951" s="216"/>
      <c r="C951" s="216"/>
      <c r="D951" s="216"/>
      <c r="E951" s="216"/>
      <c r="F951" s="216"/>
    </row>
    <row r="952" ht="14.25" customHeight="1">
      <c r="B952" s="216"/>
      <c r="C952" s="216"/>
      <c r="D952" s="216"/>
      <c r="E952" s="216"/>
      <c r="F952" s="216"/>
    </row>
    <row r="953" ht="14.25" customHeight="1">
      <c r="B953" s="216"/>
      <c r="C953" s="216"/>
      <c r="D953" s="216"/>
      <c r="E953" s="216"/>
      <c r="F953" s="216"/>
    </row>
    <row r="954" ht="14.25" customHeight="1">
      <c r="B954" s="216"/>
      <c r="C954" s="216"/>
      <c r="D954" s="216"/>
      <c r="E954" s="216"/>
      <c r="F954" s="216"/>
    </row>
    <row r="955" ht="14.25" customHeight="1">
      <c r="B955" s="216"/>
      <c r="C955" s="216"/>
      <c r="D955" s="216"/>
      <c r="E955" s="216"/>
      <c r="F955" s="216"/>
    </row>
    <row r="956" ht="14.25" customHeight="1">
      <c r="B956" s="216"/>
      <c r="C956" s="216"/>
      <c r="D956" s="216"/>
      <c r="E956" s="216"/>
      <c r="F956" s="216"/>
    </row>
    <row r="957" ht="14.25" customHeight="1">
      <c r="B957" s="216"/>
      <c r="C957" s="216"/>
      <c r="D957" s="216"/>
      <c r="E957" s="216"/>
      <c r="F957" s="216"/>
    </row>
    <row r="958" ht="14.25" customHeight="1">
      <c r="B958" s="216"/>
      <c r="C958" s="216"/>
      <c r="D958" s="216"/>
      <c r="E958" s="216"/>
      <c r="F958" s="216"/>
    </row>
    <row r="959" ht="14.25" customHeight="1">
      <c r="B959" s="216"/>
      <c r="C959" s="216"/>
      <c r="D959" s="216"/>
      <c r="E959" s="216"/>
      <c r="F959" s="216"/>
    </row>
    <row r="960" ht="14.25" customHeight="1">
      <c r="B960" s="216"/>
      <c r="C960" s="216"/>
      <c r="D960" s="216"/>
      <c r="E960" s="216"/>
      <c r="F960" s="216"/>
    </row>
    <row r="961" ht="14.25" customHeight="1">
      <c r="B961" s="216"/>
      <c r="C961" s="216"/>
      <c r="D961" s="216"/>
      <c r="E961" s="216"/>
      <c r="F961" s="216"/>
    </row>
    <row r="962" ht="14.25" customHeight="1">
      <c r="B962" s="216"/>
      <c r="C962" s="216"/>
      <c r="D962" s="216"/>
      <c r="E962" s="216"/>
      <c r="F962" s="216"/>
    </row>
    <row r="963" ht="14.25" customHeight="1">
      <c r="B963" s="216"/>
      <c r="C963" s="216"/>
      <c r="D963" s="216"/>
      <c r="E963" s="216"/>
      <c r="F963" s="216"/>
    </row>
    <row r="964" ht="14.25" customHeight="1">
      <c r="B964" s="216"/>
      <c r="C964" s="216"/>
      <c r="D964" s="216"/>
      <c r="E964" s="216"/>
      <c r="F964" s="216"/>
    </row>
    <row r="965" ht="14.25" customHeight="1">
      <c r="B965" s="216"/>
      <c r="C965" s="216"/>
      <c r="D965" s="216"/>
      <c r="E965" s="216"/>
      <c r="F965" s="216"/>
    </row>
    <row r="966" ht="14.25" customHeight="1">
      <c r="B966" s="216"/>
      <c r="C966" s="216"/>
      <c r="D966" s="216"/>
      <c r="E966" s="216"/>
      <c r="F966" s="216"/>
    </row>
    <row r="967" ht="14.25" customHeight="1">
      <c r="B967" s="216"/>
      <c r="C967" s="216"/>
      <c r="D967" s="216"/>
      <c r="E967" s="216"/>
      <c r="F967" s="216"/>
    </row>
    <row r="968" ht="14.25" customHeight="1">
      <c r="B968" s="216"/>
      <c r="C968" s="216"/>
      <c r="D968" s="216"/>
      <c r="E968" s="216"/>
      <c r="F968" s="216"/>
    </row>
    <row r="969" ht="14.25" customHeight="1">
      <c r="B969" s="216"/>
      <c r="C969" s="216"/>
      <c r="D969" s="216"/>
      <c r="E969" s="216"/>
      <c r="F969" s="216"/>
    </row>
    <row r="970" ht="14.25" customHeight="1">
      <c r="B970" s="216"/>
      <c r="C970" s="216"/>
      <c r="D970" s="216"/>
      <c r="E970" s="216"/>
      <c r="F970" s="216"/>
    </row>
    <row r="971" ht="14.25" customHeight="1">
      <c r="B971" s="216"/>
      <c r="C971" s="216"/>
      <c r="D971" s="216"/>
      <c r="E971" s="216"/>
      <c r="F971" s="216"/>
    </row>
    <row r="972" ht="14.25" customHeight="1">
      <c r="B972" s="216"/>
      <c r="C972" s="216"/>
      <c r="D972" s="216"/>
      <c r="E972" s="216"/>
      <c r="F972" s="216"/>
    </row>
    <row r="973" ht="14.25" customHeight="1">
      <c r="B973" s="216"/>
      <c r="C973" s="216"/>
      <c r="D973" s="216"/>
      <c r="E973" s="216"/>
      <c r="F973" s="216"/>
    </row>
    <row r="974" ht="14.25" customHeight="1">
      <c r="B974" s="216"/>
      <c r="C974" s="216"/>
      <c r="D974" s="216"/>
      <c r="E974" s="216"/>
      <c r="F974" s="216"/>
    </row>
    <row r="975" ht="14.25" customHeight="1">
      <c r="B975" s="216"/>
      <c r="C975" s="216"/>
      <c r="D975" s="216"/>
      <c r="E975" s="216"/>
      <c r="F975" s="216"/>
    </row>
    <row r="976" ht="14.25" customHeight="1">
      <c r="B976" s="216"/>
      <c r="C976" s="216"/>
      <c r="D976" s="216"/>
      <c r="E976" s="216"/>
      <c r="F976" s="216"/>
    </row>
    <row r="977" ht="14.25" customHeight="1">
      <c r="B977" s="216"/>
      <c r="C977" s="216"/>
      <c r="D977" s="216"/>
      <c r="E977" s="216"/>
      <c r="F977" s="216"/>
    </row>
    <row r="978" ht="14.25" customHeight="1">
      <c r="B978" s="216"/>
      <c r="C978" s="216"/>
      <c r="D978" s="216"/>
      <c r="E978" s="216"/>
      <c r="F978" s="216"/>
    </row>
    <row r="979" ht="14.25" customHeight="1">
      <c r="B979" s="216"/>
      <c r="C979" s="216"/>
      <c r="D979" s="216"/>
      <c r="E979" s="216"/>
      <c r="F979" s="216"/>
    </row>
    <row r="980" ht="14.25" customHeight="1">
      <c r="B980" s="216"/>
      <c r="C980" s="216"/>
      <c r="D980" s="216"/>
      <c r="E980" s="216"/>
      <c r="F980" s="216"/>
    </row>
    <row r="981" ht="14.25" customHeight="1">
      <c r="B981" s="216"/>
      <c r="C981" s="216"/>
      <c r="D981" s="216"/>
      <c r="E981" s="216"/>
      <c r="F981" s="216"/>
    </row>
    <row r="982" ht="14.25" customHeight="1">
      <c r="B982" s="216"/>
      <c r="C982" s="216"/>
      <c r="D982" s="216"/>
      <c r="E982" s="216"/>
      <c r="F982" s="216"/>
    </row>
    <row r="983" ht="14.25" customHeight="1">
      <c r="B983" s="216"/>
      <c r="C983" s="216"/>
      <c r="D983" s="216"/>
      <c r="E983" s="216"/>
      <c r="F983" s="216"/>
    </row>
    <row r="984" ht="14.25" customHeight="1">
      <c r="B984" s="216"/>
      <c r="C984" s="216"/>
      <c r="D984" s="216"/>
      <c r="E984" s="216"/>
      <c r="F984" s="216"/>
    </row>
    <row r="985" ht="14.25" customHeight="1">
      <c r="B985" s="216"/>
      <c r="C985" s="216"/>
      <c r="D985" s="216"/>
      <c r="E985" s="216"/>
      <c r="F985" s="216"/>
    </row>
    <row r="986" ht="14.25" customHeight="1">
      <c r="B986" s="216"/>
      <c r="C986" s="216"/>
      <c r="D986" s="216"/>
      <c r="E986" s="216"/>
      <c r="F986" s="216"/>
    </row>
    <row r="987" ht="14.25" customHeight="1">
      <c r="B987" s="216"/>
      <c r="C987" s="216"/>
      <c r="D987" s="216"/>
      <c r="E987" s="216"/>
      <c r="F987" s="216"/>
    </row>
    <row r="988" ht="14.25" customHeight="1">
      <c r="B988" s="216"/>
      <c r="C988" s="216"/>
      <c r="D988" s="216"/>
      <c r="E988" s="216"/>
      <c r="F988" s="216"/>
    </row>
    <row r="989" ht="14.25" customHeight="1">
      <c r="B989" s="216"/>
      <c r="C989" s="216"/>
      <c r="D989" s="216"/>
      <c r="E989" s="216"/>
      <c r="F989" s="216"/>
    </row>
    <row r="990" ht="14.25" customHeight="1">
      <c r="B990" s="216"/>
      <c r="C990" s="216"/>
      <c r="D990" s="216"/>
      <c r="E990" s="216"/>
      <c r="F990" s="216"/>
    </row>
    <row r="991" ht="14.25" customHeight="1">
      <c r="B991" s="216"/>
      <c r="C991" s="216"/>
      <c r="D991" s="216"/>
      <c r="E991" s="216"/>
      <c r="F991" s="216"/>
    </row>
    <row r="992" ht="14.25" customHeight="1">
      <c r="B992" s="216"/>
      <c r="C992" s="216"/>
      <c r="D992" s="216"/>
      <c r="E992" s="216"/>
      <c r="F992" s="216"/>
    </row>
    <row r="993" ht="14.25" customHeight="1">
      <c r="B993" s="216"/>
      <c r="C993" s="216"/>
      <c r="D993" s="216"/>
      <c r="E993" s="216"/>
      <c r="F993" s="216"/>
    </row>
    <row r="994" ht="14.25" customHeight="1">
      <c r="B994" s="216"/>
      <c r="C994" s="216"/>
      <c r="D994" s="216"/>
      <c r="E994" s="216"/>
      <c r="F994" s="216"/>
    </row>
    <row r="995" ht="14.25" customHeight="1">
      <c r="B995" s="216"/>
      <c r="C995" s="216"/>
      <c r="D995" s="216"/>
      <c r="E995" s="216"/>
      <c r="F995" s="216"/>
    </row>
    <row r="996" ht="14.25" customHeight="1">
      <c r="B996" s="216"/>
      <c r="C996" s="216"/>
      <c r="D996" s="216"/>
      <c r="E996" s="216"/>
      <c r="F996" s="216"/>
    </row>
    <row r="997" ht="14.25" customHeight="1">
      <c r="B997" s="216"/>
      <c r="C997" s="216"/>
      <c r="D997" s="216"/>
      <c r="E997" s="216"/>
      <c r="F997" s="216"/>
    </row>
    <row r="998" ht="14.25" customHeight="1">
      <c r="B998" s="216"/>
      <c r="C998" s="216"/>
      <c r="D998" s="216"/>
      <c r="E998" s="216"/>
      <c r="F998" s="216"/>
    </row>
    <row r="999" ht="14.25" customHeight="1">
      <c r="B999" s="216"/>
      <c r="C999" s="216"/>
      <c r="D999" s="216"/>
      <c r="E999" s="216"/>
      <c r="F999" s="216"/>
    </row>
    <row r="1000" ht="14.25" customHeight="1">
      <c r="B1000" s="216"/>
      <c r="C1000" s="216"/>
      <c r="D1000" s="216"/>
      <c r="E1000" s="216"/>
      <c r="F1000" s="216"/>
    </row>
  </sheetData>
  <mergeCells count="4">
    <mergeCell ref="A1:B1"/>
    <mergeCell ref="A5:F5"/>
    <mergeCell ref="A6:F6"/>
    <mergeCell ref="A7:F7"/>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0"/>
    <col customWidth="1" min="2" max="6" width="16.71"/>
    <col customWidth="1" hidden="1" min="7" max="7" width="16.43"/>
    <col customWidth="1" min="8" max="8" width="16.43"/>
    <col customWidth="1" min="9" max="9" width="17.57"/>
    <col customWidth="1" min="10" max="26" width="8.71"/>
  </cols>
  <sheetData>
    <row r="1" ht="14.25" customHeight="1">
      <c r="A1" s="217" t="str">
        <f>[1]Status!C1</f>
        <v>#ERROR!</v>
      </c>
      <c r="C1" s="222"/>
      <c r="D1" s="222"/>
      <c r="E1" s="222"/>
      <c r="F1" s="222"/>
      <c r="I1" s="216"/>
    </row>
    <row r="2" ht="14.25" customHeight="1">
      <c r="A2" s="217" t="s">
        <v>1</v>
      </c>
      <c r="B2" s="222"/>
      <c r="C2" s="222"/>
      <c r="D2" s="222"/>
      <c r="E2" s="222"/>
      <c r="F2" s="222"/>
      <c r="I2" s="216"/>
    </row>
    <row r="3" ht="14.25" customHeight="1">
      <c r="A3" s="221" t="s">
        <v>193</v>
      </c>
      <c r="B3" s="222"/>
      <c r="C3" s="222"/>
      <c r="D3" s="222"/>
      <c r="E3" s="222"/>
      <c r="F3" s="222"/>
      <c r="I3" s="216"/>
    </row>
    <row r="4" ht="14.25" customHeight="1">
      <c r="A4" s="222"/>
      <c r="B4" s="222"/>
      <c r="C4" s="222"/>
      <c r="D4" s="222"/>
      <c r="E4" s="222"/>
      <c r="F4" s="222"/>
      <c r="I4" s="216"/>
    </row>
    <row r="5" ht="14.25" customHeight="1">
      <c r="A5" s="223" t="s">
        <v>148</v>
      </c>
      <c r="I5" s="216"/>
    </row>
    <row r="6" ht="14.25" customHeight="1">
      <c r="A6" s="224" t="s">
        <v>194</v>
      </c>
      <c r="I6" s="216"/>
    </row>
    <row r="7" ht="14.25" customHeight="1">
      <c r="A7" s="297" t="str">
        <f>[1]Status!A6</f>
        <v>#ERROR!</v>
      </c>
      <c r="B7" s="298"/>
      <c r="C7" s="298"/>
      <c r="D7" s="298"/>
      <c r="E7" s="298"/>
      <c r="F7" s="298"/>
      <c r="I7" s="216"/>
    </row>
    <row r="8" ht="33.0" customHeight="1">
      <c r="A8" s="226" t="s">
        <v>79</v>
      </c>
      <c r="B8" s="400" t="s">
        <v>80</v>
      </c>
      <c r="C8" s="400" t="s">
        <v>81</v>
      </c>
      <c r="D8" s="400" t="s">
        <v>82</v>
      </c>
      <c r="E8" s="400" t="s">
        <v>83</v>
      </c>
      <c r="F8" s="401" t="s">
        <v>84</v>
      </c>
      <c r="I8" s="216"/>
    </row>
    <row r="9" ht="14.25" customHeight="1">
      <c r="A9" s="356" t="s">
        <v>86</v>
      </c>
      <c r="B9" s="357">
        <v>11906.51</v>
      </c>
      <c r="C9" s="357">
        <v>11906.51</v>
      </c>
      <c r="D9" s="402"/>
      <c r="E9" s="402"/>
      <c r="F9" s="403">
        <f t="shared" ref="F9:F57" si="1">B9-C9-D9-E9</f>
        <v>0</v>
      </c>
      <c r="I9" s="216"/>
    </row>
    <row r="10" ht="14.25" customHeight="1">
      <c r="A10" s="317" t="s">
        <v>150</v>
      </c>
      <c r="B10" s="361">
        <v>3287898.86</v>
      </c>
      <c r="C10" s="361">
        <v>3287898.86</v>
      </c>
      <c r="D10" s="404"/>
      <c r="E10" s="404"/>
      <c r="F10" s="403">
        <f t="shared" si="1"/>
        <v>0</v>
      </c>
      <c r="I10" s="216"/>
    </row>
    <row r="11" ht="14.25" customHeight="1">
      <c r="A11" s="278" t="s">
        <v>88</v>
      </c>
      <c r="B11" s="364">
        <v>1447491.95</v>
      </c>
      <c r="C11" s="364">
        <v>1447491.95</v>
      </c>
      <c r="D11" s="405"/>
      <c r="E11" s="405"/>
      <c r="F11" s="403">
        <f t="shared" si="1"/>
        <v>0</v>
      </c>
      <c r="I11" s="216"/>
    </row>
    <row r="12" ht="14.25" customHeight="1">
      <c r="A12" s="324" t="s">
        <v>89</v>
      </c>
      <c r="B12" s="364">
        <v>25513.96</v>
      </c>
      <c r="C12" s="405"/>
      <c r="D12" s="405"/>
      <c r="E12" s="405"/>
      <c r="F12" s="403">
        <f t="shared" si="1"/>
        <v>25513.96</v>
      </c>
      <c r="I12" s="216"/>
    </row>
    <row r="13" ht="14.25" customHeight="1">
      <c r="A13" s="278" t="s">
        <v>90</v>
      </c>
      <c r="B13" s="364">
        <v>71439.09</v>
      </c>
      <c r="C13" s="405"/>
      <c r="D13" s="405"/>
      <c r="E13" s="405"/>
      <c r="F13" s="403">
        <f t="shared" si="1"/>
        <v>71439.09</v>
      </c>
      <c r="I13" s="216"/>
    </row>
    <row r="14" ht="14.25" customHeight="1">
      <c r="A14" s="278" t="s">
        <v>91</v>
      </c>
      <c r="B14" s="364">
        <v>1828500.4</v>
      </c>
      <c r="C14" s="364">
        <v>1828500.4</v>
      </c>
      <c r="D14" s="405"/>
      <c r="E14" s="405"/>
      <c r="F14" s="403">
        <f t="shared" si="1"/>
        <v>0</v>
      </c>
      <c r="I14" s="216"/>
    </row>
    <row r="15" ht="14.25" customHeight="1">
      <c r="A15" s="278" t="s">
        <v>92</v>
      </c>
      <c r="B15" s="364">
        <v>64635.36</v>
      </c>
      <c r="C15" s="364">
        <v>64635.36</v>
      </c>
      <c r="D15" s="405"/>
      <c r="E15" s="405"/>
      <c r="F15" s="403">
        <f t="shared" si="1"/>
        <v>0</v>
      </c>
      <c r="I15" s="216"/>
    </row>
    <row r="16" ht="14.25" customHeight="1">
      <c r="A16" s="278" t="s">
        <v>151</v>
      </c>
      <c r="B16" s="364">
        <v>5454884.45</v>
      </c>
      <c r="C16" s="405">
        <f>4353784.49021628+1101100-0.04</f>
        <v>5454884.45</v>
      </c>
      <c r="D16" s="405"/>
      <c r="E16" s="405"/>
      <c r="F16" s="403">
        <f t="shared" si="1"/>
        <v>-0.0002162801102</v>
      </c>
      <c r="I16" s="216"/>
    </row>
    <row r="17" ht="14.25" customHeight="1">
      <c r="A17" s="278" t="s">
        <v>94</v>
      </c>
      <c r="B17" s="406">
        <v>164728.94</v>
      </c>
      <c r="C17" s="407">
        <v>164728.94</v>
      </c>
      <c r="D17" s="405"/>
      <c r="E17" s="405"/>
      <c r="F17" s="403">
        <f t="shared" si="1"/>
        <v>0</v>
      </c>
      <c r="I17" s="216"/>
    </row>
    <row r="18" ht="14.25" customHeight="1">
      <c r="A18" s="278" t="s">
        <v>95</v>
      </c>
      <c r="B18" s="364">
        <v>78242.81</v>
      </c>
      <c r="C18" s="364">
        <v>78242.81</v>
      </c>
      <c r="D18" s="405"/>
      <c r="E18" s="405"/>
      <c r="F18" s="403">
        <f t="shared" si="1"/>
        <v>0</v>
      </c>
      <c r="I18" s="216"/>
    </row>
    <row r="19" ht="14.25" customHeight="1">
      <c r="A19" s="278" t="s">
        <v>96</v>
      </c>
      <c r="B19" s="364">
        <v>593624.78</v>
      </c>
      <c r="C19" s="364">
        <v>593624.78</v>
      </c>
      <c r="D19" s="405"/>
      <c r="E19" s="405"/>
      <c r="F19" s="403">
        <f t="shared" si="1"/>
        <v>0</v>
      </c>
      <c r="I19" s="216"/>
    </row>
    <row r="20" ht="14.25" customHeight="1">
      <c r="A20" s="278" t="s">
        <v>97</v>
      </c>
      <c r="B20" s="364">
        <v>1251884.93</v>
      </c>
      <c r="C20" s="364">
        <v>1251884.93</v>
      </c>
      <c r="D20" s="405"/>
      <c r="E20" s="405"/>
      <c r="F20" s="403">
        <f t="shared" si="1"/>
        <v>0</v>
      </c>
      <c r="I20" s="216"/>
    </row>
    <row r="21" ht="14.25" customHeight="1">
      <c r="A21" s="278" t="s">
        <v>98</v>
      </c>
      <c r="B21" s="364">
        <v>68037.22</v>
      </c>
      <c r="C21" s="364">
        <v>68037.22</v>
      </c>
      <c r="D21" s="405"/>
      <c r="E21" s="405"/>
      <c r="F21" s="403">
        <f t="shared" si="1"/>
        <v>0</v>
      </c>
      <c r="I21" s="216"/>
    </row>
    <row r="22" ht="14.25" customHeight="1">
      <c r="A22" s="278" t="s">
        <v>99</v>
      </c>
      <c r="B22" s="364">
        <v>962726.72</v>
      </c>
      <c r="C22" s="364">
        <v>962726.72</v>
      </c>
      <c r="D22" s="405"/>
      <c r="E22" s="405"/>
      <c r="F22" s="403">
        <f t="shared" si="1"/>
        <v>0</v>
      </c>
      <c r="I22" s="216"/>
    </row>
    <row r="23" ht="14.25" customHeight="1">
      <c r="A23" s="278" t="s">
        <v>152</v>
      </c>
      <c r="B23" s="364">
        <v>1.04147981E7</v>
      </c>
      <c r="C23" s="405">
        <f>5983010.97+1832468.35+1939719.88+282500+110064</f>
        <v>10147763.2</v>
      </c>
      <c r="D23" s="405">
        <f>659599-282500-110064</f>
        <v>267035</v>
      </c>
      <c r="E23" s="405"/>
      <c r="F23" s="403">
        <f t="shared" si="1"/>
        <v>-0.09999999963</v>
      </c>
      <c r="I23" s="216"/>
    </row>
    <row r="24" ht="14.25" customHeight="1">
      <c r="A24" s="278" t="s">
        <v>153</v>
      </c>
      <c r="B24" s="364">
        <v>1.363806159E7</v>
      </c>
      <c r="C24" s="405">
        <f>1818408.22+909204.11+909204.12+909204.12+909204.11+2281343</f>
        <v>7736567.68</v>
      </c>
      <c r="D24" s="405">
        <f>180267+1927636+434836+94920+50835-2281343</f>
        <v>407151</v>
      </c>
      <c r="E24" s="364">
        <f>5455224.65639317-1818408.22-909204.11-909204.12-909204.12-909204.11</f>
        <v>-0.02360682935</v>
      </c>
      <c r="F24" s="403">
        <f t="shared" si="1"/>
        <v>5494342.934</v>
      </c>
      <c r="G24" s="216">
        <f>B24*0.7203</f>
        <v>9823495.763</v>
      </c>
      <c r="H24" s="216"/>
      <c r="I24" s="216"/>
    </row>
    <row r="25" ht="14.25" customHeight="1">
      <c r="A25" s="278" t="s">
        <v>102</v>
      </c>
      <c r="B25" s="364">
        <v>1175343.05</v>
      </c>
      <c r="C25" s="405">
        <v>1175343.0</v>
      </c>
      <c r="D25" s="405"/>
      <c r="E25" s="405"/>
      <c r="F25" s="403">
        <f t="shared" si="1"/>
        <v>0.05000000005</v>
      </c>
      <c r="I25" s="216"/>
    </row>
    <row r="26" ht="14.25" customHeight="1">
      <c r="A26" s="278" t="s">
        <v>103</v>
      </c>
      <c r="B26" s="364">
        <v>1700.93</v>
      </c>
      <c r="C26" s="364">
        <v>1700.93</v>
      </c>
      <c r="D26" s="405"/>
      <c r="E26" s="405"/>
      <c r="F26" s="403">
        <f t="shared" si="1"/>
        <v>0</v>
      </c>
      <c r="I26" s="216"/>
    </row>
    <row r="27" ht="14.25" customHeight="1">
      <c r="A27" s="278" t="s">
        <v>104</v>
      </c>
      <c r="B27" s="364">
        <v>494970.81</v>
      </c>
      <c r="C27" s="364">
        <v>494970.81</v>
      </c>
      <c r="D27" s="405"/>
      <c r="E27" s="405"/>
      <c r="F27" s="403">
        <f t="shared" si="1"/>
        <v>0</v>
      </c>
      <c r="I27" s="216"/>
    </row>
    <row r="28" ht="14.25" customHeight="1">
      <c r="A28" s="278" t="s">
        <v>105</v>
      </c>
      <c r="B28" s="364">
        <v>71439.09</v>
      </c>
      <c r="C28" s="364">
        <v>71439.0</v>
      </c>
      <c r="D28" s="405"/>
      <c r="E28" s="405"/>
      <c r="F28" s="403">
        <f t="shared" si="1"/>
        <v>0.09</v>
      </c>
      <c r="I28" s="216"/>
    </row>
    <row r="29" ht="14.25" customHeight="1">
      <c r="A29" s="278" t="s">
        <v>154</v>
      </c>
      <c r="B29" s="364">
        <v>847063.44</v>
      </c>
      <c r="C29" s="364">
        <v>847063.44</v>
      </c>
      <c r="D29" s="405"/>
      <c r="E29" s="405"/>
      <c r="F29" s="403">
        <f t="shared" si="1"/>
        <v>0</v>
      </c>
      <c r="I29" s="216"/>
    </row>
    <row r="30" ht="14.25" customHeight="1">
      <c r="A30" s="278" t="s">
        <v>107</v>
      </c>
      <c r="B30" s="364">
        <v>653157.35</v>
      </c>
      <c r="C30" s="405"/>
      <c r="D30" s="405"/>
      <c r="E30" s="405"/>
      <c r="F30" s="403">
        <f t="shared" si="1"/>
        <v>653157.35</v>
      </c>
      <c r="I30" s="216"/>
    </row>
    <row r="31" ht="14.25" customHeight="1">
      <c r="A31" s="278" t="s">
        <v>108</v>
      </c>
      <c r="B31" s="364">
        <v>8502952.1</v>
      </c>
      <c r="C31" s="405">
        <f>1498354.28+350599.38+2455622.7+3458245</f>
        <v>7762821.36</v>
      </c>
      <c r="D31" s="405">
        <f>72375+667756</f>
        <v>740131</v>
      </c>
      <c r="E31" s="405"/>
      <c r="F31" s="403">
        <f t="shared" si="1"/>
        <v>-0.2600000007</v>
      </c>
      <c r="I31" s="216"/>
    </row>
    <row r="32" ht="14.25" customHeight="1">
      <c r="A32" s="278" t="s">
        <v>155</v>
      </c>
      <c r="B32" s="364">
        <v>2.131266048E7</v>
      </c>
      <c r="C32" s="368">
        <f>7372578+13940082.48-90021-379-28815</f>
        <v>21193445.48</v>
      </c>
      <c r="D32" s="405">
        <f>90021+379+28815</f>
        <v>119215</v>
      </c>
      <c r="E32" s="405"/>
      <c r="F32" s="403">
        <f t="shared" si="1"/>
        <v>0</v>
      </c>
      <c r="H32" s="353"/>
      <c r="I32" s="216"/>
    </row>
    <row r="33" ht="14.25" customHeight="1">
      <c r="A33" s="278" t="s">
        <v>110</v>
      </c>
      <c r="B33" s="408">
        <v>128905.99517254873</v>
      </c>
      <c r="C33" s="321">
        <v>128906.0</v>
      </c>
      <c r="D33" s="405"/>
      <c r="E33" s="405"/>
      <c r="F33" s="403">
        <f t="shared" si="1"/>
        <v>-0.004827451266</v>
      </c>
      <c r="H33" s="216"/>
      <c r="I33" s="216"/>
    </row>
    <row r="34" ht="14.25" customHeight="1">
      <c r="A34" s="278" t="s">
        <v>112</v>
      </c>
      <c r="B34" s="364">
        <v>64635.36</v>
      </c>
      <c r="C34" s="368">
        <v>64635.36</v>
      </c>
      <c r="D34" s="405"/>
      <c r="E34" s="405"/>
      <c r="F34" s="403">
        <f t="shared" si="1"/>
        <v>0</v>
      </c>
      <c r="I34" s="216"/>
    </row>
    <row r="35" ht="14.25" customHeight="1">
      <c r="A35" s="278" t="s">
        <v>113</v>
      </c>
      <c r="B35" s="364">
        <v>15308.38</v>
      </c>
      <c r="C35" s="364">
        <v>15308.38</v>
      </c>
      <c r="D35" s="405"/>
      <c r="E35" s="405"/>
      <c r="F35" s="403">
        <f t="shared" si="1"/>
        <v>0</v>
      </c>
      <c r="I35" s="216"/>
    </row>
    <row r="36" ht="14.25" customHeight="1">
      <c r="A36" s="278" t="s">
        <v>114</v>
      </c>
      <c r="B36" s="364">
        <v>110560.49</v>
      </c>
      <c r="C36" s="364">
        <v>110560.0</v>
      </c>
      <c r="D36" s="405"/>
      <c r="E36" s="405"/>
      <c r="F36" s="403">
        <f t="shared" si="1"/>
        <v>0.49</v>
      </c>
      <c r="I36" s="216"/>
    </row>
    <row r="37" ht="14.25" customHeight="1">
      <c r="A37" s="278" t="s">
        <v>115</v>
      </c>
      <c r="B37" s="364">
        <v>153083.75</v>
      </c>
      <c r="C37" s="364">
        <v>153083.75</v>
      </c>
      <c r="D37" s="405"/>
      <c r="E37" s="405"/>
      <c r="F37" s="403">
        <f t="shared" si="1"/>
        <v>0</v>
      </c>
      <c r="I37" s="216"/>
    </row>
    <row r="38" ht="14.25" customHeight="1">
      <c r="A38" s="278" t="s">
        <v>116</v>
      </c>
      <c r="B38" s="364">
        <v>28915.82</v>
      </c>
      <c r="C38" s="364">
        <v>28915.82</v>
      </c>
      <c r="D38" s="405"/>
      <c r="E38" s="405"/>
      <c r="F38" s="403">
        <f t="shared" si="1"/>
        <v>0</v>
      </c>
      <c r="I38" s="216"/>
    </row>
    <row r="39" ht="14.25" customHeight="1">
      <c r="A39" s="278" t="s">
        <v>117</v>
      </c>
      <c r="B39" s="364">
        <v>5102.79</v>
      </c>
      <c r="C39" s="364">
        <v>5102.79</v>
      </c>
      <c r="D39" s="405"/>
      <c r="E39" s="405"/>
      <c r="F39" s="403">
        <f t="shared" si="1"/>
        <v>0</v>
      </c>
      <c r="I39" s="216"/>
    </row>
    <row r="40" ht="14.25" customHeight="1">
      <c r="A40" s="278" t="s">
        <v>118</v>
      </c>
      <c r="B40" s="364">
        <v>3155226.27</v>
      </c>
      <c r="C40" s="364">
        <v>3155226.27</v>
      </c>
      <c r="D40" s="405"/>
      <c r="E40" s="405"/>
      <c r="F40" s="403">
        <f t="shared" si="1"/>
        <v>0</v>
      </c>
      <c r="I40" s="216"/>
    </row>
    <row r="41" ht="14.25" customHeight="1">
      <c r="A41" s="278" t="s">
        <v>119</v>
      </c>
      <c r="B41" s="364">
        <v>464354.06</v>
      </c>
      <c r="C41" s="364">
        <v>464354.06</v>
      </c>
      <c r="D41" s="405"/>
      <c r="E41" s="405"/>
      <c r="F41" s="403">
        <f t="shared" si="1"/>
        <v>0</v>
      </c>
      <c r="I41" s="216"/>
    </row>
    <row r="42" ht="14.25" customHeight="1">
      <c r="A42" s="278" t="s">
        <v>120</v>
      </c>
      <c r="B42" s="364">
        <v>1481510.56</v>
      </c>
      <c r="C42" s="364">
        <v>1481510.56</v>
      </c>
      <c r="D42" s="405"/>
      <c r="E42" s="405"/>
      <c r="F42" s="403">
        <f t="shared" si="1"/>
        <v>0</v>
      </c>
      <c r="I42" s="216"/>
    </row>
    <row r="43" ht="14.25" customHeight="1">
      <c r="A43" s="278" t="s">
        <v>122</v>
      </c>
      <c r="B43" s="364">
        <v>1408370.54</v>
      </c>
      <c r="C43" s="364">
        <v>1408370.54</v>
      </c>
      <c r="D43" s="405"/>
      <c r="E43" s="405"/>
      <c r="F43" s="403">
        <f t="shared" si="1"/>
        <v>0</v>
      </c>
      <c r="I43" s="216"/>
    </row>
    <row r="44" ht="14.25" customHeight="1">
      <c r="A44" s="278" t="s">
        <v>123</v>
      </c>
      <c r="B44" s="364">
        <v>869175.54</v>
      </c>
      <c r="C44" s="364">
        <v>869176.0</v>
      </c>
      <c r="D44" s="405"/>
      <c r="E44" s="405"/>
      <c r="F44" s="403">
        <f t="shared" si="1"/>
        <v>-0.46</v>
      </c>
      <c r="I44" s="216"/>
    </row>
    <row r="45" ht="14.25" customHeight="1">
      <c r="A45" s="278" t="s">
        <v>124</v>
      </c>
      <c r="B45" s="364">
        <v>301064.72</v>
      </c>
      <c r="C45" s="364">
        <v>301065.0</v>
      </c>
      <c r="D45" s="405"/>
      <c r="E45" s="405"/>
      <c r="F45" s="403">
        <f t="shared" si="1"/>
        <v>-0.28</v>
      </c>
      <c r="I45" s="216"/>
    </row>
    <row r="46" ht="14.25" customHeight="1">
      <c r="A46" s="278" t="s">
        <v>125</v>
      </c>
      <c r="B46" s="364">
        <v>2724890.83</v>
      </c>
      <c r="C46" s="364">
        <f>2275000+262300+90600+96990.83</f>
        <v>2724890.83</v>
      </c>
      <c r="D46" s="405"/>
      <c r="E46" s="405"/>
      <c r="F46" s="403">
        <f t="shared" si="1"/>
        <v>0</v>
      </c>
      <c r="I46" s="216"/>
    </row>
    <row r="47" ht="14.25" customHeight="1">
      <c r="A47" s="317" t="s">
        <v>126</v>
      </c>
      <c r="B47" s="364">
        <v>5102.79</v>
      </c>
      <c r="C47" s="364">
        <v>5102.79</v>
      </c>
      <c r="D47" s="405"/>
      <c r="E47" s="405"/>
      <c r="F47" s="403">
        <f t="shared" si="1"/>
        <v>0</v>
      </c>
      <c r="I47" s="216"/>
    </row>
    <row r="48" ht="14.25" customHeight="1">
      <c r="A48" s="317" t="s">
        <v>128</v>
      </c>
      <c r="B48" s="364">
        <v>241532.15</v>
      </c>
      <c r="C48" s="364">
        <v>241532.15</v>
      </c>
      <c r="D48" s="405"/>
      <c r="E48" s="405"/>
      <c r="F48" s="403">
        <f t="shared" si="1"/>
        <v>0</v>
      </c>
      <c r="I48" s="216"/>
    </row>
    <row r="49" ht="14.25" customHeight="1">
      <c r="A49" s="278" t="s">
        <v>129</v>
      </c>
      <c r="B49" s="364">
        <v>175195.85</v>
      </c>
      <c r="C49" s="364">
        <v>175195.85</v>
      </c>
      <c r="D49" s="405"/>
      <c r="E49" s="405"/>
      <c r="F49" s="403">
        <f t="shared" si="1"/>
        <v>0</v>
      </c>
      <c r="I49" s="216"/>
    </row>
    <row r="50" ht="14.25" customHeight="1">
      <c r="A50" s="278" t="s">
        <v>131</v>
      </c>
      <c r="B50" s="364">
        <v>5403856.53</v>
      </c>
      <c r="C50" s="364">
        <v>5403856.53</v>
      </c>
      <c r="D50" s="405"/>
      <c r="E50" s="405"/>
      <c r="F50" s="403">
        <f t="shared" si="1"/>
        <v>0</v>
      </c>
      <c r="I50" s="216"/>
    </row>
    <row r="51" ht="14.25" customHeight="1">
      <c r="A51" s="278" t="s">
        <v>156</v>
      </c>
      <c r="B51" s="364">
        <v>1809790.16</v>
      </c>
      <c r="C51" s="364">
        <v>1809790.16</v>
      </c>
      <c r="D51" s="405"/>
      <c r="E51" s="405"/>
      <c r="F51" s="403">
        <f t="shared" si="1"/>
        <v>0</v>
      </c>
      <c r="I51" s="216"/>
    </row>
    <row r="52" ht="14.25" customHeight="1">
      <c r="A52" s="278" t="s">
        <v>133</v>
      </c>
      <c r="B52" s="364">
        <v>1922051.58</v>
      </c>
      <c r="C52" s="364">
        <v>1922051.58</v>
      </c>
      <c r="D52" s="405"/>
      <c r="E52" s="405"/>
      <c r="F52" s="403">
        <f t="shared" si="1"/>
        <v>0</v>
      </c>
      <c r="I52" s="216"/>
    </row>
    <row r="53" ht="14.25" customHeight="1">
      <c r="A53" s="278" t="s">
        <v>134</v>
      </c>
      <c r="B53" s="364">
        <v>3401.86</v>
      </c>
      <c r="C53" s="405"/>
      <c r="D53" s="405"/>
      <c r="E53" s="405"/>
      <c r="F53" s="403">
        <f t="shared" si="1"/>
        <v>3401.86</v>
      </c>
      <c r="I53" s="216"/>
    </row>
    <row r="54" ht="14.25" customHeight="1">
      <c r="A54" s="278" t="s">
        <v>136</v>
      </c>
      <c r="B54" s="364">
        <v>147980.96</v>
      </c>
      <c r="C54" s="405"/>
      <c r="D54" s="405"/>
      <c r="E54" s="405"/>
      <c r="F54" s="403">
        <f t="shared" si="1"/>
        <v>147980.96</v>
      </c>
      <c r="I54" s="216"/>
    </row>
    <row r="55" ht="14.25" customHeight="1">
      <c r="A55" s="278" t="s">
        <v>138</v>
      </c>
      <c r="B55" s="364">
        <v>1.123294572E7</v>
      </c>
      <c r="C55" s="364">
        <v>1.123294572E7</v>
      </c>
      <c r="D55" s="405"/>
      <c r="E55" s="364"/>
      <c r="F55" s="403">
        <f t="shared" si="1"/>
        <v>0</v>
      </c>
      <c r="I55" s="216"/>
    </row>
    <row r="56" ht="14.25" customHeight="1">
      <c r="A56" s="278" t="s">
        <v>139</v>
      </c>
      <c r="B56" s="364">
        <f>29333333.33-714323.4</f>
        <v>28619009.93</v>
      </c>
      <c r="C56" s="405">
        <f>4500000+1678652+1467000+1514000+6412244+399677+3612941+6814819-714323.4+1467000+1467000</f>
        <v>28619009.6</v>
      </c>
      <c r="D56" s="405"/>
      <c r="E56" s="405"/>
      <c r="F56" s="403">
        <f t="shared" si="1"/>
        <v>0.3299999982</v>
      </c>
      <c r="I56" s="216"/>
    </row>
    <row r="57" ht="14.25" customHeight="1">
      <c r="A57" s="369" t="s">
        <v>140</v>
      </c>
      <c r="B57" s="364">
        <v>17009.31</v>
      </c>
      <c r="C57" s="409"/>
      <c r="D57" s="410"/>
      <c r="E57" s="411"/>
      <c r="F57" s="403">
        <f t="shared" si="1"/>
        <v>17009.31</v>
      </c>
      <c r="I57" s="216"/>
    </row>
    <row r="58" ht="14.25" customHeight="1">
      <c r="A58" s="372" t="s">
        <v>143</v>
      </c>
      <c r="B58" s="373">
        <f t="shared" ref="B58:F58" si="2">SUM(B9:B57)</f>
        <v>132912644.9</v>
      </c>
      <c r="C58" s="412">
        <f t="shared" si="2"/>
        <v>124966267.6</v>
      </c>
      <c r="D58" s="412">
        <f t="shared" si="2"/>
        <v>1533532</v>
      </c>
      <c r="E58" s="412">
        <f t="shared" si="2"/>
        <v>-0.02360682935</v>
      </c>
      <c r="F58" s="413">
        <f t="shared" si="2"/>
        <v>6412845.319</v>
      </c>
      <c r="I58" s="216"/>
    </row>
    <row r="59" ht="14.25" customHeight="1">
      <c r="A59" s="375" t="s">
        <v>157</v>
      </c>
      <c r="B59" s="252">
        <v>714323.4</v>
      </c>
      <c r="C59" s="252"/>
      <c r="D59" s="252"/>
      <c r="E59" s="252"/>
      <c r="F59" s="264">
        <f>B59-C59-D59-E59</f>
        <v>714323.4</v>
      </c>
      <c r="I59" s="216"/>
    </row>
    <row r="60" ht="14.25" customHeight="1">
      <c r="A60" s="333" t="s">
        <v>158</v>
      </c>
      <c r="B60" s="247">
        <f t="shared" ref="B60:F60" si="3">B58+B59</f>
        <v>133626968.3</v>
      </c>
      <c r="C60" s="247">
        <f t="shared" si="3"/>
        <v>124966267.6</v>
      </c>
      <c r="D60" s="247">
        <f t="shared" si="3"/>
        <v>1533532</v>
      </c>
      <c r="E60" s="247">
        <f t="shared" si="3"/>
        <v>-0.02360682935</v>
      </c>
      <c r="F60" s="249">
        <f t="shared" si="3"/>
        <v>7127168.719</v>
      </c>
      <c r="I60" s="216"/>
    </row>
    <row r="61" ht="14.25" customHeight="1">
      <c r="A61" s="378" t="s">
        <v>186</v>
      </c>
      <c r="B61" s="336"/>
      <c r="C61" s="336"/>
      <c r="D61" s="336"/>
      <c r="E61" s="336"/>
      <c r="F61" s="336"/>
      <c r="I61" s="216"/>
    </row>
    <row r="62" ht="14.25" customHeight="1">
      <c r="A62" s="379"/>
      <c r="B62" s="379"/>
      <c r="C62" s="379"/>
      <c r="D62" s="379"/>
      <c r="E62" s="379"/>
      <c r="F62" s="379"/>
      <c r="I62" s="216"/>
    </row>
    <row r="63" ht="14.25" customHeight="1">
      <c r="A63" s="336"/>
      <c r="B63" s="336"/>
      <c r="C63" s="336"/>
      <c r="D63" s="336"/>
      <c r="E63" s="336"/>
      <c r="F63" s="336"/>
      <c r="I63" s="216"/>
    </row>
    <row r="64" ht="14.25" customHeight="1">
      <c r="A64" s="337" t="s">
        <v>159</v>
      </c>
      <c r="B64" s="414">
        <f>B12+B13+B15+B19+B21+B27+B34+B36+B43+B46+B48+B49+B53+B54+B57</f>
        <v>6211798.57</v>
      </c>
      <c r="C64" s="414">
        <f t="shared" ref="C64:E64" si="4">C12+C13+C15+C19+C21+C26+C34+C36+C43+C46+C48+C49+C53+C54+C57</f>
        <v>5453183.02</v>
      </c>
      <c r="D64" s="414">
        <f t="shared" si="4"/>
        <v>0</v>
      </c>
      <c r="E64" s="414">
        <f t="shared" si="4"/>
        <v>0</v>
      </c>
      <c r="F64" s="415">
        <f>B64-C64-D64-E64</f>
        <v>758615.55</v>
      </c>
      <c r="I64" s="216"/>
    </row>
    <row r="65" ht="14.25" customHeight="1">
      <c r="C65" s="353"/>
      <c r="I65" s="216"/>
    </row>
    <row r="66" ht="14.25" customHeight="1">
      <c r="A66" s="312"/>
      <c r="B66" s="353"/>
      <c r="C66" s="325"/>
      <c r="D66" s="312"/>
      <c r="E66" s="312"/>
      <c r="F66" s="416"/>
      <c r="G66" s="312"/>
      <c r="H66" s="312"/>
      <c r="I66" s="417"/>
      <c r="J66" s="312"/>
      <c r="K66" s="312"/>
      <c r="L66" s="312"/>
      <c r="M66" s="312"/>
      <c r="N66" s="312"/>
      <c r="O66" s="312"/>
      <c r="P66" s="312"/>
      <c r="Q66" s="312"/>
      <c r="R66" s="312"/>
      <c r="S66" s="312"/>
      <c r="T66" s="312"/>
      <c r="U66" s="312"/>
      <c r="V66" s="312"/>
      <c r="W66" s="312"/>
      <c r="X66" s="312"/>
      <c r="Y66" s="312"/>
      <c r="Z66" s="312"/>
    </row>
    <row r="67" ht="14.25" customHeight="1">
      <c r="C67" s="399"/>
      <c r="F67" s="289"/>
      <c r="I67" s="216"/>
    </row>
    <row r="68" ht="14.25" customHeight="1">
      <c r="C68" s="418"/>
      <c r="I68" s="216"/>
    </row>
    <row r="69" ht="14.25" customHeight="1">
      <c r="C69" s="353"/>
      <c r="I69" s="216"/>
    </row>
    <row r="70" ht="14.25" customHeight="1">
      <c r="C70" s="353"/>
      <c r="I70" s="216"/>
    </row>
    <row r="71" ht="14.25" customHeight="1">
      <c r="I71" s="216"/>
    </row>
    <row r="72" ht="14.25" customHeight="1">
      <c r="I72" s="216"/>
    </row>
    <row r="73" ht="14.25" customHeight="1">
      <c r="I73" s="216"/>
    </row>
    <row r="74" ht="14.25" customHeight="1">
      <c r="I74" s="216"/>
    </row>
    <row r="75" ht="14.25" customHeight="1">
      <c r="I75" s="216"/>
    </row>
    <row r="76" ht="14.25" customHeight="1">
      <c r="I76" s="216"/>
    </row>
    <row r="77" ht="14.25" customHeight="1">
      <c r="I77" s="216"/>
    </row>
    <row r="78" ht="14.25" customHeight="1">
      <c r="I78" s="216"/>
    </row>
    <row r="79" ht="14.25" customHeight="1">
      <c r="I79" s="216"/>
    </row>
    <row r="80" ht="14.25" customHeight="1">
      <c r="I80" s="216"/>
    </row>
    <row r="81" ht="14.25" customHeight="1">
      <c r="I81" s="216"/>
    </row>
    <row r="82" ht="14.25" customHeight="1">
      <c r="I82" s="216"/>
    </row>
    <row r="83" ht="14.25" customHeight="1">
      <c r="I83" s="216"/>
    </row>
    <row r="84" ht="14.25" customHeight="1">
      <c r="I84" s="216"/>
    </row>
    <row r="85" ht="14.25" customHeight="1">
      <c r="I85" s="216"/>
    </row>
    <row r="86" ht="14.25" customHeight="1">
      <c r="I86" s="216"/>
    </row>
    <row r="87" ht="14.25" customHeight="1">
      <c r="I87" s="216"/>
    </row>
    <row r="88" ht="14.25" customHeight="1">
      <c r="I88" s="216"/>
    </row>
    <row r="89" ht="14.25" customHeight="1">
      <c r="I89" s="216"/>
    </row>
    <row r="90" ht="14.25" customHeight="1">
      <c r="I90" s="216"/>
    </row>
    <row r="91" ht="14.25" customHeight="1">
      <c r="I91" s="216"/>
    </row>
    <row r="92" ht="14.25" customHeight="1">
      <c r="I92" s="216"/>
    </row>
    <row r="93" ht="14.25" customHeight="1">
      <c r="I93" s="216"/>
    </row>
    <row r="94" ht="14.25" customHeight="1">
      <c r="I94" s="216"/>
    </row>
    <row r="95" ht="14.25" customHeight="1">
      <c r="I95" s="216"/>
    </row>
    <row r="96" ht="14.25" customHeight="1">
      <c r="I96" s="216"/>
    </row>
    <row r="97" ht="14.25" customHeight="1">
      <c r="I97" s="216"/>
    </row>
    <row r="98" ht="14.25" customHeight="1">
      <c r="I98" s="216"/>
    </row>
    <row r="99" ht="14.25" customHeight="1">
      <c r="I99" s="216"/>
    </row>
    <row r="100" ht="14.25" customHeight="1">
      <c r="I100" s="216"/>
    </row>
    <row r="101" ht="14.25" customHeight="1">
      <c r="I101" s="216"/>
    </row>
    <row r="102" ht="14.25" customHeight="1">
      <c r="I102" s="216"/>
    </row>
    <row r="103" ht="14.25" customHeight="1">
      <c r="I103" s="216"/>
    </row>
    <row r="104" ht="14.25" customHeight="1">
      <c r="I104" s="216"/>
    </row>
    <row r="105" ht="14.25" customHeight="1">
      <c r="I105" s="216"/>
    </row>
    <row r="106" ht="14.25" customHeight="1">
      <c r="I106" s="216"/>
    </row>
    <row r="107" ht="14.25" customHeight="1">
      <c r="I107" s="216"/>
    </row>
    <row r="108" ht="14.25" customHeight="1">
      <c r="I108" s="216"/>
    </row>
    <row r="109" ht="14.25" customHeight="1">
      <c r="I109" s="216"/>
    </row>
    <row r="110" ht="14.25" customHeight="1">
      <c r="I110" s="216"/>
    </row>
    <row r="111" ht="14.25" customHeight="1">
      <c r="I111" s="216"/>
    </row>
    <row r="112" ht="14.25" customHeight="1">
      <c r="I112" s="216"/>
    </row>
    <row r="113" ht="14.25" customHeight="1">
      <c r="I113" s="216"/>
    </row>
    <row r="114" ht="14.25" customHeight="1">
      <c r="I114" s="216"/>
    </row>
    <row r="115" ht="14.25" customHeight="1">
      <c r="I115" s="216"/>
    </row>
    <row r="116" ht="14.25" customHeight="1">
      <c r="I116" s="216"/>
    </row>
    <row r="117" ht="14.25" customHeight="1">
      <c r="I117" s="216"/>
    </row>
    <row r="118" ht="14.25" customHeight="1">
      <c r="I118" s="216"/>
    </row>
    <row r="119" ht="14.25" customHeight="1">
      <c r="I119" s="216"/>
    </row>
    <row r="120" ht="14.25" customHeight="1">
      <c r="I120" s="216"/>
    </row>
    <row r="121" ht="14.25" customHeight="1">
      <c r="I121" s="216"/>
    </row>
    <row r="122" ht="14.25" customHeight="1">
      <c r="I122" s="216"/>
    </row>
    <row r="123" ht="14.25" customHeight="1">
      <c r="I123" s="216"/>
    </row>
    <row r="124" ht="14.25" customHeight="1">
      <c r="I124" s="216"/>
    </row>
    <row r="125" ht="14.25" customHeight="1">
      <c r="I125" s="216"/>
    </row>
    <row r="126" ht="14.25" customHeight="1">
      <c r="I126" s="216"/>
    </row>
    <row r="127" ht="14.25" customHeight="1">
      <c r="I127" s="216"/>
    </row>
    <row r="128" ht="14.25" customHeight="1">
      <c r="I128" s="216"/>
    </row>
    <row r="129" ht="14.25" customHeight="1">
      <c r="I129" s="216"/>
    </row>
    <row r="130" ht="14.25" customHeight="1">
      <c r="I130" s="216"/>
    </row>
    <row r="131" ht="14.25" customHeight="1">
      <c r="I131" s="216"/>
    </row>
    <row r="132" ht="14.25" customHeight="1">
      <c r="I132" s="216"/>
    </row>
    <row r="133" ht="14.25" customHeight="1">
      <c r="I133" s="216"/>
    </row>
    <row r="134" ht="14.25" customHeight="1">
      <c r="I134" s="216"/>
    </row>
    <row r="135" ht="14.25" customHeight="1">
      <c r="I135" s="216"/>
    </row>
    <row r="136" ht="14.25" customHeight="1">
      <c r="I136" s="216"/>
    </row>
    <row r="137" ht="14.25" customHeight="1">
      <c r="I137" s="216"/>
    </row>
    <row r="138" ht="14.25" customHeight="1">
      <c r="I138" s="216"/>
    </row>
    <row r="139" ht="14.25" customHeight="1">
      <c r="I139" s="216"/>
    </row>
    <row r="140" ht="14.25" customHeight="1">
      <c r="I140" s="216"/>
    </row>
    <row r="141" ht="14.25" customHeight="1">
      <c r="I141" s="216"/>
    </row>
    <row r="142" ht="14.25" customHeight="1">
      <c r="I142" s="216"/>
    </row>
    <row r="143" ht="14.25" customHeight="1">
      <c r="I143" s="216"/>
    </row>
    <row r="144" ht="14.25" customHeight="1">
      <c r="I144" s="216"/>
    </row>
    <row r="145" ht="14.25" customHeight="1">
      <c r="I145" s="216"/>
    </row>
    <row r="146" ht="14.25" customHeight="1">
      <c r="I146" s="216"/>
    </row>
    <row r="147" ht="14.25" customHeight="1">
      <c r="I147" s="216"/>
    </row>
    <row r="148" ht="14.25" customHeight="1">
      <c r="I148" s="216"/>
    </row>
    <row r="149" ht="14.25" customHeight="1">
      <c r="I149" s="216"/>
    </row>
    <row r="150" ht="14.25" customHeight="1">
      <c r="I150" s="216"/>
    </row>
    <row r="151" ht="14.25" customHeight="1">
      <c r="I151" s="216"/>
    </row>
    <row r="152" ht="14.25" customHeight="1">
      <c r="I152" s="216"/>
    </row>
    <row r="153" ht="14.25" customHeight="1">
      <c r="I153" s="216"/>
    </row>
    <row r="154" ht="14.25" customHeight="1">
      <c r="I154" s="216"/>
    </row>
    <row r="155" ht="14.25" customHeight="1">
      <c r="I155" s="216"/>
    </row>
    <row r="156" ht="14.25" customHeight="1">
      <c r="I156" s="216"/>
    </row>
    <row r="157" ht="14.25" customHeight="1">
      <c r="I157" s="216"/>
    </row>
    <row r="158" ht="14.25" customHeight="1">
      <c r="I158" s="216"/>
    </row>
    <row r="159" ht="14.25" customHeight="1">
      <c r="I159" s="216"/>
    </row>
    <row r="160" ht="14.25" customHeight="1">
      <c r="I160" s="216"/>
    </row>
    <row r="161" ht="14.25" customHeight="1">
      <c r="I161" s="216"/>
    </row>
    <row r="162" ht="14.25" customHeight="1">
      <c r="I162" s="216"/>
    </row>
    <row r="163" ht="14.25" customHeight="1">
      <c r="I163" s="216"/>
    </row>
    <row r="164" ht="14.25" customHeight="1">
      <c r="I164" s="216"/>
    </row>
    <row r="165" ht="14.25" customHeight="1">
      <c r="I165" s="216"/>
    </row>
    <row r="166" ht="14.25" customHeight="1">
      <c r="I166" s="216"/>
    </row>
    <row r="167" ht="14.25" customHeight="1">
      <c r="I167" s="216"/>
    </row>
    <row r="168" ht="14.25" customHeight="1">
      <c r="I168" s="216"/>
    </row>
    <row r="169" ht="14.25" customHeight="1">
      <c r="I169" s="216"/>
    </row>
    <row r="170" ht="14.25" customHeight="1">
      <c r="I170" s="216"/>
    </row>
    <row r="171" ht="14.25" customHeight="1">
      <c r="I171" s="216"/>
    </row>
    <row r="172" ht="14.25" customHeight="1">
      <c r="I172" s="216"/>
    </row>
    <row r="173" ht="14.25" customHeight="1">
      <c r="I173" s="216"/>
    </row>
    <row r="174" ht="14.25" customHeight="1">
      <c r="I174" s="216"/>
    </row>
    <row r="175" ht="14.25" customHeight="1">
      <c r="I175" s="216"/>
    </row>
    <row r="176" ht="14.25" customHeight="1">
      <c r="I176" s="216"/>
    </row>
    <row r="177" ht="14.25" customHeight="1">
      <c r="I177" s="216"/>
    </row>
    <row r="178" ht="14.25" customHeight="1">
      <c r="I178" s="216"/>
    </row>
    <row r="179" ht="14.25" customHeight="1">
      <c r="I179" s="216"/>
    </row>
    <row r="180" ht="14.25" customHeight="1">
      <c r="I180" s="216"/>
    </row>
    <row r="181" ht="14.25" customHeight="1">
      <c r="I181" s="216"/>
    </row>
    <row r="182" ht="14.25" customHeight="1">
      <c r="I182" s="216"/>
    </row>
    <row r="183" ht="14.25" customHeight="1">
      <c r="I183" s="216"/>
    </row>
    <row r="184" ht="14.25" customHeight="1">
      <c r="I184" s="216"/>
    </row>
    <row r="185" ht="14.25" customHeight="1">
      <c r="I185" s="216"/>
    </row>
    <row r="186" ht="14.25" customHeight="1">
      <c r="I186" s="216"/>
    </row>
    <row r="187" ht="14.25" customHeight="1">
      <c r="I187" s="216"/>
    </row>
    <row r="188" ht="14.25" customHeight="1">
      <c r="I188" s="216"/>
    </row>
    <row r="189" ht="14.25" customHeight="1">
      <c r="I189" s="216"/>
    </row>
    <row r="190" ht="14.25" customHeight="1">
      <c r="I190" s="216"/>
    </row>
    <row r="191" ht="14.25" customHeight="1">
      <c r="I191" s="216"/>
    </row>
    <row r="192" ht="14.25" customHeight="1">
      <c r="I192" s="216"/>
    </row>
    <row r="193" ht="14.25" customHeight="1">
      <c r="I193" s="216"/>
    </row>
    <row r="194" ht="14.25" customHeight="1">
      <c r="I194" s="216"/>
    </row>
    <row r="195" ht="14.25" customHeight="1">
      <c r="I195" s="216"/>
    </row>
    <row r="196" ht="14.25" customHeight="1">
      <c r="I196" s="216"/>
    </row>
    <row r="197" ht="14.25" customHeight="1">
      <c r="I197" s="216"/>
    </row>
    <row r="198" ht="14.25" customHeight="1">
      <c r="I198" s="216"/>
    </row>
    <row r="199" ht="14.25" customHeight="1">
      <c r="I199" s="216"/>
    </row>
    <row r="200" ht="14.25" customHeight="1">
      <c r="I200" s="216"/>
    </row>
    <row r="201" ht="14.25" customHeight="1">
      <c r="I201" s="216"/>
    </row>
    <row r="202" ht="14.25" customHeight="1">
      <c r="I202" s="216"/>
    </row>
    <row r="203" ht="14.25" customHeight="1">
      <c r="I203" s="216"/>
    </row>
    <row r="204" ht="14.25" customHeight="1">
      <c r="I204" s="216"/>
    </row>
    <row r="205" ht="14.25" customHeight="1">
      <c r="I205" s="216"/>
    </row>
    <row r="206" ht="14.25" customHeight="1">
      <c r="I206" s="216"/>
    </row>
    <row r="207" ht="14.25" customHeight="1">
      <c r="I207" s="216"/>
    </row>
    <row r="208" ht="14.25" customHeight="1">
      <c r="I208" s="216"/>
    </row>
    <row r="209" ht="14.25" customHeight="1">
      <c r="I209" s="216"/>
    </row>
    <row r="210" ht="14.25" customHeight="1">
      <c r="I210" s="216"/>
    </row>
    <row r="211" ht="14.25" customHeight="1">
      <c r="I211" s="216"/>
    </row>
    <row r="212" ht="14.25" customHeight="1">
      <c r="I212" s="216"/>
    </row>
    <row r="213" ht="14.25" customHeight="1">
      <c r="I213" s="216"/>
    </row>
    <row r="214" ht="14.25" customHeight="1">
      <c r="I214" s="216"/>
    </row>
    <row r="215" ht="14.25" customHeight="1">
      <c r="I215" s="216"/>
    </row>
    <row r="216" ht="14.25" customHeight="1">
      <c r="I216" s="216"/>
    </row>
    <row r="217" ht="14.25" customHeight="1">
      <c r="I217" s="216"/>
    </row>
    <row r="218" ht="14.25" customHeight="1">
      <c r="I218" s="216"/>
    </row>
    <row r="219" ht="14.25" customHeight="1">
      <c r="I219" s="216"/>
    </row>
    <row r="220" ht="14.25" customHeight="1">
      <c r="I220" s="216"/>
    </row>
    <row r="221" ht="14.25" customHeight="1">
      <c r="I221" s="216"/>
    </row>
    <row r="222" ht="14.25" customHeight="1">
      <c r="I222" s="216"/>
    </row>
    <row r="223" ht="14.25" customHeight="1">
      <c r="I223" s="216"/>
    </row>
    <row r="224" ht="14.25" customHeight="1">
      <c r="I224" s="216"/>
    </row>
    <row r="225" ht="14.25" customHeight="1">
      <c r="I225" s="216"/>
    </row>
    <row r="226" ht="14.25" customHeight="1">
      <c r="I226" s="216"/>
    </row>
    <row r="227" ht="14.25" customHeight="1">
      <c r="I227" s="216"/>
    </row>
    <row r="228" ht="14.25" customHeight="1">
      <c r="I228" s="216"/>
    </row>
    <row r="229" ht="14.25" customHeight="1">
      <c r="I229" s="216"/>
    </row>
    <row r="230" ht="14.25" customHeight="1">
      <c r="I230" s="216"/>
    </row>
    <row r="231" ht="14.25" customHeight="1">
      <c r="I231" s="216"/>
    </row>
    <row r="232" ht="14.25" customHeight="1">
      <c r="I232" s="216"/>
    </row>
    <row r="233" ht="14.25" customHeight="1">
      <c r="I233" s="216"/>
    </row>
    <row r="234" ht="14.25" customHeight="1">
      <c r="I234" s="216"/>
    </row>
    <row r="235" ht="14.25" customHeight="1">
      <c r="I235" s="216"/>
    </row>
    <row r="236" ht="14.25" customHeight="1">
      <c r="I236" s="216"/>
    </row>
    <row r="237" ht="14.25" customHeight="1">
      <c r="I237" s="216"/>
    </row>
    <row r="238" ht="14.25" customHeight="1">
      <c r="I238" s="216"/>
    </row>
    <row r="239" ht="14.25" customHeight="1">
      <c r="I239" s="216"/>
    </row>
    <row r="240" ht="14.25" customHeight="1">
      <c r="I240" s="216"/>
    </row>
    <row r="241" ht="14.25" customHeight="1">
      <c r="I241" s="216"/>
    </row>
    <row r="242" ht="14.25" customHeight="1">
      <c r="I242" s="216"/>
    </row>
    <row r="243" ht="14.25" customHeight="1">
      <c r="I243" s="216"/>
    </row>
    <row r="244" ht="14.25" customHeight="1">
      <c r="I244" s="216"/>
    </row>
    <row r="245" ht="14.25" customHeight="1">
      <c r="I245" s="216"/>
    </row>
    <row r="246" ht="14.25" customHeight="1">
      <c r="I246" s="216"/>
    </row>
    <row r="247" ht="14.25" customHeight="1">
      <c r="I247" s="216"/>
    </row>
    <row r="248" ht="14.25" customHeight="1">
      <c r="I248" s="216"/>
    </row>
    <row r="249" ht="14.25" customHeight="1">
      <c r="I249" s="216"/>
    </row>
    <row r="250" ht="14.25" customHeight="1">
      <c r="I250" s="216"/>
    </row>
    <row r="251" ht="14.25" customHeight="1">
      <c r="I251" s="216"/>
    </row>
    <row r="252" ht="14.25" customHeight="1">
      <c r="I252" s="216"/>
    </row>
    <row r="253" ht="14.25" customHeight="1">
      <c r="I253" s="216"/>
    </row>
    <row r="254" ht="14.25" customHeight="1">
      <c r="I254" s="216"/>
    </row>
    <row r="255" ht="14.25" customHeight="1">
      <c r="I255" s="216"/>
    </row>
    <row r="256" ht="14.25" customHeight="1">
      <c r="I256" s="216"/>
    </row>
    <row r="257" ht="14.25" customHeight="1">
      <c r="I257" s="216"/>
    </row>
    <row r="258" ht="14.25" customHeight="1">
      <c r="I258" s="216"/>
    </row>
    <row r="259" ht="14.25" customHeight="1">
      <c r="I259" s="216"/>
    </row>
    <row r="260" ht="14.25" customHeight="1">
      <c r="I260" s="216"/>
    </row>
    <row r="261" ht="14.25" customHeight="1">
      <c r="I261" s="216"/>
    </row>
    <row r="262" ht="14.25" customHeight="1">
      <c r="I262" s="216"/>
    </row>
    <row r="263" ht="14.25" customHeight="1">
      <c r="I263" s="216"/>
    </row>
    <row r="264" ht="14.25" customHeight="1">
      <c r="I264" s="216"/>
    </row>
    <row r="265" ht="14.25" customHeight="1">
      <c r="I265" s="216"/>
    </row>
    <row r="266" ht="14.25" customHeight="1">
      <c r="I266" s="216"/>
    </row>
    <row r="267" ht="14.25" customHeight="1">
      <c r="I267" s="216"/>
    </row>
    <row r="268" ht="14.25" customHeight="1">
      <c r="I268" s="216"/>
    </row>
    <row r="269" ht="14.25" customHeight="1">
      <c r="I269" s="216"/>
    </row>
    <row r="270" ht="14.25" customHeight="1">
      <c r="I270" s="216"/>
    </row>
    <row r="271" ht="14.25" customHeight="1">
      <c r="I271" s="216"/>
    </row>
    <row r="272" ht="14.25" customHeight="1">
      <c r="I272" s="216"/>
    </row>
    <row r="273" ht="14.25" customHeight="1">
      <c r="I273" s="216"/>
    </row>
    <row r="274" ht="14.25" customHeight="1">
      <c r="I274" s="216"/>
    </row>
    <row r="275" ht="14.25" customHeight="1">
      <c r="I275" s="216"/>
    </row>
    <row r="276" ht="14.25" customHeight="1">
      <c r="I276" s="216"/>
    </row>
    <row r="277" ht="14.25" customHeight="1">
      <c r="I277" s="216"/>
    </row>
    <row r="278" ht="14.25" customHeight="1">
      <c r="I278" s="216"/>
    </row>
    <row r="279" ht="14.25" customHeight="1">
      <c r="I279" s="216"/>
    </row>
    <row r="280" ht="14.25" customHeight="1">
      <c r="I280" s="216"/>
    </row>
    <row r="281" ht="14.25" customHeight="1">
      <c r="I281" s="216"/>
    </row>
    <row r="282" ht="14.25" customHeight="1">
      <c r="I282" s="216"/>
    </row>
    <row r="283" ht="14.25" customHeight="1">
      <c r="I283" s="216"/>
    </row>
    <row r="284" ht="14.25" customHeight="1">
      <c r="I284" s="216"/>
    </row>
    <row r="285" ht="14.25" customHeight="1">
      <c r="I285" s="216"/>
    </row>
    <row r="286" ht="14.25" customHeight="1">
      <c r="I286" s="216"/>
    </row>
    <row r="287" ht="14.25" customHeight="1">
      <c r="I287" s="216"/>
    </row>
    <row r="288" ht="14.25" customHeight="1">
      <c r="I288" s="216"/>
    </row>
    <row r="289" ht="14.25" customHeight="1">
      <c r="I289" s="216"/>
    </row>
    <row r="290" ht="14.25" customHeight="1">
      <c r="I290" s="216"/>
    </row>
    <row r="291" ht="14.25" customHeight="1">
      <c r="I291" s="216"/>
    </row>
    <row r="292" ht="14.25" customHeight="1">
      <c r="I292" s="216"/>
    </row>
    <row r="293" ht="14.25" customHeight="1">
      <c r="I293" s="216"/>
    </row>
    <row r="294" ht="14.25" customHeight="1">
      <c r="I294" s="216"/>
    </row>
    <row r="295" ht="14.25" customHeight="1">
      <c r="I295" s="216"/>
    </row>
    <row r="296" ht="14.25" customHeight="1">
      <c r="I296" s="216"/>
    </row>
    <row r="297" ht="14.25" customHeight="1">
      <c r="I297" s="216"/>
    </row>
    <row r="298" ht="14.25" customHeight="1">
      <c r="I298" s="216"/>
    </row>
    <row r="299" ht="14.25" customHeight="1">
      <c r="I299" s="216"/>
    </row>
    <row r="300" ht="14.25" customHeight="1">
      <c r="I300" s="216"/>
    </row>
    <row r="301" ht="14.25" customHeight="1">
      <c r="I301" s="216"/>
    </row>
    <row r="302" ht="14.25" customHeight="1">
      <c r="I302" s="216"/>
    </row>
    <row r="303" ht="14.25" customHeight="1">
      <c r="I303" s="216"/>
    </row>
    <row r="304" ht="14.25" customHeight="1">
      <c r="I304" s="216"/>
    </row>
    <row r="305" ht="14.25" customHeight="1">
      <c r="I305" s="216"/>
    </row>
    <row r="306" ht="14.25" customHeight="1">
      <c r="I306" s="216"/>
    </row>
    <row r="307" ht="14.25" customHeight="1">
      <c r="I307" s="216"/>
    </row>
    <row r="308" ht="14.25" customHeight="1">
      <c r="I308" s="216"/>
    </row>
    <row r="309" ht="14.25" customHeight="1">
      <c r="I309" s="216"/>
    </row>
    <row r="310" ht="14.25" customHeight="1">
      <c r="I310" s="216"/>
    </row>
    <row r="311" ht="14.25" customHeight="1">
      <c r="I311" s="216"/>
    </row>
    <row r="312" ht="14.25" customHeight="1">
      <c r="I312" s="216"/>
    </row>
    <row r="313" ht="14.25" customHeight="1">
      <c r="I313" s="216"/>
    </row>
    <row r="314" ht="14.25" customHeight="1">
      <c r="I314" s="216"/>
    </row>
    <row r="315" ht="14.25" customHeight="1">
      <c r="I315" s="216"/>
    </row>
    <row r="316" ht="14.25" customHeight="1">
      <c r="I316" s="216"/>
    </row>
    <row r="317" ht="14.25" customHeight="1">
      <c r="I317" s="216"/>
    </row>
    <row r="318" ht="14.25" customHeight="1">
      <c r="I318" s="216"/>
    </row>
    <row r="319" ht="14.25" customHeight="1">
      <c r="I319" s="216"/>
    </row>
    <row r="320" ht="14.25" customHeight="1">
      <c r="I320" s="216"/>
    </row>
    <row r="321" ht="14.25" customHeight="1">
      <c r="I321" s="216"/>
    </row>
    <row r="322" ht="14.25" customHeight="1">
      <c r="I322" s="216"/>
    </row>
    <row r="323" ht="14.25" customHeight="1">
      <c r="I323" s="216"/>
    </row>
    <row r="324" ht="14.25" customHeight="1">
      <c r="I324" s="216"/>
    </row>
    <row r="325" ht="14.25" customHeight="1">
      <c r="I325" s="216"/>
    </row>
    <row r="326" ht="14.25" customHeight="1">
      <c r="I326" s="216"/>
    </row>
    <row r="327" ht="14.25" customHeight="1">
      <c r="I327" s="216"/>
    </row>
    <row r="328" ht="14.25" customHeight="1">
      <c r="I328" s="216"/>
    </row>
    <row r="329" ht="14.25" customHeight="1">
      <c r="I329" s="216"/>
    </row>
    <row r="330" ht="14.25" customHeight="1">
      <c r="I330" s="216"/>
    </row>
    <row r="331" ht="14.25" customHeight="1">
      <c r="I331" s="216"/>
    </row>
    <row r="332" ht="14.25" customHeight="1">
      <c r="I332" s="216"/>
    </row>
    <row r="333" ht="14.25" customHeight="1">
      <c r="I333" s="216"/>
    </row>
    <row r="334" ht="14.25" customHeight="1">
      <c r="I334" s="216"/>
    </row>
    <row r="335" ht="14.25" customHeight="1">
      <c r="I335" s="216"/>
    </row>
    <row r="336" ht="14.25" customHeight="1">
      <c r="I336" s="216"/>
    </row>
    <row r="337" ht="14.25" customHeight="1">
      <c r="I337" s="216"/>
    </row>
    <row r="338" ht="14.25" customHeight="1">
      <c r="I338" s="216"/>
    </row>
    <row r="339" ht="14.25" customHeight="1">
      <c r="I339" s="216"/>
    </row>
    <row r="340" ht="14.25" customHeight="1">
      <c r="I340" s="216"/>
    </row>
    <row r="341" ht="14.25" customHeight="1">
      <c r="I341" s="216"/>
    </row>
    <row r="342" ht="14.25" customHeight="1">
      <c r="I342" s="216"/>
    </row>
    <row r="343" ht="14.25" customHeight="1">
      <c r="I343" s="216"/>
    </row>
    <row r="344" ht="14.25" customHeight="1">
      <c r="I344" s="216"/>
    </row>
    <row r="345" ht="14.25" customHeight="1">
      <c r="I345" s="216"/>
    </row>
    <row r="346" ht="14.25" customHeight="1">
      <c r="I346" s="216"/>
    </row>
    <row r="347" ht="14.25" customHeight="1">
      <c r="I347" s="216"/>
    </row>
    <row r="348" ht="14.25" customHeight="1">
      <c r="I348" s="216"/>
    </row>
    <row r="349" ht="14.25" customHeight="1">
      <c r="I349" s="216"/>
    </row>
    <row r="350" ht="14.25" customHeight="1">
      <c r="I350" s="216"/>
    </row>
    <row r="351" ht="14.25" customHeight="1">
      <c r="I351" s="216"/>
    </row>
    <row r="352" ht="14.25" customHeight="1">
      <c r="I352" s="216"/>
    </row>
    <row r="353" ht="14.25" customHeight="1">
      <c r="I353" s="216"/>
    </row>
    <row r="354" ht="14.25" customHeight="1">
      <c r="I354" s="216"/>
    </row>
    <row r="355" ht="14.25" customHeight="1">
      <c r="I355" s="216"/>
    </row>
    <row r="356" ht="14.25" customHeight="1">
      <c r="I356" s="216"/>
    </row>
    <row r="357" ht="14.25" customHeight="1">
      <c r="I357" s="216"/>
    </row>
    <row r="358" ht="14.25" customHeight="1">
      <c r="I358" s="216"/>
    </row>
    <row r="359" ht="14.25" customHeight="1">
      <c r="I359" s="216"/>
    </row>
    <row r="360" ht="14.25" customHeight="1">
      <c r="I360" s="216"/>
    </row>
    <row r="361" ht="14.25" customHeight="1">
      <c r="I361" s="216"/>
    </row>
    <row r="362" ht="14.25" customHeight="1">
      <c r="I362" s="216"/>
    </row>
    <row r="363" ht="14.25" customHeight="1">
      <c r="I363" s="216"/>
    </row>
    <row r="364" ht="14.25" customHeight="1">
      <c r="I364" s="216"/>
    </row>
    <row r="365" ht="14.25" customHeight="1">
      <c r="I365" s="216"/>
    </row>
    <row r="366" ht="14.25" customHeight="1">
      <c r="I366" s="216"/>
    </row>
    <row r="367" ht="14.25" customHeight="1">
      <c r="I367" s="216"/>
    </row>
    <row r="368" ht="14.25" customHeight="1">
      <c r="I368" s="216"/>
    </row>
    <row r="369" ht="14.25" customHeight="1">
      <c r="I369" s="216"/>
    </row>
    <row r="370" ht="14.25" customHeight="1">
      <c r="I370" s="216"/>
    </row>
    <row r="371" ht="14.25" customHeight="1">
      <c r="I371" s="216"/>
    </row>
    <row r="372" ht="14.25" customHeight="1">
      <c r="I372" s="216"/>
    </row>
    <row r="373" ht="14.25" customHeight="1">
      <c r="I373" s="216"/>
    </row>
    <row r="374" ht="14.25" customHeight="1">
      <c r="I374" s="216"/>
    </row>
    <row r="375" ht="14.25" customHeight="1">
      <c r="I375" s="216"/>
    </row>
    <row r="376" ht="14.25" customHeight="1">
      <c r="I376" s="216"/>
    </row>
    <row r="377" ht="14.25" customHeight="1">
      <c r="I377" s="216"/>
    </row>
    <row r="378" ht="14.25" customHeight="1">
      <c r="I378" s="216"/>
    </row>
    <row r="379" ht="14.25" customHeight="1">
      <c r="I379" s="216"/>
    </row>
    <row r="380" ht="14.25" customHeight="1">
      <c r="I380" s="216"/>
    </row>
    <row r="381" ht="14.25" customHeight="1">
      <c r="I381" s="216"/>
    </row>
    <row r="382" ht="14.25" customHeight="1">
      <c r="I382" s="216"/>
    </row>
    <row r="383" ht="14.25" customHeight="1">
      <c r="I383" s="216"/>
    </row>
    <row r="384" ht="14.25" customHeight="1">
      <c r="I384" s="216"/>
    </row>
    <row r="385" ht="14.25" customHeight="1">
      <c r="I385" s="216"/>
    </row>
    <row r="386" ht="14.25" customHeight="1">
      <c r="I386" s="216"/>
    </row>
    <row r="387" ht="14.25" customHeight="1">
      <c r="I387" s="216"/>
    </row>
    <row r="388" ht="14.25" customHeight="1">
      <c r="I388" s="216"/>
    </row>
    <row r="389" ht="14.25" customHeight="1">
      <c r="I389" s="216"/>
    </row>
    <row r="390" ht="14.25" customHeight="1">
      <c r="I390" s="216"/>
    </row>
    <row r="391" ht="14.25" customHeight="1">
      <c r="I391" s="216"/>
    </row>
    <row r="392" ht="14.25" customHeight="1">
      <c r="I392" s="216"/>
    </row>
    <row r="393" ht="14.25" customHeight="1">
      <c r="I393" s="216"/>
    </row>
    <row r="394" ht="14.25" customHeight="1">
      <c r="I394" s="216"/>
    </row>
    <row r="395" ht="14.25" customHeight="1">
      <c r="I395" s="216"/>
    </row>
    <row r="396" ht="14.25" customHeight="1">
      <c r="I396" s="216"/>
    </row>
    <row r="397" ht="14.25" customHeight="1">
      <c r="I397" s="216"/>
    </row>
    <row r="398" ht="14.25" customHeight="1">
      <c r="I398" s="216"/>
    </row>
    <row r="399" ht="14.25" customHeight="1">
      <c r="I399" s="216"/>
    </row>
    <row r="400" ht="14.25" customHeight="1">
      <c r="I400" s="216"/>
    </row>
    <row r="401" ht="14.25" customHeight="1">
      <c r="I401" s="216"/>
    </row>
    <row r="402" ht="14.25" customHeight="1">
      <c r="I402" s="216"/>
    </row>
    <row r="403" ht="14.25" customHeight="1">
      <c r="I403" s="216"/>
    </row>
    <row r="404" ht="14.25" customHeight="1">
      <c r="I404" s="216"/>
    </row>
    <row r="405" ht="14.25" customHeight="1">
      <c r="I405" s="216"/>
    </row>
    <row r="406" ht="14.25" customHeight="1">
      <c r="I406" s="216"/>
    </row>
    <row r="407" ht="14.25" customHeight="1">
      <c r="I407" s="216"/>
    </row>
    <row r="408" ht="14.25" customHeight="1">
      <c r="I408" s="216"/>
    </row>
    <row r="409" ht="14.25" customHeight="1">
      <c r="I409" s="216"/>
    </row>
    <row r="410" ht="14.25" customHeight="1">
      <c r="I410" s="216"/>
    </row>
    <row r="411" ht="14.25" customHeight="1">
      <c r="I411" s="216"/>
    </row>
    <row r="412" ht="14.25" customHeight="1">
      <c r="I412" s="216"/>
    </row>
    <row r="413" ht="14.25" customHeight="1">
      <c r="I413" s="216"/>
    </row>
    <row r="414" ht="14.25" customHeight="1">
      <c r="I414" s="216"/>
    </row>
    <row r="415" ht="14.25" customHeight="1">
      <c r="I415" s="216"/>
    </row>
    <row r="416" ht="14.25" customHeight="1">
      <c r="I416" s="216"/>
    </row>
    <row r="417" ht="14.25" customHeight="1">
      <c r="I417" s="216"/>
    </row>
    <row r="418" ht="14.25" customHeight="1">
      <c r="I418" s="216"/>
    </row>
    <row r="419" ht="14.25" customHeight="1">
      <c r="I419" s="216"/>
    </row>
    <row r="420" ht="14.25" customHeight="1">
      <c r="I420" s="216"/>
    </row>
    <row r="421" ht="14.25" customHeight="1">
      <c r="I421" s="216"/>
    </row>
    <row r="422" ht="14.25" customHeight="1">
      <c r="I422" s="216"/>
    </row>
    <row r="423" ht="14.25" customHeight="1">
      <c r="I423" s="216"/>
    </row>
    <row r="424" ht="14.25" customHeight="1">
      <c r="I424" s="216"/>
    </row>
    <row r="425" ht="14.25" customHeight="1">
      <c r="I425" s="216"/>
    </row>
    <row r="426" ht="14.25" customHeight="1">
      <c r="I426" s="216"/>
    </row>
    <row r="427" ht="14.25" customHeight="1">
      <c r="I427" s="216"/>
    </row>
    <row r="428" ht="14.25" customHeight="1">
      <c r="I428" s="216"/>
    </row>
    <row r="429" ht="14.25" customHeight="1">
      <c r="I429" s="216"/>
    </row>
    <row r="430" ht="14.25" customHeight="1">
      <c r="I430" s="216"/>
    </row>
    <row r="431" ht="14.25" customHeight="1">
      <c r="I431" s="216"/>
    </row>
    <row r="432" ht="14.25" customHeight="1">
      <c r="I432" s="216"/>
    </row>
    <row r="433" ht="14.25" customHeight="1">
      <c r="I433" s="216"/>
    </row>
    <row r="434" ht="14.25" customHeight="1">
      <c r="I434" s="216"/>
    </row>
    <row r="435" ht="14.25" customHeight="1">
      <c r="I435" s="216"/>
    </row>
    <row r="436" ht="14.25" customHeight="1">
      <c r="I436" s="216"/>
    </row>
    <row r="437" ht="14.25" customHeight="1">
      <c r="I437" s="216"/>
    </row>
    <row r="438" ht="14.25" customHeight="1">
      <c r="I438" s="216"/>
    </row>
    <row r="439" ht="14.25" customHeight="1">
      <c r="I439" s="216"/>
    </row>
    <row r="440" ht="14.25" customHeight="1">
      <c r="I440" s="216"/>
    </row>
    <row r="441" ht="14.25" customHeight="1">
      <c r="I441" s="216"/>
    </row>
    <row r="442" ht="14.25" customHeight="1">
      <c r="I442" s="216"/>
    </row>
    <row r="443" ht="14.25" customHeight="1">
      <c r="I443" s="216"/>
    </row>
    <row r="444" ht="14.25" customHeight="1">
      <c r="I444" s="216"/>
    </row>
    <row r="445" ht="14.25" customHeight="1">
      <c r="I445" s="216"/>
    </row>
    <row r="446" ht="14.25" customHeight="1">
      <c r="I446" s="216"/>
    </row>
    <row r="447" ht="14.25" customHeight="1">
      <c r="I447" s="216"/>
    </row>
    <row r="448" ht="14.25" customHeight="1">
      <c r="I448" s="216"/>
    </row>
    <row r="449" ht="14.25" customHeight="1">
      <c r="I449" s="216"/>
    </row>
    <row r="450" ht="14.25" customHeight="1">
      <c r="I450" s="216"/>
    </row>
    <row r="451" ht="14.25" customHeight="1">
      <c r="I451" s="216"/>
    </row>
    <row r="452" ht="14.25" customHeight="1">
      <c r="I452" s="216"/>
    </row>
    <row r="453" ht="14.25" customHeight="1">
      <c r="I453" s="216"/>
    </row>
    <row r="454" ht="14.25" customHeight="1">
      <c r="I454" s="216"/>
    </row>
    <row r="455" ht="14.25" customHeight="1">
      <c r="I455" s="216"/>
    </row>
    <row r="456" ht="14.25" customHeight="1">
      <c r="I456" s="216"/>
    </row>
    <row r="457" ht="14.25" customHeight="1">
      <c r="I457" s="216"/>
    </row>
    <row r="458" ht="14.25" customHeight="1">
      <c r="I458" s="216"/>
    </row>
    <row r="459" ht="14.25" customHeight="1">
      <c r="I459" s="216"/>
    </row>
    <row r="460" ht="14.25" customHeight="1">
      <c r="I460" s="216"/>
    </row>
    <row r="461" ht="14.25" customHeight="1">
      <c r="I461" s="216"/>
    </row>
    <row r="462" ht="14.25" customHeight="1">
      <c r="I462" s="216"/>
    </row>
    <row r="463" ht="14.25" customHeight="1">
      <c r="I463" s="216"/>
    </row>
    <row r="464" ht="14.25" customHeight="1">
      <c r="I464" s="216"/>
    </row>
    <row r="465" ht="14.25" customHeight="1">
      <c r="I465" s="216"/>
    </row>
    <row r="466" ht="14.25" customHeight="1">
      <c r="I466" s="216"/>
    </row>
    <row r="467" ht="14.25" customHeight="1">
      <c r="I467" s="216"/>
    </row>
    <row r="468" ht="14.25" customHeight="1">
      <c r="I468" s="216"/>
    </row>
    <row r="469" ht="14.25" customHeight="1">
      <c r="I469" s="216"/>
    </row>
    <row r="470" ht="14.25" customHeight="1">
      <c r="I470" s="216"/>
    </row>
    <row r="471" ht="14.25" customHeight="1">
      <c r="I471" s="216"/>
    </row>
    <row r="472" ht="14.25" customHeight="1">
      <c r="I472" s="216"/>
    </row>
    <row r="473" ht="14.25" customHeight="1">
      <c r="I473" s="216"/>
    </row>
    <row r="474" ht="14.25" customHeight="1">
      <c r="I474" s="216"/>
    </row>
    <row r="475" ht="14.25" customHeight="1">
      <c r="I475" s="216"/>
    </row>
    <row r="476" ht="14.25" customHeight="1">
      <c r="I476" s="216"/>
    </row>
    <row r="477" ht="14.25" customHeight="1">
      <c r="I477" s="216"/>
    </row>
    <row r="478" ht="14.25" customHeight="1">
      <c r="I478" s="216"/>
    </row>
    <row r="479" ht="14.25" customHeight="1">
      <c r="I479" s="216"/>
    </row>
    <row r="480" ht="14.25" customHeight="1">
      <c r="I480" s="216"/>
    </row>
    <row r="481" ht="14.25" customHeight="1">
      <c r="I481" s="216"/>
    </row>
    <row r="482" ht="14.25" customHeight="1">
      <c r="I482" s="216"/>
    </row>
    <row r="483" ht="14.25" customHeight="1">
      <c r="I483" s="216"/>
    </row>
    <row r="484" ht="14.25" customHeight="1">
      <c r="I484" s="216"/>
    </row>
    <row r="485" ht="14.25" customHeight="1">
      <c r="I485" s="216"/>
    </row>
    <row r="486" ht="14.25" customHeight="1">
      <c r="I486" s="216"/>
    </row>
    <row r="487" ht="14.25" customHeight="1">
      <c r="I487" s="216"/>
    </row>
    <row r="488" ht="14.25" customHeight="1">
      <c r="I488" s="216"/>
    </row>
    <row r="489" ht="14.25" customHeight="1">
      <c r="I489" s="216"/>
    </row>
    <row r="490" ht="14.25" customHeight="1">
      <c r="I490" s="216"/>
    </row>
    <row r="491" ht="14.25" customHeight="1">
      <c r="I491" s="216"/>
    </row>
    <row r="492" ht="14.25" customHeight="1">
      <c r="I492" s="216"/>
    </row>
    <row r="493" ht="14.25" customHeight="1">
      <c r="I493" s="216"/>
    </row>
    <row r="494" ht="14.25" customHeight="1">
      <c r="I494" s="216"/>
    </row>
    <row r="495" ht="14.25" customHeight="1">
      <c r="I495" s="216"/>
    </row>
    <row r="496" ht="14.25" customHeight="1">
      <c r="I496" s="216"/>
    </row>
    <row r="497" ht="14.25" customHeight="1">
      <c r="I497" s="216"/>
    </row>
    <row r="498" ht="14.25" customHeight="1">
      <c r="I498" s="216"/>
    </row>
    <row r="499" ht="14.25" customHeight="1">
      <c r="I499" s="216"/>
    </row>
    <row r="500" ht="14.25" customHeight="1">
      <c r="I500" s="216"/>
    </row>
    <row r="501" ht="14.25" customHeight="1">
      <c r="I501" s="216"/>
    </row>
    <row r="502" ht="14.25" customHeight="1">
      <c r="I502" s="216"/>
    </row>
    <row r="503" ht="14.25" customHeight="1">
      <c r="I503" s="216"/>
    </row>
    <row r="504" ht="14.25" customHeight="1">
      <c r="I504" s="216"/>
    </row>
    <row r="505" ht="14.25" customHeight="1">
      <c r="I505" s="216"/>
    </row>
    <row r="506" ht="14.25" customHeight="1">
      <c r="I506" s="216"/>
    </row>
    <row r="507" ht="14.25" customHeight="1">
      <c r="I507" s="216"/>
    </row>
    <row r="508" ht="14.25" customHeight="1">
      <c r="I508" s="216"/>
    </row>
    <row r="509" ht="14.25" customHeight="1">
      <c r="I509" s="216"/>
    </row>
    <row r="510" ht="14.25" customHeight="1">
      <c r="I510" s="216"/>
    </row>
    <row r="511" ht="14.25" customHeight="1">
      <c r="I511" s="216"/>
    </row>
    <row r="512" ht="14.25" customHeight="1">
      <c r="I512" s="216"/>
    </row>
    <row r="513" ht="14.25" customHeight="1">
      <c r="I513" s="216"/>
    </row>
    <row r="514" ht="14.25" customHeight="1">
      <c r="I514" s="216"/>
    </row>
    <row r="515" ht="14.25" customHeight="1">
      <c r="I515" s="216"/>
    </row>
    <row r="516" ht="14.25" customHeight="1">
      <c r="I516" s="216"/>
    </row>
    <row r="517" ht="14.25" customHeight="1">
      <c r="I517" s="216"/>
    </row>
    <row r="518" ht="14.25" customHeight="1">
      <c r="I518" s="216"/>
    </row>
    <row r="519" ht="14.25" customHeight="1">
      <c r="I519" s="216"/>
    </row>
    <row r="520" ht="14.25" customHeight="1">
      <c r="I520" s="216"/>
    </row>
    <row r="521" ht="14.25" customHeight="1">
      <c r="I521" s="216"/>
    </row>
    <row r="522" ht="14.25" customHeight="1">
      <c r="I522" s="216"/>
    </row>
    <row r="523" ht="14.25" customHeight="1">
      <c r="I523" s="216"/>
    </row>
    <row r="524" ht="14.25" customHeight="1">
      <c r="I524" s="216"/>
    </row>
    <row r="525" ht="14.25" customHeight="1">
      <c r="I525" s="216"/>
    </row>
    <row r="526" ht="14.25" customHeight="1">
      <c r="I526" s="216"/>
    </row>
    <row r="527" ht="14.25" customHeight="1">
      <c r="I527" s="216"/>
    </row>
    <row r="528" ht="14.25" customHeight="1">
      <c r="I528" s="216"/>
    </row>
    <row r="529" ht="14.25" customHeight="1">
      <c r="I529" s="216"/>
    </row>
    <row r="530" ht="14.25" customHeight="1">
      <c r="I530" s="216"/>
    </row>
    <row r="531" ht="14.25" customHeight="1">
      <c r="I531" s="216"/>
    </row>
    <row r="532" ht="14.25" customHeight="1">
      <c r="I532" s="216"/>
    </row>
    <row r="533" ht="14.25" customHeight="1">
      <c r="I533" s="216"/>
    </row>
    <row r="534" ht="14.25" customHeight="1">
      <c r="I534" s="216"/>
    </row>
    <row r="535" ht="14.25" customHeight="1">
      <c r="I535" s="216"/>
    </row>
    <row r="536" ht="14.25" customHeight="1">
      <c r="I536" s="216"/>
    </row>
    <row r="537" ht="14.25" customHeight="1">
      <c r="I537" s="216"/>
    </row>
    <row r="538" ht="14.25" customHeight="1">
      <c r="I538" s="216"/>
    </row>
    <row r="539" ht="14.25" customHeight="1">
      <c r="I539" s="216"/>
    </row>
    <row r="540" ht="14.25" customHeight="1">
      <c r="I540" s="216"/>
    </row>
    <row r="541" ht="14.25" customHeight="1">
      <c r="I541" s="216"/>
    </row>
    <row r="542" ht="14.25" customHeight="1">
      <c r="I542" s="216"/>
    </row>
    <row r="543" ht="14.25" customHeight="1">
      <c r="I543" s="216"/>
    </row>
    <row r="544" ht="14.25" customHeight="1">
      <c r="I544" s="216"/>
    </row>
    <row r="545" ht="14.25" customHeight="1">
      <c r="I545" s="216"/>
    </row>
    <row r="546" ht="14.25" customHeight="1">
      <c r="I546" s="216"/>
    </row>
    <row r="547" ht="14.25" customHeight="1">
      <c r="I547" s="216"/>
    </row>
    <row r="548" ht="14.25" customHeight="1">
      <c r="I548" s="216"/>
    </row>
    <row r="549" ht="14.25" customHeight="1">
      <c r="I549" s="216"/>
    </row>
    <row r="550" ht="14.25" customHeight="1">
      <c r="I550" s="216"/>
    </row>
    <row r="551" ht="14.25" customHeight="1">
      <c r="I551" s="216"/>
    </row>
    <row r="552" ht="14.25" customHeight="1">
      <c r="I552" s="216"/>
    </row>
    <row r="553" ht="14.25" customHeight="1">
      <c r="I553" s="216"/>
    </row>
    <row r="554" ht="14.25" customHeight="1">
      <c r="I554" s="216"/>
    </row>
    <row r="555" ht="14.25" customHeight="1">
      <c r="I555" s="216"/>
    </row>
    <row r="556" ht="14.25" customHeight="1">
      <c r="I556" s="216"/>
    </row>
    <row r="557" ht="14.25" customHeight="1">
      <c r="I557" s="216"/>
    </row>
    <row r="558" ht="14.25" customHeight="1">
      <c r="I558" s="216"/>
    </row>
    <row r="559" ht="14.25" customHeight="1">
      <c r="I559" s="216"/>
    </row>
    <row r="560" ht="14.25" customHeight="1">
      <c r="I560" s="216"/>
    </row>
    <row r="561" ht="14.25" customHeight="1">
      <c r="I561" s="216"/>
    </row>
    <row r="562" ht="14.25" customHeight="1">
      <c r="I562" s="216"/>
    </row>
    <row r="563" ht="14.25" customHeight="1">
      <c r="I563" s="216"/>
    </row>
    <row r="564" ht="14.25" customHeight="1">
      <c r="I564" s="216"/>
    </row>
    <row r="565" ht="14.25" customHeight="1">
      <c r="I565" s="216"/>
    </row>
    <row r="566" ht="14.25" customHeight="1">
      <c r="I566" s="216"/>
    </row>
    <row r="567" ht="14.25" customHeight="1">
      <c r="I567" s="216"/>
    </row>
    <row r="568" ht="14.25" customHeight="1">
      <c r="I568" s="216"/>
    </row>
    <row r="569" ht="14.25" customHeight="1">
      <c r="I569" s="216"/>
    </row>
    <row r="570" ht="14.25" customHeight="1">
      <c r="I570" s="216"/>
    </row>
    <row r="571" ht="14.25" customHeight="1">
      <c r="I571" s="216"/>
    </row>
    <row r="572" ht="14.25" customHeight="1">
      <c r="I572" s="216"/>
    </row>
    <row r="573" ht="14.25" customHeight="1">
      <c r="I573" s="216"/>
    </row>
    <row r="574" ht="14.25" customHeight="1">
      <c r="I574" s="216"/>
    </row>
    <row r="575" ht="14.25" customHeight="1">
      <c r="I575" s="216"/>
    </row>
    <row r="576" ht="14.25" customHeight="1">
      <c r="I576" s="216"/>
    </row>
    <row r="577" ht="14.25" customHeight="1">
      <c r="I577" s="216"/>
    </row>
    <row r="578" ht="14.25" customHeight="1">
      <c r="I578" s="216"/>
    </row>
    <row r="579" ht="14.25" customHeight="1">
      <c r="I579" s="216"/>
    </row>
    <row r="580" ht="14.25" customHeight="1">
      <c r="I580" s="216"/>
    </row>
    <row r="581" ht="14.25" customHeight="1">
      <c r="I581" s="216"/>
    </row>
    <row r="582" ht="14.25" customHeight="1">
      <c r="I582" s="216"/>
    </row>
    <row r="583" ht="14.25" customHeight="1">
      <c r="I583" s="216"/>
    </row>
    <row r="584" ht="14.25" customHeight="1">
      <c r="I584" s="216"/>
    </row>
    <row r="585" ht="14.25" customHeight="1">
      <c r="I585" s="216"/>
    </row>
    <row r="586" ht="14.25" customHeight="1">
      <c r="I586" s="216"/>
    </row>
    <row r="587" ht="14.25" customHeight="1">
      <c r="I587" s="216"/>
    </row>
    <row r="588" ht="14.25" customHeight="1">
      <c r="I588" s="216"/>
    </row>
    <row r="589" ht="14.25" customHeight="1">
      <c r="I589" s="216"/>
    </row>
    <row r="590" ht="14.25" customHeight="1">
      <c r="I590" s="216"/>
    </row>
    <row r="591" ht="14.25" customHeight="1">
      <c r="I591" s="216"/>
    </row>
    <row r="592" ht="14.25" customHeight="1">
      <c r="I592" s="216"/>
    </row>
    <row r="593" ht="14.25" customHeight="1">
      <c r="I593" s="216"/>
    </row>
    <row r="594" ht="14.25" customHeight="1">
      <c r="I594" s="216"/>
    </row>
    <row r="595" ht="14.25" customHeight="1">
      <c r="I595" s="216"/>
    </row>
    <row r="596" ht="14.25" customHeight="1">
      <c r="I596" s="216"/>
    </row>
    <row r="597" ht="14.25" customHeight="1">
      <c r="I597" s="216"/>
    </row>
    <row r="598" ht="14.25" customHeight="1">
      <c r="I598" s="216"/>
    </row>
    <row r="599" ht="14.25" customHeight="1">
      <c r="I599" s="216"/>
    </row>
    <row r="600" ht="14.25" customHeight="1">
      <c r="I600" s="216"/>
    </row>
    <row r="601" ht="14.25" customHeight="1">
      <c r="I601" s="216"/>
    </row>
    <row r="602" ht="14.25" customHeight="1">
      <c r="I602" s="216"/>
    </row>
    <row r="603" ht="14.25" customHeight="1">
      <c r="I603" s="216"/>
    </row>
    <row r="604" ht="14.25" customHeight="1">
      <c r="I604" s="216"/>
    </row>
    <row r="605" ht="14.25" customHeight="1">
      <c r="I605" s="216"/>
    </row>
    <row r="606" ht="14.25" customHeight="1">
      <c r="I606" s="216"/>
    </row>
    <row r="607" ht="14.25" customHeight="1">
      <c r="I607" s="216"/>
    </row>
    <row r="608" ht="14.25" customHeight="1">
      <c r="I608" s="216"/>
    </row>
    <row r="609" ht="14.25" customHeight="1">
      <c r="I609" s="216"/>
    </row>
    <row r="610" ht="14.25" customHeight="1">
      <c r="I610" s="216"/>
    </row>
    <row r="611" ht="14.25" customHeight="1">
      <c r="I611" s="216"/>
    </row>
    <row r="612" ht="14.25" customHeight="1">
      <c r="I612" s="216"/>
    </row>
    <row r="613" ht="14.25" customHeight="1">
      <c r="I613" s="216"/>
    </row>
    <row r="614" ht="14.25" customHeight="1">
      <c r="I614" s="216"/>
    </row>
    <row r="615" ht="14.25" customHeight="1">
      <c r="I615" s="216"/>
    </row>
    <row r="616" ht="14.25" customHeight="1">
      <c r="I616" s="216"/>
    </row>
    <row r="617" ht="14.25" customHeight="1">
      <c r="I617" s="216"/>
    </row>
    <row r="618" ht="14.25" customHeight="1">
      <c r="I618" s="216"/>
    </row>
    <row r="619" ht="14.25" customHeight="1">
      <c r="I619" s="216"/>
    </row>
    <row r="620" ht="14.25" customHeight="1">
      <c r="I620" s="216"/>
    </row>
    <row r="621" ht="14.25" customHeight="1">
      <c r="I621" s="216"/>
    </row>
    <row r="622" ht="14.25" customHeight="1">
      <c r="I622" s="216"/>
    </row>
    <row r="623" ht="14.25" customHeight="1">
      <c r="I623" s="216"/>
    </row>
    <row r="624" ht="14.25" customHeight="1">
      <c r="I624" s="216"/>
    </row>
    <row r="625" ht="14.25" customHeight="1">
      <c r="I625" s="216"/>
    </row>
    <row r="626" ht="14.25" customHeight="1">
      <c r="I626" s="216"/>
    </row>
    <row r="627" ht="14.25" customHeight="1">
      <c r="I627" s="216"/>
    </row>
    <row r="628" ht="14.25" customHeight="1">
      <c r="I628" s="216"/>
    </row>
    <row r="629" ht="14.25" customHeight="1">
      <c r="I629" s="216"/>
    </row>
    <row r="630" ht="14.25" customHeight="1">
      <c r="I630" s="216"/>
    </row>
    <row r="631" ht="14.25" customHeight="1">
      <c r="I631" s="216"/>
    </row>
    <row r="632" ht="14.25" customHeight="1">
      <c r="I632" s="216"/>
    </row>
    <row r="633" ht="14.25" customHeight="1">
      <c r="I633" s="216"/>
    </row>
    <row r="634" ht="14.25" customHeight="1">
      <c r="I634" s="216"/>
    </row>
    <row r="635" ht="14.25" customHeight="1">
      <c r="I635" s="216"/>
    </row>
    <row r="636" ht="14.25" customHeight="1">
      <c r="I636" s="216"/>
    </row>
    <row r="637" ht="14.25" customHeight="1">
      <c r="I637" s="216"/>
    </row>
    <row r="638" ht="14.25" customHeight="1">
      <c r="I638" s="216"/>
    </row>
    <row r="639" ht="14.25" customHeight="1">
      <c r="I639" s="216"/>
    </row>
    <row r="640" ht="14.25" customHeight="1">
      <c r="I640" s="216"/>
    </row>
    <row r="641" ht="14.25" customHeight="1">
      <c r="I641" s="216"/>
    </row>
    <row r="642" ht="14.25" customHeight="1">
      <c r="I642" s="216"/>
    </row>
    <row r="643" ht="14.25" customHeight="1">
      <c r="I643" s="216"/>
    </row>
    <row r="644" ht="14.25" customHeight="1">
      <c r="I644" s="216"/>
    </row>
    <row r="645" ht="14.25" customHeight="1">
      <c r="I645" s="216"/>
    </row>
    <row r="646" ht="14.25" customHeight="1">
      <c r="I646" s="216"/>
    </row>
    <row r="647" ht="14.25" customHeight="1">
      <c r="I647" s="216"/>
    </row>
    <row r="648" ht="14.25" customHeight="1">
      <c r="I648" s="216"/>
    </row>
    <row r="649" ht="14.25" customHeight="1">
      <c r="I649" s="216"/>
    </row>
    <row r="650" ht="14.25" customHeight="1">
      <c r="I650" s="216"/>
    </row>
    <row r="651" ht="14.25" customHeight="1">
      <c r="I651" s="216"/>
    </row>
    <row r="652" ht="14.25" customHeight="1">
      <c r="I652" s="216"/>
    </row>
    <row r="653" ht="14.25" customHeight="1">
      <c r="I653" s="216"/>
    </row>
    <row r="654" ht="14.25" customHeight="1">
      <c r="I654" s="216"/>
    </row>
    <row r="655" ht="14.25" customHeight="1">
      <c r="I655" s="216"/>
    </row>
    <row r="656" ht="14.25" customHeight="1">
      <c r="I656" s="216"/>
    </row>
    <row r="657" ht="14.25" customHeight="1">
      <c r="I657" s="216"/>
    </row>
    <row r="658" ht="14.25" customHeight="1">
      <c r="I658" s="216"/>
    </row>
    <row r="659" ht="14.25" customHeight="1">
      <c r="I659" s="216"/>
    </row>
    <row r="660" ht="14.25" customHeight="1">
      <c r="I660" s="216"/>
    </row>
    <row r="661" ht="14.25" customHeight="1">
      <c r="I661" s="216"/>
    </row>
    <row r="662" ht="14.25" customHeight="1">
      <c r="I662" s="216"/>
    </row>
    <row r="663" ht="14.25" customHeight="1">
      <c r="I663" s="216"/>
    </row>
    <row r="664" ht="14.25" customHeight="1">
      <c r="I664" s="216"/>
    </row>
    <row r="665" ht="14.25" customHeight="1">
      <c r="I665" s="216"/>
    </row>
    <row r="666" ht="14.25" customHeight="1">
      <c r="I666" s="216"/>
    </row>
    <row r="667" ht="14.25" customHeight="1">
      <c r="I667" s="216"/>
    </row>
    <row r="668" ht="14.25" customHeight="1">
      <c r="I668" s="216"/>
    </row>
    <row r="669" ht="14.25" customHeight="1">
      <c r="I669" s="216"/>
    </row>
    <row r="670" ht="14.25" customHeight="1">
      <c r="I670" s="216"/>
    </row>
    <row r="671" ht="14.25" customHeight="1">
      <c r="I671" s="216"/>
    </row>
    <row r="672" ht="14.25" customHeight="1">
      <c r="I672" s="216"/>
    </row>
    <row r="673" ht="14.25" customHeight="1">
      <c r="I673" s="216"/>
    </row>
    <row r="674" ht="14.25" customHeight="1">
      <c r="I674" s="216"/>
    </row>
    <row r="675" ht="14.25" customHeight="1">
      <c r="I675" s="216"/>
    </row>
    <row r="676" ht="14.25" customHeight="1">
      <c r="I676" s="216"/>
    </row>
    <row r="677" ht="14.25" customHeight="1">
      <c r="I677" s="216"/>
    </row>
    <row r="678" ht="14.25" customHeight="1">
      <c r="I678" s="216"/>
    </row>
    <row r="679" ht="14.25" customHeight="1">
      <c r="I679" s="216"/>
    </row>
    <row r="680" ht="14.25" customHeight="1">
      <c r="I680" s="216"/>
    </row>
    <row r="681" ht="14.25" customHeight="1">
      <c r="I681" s="216"/>
    </row>
    <row r="682" ht="14.25" customHeight="1">
      <c r="I682" s="216"/>
    </row>
    <row r="683" ht="14.25" customHeight="1">
      <c r="I683" s="216"/>
    </row>
    <row r="684" ht="14.25" customHeight="1">
      <c r="I684" s="216"/>
    </row>
    <row r="685" ht="14.25" customHeight="1">
      <c r="I685" s="216"/>
    </row>
    <row r="686" ht="14.25" customHeight="1">
      <c r="I686" s="216"/>
    </row>
    <row r="687" ht="14.25" customHeight="1">
      <c r="I687" s="216"/>
    </row>
    <row r="688" ht="14.25" customHeight="1">
      <c r="I688" s="216"/>
    </row>
    <row r="689" ht="14.25" customHeight="1">
      <c r="I689" s="216"/>
    </row>
    <row r="690" ht="14.25" customHeight="1">
      <c r="I690" s="216"/>
    </row>
    <row r="691" ht="14.25" customHeight="1">
      <c r="I691" s="216"/>
    </row>
    <row r="692" ht="14.25" customHeight="1">
      <c r="I692" s="216"/>
    </row>
    <row r="693" ht="14.25" customHeight="1">
      <c r="I693" s="216"/>
    </row>
    <row r="694" ht="14.25" customHeight="1">
      <c r="I694" s="216"/>
    </row>
    <row r="695" ht="14.25" customHeight="1">
      <c r="I695" s="216"/>
    </row>
    <row r="696" ht="14.25" customHeight="1">
      <c r="I696" s="216"/>
    </row>
    <row r="697" ht="14.25" customHeight="1">
      <c r="I697" s="216"/>
    </row>
    <row r="698" ht="14.25" customHeight="1">
      <c r="I698" s="216"/>
    </row>
    <row r="699" ht="14.25" customHeight="1">
      <c r="I699" s="216"/>
    </row>
    <row r="700" ht="14.25" customHeight="1">
      <c r="I700" s="216"/>
    </row>
    <row r="701" ht="14.25" customHeight="1">
      <c r="I701" s="216"/>
    </row>
    <row r="702" ht="14.25" customHeight="1">
      <c r="I702" s="216"/>
    </row>
    <row r="703" ht="14.25" customHeight="1">
      <c r="I703" s="216"/>
    </row>
    <row r="704" ht="14.25" customHeight="1">
      <c r="I704" s="216"/>
    </row>
    <row r="705" ht="14.25" customHeight="1">
      <c r="I705" s="216"/>
    </row>
    <row r="706" ht="14.25" customHeight="1">
      <c r="I706" s="216"/>
    </row>
    <row r="707" ht="14.25" customHeight="1">
      <c r="I707" s="216"/>
    </row>
    <row r="708" ht="14.25" customHeight="1">
      <c r="I708" s="216"/>
    </row>
    <row r="709" ht="14.25" customHeight="1">
      <c r="I709" s="216"/>
    </row>
    <row r="710" ht="14.25" customHeight="1">
      <c r="I710" s="216"/>
    </row>
    <row r="711" ht="14.25" customHeight="1">
      <c r="I711" s="216"/>
    </row>
    <row r="712" ht="14.25" customHeight="1">
      <c r="I712" s="216"/>
    </row>
    <row r="713" ht="14.25" customHeight="1">
      <c r="I713" s="216"/>
    </row>
    <row r="714" ht="14.25" customHeight="1">
      <c r="I714" s="216"/>
    </row>
    <row r="715" ht="14.25" customHeight="1">
      <c r="I715" s="216"/>
    </row>
    <row r="716" ht="14.25" customHeight="1">
      <c r="I716" s="216"/>
    </row>
    <row r="717" ht="14.25" customHeight="1">
      <c r="I717" s="216"/>
    </row>
    <row r="718" ht="14.25" customHeight="1">
      <c r="I718" s="216"/>
    </row>
    <row r="719" ht="14.25" customHeight="1">
      <c r="I719" s="216"/>
    </row>
    <row r="720" ht="14.25" customHeight="1">
      <c r="I720" s="216"/>
    </row>
    <row r="721" ht="14.25" customHeight="1">
      <c r="I721" s="216"/>
    </row>
    <row r="722" ht="14.25" customHeight="1">
      <c r="I722" s="216"/>
    </row>
    <row r="723" ht="14.25" customHeight="1">
      <c r="I723" s="216"/>
    </row>
    <row r="724" ht="14.25" customHeight="1">
      <c r="I724" s="216"/>
    </row>
    <row r="725" ht="14.25" customHeight="1">
      <c r="I725" s="216"/>
    </row>
    <row r="726" ht="14.25" customHeight="1">
      <c r="I726" s="216"/>
    </row>
    <row r="727" ht="14.25" customHeight="1">
      <c r="I727" s="216"/>
    </row>
    <row r="728" ht="14.25" customHeight="1">
      <c r="I728" s="216"/>
    </row>
    <row r="729" ht="14.25" customHeight="1">
      <c r="I729" s="216"/>
    </row>
    <row r="730" ht="14.25" customHeight="1">
      <c r="I730" s="216"/>
    </row>
    <row r="731" ht="14.25" customHeight="1">
      <c r="I731" s="216"/>
    </row>
    <row r="732" ht="14.25" customHeight="1">
      <c r="I732" s="216"/>
    </row>
    <row r="733" ht="14.25" customHeight="1">
      <c r="I733" s="216"/>
    </row>
    <row r="734" ht="14.25" customHeight="1">
      <c r="I734" s="216"/>
    </row>
    <row r="735" ht="14.25" customHeight="1">
      <c r="I735" s="216"/>
    </row>
    <row r="736" ht="14.25" customHeight="1">
      <c r="I736" s="216"/>
    </row>
    <row r="737" ht="14.25" customHeight="1">
      <c r="I737" s="216"/>
    </row>
    <row r="738" ht="14.25" customHeight="1">
      <c r="I738" s="216"/>
    </row>
    <row r="739" ht="14.25" customHeight="1">
      <c r="I739" s="216"/>
    </row>
    <row r="740" ht="14.25" customHeight="1">
      <c r="I740" s="216"/>
    </row>
    <row r="741" ht="14.25" customHeight="1">
      <c r="I741" s="216"/>
    </row>
    <row r="742" ht="14.25" customHeight="1">
      <c r="I742" s="216"/>
    </row>
    <row r="743" ht="14.25" customHeight="1">
      <c r="I743" s="216"/>
    </row>
    <row r="744" ht="14.25" customHeight="1">
      <c r="I744" s="216"/>
    </row>
    <row r="745" ht="14.25" customHeight="1">
      <c r="I745" s="216"/>
    </row>
    <row r="746" ht="14.25" customHeight="1">
      <c r="I746" s="216"/>
    </row>
    <row r="747" ht="14.25" customHeight="1">
      <c r="I747" s="216"/>
    </row>
    <row r="748" ht="14.25" customHeight="1">
      <c r="I748" s="216"/>
    </row>
    <row r="749" ht="14.25" customHeight="1">
      <c r="I749" s="216"/>
    </row>
    <row r="750" ht="14.25" customHeight="1">
      <c r="I750" s="216"/>
    </row>
    <row r="751" ht="14.25" customHeight="1">
      <c r="I751" s="216"/>
    </row>
    <row r="752" ht="14.25" customHeight="1">
      <c r="I752" s="216"/>
    </row>
    <row r="753" ht="14.25" customHeight="1">
      <c r="I753" s="216"/>
    </row>
    <row r="754" ht="14.25" customHeight="1">
      <c r="I754" s="216"/>
    </row>
    <row r="755" ht="14.25" customHeight="1">
      <c r="I755" s="216"/>
    </row>
    <row r="756" ht="14.25" customHeight="1">
      <c r="I756" s="216"/>
    </row>
    <row r="757" ht="14.25" customHeight="1">
      <c r="I757" s="216"/>
    </row>
    <row r="758" ht="14.25" customHeight="1">
      <c r="I758" s="216"/>
    </row>
    <row r="759" ht="14.25" customHeight="1">
      <c r="I759" s="216"/>
    </row>
    <row r="760" ht="14.25" customHeight="1">
      <c r="I760" s="216"/>
    </row>
    <row r="761" ht="14.25" customHeight="1">
      <c r="I761" s="216"/>
    </row>
    <row r="762" ht="14.25" customHeight="1">
      <c r="I762" s="216"/>
    </row>
    <row r="763" ht="14.25" customHeight="1">
      <c r="I763" s="216"/>
    </row>
    <row r="764" ht="14.25" customHeight="1">
      <c r="I764" s="216"/>
    </row>
    <row r="765" ht="14.25" customHeight="1">
      <c r="I765" s="216"/>
    </row>
    <row r="766" ht="14.25" customHeight="1">
      <c r="I766" s="216"/>
    </row>
    <row r="767" ht="14.25" customHeight="1">
      <c r="I767" s="216"/>
    </row>
    <row r="768" ht="14.25" customHeight="1">
      <c r="I768" s="216"/>
    </row>
    <row r="769" ht="14.25" customHeight="1">
      <c r="I769" s="216"/>
    </row>
    <row r="770" ht="14.25" customHeight="1">
      <c r="I770" s="216"/>
    </row>
    <row r="771" ht="14.25" customHeight="1">
      <c r="I771" s="216"/>
    </row>
    <row r="772" ht="14.25" customHeight="1">
      <c r="I772" s="216"/>
    </row>
    <row r="773" ht="14.25" customHeight="1">
      <c r="I773" s="216"/>
    </row>
    <row r="774" ht="14.25" customHeight="1">
      <c r="I774" s="216"/>
    </row>
    <row r="775" ht="14.25" customHeight="1">
      <c r="I775" s="216"/>
    </row>
    <row r="776" ht="14.25" customHeight="1">
      <c r="I776" s="216"/>
    </row>
    <row r="777" ht="14.25" customHeight="1">
      <c r="I777" s="216"/>
    </row>
    <row r="778" ht="14.25" customHeight="1">
      <c r="I778" s="216"/>
    </row>
    <row r="779" ht="14.25" customHeight="1">
      <c r="I779" s="216"/>
    </row>
    <row r="780" ht="14.25" customHeight="1">
      <c r="I780" s="216"/>
    </row>
    <row r="781" ht="14.25" customHeight="1">
      <c r="I781" s="216"/>
    </row>
    <row r="782" ht="14.25" customHeight="1">
      <c r="I782" s="216"/>
    </row>
    <row r="783" ht="14.25" customHeight="1">
      <c r="I783" s="216"/>
    </row>
    <row r="784" ht="14.25" customHeight="1">
      <c r="I784" s="216"/>
    </row>
    <row r="785" ht="14.25" customHeight="1">
      <c r="I785" s="216"/>
    </row>
    <row r="786" ht="14.25" customHeight="1">
      <c r="I786" s="216"/>
    </row>
    <row r="787" ht="14.25" customHeight="1">
      <c r="I787" s="216"/>
    </row>
    <row r="788" ht="14.25" customHeight="1">
      <c r="I788" s="216"/>
    </row>
    <row r="789" ht="14.25" customHeight="1">
      <c r="I789" s="216"/>
    </row>
    <row r="790" ht="14.25" customHeight="1">
      <c r="I790" s="216"/>
    </row>
    <row r="791" ht="14.25" customHeight="1">
      <c r="I791" s="216"/>
    </row>
    <row r="792" ht="14.25" customHeight="1">
      <c r="I792" s="216"/>
    </row>
    <row r="793" ht="14.25" customHeight="1">
      <c r="I793" s="216"/>
    </row>
    <row r="794" ht="14.25" customHeight="1">
      <c r="I794" s="216"/>
    </row>
    <row r="795" ht="14.25" customHeight="1">
      <c r="I795" s="216"/>
    </row>
    <row r="796" ht="14.25" customHeight="1">
      <c r="I796" s="216"/>
    </row>
    <row r="797" ht="14.25" customHeight="1">
      <c r="I797" s="216"/>
    </row>
    <row r="798" ht="14.25" customHeight="1">
      <c r="I798" s="216"/>
    </row>
    <row r="799" ht="14.25" customHeight="1">
      <c r="I799" s="216"/>
    </row>
    <row r="800" ht="14.25" customHeight="1">
      <c r="I800" s="216"/>
    </row>
    <row r="801" ht="14.25" customHeight="1">
      <c r="I801" s="216"/>
    </row>
    <row r="802" ht="14.25" customHeight="1">
      <c r="I802" s="216"/>
    </row>
    <row r="803" ht="14.25" customHeight="1">
      <c r="I803" s="216"/>
    </row>
    <row r="804" ht="14.25" customHeight="1">
      <c r="I804" s="216"/>
    </row>
    <row r="805" ht="14.25" customHeight="1">
      <c r="I805" s="216"/>
    </row>
    <row r="806" ht="14.25" customHeight="1">
      <c r="I806" s="216"/>
    </row>
    <row r="807" ht="14.25" customHeight="1">
      <c r="I807" s="216"/>
    </row>
    <row r="808" ht="14.25" customHeight="1">
      <c r="I808" s="216"/>
    </row>
    <row r="809" ht="14.25" customHeight="1">
      <c r="I809" s="216"/>
    </row>
    <row r="810" ht="14.25" customHeight="1">
      <c r="I810" s="216"/>
    </row>
    <row r="811" ht="14.25" customHeight="1">
      <c r="I811" s="216"/>
    </row>
    <row r="812" ht="14.25" customHeight="1">
      <c r="I812" s="216"/>
    </row>
    <row r="813" ht="14.25" customHeight="1">
      <c r="I813" s="216"/>
    </row>
    <row r="814" ht="14.25" customHeight="1">
      <c r="I814" s="216"/>
    </row>
    <row r="815" ht="14.25" customHeight="1">
      <c r="I815" s="216"/>
    </row>
    <row r="816" ht="14.25" customHeight="1">
      <c r="I816" s="216"/>
    </row>
    <row r="817" ht="14.25" customHeight="1">
      <c r="I817" s="216"/>
    </row>
    <row r="818" ht="14.25" customHeight="1">
      <c r="I818" s="216"/>
    </row>
    <row r="819" ht="14.25" customHeight="1">
      <c r="I819" s="216"/>
    </row>
    <row r="820" ht="14.25" customHeight="1">
      <c r="I820" s="216"/>
    </row>
    <row r="821" ht="14.25" customHeight="1">
      <c r="I821" s="216"/>
    </row>
    <row r="822" ht="14.25" customHeight="1">
      <c r="I822" s="216"/>
    </row>
    <row r="823" ht="14.25" customHeight="1">
      <c r="I823" s="216"/>
    </row>
    <row r="824" ht="14.25" customHeight="1">
      <c r="I824" s="216"/>
    </row>
    <row r="825" ht="14.25" customHeight="1">
      <c r="I825" s="216"/>
    </row>
    <row r="826" ht="14.25" customHeight="1">
      <c r="I826" s="216"/>
    </row>
    <row r="827" ht="14.25" customHeight="1">
      <c r="I827" s="216"/>
    </row>
    <row r="828" ht="14.25" customHeight="1">
      <c r="I828" s="216"/>
    </row>
    <row r="829" ht="14.25" customHeight="1">
      <c r="I829" s="216"/>
    </row>
    <row r="830" ht="14.25" customHeight="1">
      <c r="I830" s="216"/>
    </row>
    <row r="831" ht="14.25" customHeight="1">
      <c r="I831" s="216"/>
    </row>
    <row r="832" ht="14.25" customHeight="1">
      <c r="I832" s="216"/>
    </row>
    <row r="833" ht="14.25" customHeight="1">
      <c r="I833" s="216"/>
    </row>
    <row r="834" ht="14.25" customHeight="1">
      <c r="I834" s="216"/>
    </row>
    <row r="835" ht="14.25" customHeight="1">
      <c r="I835" s="216"/>
    </row>
    <row r="836" ht="14.25" customHeight="1">
      <c r="I836" s="216"/>
    </row>
    <row r="837" ht="14.25" customHeight="1">
      <c r="I837" s="216"/>
    </row>
    <row r="838" ht="14.25" customHeight="1">
      <c r="I838" s="216"/>
    </row>
    <row r="839" ht="14.25" customHeight="1">
      <c r="I839" s="216"/>
    </row>
    <row r="840" ht="14.25" customHeight="1">
      <c r="I840" s="216"/>
    </row>
    <row r="841" ht="14.25" customHeight="1">
      <c r="I841" s="216"/>
    </row>
    <row r="842" ht="14.25" customHeight="1">
      <c r="I842" s="216"/>
    </row>
    <row r="843" ht="14.25" customHeight="1">
      <c r="I843" s="216"/>
    </row>
    <row r="844" ht="14.25" customHeight="1">
      <c r="I844" s="216"/>
    </row>
    <row r="845" ht="14.25" customHeight="1">
      <c r="I845" s="216"/>
    </row>
    <row r="846" ht="14.25" customHeight="1">
      <c r="I846" s="216"/>
    </row>
    <row r="847" ht="14.25" customHeight="1">
      <c r="I847" s="216"/>
    </row>
    <row r="848" ht="14.25" customHeight="1">
      <c r="I848" s="216"/>
    </row>
    <row r="849" ht="14.25" customHeight="1">
      <c r="I849" s="216"/>
    </row>
    <row r="850" ht="14.25" customHeight="1">
      <c r="I850" s="216"/>
    </row>
    <row r="851" ht="14.25" customHeight="1">
      <c r="I851" s="216"/>
    </row>
    <row r="852" ht="14.25" customHeight="1">
      <c r="I852" s="216"/>
    </row>
    <row r="853" ht="14.25" customHeight="1">
      <c r="I853" s="216"/>
    </row>
    <row r="854" ht="14.25" customHeight="1">
      <c r="I854" s="216"/>
    </row>
    <row r="855" ht="14.25" customHeight="1">
      <c r="I855" s="216"/>
    </row>
    <row r="856" ht="14.25" customHeight="1">
      <c r="I856" s="216"/>
    </row>
    <row r="857" ht="14.25" customHeight="1">
      <c r="I857" s="216"/>
    </row>
    <row r="858" ht="14.25" customHeight="1">
      <c r="I858" s="216"/>
    </row>
    <row r="859" ht="14.25" customHeight="1">
      <c r="I859" s="216"/>
    </row>
    <row r="860" ht="14.25" customHeight="1">
      <c r="I860" s="216"/>
    </row>
    <row r="861" ht="14.25" customHeight="1">
      <c r="I861" s="216"/>
    </row>
    <row r="862" ht="14.25" customHeight="1">
      <c r="I862" s="216"/>
    </row>
    <row r="863" ht="14.25" customHeight="1">
      <c r="I863" s="216"/>
    </row>
    <row r="864" ht="14.25" customHeight="1">
      <c r="I864" s="216"/>
    </row>
    <row r="865" ht="14.25" customHeight="1">
      <c r="I865" s="216"/>
    </row>
    <row r="866" ht="14.25" customHeight="1">
      <c r="I866" s="216"/>
    </row>
    <row r="867" ht="14.25" customHeight="1">
      <c r="I867" s="216"/>
    </row>
    <row r="868" ht="14.25" customHeight="1">
      <c r="I868" s="216"/>
    </row>
    <row r="869" ht="14.25" customHeight="1">
      <c r="I869" s="216"/>
    </row>
    <row r="870" ht="14.25" customHeight="1">
      <c r="I870" s="216"/>
    </row>
    <row r="871" ht="14.25" customHeight="1">
      <c r="I871" s="216"/>
    </row>
    <row r="872" ht="14.25" customHeight="1">
      <c r="I872" s="216"/>
    </row>
    <row r="873" ht="14.25" customHeight="1">
      <c r="I873" s="216"/>
    </row>
    <row r="874" ht="14.25" customHeight="1">
      <c r="I874" s="216"/>
    </row>
    <row r="875" ht="14.25" customHeight="1">
      <c r="I875" s="216"/>
    </row>
    <row r="876" ht="14.25" customHeight="1">
      <c r="I876" s="216"/>
    </row>
    <row r="877" ht="14.25" customHeight="1">
      <c r="I877" s="216"/>
    </row>
    <row r="878" ht="14.25" customHeight="1">
      <c r="I878" s="216"/>
    </row>
    <row r="879" ht="14.25" customHeight="1">
      <c r="I879" s="216"/>
    </row>
    <row r="880" ht="14.25" customHeight="1">
      <c r="I880" s="216"/>
    </row>
    <row r="881" ht="14.25" customHeight="1">
      <c r="I881" s="216"/>
    </row>
    <row r="882" ht="14.25" customHeight="1">
      <c r="I882" s="216"/>
    </row>
    <row r="883" ht="14.25" customHeight="1">
      <c r="I883" s="216"/>
    </row>
    <row r="884" ht="14.25" customHeight="1">
      <c r="I884" s="216"/>
    </row>
    <row r="885" ht="14.25" customHeight="1">
      <c r="I885" s="216"/>
    </row>
    <row r="886" ht="14.25" customHeight="1">
      <c r="I886" s="216"/>
    </row>
    <row r="887" ht="14.25" customHeight="1">
      <c r="I887" s="216"/>
    </row>
    <row r="888" ht="14.25" customHeight="1">
      <c r="I888" s="216"/>
    </row>
    <row r="889" ht="14.25" customHeight="1">
      <c r="I889" s="216"/>
    </row>
    <row r="890" ht="14.25" customHeight="1">
      <c r="I890" s="216"/>
    </row>
    <row r="891" ht="14.25" customHeight="1">
      <c r="I891" s="216"/>
    </row>
    <row r="892" ht="14.25" customHeight="1">
      <c r="I892" s="216"/>
    </row>
    <row r="893" ht="14.25" customHeight="1">
      <c r="I893" s="216"/>
    </row>
    <row r="894" ht="14.25" customHeight="1">
      <c r="I894" s="216"/>
    </row>
    <row r="895" ht="14.25" customHeight="1">
      <c r="I895" s="216"/>
    </row>
    <row r="896" ht="14.25" customHeight="1">
      <c r="I896" s="216"/>
    </row>
    <row r="897" ht="14.25" customHeight="1">
      <c r="I897" s="216"/>
    </row>
    <row r="898" ht="14.25" customHeight="1">
      <c r="I898" s="216"/>
    </row>
    <row r="899" ht="14.25" customHeight="1">
      <c r="I899" s="216"/>
    </row>
    <row r="900" ht="14.25" customHeight="1">
      <c r="I900" s="216"/>
    </row>
    <row r="901" ht="14.25" customHeight="1">
      <c r="I901" s="216"/>
    </row>
    <row r="902" ht="14.25" customHeight="1">
      <c r="I902" s="216"/>
    </row>
    <row r="903" ht="14.25" customHeight="1">
      <c r="I903" s="216"/>
    </row>
    <row r="904" ht="14.25" customHeight="1">
      <c r="I904" s="216"/>
    </row>
    <row r="905" ht="14.25" customHeight="1">
      <c r="I905" s="216"/>
    </row>
    <row r="906" ht="14.25" customHeight="1">
      <c r="I906" s="216"/>
    </row>
    <row r="907" ht="14.25" customHeight="1">
      <c r="I907" s="216"/>
    </row>
    <row r="908" ht="14.25" customHeight="1">
      <c r="I908" s="216"/>
    </row>
    <row r="909" ht="14.25" customHeight="1">
      <c r="I909" s="216"/>
    </row>
    <row r="910" ht="14.25" customHeight="1">
      <c r="I910" s="216"/>
    </row>
    <row r="911" ht="14.25" customHeight="1">
      <c r="I911" s="216"/>
    </row>
    <row r="912" ht="14.25" customHeight="1">
      <c r="I912" s="216"/>
    </row>
    <row r="913" ht="14.25" customHeight="1">
      <c r="I913" s="216"/>
    </row>
    <row r="914" ht="14.25" customHeight="1">
      <c r="I914" s="216"/>
    </row>
    <row r="915" ht="14.25" customHeight="1">
      <c r="I915" s="216"/>
    </row>
    <row r="916" ht="14.25" customHeight="1">
      <c r="I916" s="216"/>
    </row>
    <row r="917" ht="14.25" customHeight="1">
      <c r="I917" s="216"/>
    </row>
    <row r="918" ht="14.25" customHeight="1">
      <c r="I918" s="216"/>
    </row>
    <row r="919" ht="14.25" customHeight="1">
      <c r="I919" s="216"/>
    </row>
    <row r="920" ht="14.25" customHeight="1">
      <c r="I920" s="216"/>
    </row>
    <row r="921" ht="14.25" customHeight="1">
      <c r="I921" s="216"/>
    </row>
    <row r="922" ht="14.25" customHeight="1">
      <c r="I922" s="216"/>
    </row>
    <row r="923" ht="14.25" customHeight="1">
      <c r="I923" s="216"/>
    </row>
    <row r="924" ht="14.25" customHeight="1">
      <c r="I924" s="216"/>
    </row>
    <row r="925" ht="14.25" customHeight="1">
      <c r="I925" s="216"/>
    </row>
    <row r="926" ht="14.25" customHeight="1">
      <c r="I926" s="216"/>
    </row>
    <row r="927" ht="14.25" customHeight="1">
      <c r="I927" s="216"/>
    </row>
    <row r="928" ht="14.25" customHeight="1">
      <c r="I928" s="216"/>
    </row>
    <row r="929" ht="14.25" customHeight="1">
      <c r="I929" s="216"/>
    </row>
    <row r="930" ht="14.25" customHeight="1">
      <c r="I930" s="216"/>
    </row>
    <row r="931" ht="14.25" customHeight="1">
      <c r="I931" s="216"/>
    </row>
    <row r="932" ht="14.25" customHeight="1">
      <c r="I932" s="216"/>
    </row>
    <row r="933" ht="14.25" customHeight="1">
      <c r="I933" s="216"/>
    </row>
    <row r="934" ht="14.25" customHeight="1">
      <c r="I934" s="216"/>
    </row>
    <row r="935" ht="14.25" customHeight="1">
      <c r="I935" s="216"/>
    </row>
    <row r="936" ht="14.25" customHeight="1">
      <c r="I936" s="216"/>
    </row>
    <row r="937" ht="14.25" customHeight="1">
      <c r="I937" s="216"/>
    </row>
    <row r="938" ht="14.25" customHeight="1">
      <c r="I938" s="216"/>
    </row>
    <row r="939" ht="14.25" customHeight="1">
      <c r="I939" s="216"/>
    </row>
    <row r="940" ht="14.25" customHeight="1">
      <c r="I940" s="216"/>
    </row>
    <row r="941" ht="14.25" customHeight="1">
      <c r="I941" s="216"/>
    </row>
    <row r="942" ht="14.25" customHeight="1">
      <c r="I942" s="216"/>
    </row>
    <row r="943" ht="14.25" customHeight="1">
      <c r="I943" s="216"/>
    </row>
    <row r="944" ht="14.25" customHeight="1">
      <c r="I944" s="216"/>
    </row>
    <row r="945" ht="14.25" customHeight="1">
      <c r="I945" s="216"/>
    </row>
    <row r="946" ht="14.25" customHeight="1">
      <c r="I946" s="216"/>
    </row>
    <row r="947" ht="14.25" customHeight="1">
      <c r="I947" s="216"/>
    </row>
    <row r="948" ht="14.25" customHeight="1">
      <c r="I948" s="216"/>
    </row>
    <row r="949" ht="14.25" customHeight="1">
      <c r="I949" s="216"/>
    </row>
    <row r="950" ht="14.25" customHeight="1">
      <c r="I950" s="216"/>
    </row>
    <row r="951" ht="14.25" customHeight="1">
      <c r="I951" s="216"/>
    </row>
    <row r="952" ht="14.25" customHeight="1">
      <c r="I952" s="216"/>
    </row>
    <row r="953" ht="14.25" customHeight="1">
      <c r="I953" s="216"/>
    </row>
    <row r="954" ht="14.25" customHeight="1">
      <c r="I954" s="216"/>
    </row>
    <row r="955" ht="14.25" customHeight="1">
      <c r="I955" s="216"/>
    </row>
    <row r="956" ht="14.25" customHeight="1">
      <c r="I956" s="216"/>
    </row>
    <row r="957" ht="14.25" customHeight="1">
      <c r="I957" s="216"/>
    </row>
    <row r="958" ht="14.25" customHeight="1">
      <c r="I958" s="216"/>
    </row>
    <row r="959" ht="14.25" customHeight="1">
      <c r="I959" s="216"/>
    </row>
    <row r="960" ht="14.25" customHeight="1">
      <c r="I960" s="216"/>
    </row>
    <row r="961" ht="14.25" customHeight="1">
      <c r="I961" s="216"/>
    </row>
    <row r="962" ht="14.25" customHeight="1">
      <c r="I962" s="216"/>
    </row>
    <row r="963" ht="14.25" customHeight="1">
      <c r="I963" s="216"/>
    </row>
    <row r="964" ht="14.25" customHeight="1">
      <c r="I964" s="216"/>
    </row>
    <row r="965" ht="14.25" customHeight="1">
      <c r="I965" s="216"/>
    </row>
    <row r="966" ht="14.25" customHeight="1">
      <c r="I966" s="216"/>
    </row>
    <row r="967" ht="14.25" customHeight="1">
      <c r="I967" s="216"/>
    </row>
    <row r="968" ht="14.25" customHeight="1">
      <c r="I968" s="216"/>
    </row>
    <row r="969" ht="14.25" customHeight="1">
      <c r="I969" s="216"/>
    </row>
    <row r="970" ht="14.25" customHeight="1">
      <c r="I970" s="216"/>
    </row>
    <row r="971" ht="14.25" customHeight="1">
      <c r="I971" s="216"/>
    </row>
    <row r="972" ht="14.25" customHeight="1">
      <c r="I972" s="216"/>
    </row>
    <row r="973" ht="14.25" customHeight="1">
      <c r="I973" s="216"/>
    </row>
    <row r="974" ht="14.25" customHeight="1">
      <c r="I974" s="216"/>
    </row>
    <row r="975" ht="14.25" customHeight="1">
      <c r="I975" s="216"/>
    </row>
    <row r="976" ht="14.25" customHeight="1">
      <c r="I976" s="216"/>
    </row>
    <row r="977" ht="14.25" customHeight="1">
      <c r="I977" s="216"/>
    </row>
    <row r="978" ht="14.25" customHeight="1">
      <c r="I978" s="216"/>
    </row>
    <row r="979" ht="14.25" customHeight="1">
      <c r="I979" s="216"/>
    </row>
    <row r="980" ht="14.25" customHeight="1">
      <c r="I980" s="216"/>
    </row>
    <row r="981" ht="14.25" customHeight="1">
      <c r="I981" s="216"/>
    </row>
    <row r="982" ht="14.25" customHeight="1">
      <c r="I982" s="216"/>
    </row>
    <row r="983" ht="14.25" customHeight="1">
      <c r="I983" s="216"/>
    </row>
    <row r="984" ht="14.25" customHeight="1">
      <c r="I984" s="216"/>
    </row>
    <row r="985" ht="14.25" customHeight="1">
      <c r="I985" s="216"/>
    </row>
    <row r="986" ht="14.25" customHeight="1">
      <c r="I986" s="216"/>
    </row>
    <row r="987" ht="14.25" customHeight="1">
      <c r="I987" s="216"/>
    </row>
    <row r="988" ht="14.25" customHeight="1">
      <c r="I988" s="216"/>
    </row>
    <row r="989" ht="14.25" customHeight="1">
      <c r="I989" s="216"/>
    </row>
    <row r="990" ht="14.25" customHeight="1">
      <c r="I990" s="216"/>
    </row>
    <row r="991" ht="14.25" customHeight="1">
      <c r="I991" s="216"/>
    </row>
    <row r="992" ht="14.25" customHeight="1">
      <c r="I992" s="216"/>
    </row>
    <row r="993" ht="14.25" customHeight="1">
      <c r="I993" s="216"/>
    </row>
    <row r="994" ht="14.25" customHeight="1">
      <c r="I994" s="216"/>
    </row>
    <row r="995" ht="14.25" customHeight="1">
      <c r="I995" s="216"/>
    </row>
    <row r="996" ht="14.25" customHeight="1">
      <c r="I996" s="216"/>
    </row>
    <row r="997" ht="14.25" customHeight="1">
      <c r="I997" s="216"/>
    </row>
    <row r="998" ht="14.25" customHeight="1">
      <c r="I998" s="216"/>
    </row>
    <row r="999" ht="14.25" customHeight="1">
      <c r="I999" s="216"/>
    </row>
    <row r="1000" ht="14.25" customHeight="1">
      <c r="I1000" s="216"/>
    </row>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1"/>
    <col customWidth="1" min="2" max="2" width="16.43"/>
    <col customWidth="1" min="3" max="3" width="16.29"/>
    <col customWidth="1" min="4" max="4" width="16.43"/>
    <col customWidth="1" min="5" max="5" width="16.71"/>
    <col customWidth="1" min="6" max="6" width="16.29"/>
    <col customWidth="1" hidden="1" min="7" max="8" width="17.57"/>
    <col customWidth="1" min="9" max="9" width="8.71"/>
    <col customWidth="1" min="10" max="10" width="13.29"/>
    <col customWidth="1" min="11" max="26" width="8.71"/>
  </cols>
  <sheetData>
    <row r="1" ht="14.25" customHeight="1">
      <c r="A1" s="217"/>
      <c r="C1" s="222"/>
      <c r="D1" s="222"/>
      <c r="E1" s="219"/>
      <c r="F1" s="220" t="str">
        <f>[1]Status!C1</f>
        <v>#ERROR!</v>
      </c>
    </row>
    <row r="2" ht="14.25" customHeight="1">
      <c r="A2" s="217"/>
      <c r="B2" s="222"/>
      <c r="C2" s="222"/>
      <c r="D2" s="222"/>
      <c r="E2" s="219"/>
      <c r="F2" s="220" t="s">
        <v>1</v>
      </c>
    </row>
    <row r="3" ht="14.25" customHeight="1">
      <c r="A3" s="221"/>
      <c r="B3" s="222"/>
      <c r="C3" s="222"/>
      <c r="D3" s="222"/>
      <c r="E3" s="220"/>
      <c r="F3" s="220" t="s">
        <v>195</v>
      </c>
    </row>
    <row r="4" ht="14.25" customHeight="1">
      <c r="A4" s="222"/>
      <c r="B4" s="222"/>
      <c r="C4" s="222"/>
      <c r="D4" s="222"/>
      <c r="E4" s="222"/>
      <c r="F4" s="222"/>
    </row>
    <row r="5" ht="14.25" customHeight="1">
      <c r="A5" s="223" t="s">
        <v>148</v>
      </c>
    </row>
    <row r="6" ht="14.25" customHeight="1">
      <c r="A6" s="224" t="s">
        <v>196</v>
      </c>
    </row>
    <row r="7" ht="14.25" customHeight="1">
      <c r="A7" s="297" t="str">
        <f>[1]Status!A6</f>
        <v>#ERROR!</v>
      </c>
      <c r="B7" s="298"/>
      <c r="C7" s="298"/>
      <c r="D7" s="298"/>
      <c r="E7" s="298"/>
      <c r="F7" s="298"/>
    </row>
    <row r="8" ht="33.0" customHeight="1">
      <c r="A8" s="226" t="s">
        <v>79</v>
      </c>
      <c r="B8" s="400" t="s">
        <v>80</v>
      </c>
      <c r="C8" s="400" t="s">
        <v>81</v>
      </c>
      <c r="D8" s="400" t="s">
        <v>82</v>
      </c>
      <c r="E8" s="400" t="s">
        <v>83</v>
      </c>
      <c r="F8" s="401" t="s">
        <v>84</v>
      </c>
    </row>
    <row r="9" ht="14.25" customHeight="1">
      <c r="A9" s="356" t="s">
        <v>86</v>
      </c>
      <c r="B9" s="357">
        <v>11906.51</v>
      </c>
      <c r="C9" s="357">
        <v>11906.51</v>
      </c>
      <c r="D9" s="402"/>
      <c r="E9" s="402"/>
      <c r="F9" s="403">
        <f t="shared" ref="F9:F16" si="1">B9-C9-D9-E9</f>
        <v>0</v>
      </c>
    </row>
    <row r="10" ht="14.25" customHeight="1">
      <c r="A10" s="317" t="s">
        <v>150</v>
      </c>
      <c r="B10" s="361">
        <v>3287898.86</v>
      </c>
      <c r="C10" s="361">
        <v>3287898.86</v>
      </c>
      <c r="D10" s="404"/>
      <c r="E10" s="404"/>
      <c r="F10" s="403">
        <f t="shared" si="1"/>
        <v>0</v>
      </c>
    </row>
    <row r="11" ht="14.25" customHeight="1">
      <c r="A11" s="278" t="s">
        <v>88</v>
      </c>
      <c r="B11" s="368">
        <v>1447491.95</v>
      </c>
      <c r="C11" s="368">
        <v>1447491.95</v>
      </c>
      <c r="D11" s="405"/>
      <c r="E11" s="405"/>
      <c r="F11" s="403">
        <f t="shared" si="1"/>
        <v>0</v>
      </c>
    </row>
    <row r="12" ht="14.25" customHeight="1">
      <c r="A12" s="324" t="s">
        <v>89</v>
      </c>
      <c r="B12" s="368">
        <v>25513.96</v>
      </c>
      <c r="C12" s="405"/>
      <c r="D12" s="405"/>
      <c r="E12" s="405"/>
      <c r="F12" s="403">
        <f t="shared" si="1"/>
        <v>25513.96</v>
      </c>
    </row>
    <row r="13" ht="14.25" customHeight="1">
      <c r="A13" s="278" t="s">
        <v>90</v>
      </c>
      <c r="B13" s="368">
        <v>71439.09</v>
      </c>
      <c r="C13" s="405"/>
      <c r="D13" s="405"/>
      <c r="E13" s="405"/>
      <c r="F13" s="403">
        <f t="shared" si="1"/>
        <v>71439.09</v>
      </c>
    </row>
    <row r="14" ht="14.25" customHeight="1">
      <c r="A14" s="278" t="s">
        <v>91</v>
      </c>
      <c r="B14" s="368">
        <v>1828500.4</v>
      </c>
      <c r="C14" s="368">
        <v>1828500.4</v>
      </c>
      <c r="D14" s="405"/>
      <c r="E14" s="405"/>
      <c r="F14" s="403">
        <f t="shared" si="1"/>
        <v>0</v>
      </c>
    </row>
    <row r="15" ht="14.25" customHeight="1">
      <c r="A15" s="278" t="s">
        <v>92</v>
      </c>
      <c r="B15" s="368">
        <v>64635.36</v>
      </c>
      <c r="C15" s="368">
        <v>64635.36</v>
      </c>
      <c r="D15" s="405"/>
      <c r="E15" s="405"/>
      <c r="F15" s="403">
        <f t="shared" si="1"/>
        <v>0</v>
      </c>
    </row>
    <row r="16" ht="14.25" customHeight="1">
      <c r="A16" s="278" t="s">
        <v>151</v>
      </c>
      <c r="B16" s="368">
        <v>5454884.45</v>
      </c>
      <c r="C16" s="405">
        <f>18878.29-1174+4363907.56-5650+1068799.53+10123.07</f>
        <v>5454884.45</v>
      </c>
      <c r="D16" s="405"/>
      <c r="E16" s="405"/>
      <c r="F16" s="403">
        <f t="shared" si="1"/>
        <v>0</v>
      </c>
    </row>
    <row r="17" ht="14.25" customHeight="1">
      <c r="A17" s="278" t="s">
        <v>94</v>
      </c>
      <c r="B17" s="368">
        <v>0.0</v>
      </c>
      <c r="C17" s="407"/>
      <c r="D17" s="405"/>
      <c r="E17" s="405"/>
      <c r="F17" s="403"/>
    </row>
    <row r="18" ht="14.25" customHeight="1">
      <c r="A18" s="278" t="s">
        <v>95</v>
      </c>
      <c r="B18" s="368">
        <v>78242.81</v>
      </c>
      <c r="C18" s="368">
        <v>78242.81</v>
      </c>
      <c r="D18" s="405"/>
      <c r="E18" s="405"/>
      <c r="F18" s="403">
        <f t="shared" ref="F18:F57" si="2">B18-C18-D18-E18</f>
        <v>0</v>
      </c>
    </row>
    <row r="19" ht="14.25" customHeight="1">
      <c r="A19" s="278" t="s">
        <v>96</v>
      </c>
      <c r="B19" s="368">
        <v>593624.78</v>
      </c>
      <c r="C19" s="368">
        <v>593624.78</v>
      </c>
      <c r="D19" s="405"/>
      <c r="E19" s="405"/>
      <c r="F19" s="403">
        <f t="shared" si="2"/>
        <v>0</v>
      </c>
    </row>
    <row r="20" ht="14.25" customHeight="1">
      <c r="A20" s="278" t="s">
        <v>97</v>
      </c>
      <c r="B20" s="368">
        <v>1251884.93</v>
      </c>
      <c r="C20" s="368">
        <v>1251884.93</v>
      </c>
      <c r="D20" s="405"/>
      <c r="E20" s="405"/>
      <c r="F20" s="403">
        <f t="shared" si="2"/>
        <v>0</v>
      </c>
    </row>
    <row r="21" ht="14.25" customHeight="1">
      <c r="A21" s="278" t="s">
        <v>98</v>
      </c>
      <c r="B21" s="368">
        <v>68037.22</v>
      </c>
      <c r="C21" s="368">
        <v>68037.22</v>
      </c>
      <c r="D21" s="405"/>
      <c r="E21" s="405"/>
      <c r="F21" s="403">
        <f t="shared" si="2"/>
        <v>0</v>
      </c>
    </row>
    <row r="22" ht="14.25" customHeight="1">
      <c r="A22" s="278" t="s">
        <v>99</v>
      </c>
      <c r="B22" s="368">
        <v>962726.72</v>
      </c>
      <c r="C22" s="368">
        <v>962726.72</v>
      </c>
      <c r="D22" s="405"/>
      <c r="E22" s="405"/>
      <c r="F22" s="403">
        <f t="shared" si="2"/>
        <v>0</v>
      </c>
    </row>
    <row r="23" ht="14.25" customHeight="1">
      <c r="A23" s="278" t="s">
        <v>152</v>
      </c>
      <c r="B23" s="368">
        <v>1.04147981E7</v>
      </c>
      <c r="C23" s="405">
        <v>1.0324398E7</v>
      </c>
      <c r="D23" s="405">
        <v>90400.0</v>
      </c>
      <c r="E23" s="405"/>
      <c r="F23" s="403">
        <f t="shared" si="2"/>
        <v>0.09999999963</v>
      </c>
    </row>
    <row r="24" ht="14.25" customHeight="1">
      <c r="A24" s="278" t="s">
        <v>153</v>
      </c>
      <c r="B24" s="368">
        <v>1.363806159E7</v>
      </c>
      <c r="C24" s="405">
        <f>2273010.27+2273010.27+2273010.27+2273010.27+2273010.27+2273010.26+220792</f>
        <v>13858853.61</v>
      </c>
      <c r="D24" s="405">
        <f>2328695+438036-220792</f>
        <v>2545939</v>
      </c>
      <c r="E24" s="364"/>
      <c r="F24" s="403">
        <f t="shared" si="2"/>
        <v>-2766731.02</v>
      </c>
      <c r="G24" s="216">
        <f>F24*0.7203</f>
        <v>-1992876.354</v>
      </c>
      <c r="J24" s="419"/>
    </row>
    <row r="25" ht="14.25" customHeight="1">
      <c r="A25" s="278" t="s">
        <v>102</v>
      </c>
      <c r="B25" s="368">
        <v>1175343.05</v>
      </c>
      <c r="C25" s="405">
        <v>1175343.0</v>
      </c>
      <c r="D25" s="405"/>
      <c r="E25" s="405"/>
      <c r="F25" s="403">
        <f t="shared" si="2"/>
        <v>0.05000000005</v>
      </c>
    </row>
    <row r="26" ht="14.25" customHeight="1">
      <c r="A26" s="278" t="s">
        <v>103</v>
      </c>
      <c r="B26" s="368">
        <v>1700.93</v>
      </c>
      <c r="C26" s="368">
        <v>1700.93</v>
      </c>
      <c r="D26" s="405"/>
      <c r="E26" s="405"/>
      <c r="F26" s="403">
        <f t="shared" si="2"/>
        <v>0</v>
      </c>
    </row>
    <row r="27" ht="14.25" customHeight="1">
      <c r="A27" s="278" t="s">
        <v>104</v>
      </c>
      <c r="B27" s="368">
        <v>494970.81</v>
      </c>
      <c r="C27" s="368">
        <v>494970.81</v>
      </c>
      <c r="D27" s="405"/>
      <c r="E27" s="405"/>
      <c r="F27" s="403">
        <f t="shared" si="2"/>
        <v>0</v>
      </c>
    </row>
    <row r="28" ht="14.25" customHeight="1">
      <c r="A28" s="278" t="s">
        <v>105</v>
      </c>
      <c r="B28" s="368">
        <v>71439.09</v>
      </c>
      <c r="C28" s="368">
        <v>71439.09</v>
      </c>
      <c r="D28" s="405"/>
      <c r="E28" s="405"/>
      <c r="F28" s="403">
        <f t="shared" si="2"/>
        <v>0</v>
      </c>
    </row>
    <row r="29" ht="14.25" customHeight="1">
      <c r="A29" s="278" t="s">
        <v>154</v>
      </c>
      <c r="B29" s="368">
        <v>847063.44</v>
      </c>
      <c r="C29" s="368">
        <v>847063.44</v>
      </c>
      <c r="D29" s="405"/>
      <c r="E29" s="405"/>
      <c r="F29" s="403">
        <f t="shared" si="2"/>
        <v>0</v>
      </c>
    </row>
    <row r="30" ht="14.25" customHeight="1">
      <c r="A30" s="278" t="s">
        <v>107</v>
      </c>
      <c r="B30" s="368">
        <v>653157.35</v>
      </c>
      <c r="C30" s="405"/>
      <c r="D30" s="405"/>
      <c r="E30" s="405"/>
      <c r="F30" s="403">
        <f t="shared" si="2"/>
        <v>653157.35</v>
      </c>
    </row>
    <row r="31" ht="14.25" customHeight="1">
      <c r="A31" s="278" t="s">
        <v>108</v>
      </c>
      <c r="B31" s="368">
        <v>8502952.1</v>
      </c>
      <c r="C31" s="405">
        <f>3260612.78+3105975.89+2136363</f>
        <v>8502951.67</v>
      </c>
      <c r="D31" s="405"/>
      <c r="E31" s="405"/>
      <c r="F31" s="403">
        <f t="shared" si="2"/>
        <v>0.4299999997</v>
      </c>
    </row>
    <row r="32" ht="14.25" customHeight="1">
      <c r="A32" s="278" t="s">
        <v>155</v>
      </c>
      <c r="B32" s="368">
        <v>2.131266048E7</v>
      </c>
      <c r="C32" s="368">
        <f>14264339.52+7048320.96</f>
        <v>21312660.48</v>
      </c>
      <c r="D32" s="405"/>
      <c r="E32" s="405"/>
      <c r="F32" s="403">
        <f t="shared" si="2"/>
        <v>0</v>
      </c>
    </row>
    <row r="33" ht="14.25" customHeight="1">
      <c r="A33" s="278" t="s">
        <v>110</v>
      </c>
      <c r="B33" s="420">
        <v>0.0</v>
      </c>
      <c r="C33" s="322">
        <v>0.0</v>
      </c>
      <c r="D33" s="405"/>
      <c r="E33" s="405"/>
      <c r="F33" s="403">
        <f t="shared" si="2"/>
        <v>0</v>
      </c>
      <c r="H33" s="216"/>
      <c r="I33" s="216"/>
    </row>
    <row r="34" ht="14.25" customHeight="1">
      <c r="A34" s="278" t="s">
        <v>112</v>
      </c>
      <c r="B34" s="368">
        <v>64635.36</v>
      </c>
      <c r="C34" s="368">
        <v>64635.36</v>
      </c>
      <c r="D34" s="405"/>
      <c r="E34" s="405"/>
      <c r="F34" s="403">
        <f t="shared" si="2"/>
        <v>0</v>
      </c>
    </row>
    <row r="35" ht="14.25" customHeight="1">
      <c r="A35" s="278" t="s">
        <v>113</v>
      </c>
      <c r="B35" s="368">
        <v>15308.38</v>
      </c>
      <c r="C35" s="368">
        <v>15308.38</v>
      </c>
      <c r="D35" s="405"/>
      <c r="E35" s="405"/>
      <c r="F35" s="403">
        <f t="shared" si="2"/>
        <v>0</v>
      </c>
    </row>
    <row r="36" ht="14.25" customHeight="1">
      <c r="A36" s="278" t="s">
        <v>114</v>
      </c>
      <c r="B36" s="368">
        <v>110560.49</v>
      </c>
      <c r="C36" s="405">
        <v>110560.0</v>
      </c>
      <c r="D36" s="405"/>
      <c r="E36" s="405"/>
      <c r="F36" s="403">
        <f t="shared" si="2"/>
        <v>0.49</v>
      </c>
    </row>
    <row r="37" ht="14.25" customHeight="1">
      <c r="A37" s="278" t="s">
        <v>115</v>
      </c>
      <c r="B37" s="368">
        <v>153083.75</v>
      </c>
      <c r="C37" s="368">
        <v>153083.75</v>
      </c>
      <c r="D37" s="405"/>
      <c r="E37" s="405"/>
      <c r="F37" s="403">
        <f t="shared" si="2"/>
        <v>0</v>
      </c>
    </row>
    <row r="38" ht="14.25" customHeight="1">
      <c r="A38" s="278" t="s">
        <v>116</v>
      </c>
      <c r="B38" s="368">
        <v>28915.82</v>
      </c>
      <c r="C38" s="368">
        <v>28915.82</v>
      </c>
      <c r="D38" s="405"/>
      <c r="E38" s="405"/>
      <c r="F38" s="403">
        <f t="shared" si="2"/>
        <v>0</v>
      </c>
      <c r="J38" s="216"/>
    </row>
    <row r="39" ht="14.25" customHeight="1">
      <c r="A39" s="278" t="s">
        <v>117</v>
      </c>
      <c r="B39" s="368">
        <v>5102.79</v>
      </c>
      <c r="C39" s="368">
        <v>5102.79</v>
      </c>
      <c r="D39" s="405"/>
      <c r="E39" s="405"/>
      <c r="F39" s="403">
        <f t="shared" si="2"/>
        <v>0</v>
      </c>
    </row>
    <row r="40" ht="14.25" customHeight="1">
      <c r="A40" s="278" t="s">
        <v>118</v>
      </c>
      <c r="B40" s="368">
        <v>3155226.27</v>
      </c>
      <c r="C40" s="368">
        <v>3155226.27</v>
      </c>
      <c r="D40" s="405"/>
      <c r="E40" s="405"/>
      <c r="F40" s="403">
        <f t="shared" si="2"/>
        <v>0</v>
      </c>
    </row>
    <row r="41" ht="14.25" customHeight="1">
      <c r="A41" s="278" t="s">
        <v>119</v>
      </c>
      <c r="B41" s="368">
        <v>464354.06</v>
      </c>
      <c r="C41" s="368">
        <v>464354.06</v>
      </c>
      <c r="D41" s="405"/>
      <c r="E41" s="405"/>
      <c r="F41" s="403">
        <f t="shared" si="2"/>
        <v>0</v>
      </c>
    </row>
    <row r="42" ht="14.25" customHeight="1">
      <c r="A42" s="278" t="s">
        <v>120</v>
      </c>
      <c r="B42" s="368">
        <v>1481510.56</v>
      </c>
      <c r="C42" s="368">
        <v>1481510.56</v>
      </c>
      <c r="D42" s="405"/>
      <c r="E42" s="405"/>
      <c r="F42" s="403">
        <f t="shared" si="2"/>
        <v>0</v>
      </c>
    </row>
    <row r="43" ht="14.25" customHeight="1">
      <c r="A43" s="278" t="s">
        <v>122</v>
      </c>
      <c r="B43" s="368">
        <v>1408370.54</v>
      </c>
      <c r="C43" s="368">
        <v>1408370.54</v>
      </c>
      <c r="D43" s="405"/>
      <c r="E43" s="405"/>
      <c r="F43" s="403">
        <f t="shared" si="2"/>
        <v>0</v>
      </c>
    </row>
    <row r="44" ht="14.25" customHeight="1">
      <c r="A44" s="278" t="s">
        <v>123</v>
      </c>
      <c r="B44" s="368">
        <v>869175.54</v>
      </c>
      <c r="C44" s="368">
        <v>869176.0</v>
      </c>
      <c r="D44" s="405"/>
      <c r="E44" s="405"/>
      <c r="F44" s="403">
        <f t="shared" si="2"/>
        <v>-0.46</v>
      </c>
    </row>
    <row r="45" ht="14.25" customHeight="1">
      <c r="A45" s="278" t="s">
        <v>124</v>
      </c>
      <c r="B45" s="368">
        <v>301064.72</v>
      </c>
      <c r="C45" s="368">
        <v>301064.72</v>
      </c>
      <c r="D45" s="405"/>
      <c r="E45" s="405"/>
      <c r="F45" s="403">
        <f t="shared" si="2"/>
        <v>0</v>
      </c>
    </row>
    <row r="46" ht="14.25" customHeight="1">
      <c r="A46" s="278" t="s">
        <v>125</v>
      </c>
      <c r="B46" s="368">
        <v>2724890.83</v>
      </c>
      <c r="C46" s="368">
        <v>2724890.83</v>
      </c>
      <c r="D46" s="405"/>
      <c r="E46" s="405"/>
      <c r="F46" s="403">
        <f t="shared" si="2"/>
        <v>0</v>
      </c>
    </row>
    <row r="47" ht="14.25" customHeight="1">
      <c r="A47" s="317" t="s">
        <v>126</v>
      </c>
      <c r="B47" s="368">
        <v>5102.79</v>
      </c>
      <c r="C47" s="368">
        <v>5102.79</v>
      </c>
      <c r="D47" s="405"/>
      <c r="E47" s="405"/>
      <c r="F47" s="403">
        <f t="shared" si="2"/>
        <v>0</v>
      </c>
    </row>
    <row r="48" ht="14.25" customHeight="1">
      <c r="A48" s="317" t="s">
        <v>128</v>
      </c>
      <c r="B48" s="368">
        <v>241532.15</v>
      </c>
      <c r="C48" s="368">
        <v>241532.15</v>
      </c>
      <c r="D48" s="405"/>
      <c r="E48" s="405"/>
      <c r="F48" s="403">
        <f t="shared" si="2"/>
        <v>0</v>
      </c>
    </row>
    <row r="49" ht="14.25" customHeight="1">
      <c r="A49" s="278" t="s">
        <v>129</v>
      </c>
      <c r="B49" s="368">
        <v>175195.85</v>
      </c>
      <c r="C49" s="368">
        <v>175195.85</v>
      </c>
      <c r="D49" s="405"/>
      <c r="E49" s="405"/>
      <c r="F49" s="403">
        <f t="shared" si="2"/>
        <v>0</v>
      </c>
    </row>
    <row r="50" ht="14.25" customHeight="1">
      <c r="A50" s="278" t="s">
        <v>131</v>
      </c>
      <c r="B50" s="368">
        <v>5403856.53</v>
      </c>
      <c r="C50" s="368">
        <v>5403856.53</v>
      </c>
      <c r="D50" s="405"/>
      <c r="E50" s="405"/>
      <c r="F50" s="403">
        <f t="shared" si="2"/>
        <v>0</v>
      </c>
    </row>
    <row r="51" ht="14.25" customHeight="1">
      <c r="A51" s="278" t="s">
        <v>156</v>
      </c>
      <c r="B51" s="368">
        <v>1809790.16</v>
      </c>
      <c r="C51" s="368">
        <v>1809790.16</v>
      </c>
      <c r="D51" s="405"/>
      <c r="E51" s="405"/>
      <c r="F51" s="403">
        <f t="shared" si="2"/>
        <v>0</v>
      </c>
    </row>
    <row r="52" ht="14.25" customHeight="1">
      <c r="A52" s="278" t="s">
        <v>133</v>
      </c>
      <c r="B52" s="368">
        <v>1922051.58</v>
      </c>
      <c r="C52" s="368">
        <v>1922051.58</v>
      </c>
      <c r="D52" s="405"/>
      <c r="E52" s="405"/>
      <c r="F52" s="403">
        <f t="shared" si="2"/>
        <v>0</v>
      </c>
    </row>
    <row r="53" ht="14.25" customHeight="1">
      <c r="A53" s="278" t="s">
        <v>134</v>
      </c>
      <c r="B53" s="368">
        <v>3401.86</v>
      </c>
      <c r="C53" s="405"/>
      <c r="D53" s="405"/>
      <c r="E53" s="405"/>
      <c r="F53" s="403">
        <f t="shared" si="2"/>
        <v>3401.86</v>
      </c>
    </row>
    <row r="54" ht="14.25" customHeight="1">
      <c r="A54" s="278" t="s">
        <v>136</v>
      </c>
      <c r="B54" s="368">
        <v>147980.96</v>
      </c>
      <c r="C54" s="405"/>
      <c r="D54" s="405"/>
      <c r="E54" s="405"/>
      <c r="F54" s="403">
        <f t="shared" si="2"/>
        <v>147980.96</v>
      </c>
    </row>
    <row r="55" ht="14.25" customHeight="1">
      <c r="A55" s="278" t="s">
        <v>138</v>
      </c>
      <c r="B55" s="368">
        <v>1.123294572E7</v>
      </c>
      <c r="C55" s="368">
        <v>1.123294572E7</v>
      </c>
      <c r="D55" s="405"/>
      <c r="E55" s="368"/>
      <c r="F55" s="403">
        <f t="shared" si="2"/>
        <v>0</v>
      </c>
      <c r="G55" s="216">
        <v>2.9333333E7</v>
      </c>
    </row>
    <row r="56" ht="14.25" customHeight="1">
      <c r="A56" s="278" t="s">
        <v>139</v>
      </c>
      <c r="B56" s="368">
        <f>29333333.33-913526-332185+276701</f>
        <v>28364323.33</v>
      </c>
      <c r="C56" s="405">
        <f>4250000+1514000+23000000-399677</f>
        <v>28364323</v>
      </c>
      <c r="D56" s="405"/>
      <c r="E56" s="405"/>
      <c r="F56" s="403">
        <f t="shared" si="2"/>
        <v>0.3299999982</v>
      </c>
      <c r="G56" s="216">
        <v>-913526.0</v>
      </c>
    </row>
    <row r="57" ht="14.25" customHeight="1">
      <c r="A57" s="369" t="s">
        <v>140</v>
      </c>
      <c r="B57" s="368">
        <v>17009.31</v>
      </c>
      <c r="C57" s="409"/>
      <c r="D57" s="410"/>
      <c r="E57" s="411"/>
      <c r="F57" s="403">
        <f t="shared" si="2"/>
        <v>17009.31</v>
      </c>
      <c r="G57" s="216">
        <v>-332185.0</v>
      </c>
      <c r="H57" s="216">
        <f>SUM(G56:G57)</f>
        <v>-1245711</v>
      </c>
    </row>
    <row r="58" ht="14.25" customHeight="1">
      <c r="A58" s="421" t="s">
        <v>143</v>
      </c>
      <c r="B58" s="422">
        <f t="shared" ref="B58:D58" si="3">SUM(B9:B57)</f>
        <v>132364323.3</v>
      </c>
      <c r="C58" s="423">
        <f t="shared" si="3"/>
        <v>131576211.9</v>
      </c>
      <c r="D58" s="424">
        <f t="shared" si="3"/>
        <v>2636339</v>
      </c>
      <c r="E58" s="425"/>
      <c r="F58" s="426">
        <f>SUM(F9:F57)</f>
        <v>-1848227.55</v>
      </c>
      <c r="G58" s="216">
        <v>276701.0</v>
      </c>
      <c r="H58" s="241">
        <v>1509933.0</v>
      </c>
    </row>
    <row r="59" ht="14.25" customHeight="1">
      <c r="A59" s="375" t="s">
        <v>157</v>
      </c>
      <c r="B59" s="252">
        <f>913526+332185-276701</f>
        <v>969010</v>
      </c>
      <c r="C59" s="252"/>
      <c r="D59" s="252"/>
      <c r="E59" s="252"/>
      <c r="F59" s="264">
        <f>B59-C59-D59-E59</f>
        <v>969010</v>
      </c>
      <c r="G59" s="427">
        <f>SUM(G55:G58)</f>
        <v>28364323</v>
      </c>
    </row>
    <row r="60" ht="14.25" customHeight="1">
      <c r="A60" s="333" t="s">
        <v>158</v>
      </c>
      <c r="B60" s="428">
        <f t="shared" ref="B60:D60" si="4">B58+B59</f>
        <v>133333333.3</v>
      </c>
      <c r="C60" s="428">
        <f t="shared" si="4"/>
        <v>131576211.9</v>
      </c>
      <c r="D60" s="428">
        <f t="shared" si="4"/>
        <v>2636339</v>
      </c>
      <c r="E60" s="428"/>
      <c r="F60" s="429">
        <f>F58+F59</f>
        <v>-879217.55</v>
      </c>
    </row>
    <row r="61" ht="14.25" customHeight="1">
      <c r="A61" s="378" t="s">
        <v>186</v>
      </c>
      <c r="B61" s="336"/>
      <c r="C61" s="336"/>
      <c r="D61" s="336"/>
      <c r="E61" s="336"/>
      <c r="F61" s="336"/>
      <c r="G61" s="216">
        <f>G55-G59</f>
        <v>969010</v>
      </c>
    </row>
    <row r="62" ht="14.25" customHeight="1">
      <c r="A62" s="379"/>
      <c r="B62" s="379"/>
      <c r="C62" s="379"/>
      <c r="D62" s="379"/>
      <c r="E62" s="379"/>
      <c r="F62" s="379"/>
    </row>
    <row r="63" ht="14.25" customHeight="1">
      <c r="A63" s="336"/>
      <c r="B63" s="336"/>
      <c r="C63" s="336"/>
      <c r="D63" s="336"/>
      <c r="E63" s="336"/>
      <c r="F63" s="336"/>
    </row>
    <row r="64" ht="14.25" customHeight="1">
      <c r="A64" s="337" t="s">
        <v>159</v>
      </c>
      <c r="B64" s="430">
        <f>B12+B13+B15+B19+B21+B27+B34+B36+B43+B46+B48+B49+B53+B54+B57</f>
        <v>6211798.57</v>
      </c>
      <c r="C64" s="430">
        <f t="shared" ref="C64:E64" si="5">C12+C13+C15+C19+C21+C26+C34+C36+C43+C46+C48+C49+C53+C54+C57</f>
        <v>5453183.02</v>
      </c>
      <c r="D64" s="430">
        <f t="shared" si="5"/>
        <v>0</v>
      </c>
      <c r="E64" s="430">
        <f t="shared" si="5"/>
        <v>0</v>
      </c>
      <c r="F64" s="431">
        <f>B64-C64-D64-E64</f>
        <v>758615.55</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29"/>
    <col customWidth="1" min="2" max="2" width="15.57"/>
    <col customWidth="1" min="3" max="3" width="15.43"/>
    <col customWidth="1" min="4" max="4" width="16.0"/>
    <col customWidth="1" min="5" max="5" width="12.71"/>
    <col customWidth="1" min="6" max="6" width="17.29"/>
    <col customWidth="1" hidden="1" min="7" max="7" width="17.57"/>
    <col customWidth="1" min="8" max="26" width="8.71"/>
  </cols>
  <sheetData>
    <row r="1" ht="14.25" customHeight="1">
      <c r="A1" s="432" t="str">
        <f>[1]Status!C1</f>
        <v>#ERROR!</v>
      </c>
      <c r="C1" s="222"/>
      <c r="D1" s="222"/>
      <c r="E1" s="222"/>
      <c r="F1" s="222"/>
    </row>
    <row r="2" ht="14.25" customHeight="1">
      <c r="A2" s="432" t="s">
        <v>1</v>
      </c>
      <c r="B2" s="222"/>
      <c r="C2" s="222"/>
      <c r="D2" s="222"/>
      <c r="E2" s="222"/>
      <c r="F2" s="222"/>
    </row>
    <row r="3" ht="14.25" customHeight="1">
      <c r="A3" s="433" t="s">
        <v>197</v>
      </c>
      <c r="B3" s="222"/>
      <c r="C3" s="222"/>
      <c r="D3" s="222"/>
      <c r="E3" s="222"/>
      <c r="F3" s="222"/>
    </row>
    <row r="4" ht="14.25" customHeight="1">
      <c r="A4" s="222"/>
      <c r="B4" s="222"/>
      <c r="C4" s="222"/>
      <c r="D4" s="222"/>
      <c r="E4" s="222"/>
      <c r="F4" s="222"/>
    </row>
    <row r="5" ht="14.25" customHeight="1">
      <c r="A5" s="223" t="s">
        <v>148</v>
      </c>
    </row>
    <row r="6" ht="14.25" customHeight="1">
      <c r="A6" s="224" t="s">
        <v>198</v>
      </c>
    </row>
    <row r="7" ht="14.25" customHeight="1">
      <c r="A7" s="297" t="str">
        <f>[1]Status!A6</f>
        <v>#ERROR!</v>
      </c>
      <c r="B7" s="298"/>
      <c r="C7" s="298"/>
      <c r="D7" s="298"/>
      <c r="E7" s="298"/>
      <c r="F7" s="298"/>
    </row>
    <row r="8" ht="33.0" customHeight="1">
      <c r="A8" s="226" t="s">
        <v>79</v>
      </c>
      <c r="B8" s="400" t="s">
        <v>80</v>
      </c>
      <c r="C8" s="400" t="s">
        <v>81</v>
      </c>
      <c r="D8" s="400" t="s">
        <v>82</v>
      </c>
      <c r="E8" s="400" t="s">
        <v>83</v>
      </c>
      <c r="F8" s="401" t="s">
        <v>84</v>
      </c>
    </row>
    <row r="9" ht="14.25" customHeight="1">
      <c r="A9" s="356" t="s">
        <v>86</v>
      </c>
      <c r="B9" s="357">
        <v>11906.51</v>
      </c>
      <c r="C9" s="357">
        <v>11973.51</v>
      </c>
      <c r="D9" s="402"/>
      <c r="E9" s="402"/>
      <c r="F9" s="403">
        <f t="shared" ref="F9:F16" si="1">B9-C9-D9-E9</f>
        <v>-67</v>
      </c>
    </row>
    <row r="10" ht="14.25" customHeight="1">
      <c r="A10" s="317" t="s">
        <v>150</v>
      </c>
      <c r="B10" s="361">
        <v>3287898.86</v>
      </c>
      <c r="C10" s="361">
        <f>3284796.48+3102.38</f>
        <v>3287898.86</v>
      </c>
      <c r="D10" s="404"/>
      <c r="E10" s="404"/>
      <c r="F10" s="403">
        <f t="shared" si="1"/>
        <v>0</v>
      </c>
    </row>
    <row r="11" ht="14.25" customHeight="1">
      <c r="A11" s="278" t="s">
        <v>88</v>
      </c>
      <c r="B11" s="364">
        <v>1447491.95</v>
      </c>
      <c r="C11" s="364">
        <f>930167.99+517323.96</f>
        <v>1447491.95</v>
      </c>
      <c r="D11" s="405"/>
      <c r="E11" s="405"/>
      <c r="F11" s="403">
        <f t="shared" si="1"/>
        <v>0</v>
      </c>
    </row>
    <row r="12" ht="14.25" customHeight="1">
      <c r="A12" s="324" t="s">
        <v>89</v>
      </c>
      <c r="B12" s="364">
        <v>25513.96</v>
      </c>
      <c r="C12" s="405"/>
      <c r="D12" s="405"/>
      <c r="E12" s="405"/>
      <c r="F12" s="403">
        <f t="shared" si="1"/>
        <v>25513.96</v>
      </c>
    </row>
    <row r="13" ht="14.25" customHeight="1">
      <c r="A13" s="278" t="s">
        <v>90</v>
      </c>
      <c r="B13" s="364">
        <v>71439.09</v>
      </c>
      <c r="C13" s="405"/>
      <c r="D13" s="405"/>
      <c r="E13" s="405"/>
      <c r="F13" s="403">
        <f t="shared" si="1"/>
        <v>71439.09</v>
      </c>
    </row>
    <row r="14" ht="14.25" customHeight="1">
      <c r="A14" s="278" t="s">
        <v>91</v>
      </c>
      <c r="B14" s="364">
        <v>1828500.4</v>
      </c>
      <c r="C14" s="364">
        <v>1828500.4</v>
      </c>
      <c r="D14" s="405"/>
      <c r="E14" s="405"/>
      <c r="F14" s="403">
        <f t="shared" si="1"/>
        <v>0</v>
      </c>
    </row>
    <row r="15" ht="14.25" customHeight="1">
      <c r="A15" s="278" t="s">
        <v>92</v>
      </c>
      <c r="B15" s="364">
        <v>64635.36</v>
      </c>
      <c r="C15" s="364">
        <v>64635.36</v>
      </c>
      <c r="D15" s="405"/>
      <c r="E15" s="405"/>
      <c r="F15" s="403">
        <f t="shared" si="1"/>
        <v>0</v>
      </c>
    </row>
    <row r="16" ht="14.25" customHeight="1">
      <c r="A16" s="278" t="s">
        <v>151</v>
      </c>
      <c r="B16" s="364">
        <v>5454884.45</v>
      </c>
      <c r="C16" s="405">
        <f>4363907.56+1090976.89</f>
        <v>5454884.45</v>
      </c>
      <c r="D16" s="405"/>
      <c r="E16" s="405"/>
      <c r="F16" s="403">
        <f t="shared" si="1"/>
        <v>0.0000000009313225746</v>
      </c>
    </row>
    <row r="17" ht="14.25" customHeight="1">
      <c r="A17" s="278" t="s">
        <v>94</v>
      </c>
      <c r="B17" s="364">
        <v>0.0</v>
      </c>
      <c r="C17" s="407"/>
      <c r="D17" s="405"/>
      <c r="E17" s="405"/>
      <c r="F17" s="403"/>
    </row>
    <row r="18" ht="14.25" customHeight="1">
      <c r="A18" s="278" t="s">
        <v>95</v>
      </c>
      <c r="B18" s="364">
        <v>78242.81</v>
      </c>
      <c r="C18" s="364">
        <v>78242.81</v>
      </c>
      <c r="D18" s="405"/>
      <c r="E18" s="405"/>
      <c r="F18" s="403">
        <f t="shared" ref="F18:F57" si="2">B18-C18-D18-E18</f>
        <v>0</v>
      </c>
    </row>
    <row r="19" ht="14.25" customHeight="1">
      <c r="A19" s="278" t="s">
        <v>96</v>
      </c>
      <c r="B19" s="364">
        <v>593624.78</v>
      </c>
      <c r="C19" s="364">
        <f>559593.99+34030.79</f>
        <v>593624.78</v>
      </c>
      <c r="D19" s="405"/>
      <c r="E19" s="405"/>
      <c r="F19" s="403">
        <f t="shared" si="2"/>
        <v>0</v>
      </c>
    </row>
    <row r="20" ht="14.25" customHeight="1">
      <c r="A20" s="278" t="s">
        <v>97</v>
      </c>
      <c r="B20" s="364">
        <v>1251884.93</v>
      </c>
      <c r="C20" s="364">
        <v>1251884.93</v>
      </c>
      <c r="D20" s="405"/>
      <c r="E20" s="405"/>
      <c r="F20" s="403">
        <f t="shared" si="2"/>
        <v>0</v>
      </c>
    </row>
    <row r="21" ht="14.25" customHeight="1">
      <c r="A21" s="278" t="s">
        <v>98</v>
      </c>
      <c r="B21" s="364">
        <v>68037.22</v>
      </c>
      <c r="C21" s="364">
        <v>68037.22</v>
      </c>
      <c r="D21" s="405"/>
      <c r="E21" s="405"/>
      <c r="F21" s="403">
        <f t="shared" si="2"/>
        <v>0</v>
      </c>
    </row>
    <row r="22" ht="14.25" customHeight="1">
      <c r="A22" s="278" t="s">
        <v>99</v>
      </c>
      <c r="B22" s="364">
        <v>962726.72</v>
      </c>
      <c r="C22" s="364">
        <v>962726.72</v>
      </c>
      <c r="D22" s="405"/>
      <c r="E22" s="405"/>
      <c r="F22" s="403">
        <f t="shared" si="2"/>
        <v>0</v>
      </c>
    </row>
    <row r="23" ht="15.75" customHeight="1">
      <c r="A23" s="278" t="s">
        <v>152</v>
      </c>
      <c r="B23" s="364">
        <v>1.04147981E7</v>
      </c>
      <c r="C23" s="405">
        <f>10126112+14179</f>
        <v>10140291</v>
      </c>
      <c r="D23" s="405">
        <f>288686-14179</f>
        <v>274507</v>
      </c>
      <c r="E23" s="405"/>
      <c r="F23" s="403">
        <f t="shared" si="2"/>
        <v>0.09999999963</v>
      </c>
    </row>
    <row r="24" ht="14.25" customHeight="1">
      <c r="A24" s="278" t="s">
        <v>153</v>
      </c>
      <c r="B24" s="364">
        <v>1.363806159E7</v>
      </c>
      <c r="C24" s="405">
        <f>2273010.27+2273010.26+2273010.27+2273010.27+2273010.27+2273010.27-1859182</f>
        <v>11778879.61</v>
      </c>
      <c r="D24" s="405">
        <f>1501405+1226207+1859182</f>
        <v>4586794</v>
      </c>
      <c r="E24" s="364"/>
      <c r="F24" s="403">
        <f t="shared" si="2"/>
        <v>-2727612.02</v>
      </c>
      <c r="G24" s="216">
        <f>F24*0.7203</f>
        <v>-1964698.938</v>
      </c>
    </row>
    <row r="25" ht="14.25" customHeight="1">
      <c r="A25" s="278" t="s">
        <v>102</v>
      </c>
      <c r="B25" s="364">
        <v>1175343.05</v>
      </c>
      <c r="C25" s="405">
        <f>80000+200000+300000+595343</f>
        <v>1175343</v>
      </c>
      <c r="D25" s="405"/>
      <c r="E25" s="405"/>
      <c r="F25" s="403">
        <f t="shared" si="2"/>
        <v>0.05000000005</v>
      </c>
    </row>
    <row r="26" ht="14.25" customHeight="1">
      <c r="A26" s="278" t="s">
        <v>103</v>
      </c>
      <c r="B26" s="364">
        <v>1700.93</v>
      </c>
      <c r="C26" s="364">
        <v>1700.93</v>
      </c>
      <c r="D26" s="405"/>
      <c r="E26" s="405"/>
      <c r="F26" s="403">
        <f t="shared" si="2"/>
        <v>0</v>
      </c>
    </row>
    <row r="27" ht="14.25" customHeight="1">
      <c r="A27" s="278" t="s">
        <v>104</v>
      </c>
      <c r="B27" s="364">
        <v>494970.81</v>
      </c>
      <c r="C27" s="364">
        <v>494970.81</v>
      </c>
      <c r="D27" s="405"/>
      <c r="E27" s="405"/>
      <c r="F27" s="403">
        <f t="shared" si="2"/>
        <v>0</v>
      </c>
    </row>
    <row r="28" ht="14.25" customHeight="1">
      <c r="A28" s="278" t="s">
        <v>105</v>
      </c>
      <c r="B28" s="364">
        <v>71439.09</v>
      </c>
      <c r="C28" s="364">
        <f>35864.25+35574.83</f>
        <v>71439.08</v>
      </c>
      <c r="D28" s="405"/>
      <c r="E28" s="405"/>
      <c r="F28" s="403">
        <f t="shared" si="2"/>
        <v>0.009999999995</v>
      </c>
    </row>
    <row r="29" ht="14.25" customHeight="1">
      <c r="A29" s="278" t="s">
        <v>154</v>
      </c>
      <c r="B29" s="364">
        <v>847063.44</v>
      </c>
      <c r="C29" s="364">
        <v>847063.44</v>
      </c>
      <c r="D29" s="405"/>
      <c r="E29" s="405"/>
      <c r="F29" s="403">
        <f t="shared" si="2"/>
        <v>0</v>
      </c>
    </row>
    <row r="30" ht="14.25" customHeight="1">
      <c r="A30" s="278" t="s">
        <v>107</v>
      </c>
      <c r="B30" s="364">
        <v>653157.35</v>
      </c>
      <c r="C30" s="405"/>
      <c r="D30" s="405"/>
      <c r="E30" s="405"/>
      <c r="F30" s="403">
        <f t="shared" si="2"/>
        <v>653157.35</v>
      </c>
    </row>
    <row r="31" ht="14.25" customHeight="1">
      <c r="A31" s="278" t="s">
        <v>108</v>
      </c>
      <c r="B31" s="364">
        <v>8502952.1</v>
      </c>
      <c r="C31" s="405">
        <f>3782130.85+883093.41+228179+3541748.9</f>
        <v>8435152.16</v>
      </c>
      <c r="D31" s="405">
        <v>67800.0</v>
      </c>
      <c r="E31" s="405"/>
      <c r="F31" s="403">
        <f t="shared" si="2"/>
        <v>-0.06000000052</v>
      </c>
    </row>
    <row r="32" ht="14.25" customHeight="1">
      <c r="A32" s="278" t="s">
        <v>155</v>
      </c>
      <c r="B32" s="364">
        <v>2.131266048E7</v>
      </c>
      <c r="C32" s="364">
        <f>21312660.48-1009000-90400-342350+1785.09+16986.36</f>
        <v>19889681.93</v>
      </c>
      <c r="D32" s="405">
        <f>1009000+432750-1785.09-16986.36</f>
        <v>1422978.55</v>
      </c>
      <c r="E32" s="405"/>
      <c r="F32" s="403">
        <f t="shared" si="2"/>
        <v>0.0000000009313225746</v>
      </c>
    </row>
    <row r="33" ht="14.25" customHeight="1">
      <c r="A33" s="278" t="s">
        <v>110</v>
      </c>
      <c r="B33" s="420">
        <v>0.0</v>
      </c>
      <c r="C33" s="321">
        <v>0.0</v>
      </c>
      <c r="D33" s="405"/>
      <c r="E33" s="405"/>
      <c r="F33" s="403">
        <f t="shared" si="2"/>
        <v>0</v>
      </c>
      <c r="H33" s="216"/>
      <c r="I33" s="216"/>
    </row>
    <row r="34" ht="14.25" customHeight="1">
      <c r="A34" s="278" t="s">
        <v>112</v>
      </c>
      <c r="B34" s="364">
        <v>64635.36</v>
      </c>
      <c r="C34" s="364">
        <v>64635.36</v>
      </c>
      <c r="D34" s="405"/>
      <c r="E34" s="405"/>
      <c r="F34" s="403">
        <f t="shared" si="2"/>
        <v>0</v>
      </c>
    </row>
    <row r="35" ht="14.25" customHeight="1">
      <c r="A35" s="278" t="s">
        <v>113</v>
      </c>
      <c r="B35" s="364">
        <v>15308.38</v>
      </c>
      <c r="C35" s="364">
        <v>15308.38</v>
      </c>
      <c r="D35" s="405"/>
      <c r="E35" s="405"/>
      <c r="F35" s="403">
        <f t="shared" si="2"/>
        <v>0</v>
      </c>
    </row>
    <row r="36" ht="14.25" customHeight="1">
      <c r="A36" s="278" t="s">
        <v>114</v>
      </c>
      <c r="B36" s="364">
        <v>110560.49</v>
      </c>
      <c r="C36" s="405">
        <v>110560.0</v>
      </c>
      <c r="D36" s="405"/>
      <c r="E36" s="405"/>
      <c r="F36" s="403">
        <f t="shared" si="2"/>
        <v>0.49</v>
      </c>
    </row>
    <row r="37" ht="14.25" customHeight="1">
      <c r="A37" s="278" t="s">
        <v>115</v>
      </c>
      <c r="B37" s="364">
        <v>153083.75</v>
      </c>
      <c r="C37" s="364">
        <v>153083.75</v>
      </c>
      <c r="D37" s="405"/>
      <c r="E37" s="405"/>
      <c r="F37" s="403">
        <f t="shared" si="2"/>
        <v>0</v>
      </c>
    </row>
    <row r="38" ht="14.25" customHeight="1">
      <c r="A38" s="278" t="s">
        <v>116</v>
      </c>
      <c r="B38" s="364">
        <v>28915.82</v>
      </c>
      <c r="C38" s="364">
        <v>28915.82</v>
      </c>
      <c r="D38" s="405"/>
      <c r="E38" s="405"/>
      <c r="F38" s="403">
        <f t="shared" si="2"/>
        <v>0</v>
      </c>
    </row>
    <row r="39" ht="14.25" customHeight="1">
      <c r="A39" s="278" t="s">
        <v>117</v>
      </c>
      <c r="B39" s="364">
        <v>5102.79</v>
      </c>
      <c r="C39" s="364">
        <v>5102.79</v>
      </c>
      <c r="D39" s="405"/>
      <c r="E39" s="405"/>
      <c r="F39" s="403">
        <f t="shared" si="2"/>
        <v>0</v>
      </c>
    </row>
    <row r="40" ht="14.25" customHeight="1">
      <c r="A40" s="278" t="s">
        <v>118</v>
      </c>
      <c r="B40" s="364">
        <v>3155226.27</v>
      </c>
      <c r="C40" s="364">
        <v>3155226.27</v>
      </c>
      <c r="D40" s="405"/>
      <c r="E40" s="405"/>
      <c r="F40" s="403">
        <f t="shared" si="2"/>
        <v>0</v>
      </c>
    </row>
    <row r="41" ht="14.25" customHeight="1">
      <c r="A41" s="278" t="s">
        <v>119</v>
      </c>
      <c r="B41" s="364">
        <v>464354.06</v>
      </c>
      <c r="C41" s="364">
        <v>464354.06</v>
      </c>
      <c r="D41" s="405"/>
      <c r="E41" s="405"/>
      <c r="F41" s="403">
        <f t="shared" si="2"/>
        <v>0</v>
      </c>
    </row>
    <row r="42" ht="14.25" customHeight="1">
      <c r="A42" s="278" t="s">
        <v>120</v>
      </c>
      <c r="B42" s="364">
        <v>1481510.56</v>
      </c>
      <c r="C42" s="364">
        <v>1481510.56</v>
      </c>
      <c r="D42" s="405"/>
      <c r="E42" s="405"/>
      <c r="F42" s="403">
        <f t="shared" si="2"/>
        <v>0</v>
      </c>
    </row>
    <row r="43" ht="14.25" customHeight="1">
      <c r="A43" s="278" t="s">
        <v>122</v>
      </c>
      <c r="B43" s="364">
        <v>1408370.54</v>
      </c>
      <c r="C43" s="364">
        <v>1408370.54</v>
      </c>
      <c r="D43" s="405"/>
      <c r="E43" s="405"/>
      <c r="F43" s="403">
        <f t="shared" si="2"/>
        <v>0</v>
      </c>
    </row>
    <row r="44" ht="14.25" customHeight="1">
      <c r="A44" s="278" t="s">
        <v>123</v>
      </c>
      <c r="B44" s="364">
        <v>869175.54</v>
      </c>
      <c r="C44" s="364">
        <v>869176.0</v>
      </c>
      <c r="D44" s="405"/>
      <c r="E44" s="405"/>
      <c r="F44" s="403">
        <f t="shared" si="2"/>
        <v>-0.46</v>
      </c>
    </row>
    <row r="45" ht="14.25" customHeight="1">
      <c r="A45" s="278" t="s">
        <v>124</v>
      </c>
      <c r="B45" s="364">
        <v>301064.72</v>
      </c>
      <c r="C45" s="364">
        <v>301064.72</v>
      </c>
      <c r="D45" s="405"/>
      <c r="E45" s="405"/>
      <c r="F45" s="403">
        <f t="shared" si="2"/>
        <v>0</v>
      </c>
    </row>
    <row r="46" ht="14.25" customHeight="1">
      <c r="A46" s="278" t="s">
        <v>125</v>
      </c>
      <c r="B46" s="364">
        <v>2724890.83</v>
      </c>
      <c r="C46" s="405"/>
      <c r="D46" s="405"/>
      <c r="E46" s="405"/>
      <c r="F46" s="403">
        <f t="shared" si="2"/>
        <v>2724890.83</v>
      </c>
    </row>
    <row r="47" ht="14.25" customHeight="1">
      <c r="A47" s="317" t="s">
        <v>126</v>
      </c>
      <c r="B47" s="364">
        <v>5102.79</v>
      </c>
      <c r="C47" s="364">
        <v>5102.79</v>
      </c>
      <c r="D47" s="405"/>
      <c r="E47" s="405"/>
      <c r="F47" s="403">
        <f t="shared" si="2"/>
        <v>0</v>
      </c>
    </row>
    <row r="48" ht="14.25" customHeight="1">
      <c r="A48" s="317" t="s">
        <v>128</v>
      </c>
      <c r="B48" s="364">
        <v>241532.15</v>
      </c>
      <c r="C48" s="364">
        <v>241532.15</v>
      </c>
      <c r="D48" s="405"/>
      <c r="E48" s="405"/>
      <c r="F48" s="403">
        <f t="shared" si="2"/>
        <v>0</v>
      </c>
    </row>
    <row r="49" ht="14.25" customHeight="1">
      <c r="A49" s="278" t="s">
        <v>129</v>
      </c>
      <c r="B49" s="364">
        <v>175195.85</v>
      </c>
      <c r="C49" s="364">
        <v>175195.85</v>
      </c>
      <c r="D49" s="405"/>
      <c r="E49" s="405"/>
      <c r="F49" s="403">
        <f t="shared" si="2"/>
        <v>0</v>
      </c>
    </row>
    <row r="50" ht="14.25" customHeight="1">
      <c r="A50" s="278" t="s">
        <v>131</v>
      </c>
      <c r="B50" s="364">
        <v>5403856.53</v>
      </c>
      <c r="C50" s="364">
        <f>5403856.53-893000+2050.1</f>
        <v>4512906.63</v>
      </c>
      <c r="D50" s="405">
        <f>893000-2050.1</f>
        <v>890949.9</v>
      </c>
      <c r="E50" s="405"/>
      <c r="F50" s="403">
        <f t="shared" si="2"/>
        <v>0.0000000003492459655</v>
      </c>
    </row>
    <row r="51" ht="14.25" customHeight="1">
      <c r="A51" s="278" t="s">
        <v>156</v>
      </c>
      <c r="B51" s="364">
        <v>1809790.16</v>
      </c>
      <c r="C51" s="364">
        <v>1809790.16</v>
      </c>
      <c r="D51" s="405"/>
      <c r="E51" s="405"/>
      <c r="F51" s="403">
        <f t="shared" si="2"/>
        <v>0</v>
      </c>
    </row>
    <row r="52" ht="14.25" customHeight="1">
      <c r="A52" s="278" t="s">
        <v>133</v>
      </c>
      <c r="B52" s="364">
        <v>1922051.58</v>
      </c>
      <c r="C52" s="364">
        <v>1922051.58</v>
      </c>
      <c r="D52" s="405"/>
      <c r="E52" s="405"/>
      <c r="F52" s="403">
        <f t="shared" si="2"/>
        <v>0</v>
      </c>
    </row>
    <row r="53" ht="14.25" customHeight="1">
      <c r="A53" s="278" t="s">
        <v>134</v>
      </c>
      <c r="B53" s="364">
        <v>3401.86</v>
      </c>
      <c r="C53" s="405"/>
      <c r="D53" s="405"/>
      <c r="E53" s="405"/>
      <c r="F53" s="403">
        <f t="shared" si="2"/>
        <v>3401.86</v>
      </c>
    </row>
    <row r="54" ht="14.25" customHeight="1">
      <c r="A54" s="278" t="s">
        <v>136</v>
      </c>
      <c r="B54" s="364">
        <v>147980.96</v>
      </c>
      <c r="C54" s="405"/>
      <c r="D54" s="405"/>
      <c r="E54" s="405"/>
      <c r="F54" s="403">
        <f t="shared" si="2"/>
        <v>147980.96</v>
      </c>
    </row>
    <row r="55" ht="14.25" customHeight="1">
      <c r="A55" s="278" t="s">
        <v>138</v>
      </c>
      <c r="B55" s="364">
        <v>1.123294572E7</v>
      </c>
      <c r="C55" s="368">
        <v>1.123294572E7</v>
      </c>
      <c r="D55" s="405"/>
      <c r="E55" s="364"/>
      <c r="F55" s="403">
        <f t="shared" si="2"/>
        <v>0</v>
      </c>
    </row>
    <row r="56" ht="14.25" customHeight="1">
      <c r="A56" s="278" t="s">
        <v>139</v>
      </c>
      <c r="B56" s="364">
        <f>29333333.33-1794577</f>
        <v>27538756.33</v>
      </c>
      <c r="C56" s="405">
        <f>4451000+24500000+1666667+1666667+1666666-6412244</f>
        <v>27538756</v>
      </c>
      <c r="D56" s="405"/>
      <c r="E56" s="405"/>
      <c r="F56" s="403">
        <f t="shared" si="2"/>
        <v>0.3299999982</v>
      </c>
    </row>
    <row r="57" ht="14.25" customHeight="1">
      <c r="A57" s="369" t="s">
        <v>140</v>
      </c>
      <c r="B57" s="364">
        <v>17009.31</v>
      </c>
      <c r="C57" s="409"/>
      <c r="D57" s="410"/>
      <c r="E57" s="411"/>
      <c r="F57" s="403">
        <f t="shared" si="2"/>
        <v>17009.31</v>
      </c>
    </row>
    <row r="58" ht="14.25" customHeight="1">
      <c r="A58" s="421" t="s">
        <v>143</v>
      </c>
      <c r="B58" s="422">
        <f t="shared" ref="B58:D58" si="3">SUM(B9:B57)</f>
        <v>131538756.3</v>
      </c>
      <c r="C58" s="423">
        <f t="shared" si="3"/>
        <v>123380012.1</v>
      </c>
      <c r="D58" s="424">
        <f t="shared" si="3"/>
        <v>7243029.45</v>
      </c>
      <c r="E58" s="425"/>
      <c r="F58" s="413">
        <f>SUM(F9:F57)</f>
        <v>915714.8</v>
      </c>
    </row>
    <row r="59" ht="14.25" customHeight="1">
      <c r="A59" s="375" t="s">
        <v>157</v>
      </c>
      <c r="B59" s="252">
        <v>1794577.0</v>
      </c>
      <c r="C59" s="252"/>
      <c r="D59" s="252"/>
      <c r="E59" s="252"/>
      <c r="F59" s="264">
        <f>B59-C59-D59-E59</f>
        <v>1794577</v>
      </c>
    </row>
    <row r="60" ht="14.25" customHeight="1">
      <c r="A60" s="333" t="s">
        <v>158</v>
      </c>
      <c r="B60" s="434">
        <f t="shared" ref="B60:D60" si="4">B58+B59</f>
        <v>133333333.3</v>
      </c>
      <c r="C60" s="434">
        <f t="shared" si="4"/>
        <v>123380012.1</v>
      </c>
      <c r="D60" s="434">
        <f t="shared" si="4"/>
        <v>7243029.45</v>
      </c>
      <c r="E60" s="434"/>
      <c r="F60" s="435">
        <f>F58+F59</f>
        <v>2710291.8</v>
      </c>
    </row>
    <row r="61" ht="14.25" customHeight="1">
      <c r="A61" s="378" t="s">
        <v>186</v>
      </c>
      <c r="B61" s="336"/>
      <c r="C61" s="336"/>
      <c r="D61" s="336"/>
      <c r="E61" s="336"/>
      <c r="F61" s="336"/>
    </row>
    <row r="62" ht="14.25" customHeight="1">
      <c r="A62" s="379"/>
      <c r="B62" s="379"/>
      <c r="C62" s="379"/>
      <c r="D62" s="379"/>
      <c r="E62" s="379"/>
      <c r="F62" s="379"/>
    </row>
    <row r="63" ht="14.25" customHeight="1">
      <c r="A63" s="336"/>
      <c r="B63" s="336"/>
      <c r="C63" s="336"/>
      <c r="D63" s="336"/>
      <c r="E63" s="336"/>
      <c r="F63" s="336"/>
    </row>
    <row r="64" ht="14.25" customHeight="1">
      <c r="A64" s="337" t="s">
        <v>159</v>
      </c>
      <c r="B64" s="414">
        <f>B12+B13+B15+B19+B21+B27+B34+B36+B43+B46+B48+B49+B53+B54+B57</f>
        <v>6211798.57</v>
      </c>
      <c r="C64" s="414">
        <f t="shared" ref="C64:E64" si="5">C12+C13+C15+C19+C21+C26+C34+C36+C43+C46+C48+C49+C53+C54+C57</f>
        <v>2728292.19</v>
      </c>
      <c r="D64" s="414">
        <f t="shared" si="5"/>
        <v>0</v>
      </c>
      <c r="E64" s="414">
        <f t="shared" si="5"/>
        <v>0</v>
      </c>
      <c r="F64" s="415">
        <f>B64-C64-D64-E64</f>
        <v>3483506.38</v>
      </c>
    </row>
    <row r="65" ht="14.25" customHeight="1"/>
    <row r="66" ht="14.25" customHeight="1">
      <c r="D66" s="32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0"/>
  <cols>
    <col customWidth="1" min="1" max="1" width="20.71"/>
    <col customWidth="1" min="2" max="2" width="16.57"/>
    <col customWidth="1" min="3" max="4" width="15.57"/>
    <col customWidth="1" min="5" max="6" width="16.43"/>
    <col customWidth="1" min="7" max="26" width="8.71"/>
  </cols>
  <sheetData>
    <row r="1" ht="14.25" customHeight="1">
      <c r="C1" s="222"/>
      <c r="D1" s="222"/>
      <c r="E1" s="296" t="str">
        <f>[1]Status!C1</f>
        <v>#ERROR!</v>
      </c>
    </row>
    <row r="2" ht="14.25" customHeight="1">
      <c r="B2" s="222"/>
      <c r="C2" s="222"/>
      <c r="D2" s="222"/>
      <c r="E2" s="222"/>
      <c r="F2" s="296" t="s">
        <v>1</v>
      </c>
    </row>
    <row r="3" ht="14.25" customHeight="1">
      <c r="B3" s="222"/>
      <c r="C3" s="222"/>
      <c r="D3" s="222"/>
      <c r="E3" s="222"/>
      <c r="F3" s="436" t="s">
        <v>199</v>
      </c>
    </row>
    <row r="4" ht="14.25" customHeight="1">
      <c r="A4" s="222"/>
      <c r="B4" s="222"/>
      <c r="C4" s="222"/>
      <c r="D4" s="222"/>
      <c r="E4" s="222"/>
      <c r="F4" s="222"/>
    </row>
    <row r="5" ht="14.25" customHeight="1">
      <c r="A5" s="223" t="s">
        <v>148</v>
      </c>
    </row>
    <row r="6" ht="14.25" customHeight="1">
      <c r="A6" s="224" t="s">
        <v>200</v>
      </c>
    </row>
    <row r="7" ht="14.25" customHeight="1">
      <c r="A7" s="297" t="str">
        <f>[1]Status!A6</f>
        <v>#ERROR!</v>
      </c>
      <c r="B7" s="298"/>
      <c r="C7" s="298"/>
      <c r="D7" s="298"/>
      <c r="E7" s="298"/>
      <c r="F7" s="298"/>
    </row>
    <row r="8" ht="33.0" customHeight="1">
      <c r="A8" s="226" t="s">
        <v>79</v>
      </c>
      <c r="B8" s="400" t="s">
        <v>80</v>
      </c>
      <c r="C8" s="400" t="s">
        <v>81</v>
      </c>
      <c r="D8" s="400" t="s">
        <v>82</v>
      </c>
      <c r="E8" s="400" t="s">
        <v>83</v>
      </c>
      <c r="F8" s="401" t="s">
        <v>84</v>
      </c>
    </row>
    <row r="9" ht="14.25" customHeight="1">
      <c r="A9" s="356" t="s">
        <v>86</v>
      </c>
      <c r="B9" s="357">
        <f>'YR2009'!B9+'YR2010'!B9+'YR2011'!B9</f>
        <v>34763.96</v>
      </c>
      <c r="C9" s="357">
        <f>'YR2009'!C9+'YR2010'!C9+'YR2011'!C9</f>
        <v>34696.96</v>
      </c>
      <c r="D9" s="357">
        <f>'YR2009'!D9+'YR2010'!D9+'YR2011'!D9</f>
        <v>0</v>
      </c>
      <c r="E9" s="357">
        <f>'YR2009'!E9+'YR2010'!E9+'YR2011'!E9</f>
        <v>0</v>
      </c>
      <c r="F9" s="403">
        <f t="shared" ref="F9:F55" si="1">B9-C9-D9-E9</f>
        <v>67</v>
      </c>
    </row>
    <row r="10" ht="14.25" customHeight="1">
      <c r="A10" s="317" t="s">
        <v>150</v>
      </c>
      <c r="B10" s="357">
        <f>'YR2009'!B10+'YR2010'!B10+'YR2011'!B10</f>
        <v>8678132.82</v>
      </c>
      <c r="C10" s="357">
        <f>'YR2009'!C10+'YR2010'!C10+'YR2011'!C10</f>
        <v>8339132.82</v>
      </c>
      <c r="D10" s="357">
        <f>'YR2009'!D10+'YR2010'!D10+'YR2011'!D10</f>
        <v>339000</v>
      </c>
      <c r="E10" s="357">
        <f>'YR2009'!E10+'YR2010'!E10+'YR2011'!E10</f>
        <v>0</v>
      </c>
      <c r="F10" s="403">
        <f t="shared" si="1"/>
        <v>0</v>
      </c>
    </row>
    <row r="11" ht="14.25" customHeight="1">
      <c r="A11" s="278" t="s">
        <v>88</v>
      </c>
      <c r="B11" s="357">
        <f>'YR2009'!B11+'YR2010'!B11+'YR2011'!B11</f>
        <v>4307500.74</v>
      </c>
      <c r="C11" s="357">
        <f>'YR2009'!C11+'YR2010'!C11+'YR2011'!C11</f>
        <v>4307500.74</v>
      </c>
      <c r="D11" s="357">
        <f>'YR2009'!D11+'YR2010'!D11+'YR2011'!D11</f>
        <v>0</v>
      </c>
      <c r="E11" s="357">
        <f>'YR2009'!E11+'YR2010'!E11+'YR2011'!E11</f>
        <v>0</v>
      </c>
      <c r="F11" s="403">
        <f t="shared" si="1"/>
        <v>0</v>
      </c>
    </row>
    <row r="12" ht="14.25" customHeight="1">
      <c r="A12" s="324" t="s">
        <v>89</v>
      </c>
      <c r="B12" s="357">
        <f>'YR2009'!B12+'YR2010'!B12+'YR2011'!B12</f>
        <v>24281.28</v>
      </c>
      <c r="C12" s="357">
        <f>'YR2009'!C12+'YR2010'!C12+'YR2011'!C12</f>
        <v>0</v>
      </c>
      <c r="D12" s="357">
        <f>'YR2009'!D12+'YR2010'!D12+'YR2011'!D12</f>
        <v>0</v>
      </c>
      <c r="E12" s="357">
        <f>'YR2009'!E12+'YR2010'!E12+'YR2011'!E12</f>
        <v>0</v>
      </c>
      <c r="F12" s="403">
        <f t="shared" si="1"/>
        <v>24281.28</v>
      </c>
    </row>
    <row r="13" ht="14.25" customHeight="1">
      <c r="A13" s="278" t="s">
        <v>90</v>
      </c>
      <c r="B13" s="357">
        <f>'YR2009'!B13+'YR2010'!B13+'YR2011'!B13</f>
        <v>97125.15</v>
      </c>
      <c r="C13" s="357">
        <f>'YR2009'!C13+'YR2010'!C13+'YR2011'!C13</f>
        <v>0</v>
      </c>
      <c r="D13" s="357">
        <f>'YR2009'!D13+'YR2010'!D13+'YR2011'!D13</f>
        <v>0</v>
      </c>
      <c r="E13" s="357">
        <f>'YR2009'!E13+'YR2010'!E13+'YR2011'!E13</f>
        <v>0</v>
      </c>
      <c r="F13" s="403">
        <f t="shared" si="1"/>
        <v>97125.15</v>
      </c>
    </row>
    <row r="14" ht="14.25" customHeight="1">
      <c r="A14" s="278" t="s">
        <v>91</v>
      </c>
      <c r="B14" s="357">
        <f>'YR2009'!B14+'YR2010'!B14+'YR2011'!B14</f>
        <v>5351596.17</v>
      </c>
      <c r="C14" s="357">
        <f>'YR2009'!C14+'YR2010'!C14+'YR2011'!C14</f>
        <v>5351596.17</v>
      </c>
      <c r="D14" s="357">
        <f>'YR2009'!D14+'YR2010'!D14+'YR2011'!D14</f>
        <v>0</v>
      </c>
      <c r="E14" s="357">
        <f>'YR2009'!E14+'YR2010'!E14+'YR2011'!E14</f>
        <v>0</v>
      </c>
      <c r="F14" s="403">
        <f t="shared" si="1"/>
        <v>0</v>
      </c>
    </row>
    <row r="15" ht="14.25" customHeight="1">
      <c r="A15" s="278" t="s">
        <v>92</v>
      </c>
      <c r="B15" s="357">
        <f>'YR2009'!B15+'YR2010'!B15+'YR2011'!B15</f>
        <v>97125.15</v>
      </c>
      <c r="C15" s="357">
        <f>'YR2009'!C15+'YR2010'!C15+'YR2011'!C15</f>
        <v>97125.15</v>
      </c>
      <c r="D15" s="357">
        <f>'YR2009'!D15+'YR2010'!D15+'YR2011'!D15</f>
        <v>0</v>
      </c>
      <c r="E15" s="357">
        <f>'YR2009'!E15+'YR2010'!E15+'YR2011'!E15</f>
        <v>0</v>
      </c>
      <c r="F15" s="403">
        <f t="shared" si="1"/>
        <v>0</v>
      </c>
    </row>
    <row r="16" ht="14.25" customHeight="1">
      <c r="A16" s="278" t="s">
        <v>151</v>
      </c>
      <c r="B16" s="357">
        <f>'YR2009'!B16+'YR2010'!B16+'YR2011'!B16</f>
        <v>14457079.71</v>
      </c>
      <c r="C16" s="357">
        <f>'YR2009'!C16+'YR2010'!C16+'YR2011'!C16</f>
        <v>14033894.51</v>
      </c>
      <c r="D16" s="357">
        <f>'YR2009'!D16+'YR2010'!D16+'YR2011'!D16</f>
        <v>423185</v>
      </c>
      <c r="E16" s="357">
        <f>'YR2009'!E16+'YR2010'!E16+'YR2011'!E16</f>
        <v>0</v>
      </c>
      <c r="F16" s="403">
        <f t="shared" si="1"/>
        <v>0.1999999993</v>
      </c>
    </row>
    <row r="17" ht="14.25" customHeight="1">
      <c r="A17" s="278" t="s">
        <v>95</v>
      </c>
      <c r="B17" s="357">
        <f>'YR2009'!B17+'YR2010'!B17+'YR2011'!B17</f>
        <v>213675.36</v>
      </c>
      <c r="C17" s="357">
        <f>'YR2009'!C17+'YR2010'!C17+'YR2011'!C17</f>
        <v>213675.36</v>
      </c>
      <c r="D17" s="357">
        <f>'YR2009'!D17+'YR2010'!D17+'YR2011'!D17</f>
        <v>0</v>
      </c>
      <c r="E17" s="357">
        <f>'YR2009'!E17+'YR2010'!E17+'YR2011'!E17</f>
        <v>0</v>
      </c>
      <c r="F17" s="403">
        <f t="shared" si="1"/>
        <v>0</v>
      </c>
    </row>
    <row r="18" ht="14.25" customHeight="1">
      <c r="A18" s="278" t="s">
        <v>96</v>
      </c>
      <c r="B18" s="357">
        <f>'YR2009'!B18+'YR2010'!B18+'YR2011'!B18</f>
        <v>1364608.47</v>
      </c>
      <c r="C18" s="357">
        <f>'YR2009'!C18+'YR2010'!C18+'YR2011'!C18</f>
        <v>1153765.47</v>
      </c>
      <c r="D18" s="357">
        <f>'YR2009'!D18+'YR2010'!D18+'YR2011'!D18</f>
        <v>210843</v>
      </c>
      <c r="E18" s="357">
        <f>'YR2009'!E18+'YR2010'!E18+'YR2011'!E18</f>
        <v>0</v>
      </c>
      <c r="F18" s="403">
        <f t="shared" si="1"/>
        <v>0</v>
      </c>
    </row>
    <row r="19" ht="14.25" customHeight="1">
      <c r="A19" s="278" t="s">
        <v>97</v>
      </c>
      <c r="B19" s="357">
        <f>'YR2009'!B19+'YR2010'!B19+'YR2011'!B19</f>
        <v>3588774.57</v>
      </c>
      <c r="C19" s="357">
        <f>'YR2009'!C19+'YR2010'!C19+'YR2011'!C19</f>
        <v>3588774.57</v>
      </c>
      <c r="D19" s="357">
        <f>'YR2009'!D19+'YR2010'!D19+'YR2011'!D19</f>
        <v>0</v>
      </c>
      <c r="E19" s="357">
        <f>'YR2009'!E19+'YR2010'!E19+'YR2011'!E19</f>
        <v>0</v>
      </c>
      <c r="F19" s="403">
        <f t="shared" si="1"/>
        <v>0</v>
      </c>
    </row>
    <row r="20" ht="14.25" customHeight="1">
      <c r="A20" s="278" t="s">
        <v>98</v>
      </c>
      <c r="B20" s="357">
        <f>'YR2009'!B20+'YR2010'!B20+'YR2011'!B20</f>
        <v>77700.12</v>
      </c>
      <c r="C20" s="357">
        <f>'YR2009'!C20+'YR2010'!C20+'YR2011'!C20</f>
        <v>77700.12</v>
      </c>
      <c r="D20" s="357">
        <f>'YR2009'!D20+'YR2010'!D20+'YR2011'!D20</f>
        <v>0</v>
      </c>
      <c r="E20" s="357">
        <f>'YR2009'!E20+'YR2010'!E20+'YR2011'!E20</f>
        <v>0</v>
      </c>
      <c r="F20" s="403">
        <f t="shared" si="1"/>
        <v>0</v>
      </c>
    </row>
    <row r="21" ht="14.25" customHeight="1">
      <c r="A21" s="278" t="s">
        <v>99</v>
      </c>
      <c r="B21" s="357">
        <f>'YR2009'!B21+'YR2010'!B21+'YR2011'!B21</f>
        <v>2738929.44</v>
      </c>
      <c r="C21" s="357">
        <f>'YR2009'!C21+'YR2010'!C21+'YR2011'!C21</f>
        <v>2738929.44</v>
      </c>
      <c r="D21" s="357">
        <f>'YR2009'!D21+'YR2010'!D21+'YR2011'!D21</f>
        <v>0</v>
      </c>
      <c r="E21" s="357">
        <f>'YR2009'!E21+'YR2010'!E21+'YR2011'!E21</f>
        <v>0</v>
      </c>
      <c r="F21" s="403">
        <f t="shared" si="1"/>
        <v>0</v>
      </c>
    </row>
    <row r="22" ht="14.25" customHeight="1">
      <c r="A22" s="278" t="s">
        <v>152</v>
      </c>
      <c r="B22" s="357">
        <f>'YR2009'!B22+'YR2010'!B22+'YR2011'!B22</f>
        <v>30599280.9</v>
      </c>
      <c r="C22" s="357">
        <f>'YR2009'!C22+'YR2010'!C22+'YR2011'!C22</f>
        <v>29546763.86</v>
      </c>
      <c r="D22" s="357">
        <f>'YR2009'!D22+'YR2010'!D22+'YR2011'!D22</f>
        <v>1052517.04</v>
      </c>
      <c r="E22" s="357">
        <f>'YR2009'!E22+'YR2010'!E22+'YR2011'!E22</f>
        <v>0</v>
      </c>
      <c r="F22" s="403">
        <f t="shared" si="1"/>
        <v>-0.0000000009313225746</v>
      </c>
    </row>
    <row r="23" ht="14.25" customHeight="1">
      <c r="A23" s="278" t="s">
        <v>153</v>
      </c>
      <c r="B23" s="357">
        <f>'YR2009'!B23+'YR2010'!B23+'YR2011'!B23</f>
        <v>41652123.84</v>
      </c>
      <c r="C23" s="357">
        <f>'YR2009'!C23+'YR2010'!C23+'YR2011'!C23</f>
        <v>32842934.66</v>
      </c>
      <c r="D23" s="357">
        <f>'YR2009'!D23+'YR2010'!D23+'YR2011'!D23</f>
        <v>8809188</v>
      </c>
      <c r="E23" s="357">
        <f>'YR2009'!E23+'YR2010'!E23+'YR2011'!E23</f>
        <v>0.4099999988</v>
      </c>
      <c r="F23" s="403">
        <f t="shared" si="1"/>
        <v>0.7700000009</v>
      </c>
    </row>
    <row r="24" ht="14.25" customHeight="1">
      <c r="A24" s="278" t="s">
        <v>102</v>
      </c>
      <c r="B24" s="357">
        <f>'YR2009'!B24+'YR2010'!B24+'YR2011'!B24</f>
        <v>2894329.71</v>
      </c>
      <c r="C24" s="357">
        <f>'YR2009'!C24+'YR2010'!C24+'YR2011'!C24</f>
        <v>2894329.72</v>
      </c>
      <c r="D24" s="357">
        <f>'YR2009'!D24+'YR2010'!D24+'YR2011'!D24</f>
        <v>0</v>
      </c>
      <c r="E24" s="357">
        <f>'YR2009'!E24+'YR2010'!E24+'YR2011'!E24</f>
        <v>0</v>
      </c>
      <c r="F24" s="403">
        <f t="shared" si="1"/>
        <v>-0.009999999776</v>
      </c>
    </row>
    <row r="25" ht="14.25" customHeight="1">
      <c r="A25" s="278" t="s">
        <v>104</v>
      </c>
      <c r="B25" s="357">
        <f>'YR2009'!B25+'YR2010'!B25+'YR2011'!B25</f>
        <v>1184926.92</v>
      </c>
      <c r="C25" s="357">
        <f>'YR2009'!C25+'YR2010'!C25+'YR2011'!C25</f>
        <v>1184926.92</v>
      </c>
      <c r="D25" s="357">
        <f>'YR2009'!D25+'YR2010'!D25+'YR2011'!D25</f>
        <v>0</v>
      </c>
      <c r="E25" s="357">
        <f>'YR2009'!E25+'YR2010'!E25+'YR2011'!E25</f>
        <v>0</v>
      </c>
      <c r="F25" s="403">
        <f t="shared" si="1"/>
        <v>0</v>
      </c>
    </row>
    <row r="26" ht="14.25" customHeight="1">
      <c r="A26" s="278" t="s">
        <v>105</v>
      </c>
      <c r="B26" s="357">
        <f>'YR2009'!B26+'YR2010'!B26+'YR2011'!B26</f>
        <v>179681.55</v>
      </c>
      <c r="C26" s="357">
        <f>'YR2009'!C26+'YR2010'!C26+'YR2011'!C26</f>
        <v>179681.55</v>
      </c>
      <c r="D26" s="357">
        <f>'YR2009'!D26+'YR2010'!D26+'YR2011'!D26</f>
        <v>0</v>
      </c>
      <c r="E26" s="357">
        <f>'YR2009'!E26+'YR2010'!E26+'YR2011'!E26</f>
        <v>0</v>
      </c>
      <c r="F26" s="403">
        <f t="shared" si="1"/>
        <v>0</v>
      </c>
    </row>
    <row r="27" ht="14.25" customHeight="1">
      <c r="A27" s="278" t="s">
        <v>154</v>
      </c>
      <c r="B27" s="357">
        <f>'YR2009'!B27+'YR2010'!B27+'YR2011'!B27</f>
        <v>2161034.76</v>
      </c>
      <c r="C27" s="357">
        <f>'YR2009'!C27+'YR2010'!C27+'YR2011'!C27</f>
        <v>2161034.76</v>
      </c>
      <c r="D27" s="357">
        <f>'YR2009'!D27+'YR2010'!D27+'YR2011'!D27</f>
        <v>0</v>
      </c>
      <c r="E27" s="357">
        <f>'YR2009'!E27+'YR2010'!E27+'YR2011'!E27</f>
        <v>0</v>
      </c>
      <c r="F27" s="403">
        <f t="shared" si="1"/>
        <v>0</v>
      </c>
    </row>
    <row r="28" ht="14.25" customHeight="1">
      <c r="A28" s="278" t="s">
        <v>107</v>
      </c>
      <c r="B28" s="357">
        <f>'YR2009'!B28+'YR2010'!B28+'YR2011'!B28</f>
        <v>2034772.05</v>
      </c>
      <c r="C28" s="357">
        <f>'YR2009'!C28+'YR2010'!C28+'YR2011'!C28</f>
        <v>0</v>
      </c>
      <c r="D28" s="357">
        <f>'YR2009'!D28+'YR2010'!D28+'YR2011'!D28</f>
        <v>0</v>
      </c>
      <c r="E28" s="357">
        <f>'YR2009'!E28+'YR2010'!E28+'YR2011'!E28</f>
        <v>0</v>
      </c>
      <c r="F28" s="403">
        <f t="shared" si="1"/>
        <v>2034772.05</v>
      </c>
    </row>
    <row r="29" ht="14.25" customHeight="1">
      <c r="A29" s="278" t="s">
        <v>108</v>
      </c>
      <c r="B29" s="357">
        <f>'YR2009'!B29+'YR2010'!B29+'YR2011'!B29</f>
        <v>24664933.77</v>
      </c>
      <c r="C29" s="357">
        <f>'YR2009'!C29+'YR2010'!C29+'YR2011'!C29</f>
        <v>24067480.76</v>
      </c>
      <c r="D29" s="357">
        <f>'YR2009'!D29+'YR2010'!D29+'YR2011'!D29</f>
        <v>597452.8</v>
      </c>
      <c r="E29" s="357">
        <f>'YR2009'!E29+'YR2010'!E29+'YR2011'!E29</f>
        <v>0</v>
      </c>
      <c r="F29" s="403">
        <f t="shared" si="1"/>
        <v>0.2100000017</v>
      </c>
    </row>
    <row r="30" ht="14.25" customHeight="1">
      <c r="A30" s="278" t="s">
        <v>155</v>
      </c>
      <c r="B30" s="357">
        <f>'YR2009'!B30+'YR2010'!B30+'YR2011'!B30</f>
        <v>80730430.98</v>
      </c>
      <c r="C30" s="357">
        <f>'YR2009'!C30+'YR2010'!C30+'YR2011'!C30</f>
        <v>78903944.76</v>
      </c>
      <c r="D30" s="357">
        <f>'YR2009'!D30+'YR2010'!D30+'YR2011'!D30</f>
        <v>1826486.22</v>
      </c>
      <c r="E30" s="357">
        <f>'YR2009'!E30+'YR2010'!E30+'YR2011'!E30</f>
        <v>0</v>
      </c>
      <c r="F30" s="403">
        <f t="shared" si="1"/>
        <v>0.00000001396983862</v>
      </c>
    </row>
    <row r="31" ht="14.25" customHeight="1">
      <c r="A31" s="278" t="s">
        <v>110</v>
      </c>
      <c r="B31" s="357">
        <f>'YR2009'!B31+'YR2010'!B31+'YR2011'!B31</f>
        <v>0</v>
      </c>
      <c r="C31" s="357">
        <f>'YR2009'!C31+'YR2010'!C31+'YR2011'!C31</f>
        <v>0</v>
      </c>
      <c r="D31" s="357">
        <f>'YR2009'!D31+'YR2010'!D31+'YR2011'!D31</f>
        <v>0</v>
      </c>
      <c r="E31" s="357">
        <f>'YR2009'!E31+'YR2010'!E31+'YR2011'!E31</f>
        <v>0</v>
      </c>
      <c r="F31" s="403">
        <f t="shared" si="1"/>
        <v>0</v>
      </c>
    </row>
    <row r="32" ht="14.25" customHeight="1">
      <c r="A32" s="278" t="s">
        <v>112</v>
      </c>
      <c r="B32" s="357">
        <f>'YR2009'!B32+'YR2010'!B32+'YR2011'!B32</f>
        <v>87412.65</v>
      </c>
      <c r="C32" s="357">
        <f>'YR2009'!C32+'YR2010'!C32+'YR2011'!C32</f>
        <v>87412.65</v>
      </c>
      <c r="D32" s="357">
        <f>'YR2009'!D32+'YR2010'!D32+'YR2011'!D32</f>
        <v>0</v>
      </c>
      <c r="E32" s="357">
        <f>'YR2009'!E32+'YR2010'!E32+'YR2011'!E32</f>
        <v>0</v>
      </c>
      <c r="F32" s="403">
        <f t="shared" si="1"/>
        <v>0</v>
      </c>
    </row>
    <row r="33" ht="14.25" customHeight="1">
      <c r="A33" s="278" t="s">
        <v>113</v>
      </c>
      <c r="B33" s="357">
        <f>'YR2009'!B33+'YR2010'!B33+'YR2011'!B33</f>
        <v>48562.59</v>
      </c>
      <c r="C33" s="357">
        <f>'YR2009'!C33+'YR2010'!C33+'YR2011'!C33</f>
        <v>48562.59</v>
      </c>
      <c r="D33" s="357">
        <f>'YR2009'!D33+'YR2010'!D33+'YR2011'!D33</f>
        <v>0</v>
      </c>
      <c r="E33" s="357">
        <f>'YR2009'!E33+'YR2010'!E33+'YR2011'!E33</f>
        <v>0</v>
      </c>
      <c r="F33" s="403">
        <f t="shared" si="1"/>
        <v>0</v>
      </c>
    </row>
    <row r="34" ht="14.25" customHeight="1">
      <c r="A34" s="278" t="s">
        <v>114</v>
      </c>
      <c r="B34" s="357">
        <f>'YR2009'!B34+'YR2010'!B34+'YR2011'!B34</f>
        <v>150543.99</v>
      </c>
      <c r="C34" s="357">
        <f>'YR2009'!C34+'YR2010'!C34+'YR2011'!C34</f>
        <v>150543.99</v>
      </c>
      <c r="D34" s="357">
        <f>'YR2009'!D34+'YR2010'!D34+'YR2011'!D34</f>
        <v>0</v>
      </c>
      <c r="E34" s="357">
        <f>'YR2009'!E34+'YR2010'!E34+'YR2011'!E34</f>
        <v>0</v>
      </c>
      <c r="F34" s="403">
        <f t="shared" si="1"/>
        <v>0</v>
      </c>
    </row>
    <row r="35" ht="14.25" customHeight="1">
      <c r="A35" s="278" t="s">
        <v>115</v>
      </c>
      <c r="B35" s="357">
        <f>'YR2009'!B35+'YR2010'!B35+'YR2011'!B35</f>
        <v>412781.91</v>
      </c>
      <c r="C35" s="357">
        <f>'YR2009'!C35+'YR2010'!C35+'YR2011'!C35</f>
        <v>412781.91</v>
      </c>
      <c r="D35" s="357">
        <f>'YR2009'!D35+'YR2010'!D35+'YR2011'!D35</f>
        <v>0</v>
      </c>
      <c r="E35" s="357">
        <f>'YR2009'!E35+'YR2010'!E35+'YR2011'!E35</f>
        <v>0</v>
      </c>
      <c r="F35" s="403">
        <f t="shared" si="1"/>
        <v>0</v>
      </c>
    </row>
    <row r="36" ht="14.25" customHeight="1">
      <c r="A36" s="278" t="s">
        <v>116</v>
      </c>
      <c r="B36" s="357">
        <f>'YR2009'!B36+'YR2010'!B36+'YR2011'!B36</f>
        <v>82556.37</v>
      </c>
      <c r="C36" s="357">
        <f>'YR2009'!C36+'YR2010'!C36+'YR2011'!C36</f>
        <v>82556.37</v>
      </c>
      <c r="D36" s="357">
        <f>'YR2009'!D36+'YR2010'!D36+'YR2011'!D36</f>
        <v>0</v>
      </c>
      <c r="E36" s="357">
        <f>'YR2009'!E36+'YR2010'!E36+'YR2011'!E36</f>
        <v>0</v>
      </c>
      <c r="F36" s="403">
        <f t="shared" si="1"/>
        <v>0</v>
      </c>
    </row>
    <row r="37" ht="14.25" customHeight="1">
      <c r="A37" s="278" t="s">
        <v>117</v>
      </c>
      <c r="B37" s="357">
        <f>'YR2009'!B37+'YR2010'!B37+'YR2011'!B37</f>
        <v>14568.78</v>
      </c>
      <c r="C37" s="357">
        <f>'YR2009'!C37+'YR2010'!C37+'YR2011'!C37</f>
        <v>14568.78</v>
      </c>
      <c r="D37" s="357">
        <f>'YR2009'!D37+'YR2010'!D37+'YR2011'!D37</f>
        <v>0</v>
      </c>
      <c r="E37" s="357">
        <f>'YR2009'!E37+'YR2010'!E37+'YR2011'!E37</f>
        <v>0</v>
      </c>
      <c r="F37" s="403">
        <f t="shared" si="1"/>
        <v>0</v>
      </c>
    </row>
    <row r="38" ht="14.25" customHeight="1">
      <c r="A38" s="278" t="s">
        <v>118</v>
      </c>
      <c r="B38" s="357">
        <f>'YR2009'!B38+'YR2010'!B38+'YR2011'!B38</f>
        <v>9095771.01</v>
      </c>
      <c r="C38" s="357">
        <f>'YR2009'!C38+'YR2010'!C38+'YR2011'!C38</f>
        <v>9095770.65</v>
      </c>
      <c r="D38" s="357">
        <f>'YR2009'!D38+'YR2010'!D38+'YR2011'!D38</f>
        <v>0</v>
      </c>
      <c r="E38" s="357">
        <f>'YR2009'!E38+'YR2010'!E38+'YR2011'!E38</f>
        <v>0</v>
      </c>
      <c r="F38" s="403">
        <f t="shared" si="1"/>
        <v>0.3599999994</v>
      </c>
    </row>
    <row r="39" ht="14.25" customHeight="1">
      <c r="A39" s="278" t="s">
        <v>119</v>
      </c>
      <c r="B39" s="357">
        <f>'YR2009'!B39+'YR2010'!B39+'YR2011'!B39</f>
        <v>1243202.01</v>
      </c>
      <c r="C39" s="357">
        <f>'YR2009'!C39+'YR2010'!C39+'YR2011'!C39</f>
        <v>1243202.01</v>
      </c>
      <c r="D39" s="357">
        <f>'YR2009'!D39+'YR2010'!D39+'YR2011'!D39</f>
        <v>0</v>
      </c>
      <c r="E39" s="357">
        <f>'YR2009'!E39+'YR2010'!E39+'YR2011'!E39</f>
        <v>0</v>
      </c>
      <c r="F39" s="403">
        <f t="shared" si="1"/>
        <v>0</v>
      </c>
    </row>
    <row r="40" ht="14.25" customHeight="1">
      <c r="A40" s="278" t="s">
        <v>120</v>
      </c>
      <c r="B40" s="357">
        <f>'YR2009'!B40+'YR2010'!B40+'YR2011'!B40</f>
        <v>3797593.65</v>
      </c>
      <c r="C40" s="357">
        <f>'YR2009'!C40+'YR2010'!C40+'YR2011'!C40</f>
        <v>3797593.65</v>
      </c>
      <c r="D40" s="357">
        <f>'YR2009'!D40+'YR2010'!D40+'YR2011'!D40</f>
        <v>0</v>
      </c>
      <c r="E40" s="357">
        <f>'YR2009'!E40+'YR2010'!E40+'YR2011'!E40</f>
        <v>0</v>
      </c>
      <c r="F40" s="403">
        <f t="shared" si="1"/>
        <v>0</v>
      </c>
    </row>
    <row r="41" ht="14.25" customHeight="1">
      <c r="A41" s="278" t="s">
        <v>122</v>
      </c>
      <c r="B41" s="357">
        <f>'YR2009'!B41+'YR2010'!B41+'YR2011'!B41</f>
        <v>2432985.21</v>
      </c>
      <c r="C41" s="357">
        <f>'YR2009'!C41+'YR2010'!C41+'YR2011'!C41</f>
        <v>2432985.21</v>
      </c>
      <c r="D41" s="357">
        <f>'YR2009'!D41+'YR2010'!D41+'YR2011'!D41</f>
        <v>0</v>
      </c>
      <c r="E41" s="357">
        <f>'YR2009'!E41+'YR2010'!E41+'YR2011'!E41</f>
        <v>0</v>
      </c>
      <c r="F41" s="403">
        <f t="shared" si="1"/>
        <v>0</v>
      </c>
    </row>
    <row r="42" ht="14.25" customHeight="1">
      <c r="A42" s="278" t="s">
        <v>123</v>
      </c>
      <c r="B42" s="357">
        <f>'YR2009'!B42+'YR2010'!B42+'YR2011'!B42</f>
        <v>2559247.89</v>
      </c>
      <c r="C42" s="357">
        <f>'YR2009'!C42+'YR2010'!C42+'YR2011'!C42</f>
        <v>2559248.26</v>
      </c>
      <c r="D42" s="357">
        <f>'YR2009'!D42+'YR2010'!D42+'YR2011'!D42</f>
        <v>0</v>
      </c>
      <c r="E42" s="357">
        <f>'YR2009'!E42+'YR2010'!E42+'YR2011'!E42</f>
        <v>0</v>
      </c>
      <c r="F42" s="403">
        <f t="shared" si="1"/>
        <v>-0.3699999996</v>
      </c>
    </row>
    <row r="43" ht="14.25" customHeight="1">
      <c r="A43" s="278" t="s">
        <v>124</v>
      </c>
      <c r="B43" s="357">
        <f>'YR2009'!B43+'YR2010'!B43+'YR2011'!B43</f>
        <v>339938.04</v>
      </c>
      <c r="C43" s="357">
        <f>'YR2009'!C43+'YR2010'!C43+'YR2011'!C43</f>
        <v>339938.04</v>
      </c>
      <c r="D43" s="357">
        <f>'YR2009'!D43+'YR2010'!D43+'YR2011'!D43</f>
        <v>0</v>
      </c>
      <c r="E43" s="357">
        <f>'YR2009'!E43+'YR2010'!E43+'YR2011'!E43</f>
        <v>0</v>
      </c>
      <c r="F43" s="403">
        <f t="shared" si="1"/>
        <v>0</v>
      </c>
    </row>
    <row r="44" ht="14.25" customHeight="1">
      <c r="A44" s="278" t="s">
        <v>125</v>
      </c>
      <c r="B44" s="357">
        <f>'YR2009'!B44+'YR2010'!B44+'YR2011'!B44</f>
        <v>5827509.45</v>
      </c>
      <c r="C44" s="357">
        <f>'YR2009'!C44+'YR2010'!C44+'YR2011'!C44</f>
        <v>0</v>
      </c>
      <c r="D44" s="357">
        <f>'YR2009'!D44+'YR2010'!D44+'YR2011'!D44</f>
        <v>0</v>
      </c>
      <c r="E44" s="357">
        <f>'YR2009'!E44+'YR2010'!E44+'YR2011'!E44</f>
        <v>0</v>
      </c>
      <c r="F44" s="403">
        <f t="shared" si="1"/>
        <v>5827509.45</v>
      </c>
    </row>
    <row r="45" ht="14.25" customHeight="1">
      <c r="A45" s="317" t="s">
        <v>126</v>
      </c>
      <c r="B45" s="357">
        <f>'YR2009'!B45+'YR2010'!B45+'YR2011'!B45</f>
        <v>11733.76</v>
      </c>
      <c r="C45" s="357">
        <f>'YR2009'!C45+'YR2010'!C45+'YR2011'!C45</f>
        <v>11733.76</v>
      </c>
      <c r="D45" s="357">
        <f>'YR2009'!D45+'YR2010'!D45+'YR2011'!D45</f>
        <v>0</v>
      </c>
      <c r="E45" s="357">
        <f>'YR2009'!E45+'YR2010'!E45+'YR2011'!E45</f>
        <v>0</v>
      </c>
      <c r="F45" s="403">
        <f t="shared" si="1"/>
        <v>0</v>
      </c>
    </row>
    <row r="46" ht="14.25" customHeight="1">
      <c r="A46" s="317" t="s">
        <v>128</v>
      </c>
      <c r="B46" s="357">
        <f>'YR2009'!B46+'YR2010'!B46+'YR2011'!B46</f>
        <v>305944.26</v>
      </c>
      <c r="C46" s="357">
        <f>'YR2009'!C46+'YR2010'!C46+'YR2011'!C46</f>
        <v>305944.26</v>
      </c>
      <c r="D46" s="357">
        <f>'YR2009'!D46+'YR2010'!D46+'YR2011'!D46</f>
        <v>0</v>
      </c>
      <c r="E46" s="357">
        <f>'YR2009'!E46+'YR2010'!E46+'YR2011'!E46</f>
        <v>0</v>
      </c>
      <c r="F46" s="403">
        <f t="shared" si="1"/>
        <v>0</v>
      </c>
    </row>
    <row r="47" ht="14.25" customHeight="1">
      <c r="A47" s="278" t="s">
        <v>129</v>
      </c>
      <c r="B47" s="357">
        <f>'YR2009'!B47+'YR2010'!B47+'YR2011'!B47</f>
        <v>466200.75</v>
      </c>
      <c r="C47" s="357">
        <f>'YR2009'!C47+'YR2010'!C47+'YR2011'!C47</f>
        <v>466200.75</v>
      </c>
      <c r="D47" s="357">
        <f>'YR2009'!D47+'YR2010'!D47+'YR2011'!D47</f>
        <v>0</v>
      </c>
      <c r="E47" s="357">
        <f>'YR2009'!E47+'YR2010'!E47+'YR2011'!E47</f>
        <v>0</v>
      </c>
      <c r="F47" s="403">
        <f t="shared" si="1"/>
        <v>0</v>
      </c>
    </row>
    <row r="48" ht="14.25" customHeight="1">
      <c r="A48" s="278" t="s">
        <v>131</v>
      </c>
      <c r="B48" s="357">
        <f>'YR2009'!B48+'YR2010'!B48+'YR2011'!B48</f>
        <v>14413373.4</v>
      </c>
      <c r="C48" s="357">
        <f>'YR2009'!C48+'YR2010'!C48+'YR2011'!C48</f>
        <v>12955409.34</v>
      </c>
      <c r="D48" s="357">
        <f>'YR2009'!D48+'YR2010'!D48+'YR2011'!D48</f>
        <v>892964</v>
      </c>
      <c r="E48" s="357">
        <f>'YR2009'!E48+'YR2010'!E48+'YR2011'!E48</f>
        <v>0</v>
      </c>
      <c r="F48" s="403">
        <f t="shared" si="1"/>
        <v>565000.06</v>
      </c>
    </row>
    <row r="49" ht="14.25" customHeight="1">
      <c r="A49" s="278" t="s">
        <v>156</v>
      </c>
      <c r="B49" s="357">
        <f>'YR2009'!B49+'YR2010'!B49+'YR2011'!B49</f>
        <v>5201052.18</v>
      </c>
      <c r="C49" s="357">
        <f>'YR2009'!C49+'YR2010'!C49+'YR2011'!C49</f>
        <v>5201052.18</v>
      </c>
      <c r="D49" s="357">
        <f>'YR2009'!D49+'YR2010'!D49+'YR2011'!D49</f>
        <v>0</v>
      </c>
      <c r="E49" s="357">
        <f>'YR2009'!E49+'YR2010'!E49+'YR2011'!E49</f>
        <v>0</v>
      </c>
      <c r="F49" s="403">
        <f t="shared" si="1"/>
        <v>0</v>
      </c>
    </row>
    <row r="50" ht="14.25" customHeight="1">
      <c r="A50" s="278" t="s">
        <v>133</v>
      </c>
      <c r="B50" s="357">
        <f>'YR2009'!B50+'YR2010'!B50+'YR2011'!B50</f>
        <v>5905209.57</v>
      </c>
      <c r="C50" s="357">
        <f>'YR2009'!C50+'YR2010'!C50+'YR2011'!C50</f>
        <v>5905209.57</v>
      </c>
      <c r="D50" s="357">
        <f>'YR2009'!D50+'YR2010'!D50+'YR2011'!D50</f>
        <v>0</v>
      </c>
      <c r="E50" s="357">
        <f>'YR2009'!E50+'YR2010'!E50+'YR2011'!E50</f>
        <v>0</v>
      </c>
      <c r="F50" s="403">
        <f t="shared" si="1"/>
        <v>0</v>
      </c>
    </row>
    <row r="51" ht="14.25" customHeight="1">
      <c r="A51" s="278" t="s">
        <v>134</v>
      </c>
      <c r="B51" s="357">
        <f>'YR2009'!B51+'YR2010'!B51+'YR2011'!B51</f>
        <v>4857</v>
      </c>
      <c r="C51" s="357">
        <f>'YR2009'!C51+'YR2010'!C51+'YR2011'!C51</f>
        <v>0</v>
      </c>
      <c r="D51" s="357">
        <f>'YR2009'!D51+'YR2010'!D51+'YR2011'!D51</f>
        <v>0</v>
      </c>
      <c r="E51" s="357">
        <f>'YR2009'!E51+'YR2010'!E51+'YR2011'!E51</f>
        <v>0</v>
      </c>
      <c r="F51" s="403">
        <f t="shared" si="1"/>
        <v>4857</v>
      </c>
    </row>
    <row r="52" ht="14.25" customHeight="1">
      <c r="A52" s="278" t="s">
        <v>136</v>
      </c>
      <c r="B52" s="357">
        <f>'YR2009'!B52+'YR2010'!B52+'YR2011'!B52</f>
        <v>218531.61</v>
      </c>
      <c r="C52" s="357">
        <f>'YR2009'!C52+'YR2010'!C52+'YR2011'!C52</f>
        <v>0</v>
      </c>
      <c r="D52" s="357">
        <f>'YR2009'!D52+'YR2010'!D52+'YR2011'!D52</f>
        <v>0</v>
      </c>
      <c r="E52" s="357">
        <f>'YR2009'!E52+'YR2010'!E52+'YR2011'!E52</f>
        <v>0</v>
      </c>
      <c r="F52" s="403">
        <f t="shared" si="1"/>
        <v>218531.61</v>
      </c>
    </row>
    <row r="53" ht="14.25" customHeight="1">
      <c r="A53" s="278" t="s">
        <v>138</v>
      </c>
      <c r="B53" s="357">
        <f>'YR2009'!B53+'YR2010'!B53+'YR2011'!B53</f>
        <v>32255264.85</v>
      </c>
      <c r="C53" s="357">
        <f>'YR2009'!C53+'YR2010'!C53+'YR2011'!C53</f>
        <v>32255264.85</v>
      </c>
      <c r="D53" s="357">
        <f>'YR2009'!D53+'YR2010'!D53+'YR2011'!D53</f>
        <v>0</v>
      </c>
      <c r="E53" s="357">
        <f>'YR2009'!E53+'YR2010'!E53+'YR2011'!E53</f>
        <v>0</v>
      </c>
      <c r="F53" s="403">
        <f t="shared" si="1"/>
        <v>0</v>
      </c>
    </row>
    <row r="54" ht="14.25" customHeight="1">
      <c r="A54" s="278" t="s">
        <v>139</v>
      </c>
      <c r="B54" s="357">
        <f>'YR2009'!B54+'YR2010'!B54+'YR2011'!B54</f>
        <v>87594207.99</v>
      </c>
      <c r="C54" s="357">
        <f>'YR2009'!C54+'YR2010'!C54+'YR2011'!C54+1</f>
        <v>87594208</v>
      </c>
      <c r="D54" s="357">
        <f>'YR2009'!D54+'YR2010'!D54+'YR2011'!D54</f>
        <v>0</v>
      </c>
      <c r="E54" s="357">
        <f>'YR2009'!E54+'YR2010'!E54+'YR2011'!E54</f>
        <v>0</v>
      </c>
      <c r="F54" s="403">
        <f t="shared" si="1"/>
        <v>-0.01000000536</v>
      </c>
    </row>
    <row r="55" ht="14.25" customHeight="1">
      <c r="A55" s="369" t="s">
        <v>140</v>
      </c>
      <c r="B55" s="357">
        <f>'YR2009'!B55+'YR2010'!B55+'YR2011'!B55</f>
        <v>38850.06</v>
      </c>
      <c r="C55" s="357">
        <f>'YR2009'!C55+'YR2010'!C55+'YR2011'!C55</f>
        <v>0</v>
      </c>
      <c r="D55" s="357">
        <f>'YR2009'!D55+'YR2010'!D55+'YR2011'!D55</f>
        <v>0</v>
      </c>
      <c r="E55" s="357">
        <f>'YR2009'!E55+'YR2010'!E55+'YR2011'!E55</f>
        <v>0</v>
      </c>
      <c r="F55" s="403">
        <f t="shared" si="1"/>
        <v>38850.06</v>
      </c>
    </row>
    <row r="56" ht="14.25" customHeight="1">
      <c r="A56" s="372" t="s">
        <v>141</v>
      </c>
      <c r="B56" s="437">
        <f t="shared" ref="B56:F56" si="2">SUM(B9:B55)</f>
        <v>399640706.4</v>
      </c>
      <c r="C56" s="438">
        <f t="shared" si="2"/>
        <v>376678075.1</v>
      </c>
      <c r="D56" s="439">
        <f t="shared" si="2"/>
        <v>14151636.06</v>
      </c>
      <c r="E56" s="412">
        <f t="shared" si="2"/>
        <v>0.4099999988</v>
      </c>
      <c r="F56" s="413">
        <f t="shared" si="2"/>
        <v>8810994.81</v>
      </c>
    </row>
    <row r="57" ht="14.25" customHeight="1">
      <c r="A57" s="375" t="s">
        <v>157</v>
      </c>
      <c r="B57" s="440">
        <f>216320+67907+121565</f>
        <v>405792</v>
      </c>
      <c r="C57" s="440">
        <v>0.0</v>
      </c>
      <c r="D57" s="440">
        <v>0.0</v>
      </c>
      <c r="E57" s="440">
        <v>0.0</v>
      </c>
      <c r="F57" s="441">
        <f>B57-C57-D57-E57</f>
        <v>405792</v>
      </c>
    </row>
    <row r="58" ht="14.25" customHeight="1">
      <c r="A58" s="333" t="s">
        <v>158</v>
      </c>
      <c r="B58" s="247">
        <f t="shared" ref="B58:F58" si="3">SUM(B56:B57)</f>
        <v>400046498.4</v>
      </c>
      <c r="C58" s="247">
        <f t="shared" si="3"/>
        <v>376678075.1</v>
      </c>
      <c r="D58" s="247">
        <f t="shared" si="3"/>
        <v>14151636.06</v>
      </c>
      <c r="E58" s="247">
        <f t="shared" si="3"/>
        <v>0.4099999988</v>
      </c>
      <c r="F58" s="249">
        <f t="shared" si="3"/>
        <v>9216786.81</v>
      </c>
    </row>
    <row r="59" ht="14.25" customHeight="1">
      <c r="A59" s="378" t="s">
        <v>186</v>
      </c>
      <c r="B59" s="442"/>
      <c r="C59" s="442"/>
      <c r="D59" s="442"/>
      <c r="E59" s="442"/>
      <c r="F59" s="442"/>
    </row>
    <row r="60" ht="14.25" customHeight="1">
      <c r="A60" s="379"/>
      <c r="B60" s="379"/>
      <c r="C60" s="379"/>
      <c r="D60" s="379"/>
      <c r="E60" s="379"/>
      <c r="F60" s="379"/>
    </row>
    <row r="61" ht="14.25" customHeight="1">
      <c r="A61" s="336"/>
      <c r="B61" s="336"/>
      <c r="C61" s="336"/>
      <c r="D61" s="336"/>
      <c r="E61" s="336"/>
      <c r="F61" s="336"/>
    </row>
    <row r="62" ht="14.25" customHeight="1">
      <c r="A62" s="337" t="s">
        <v>159</v>
      </c>
      <c r="B62" s="414">
        <f t="shared" ref="B62:E62" si="4">B12+B13+B15+B18+B20+B25+B32+B34+B41+B44+B46+B47+B51+B52+B55</f>
        <v>12378602.07</v>
      </c>
      <c r="C62" s="414">
        <f t="shared" si="4"/>
        <v>5956604.52</v>
      </c>
      <c r="D62" s="414">
        <f t="shared" si="4"/>
        <v>210843</v>
      </c>
      <c r="E62" s="414">
        <f t="shared" si="4"/>
        <v>0</v>
      </c>
      <c r="F62" s="415">
        <f>B62-C62-D62-E62</f>
        <v>6211154.55</v>
      </c>
    </row>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5:F5"/>
    <mergeCell ref="A6:F6"/>
    <mergeCell ref="A7:F7"/>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43"/>
    <col customWidth="1" min="2" max="2" width="17.29"/>
    <col customWidth="1" min="3" max="3" width="15.29"/>
    <col customWidth="1" min="4" max="4" width="15.71"/>
    <col customWidth="1" min="5" max="5" width="16.0"/>
    <col customWidth="1" min="6" max="6" width="20.43"/>
    <col customWidth="1" min="7" max="7" width="8.71"/>
    <col customWidth="1" hidden="1" min="8" max="8" width="17.57"/>
    <col customWidth="1" min="9" max="9" width="16.43"/>
    <col customWidth="1" min="10" max="26" width="8.71"/>
  </cols>
  <sheetData>
    <row r="1" ht="14.25" customHeight="1">
      <c r="A1" s="217" t="str">
        <f>[1]Status!C1</f>
        <v>#ERROR!</v>
      </c>
      <c r="C1" s="222"/>
      <c r="D1" s="222"/>
      <c r="E1" s="222"/>
      <c r="F1" s="222"/>
      <c r="H1" s="216"/>
      <c r="I1" s="216"/>
    </row>
    <row r="2" ht="14.25" customHeight="1">
      <c r="A2" s="443" t="s">
        <v>1</v>
      </c>
      <c r="B2" s="443"/>
      <c r="C2" s="222"/>
      <c r="D2" s="222"/>
      <c r="E2" s="222"/>
      <c r="F2" s="222"/>
      <c r="H2" s="216"/>
      <c r="I2" s="216"/>
    </row>
    <row r="3" ht="14.25" customHeight="1">
      <c r="A3" s="221" t="s">
        <v>201</v>
      </c>
      <c r="B3" s="443"/>
      <c r="C3" s="222"/>
      <c r="D3" s="222"/>
      <c r="E3" s="222"/>
      <c r="F3" s="222"/>
      <c r="H3" s="216"/>
      <c r="I3" s="216"/>
    </row>
    <row r="4" ht="14.25" customHeight="1">
      <c r="A4" s="222"/>
      <c r="B4" s="222"/>
      <c r="C4" s="222"/>
      <c r="D4" s="222"/>
      <c r="E4" s="222"/>
      <c r="F4" s="222"/>
      <c r="H4" s="216"/>
      <c r="I4" s="216"/>
    </row>
    <row r="5" ht="14.25" customHeight="1">
      <c r="A5" s="223" t="s">
        <v>148</v>
      </c>
      <c r="H5" s="216"/>
      <c r="I5" s="216"/>
    </row>
    <row r="6" ht="14.25" customHeight="1">
      <c r="A6" s="224" t="s">
        <v>202</v>
      </c>
      <c r="H6" s="216"/>
      <c r="I6" s="216"/>
    </row>
    <row r="7" ht="14.25" customHeight="1">
      <c r="A7" s="225" t="str">
        <f>[1]Status!A6</f>
        <v>#ERROR!</v>
      </c>
      <c r="H7" s="216"/>
      <c r="I7" s="216"/>
    </row>
    <row r="8" ht="30.0" customHeight="1">
      <c r="A8" s="342" t="s">
        <v>79</v>
      </c>
      <c r="B8" s="444" t="s">
        <v>80</v>
      </c>
      <c r="C8" s="444" t="s">
        <v>81</v>
      </c>
      <c r="D8" s="444" t="s">
        <v>82</v>
      </c>
      <c r="E8" s="445" t="s">
        <v>83</v>
      </c>
      <c r="F8" s="446" t="s">
        <v>84</v>
      </c>
      <c r="H8" s="216"/>
      <c r="I8" s="216"/>
    </row>
    <row r="9" ht="14.25" customHeight="1">
      <c r="A9" s="278" t="s">
        <v>86</v>
      </c>
      <c r="B9" s="408">
        <v>12947.8</v>
      </c>
      <c r="C9" s="321">
        <v>12880.8</v>
      </c>
      <c r="D9" s="447"/>
      <c r="E9" s="447"/>
      <c r="F9" s="403">
        <f t="shared" ref="F9:F55" si="1">B9-C9-D9-E9</f>
        <v>67</v>
      </c>
      <c r="H9" s="216"/>
      <c r="I9" s="216"/>
    </row>
    <row r="10" ht="14.25" customHeight="1">
      <c r="A10" s="278" t="s">
        <v>150</v>
      </c>
      <c r="B10" s="321">
        <v>2892710.94</v>
      </c>
      <c r="C10" s="321">
        <f>2892710.94-339000</f>
        <v>2553710.94</v>
      </c>
      <c r="D10" s="405">
        <v>339000.0</v>
      </c>
      <c r="E10" s="405"/>
      <c r="F10" s="403">
        <f t="shared" si="1"/>
        <v>0</v>
      </c>
      <c r="H10" s="216"/>
      <c r="I10" s="216"/>
    </row>
    <row r="11" ht="14.25" customHeight="1">
      <c r="A11" s="278" t="s">
        <v>88</v>
      </c>
      <c r="B11" s="321">
        <v>1435833.58</v>
      </c>
      <c r="C11" s="321">
        <f>456621+979212.58</f>
        <v>1435833.58</v>
      </c>
      <c r="D11" s="405"/>
      <c r="E11" s="405"/>
      <c r="F11" s="403">
        <f t="shared" si="1"/>
        <v>0</v>
      </c>
      <c r="H11" s="216"/>
      <c r="I11" s="216"/>
    </row>
    <row r="12" ht="14.25" customHeight="1">
      <c r="A12" s="324" t="s">
        <v>89</v>
      </c>
      <c r="B12" s="321">
        <v>8093.76</v>
      </c>
      <c r="C12" s="405"/>
      <c r="D12" s="405"/>
      <c r="E12" s="405"/>
      <c r="F12" s="403">
        <f t="shared" si="1"/>
        <v>8093.76</v>
      </c>
      <c r="H12" s="216"/>
      <c r="I12" s="216"/>
    </row>
    <row r="13" ht="14.25" customHeight="1">
      <c r="A13" s="278" t="s">
        <v>90</v>
      </c>
      <c r="B13" s="321">
        <v>32375.05</v>
      </c>
      <c r="C13" s="405"/>
      <c r="D13" s="405"/>
      <c r="E13" s="405"/>
      <c r="F13" s="403">
        <f t="shared" si="1"/>
        <v>32375.05</v>
      </c>
      <c r="H13" s="216"/>
      <c r="I13" s="216"/>
    </row>
    <row r="14" ht="14.25" customHeight="1">
      <c r="A14" s="278" t="s">
        <v>91</v>
      </c>
      <c r="B14" s="321">
        <v>1783865.39</v>
      </c>
      <c r="C14" s="321">
        <v>1783865.39</v>
      </c>
      <c r="D14" s="405"/>
      <c r="E14" s="405"/>
      <c r="F14" s="403">
        <f t="shared" si="1"/>
        <v>0</v>
      </c>
      <c r="H14" s="216"/>
      <c r="I14" s="216"/>
    </row>
    <row r="15" ht="14.25" customHeight="1">
      <c r="A15" s="278" t="s">
        <v>92</v>
      </c>
      <c r="B15" s="321">
        <v>32375.05</v>
      </c>
      <c r="C15" s="321">
        <v>32375.05</v>
      </c>
      <c r="D15" s="405"/>
      <c r="E15" s="405"/>
      <c r="F15" s="403">
        <f t="shared" si="1"/>
        <v>0</v>
      </c>
      <c r="H15" s="216"/>
      <c r="I15" s="216"/>
    </row>
    <row r="16" ht="14.25" customHeight="1">
      <c r="A16" s="278" t="s">
        <v>151</v>
      </c>
      <c r="B16" s="321">
        <v>4819026.57</v>
      </c>
      <c r="C16" s="405">
        <f>110311.17+3855221.72+830429.14+23064.54</f>
        <v>4819026.57</v>
      </c>
      <c r="D16" s="405"/>
      <c r="E16" s="405"/>
      <c r="F16" s="403">
        <f t="shared" si="1"/>
        <v>0</v>
      </c>
      <c r="H16" s="216"/>
      <c r="I16" s="216"/>
    </row>
    <row r="17" ht="14.25" customHeight="1">
      <c r="A17" s="278" t="s">
        <v>95</v>
      </c>
      <c r="B17" s="321">
        <v>71225.12</v>
      </c>
      <c r="C17" s="321">
        <v>71225.12</v>
      </c>
      <c r="D17" s="405"/>
      <c r="E17" s="405"/>
      <c r="F17" s="403">
        <f t="shared" si="1"/>
        <v>0</v>
      </c>
      <c r="H17" s="216"/>
      <c r="I17" s="216"/>
    </row>
    <row r="18" ht="14.25" customHeight="1">
      <c r="A18" s="278" t="s">
        <v>96</v>
      </c>
      <c r="B18" s="321">
        <v>454869.49</v>
      </c>
      <c r="C18" s="321">
        <f>454869.49-39550+6316</f>
        <v>421635.49</v>
      </c>
      <c r="D18" s="405">
        <f>39550-6316</f>
        <v>33234</v>
      </c>
      <c r="E18" s="405"/>
      <c r="F18" s="403">
        <f t="shared" si="1"/>
        <v>0</v>
      </c>
      <c r="H18" s="216"/>
      <c r="I18" s="216"/>
    </row>
    <row r="19" ht="14.25" customHeight="1">
      <c r="A19" s="278" t="s">
        <v>97</v>
      </c>
      <c r="B19" s="321">
        <v>1196258.19</v>
      </c>
      <c r="C19" s="321">
        <v>1196258.19</v>
      </c>
      <c r="D19" s="405"/>
      <c r="E19" s="405"/>
      <c r="F19" s="403">
        <f t="shared" si="1"/>
        <v>0</v>
      </c>
      <c r="H19" s="216"/>
      <c r="I19" s="216"/>
    </row>
    <row r="20" ht="14.25" customHeight="1">
      <c r="A20" s="278" t="s">
        <v>98</v>
      </c>
      <c r="B20" s="321">
        <v>25900.04</v>
      </c>
      <c r="C20" s="321">
        <v>25900.04</v>
      </c>
      <c r="D20" s="405"/>
      <c r="E20" s="405"/>
      <c r="F20" s="403">
        <f t="shared" si="1"/>
        <v>0</v>
      </c>
      <c r="H20" s="216"/>
      <c r="I20" s="216"/>
    </row>
    <row r="21" ht="14.25" customHeight="1">
      <c r="A21" s="278" t="s">
        <v>99</v>
      </c>
      <c r="B21" s="321">
        <v>912976.48</v>
      </c>
      <c r="C21" s="321">
        <v>912976.48</v>
      </c>
      <c r="D21" s="405"/>
      <c r="E21" s="405"/>
      <c r="F21" s="403">
        <f t="shared" si="1"/>
        <v>0</v>
      </c>
      <c r="H21" s="216"/>
      <c r="I21" s="216"/>
    </row>
    <row r="22" ht="14.25" customHeight="1">
      <c r="A22" s="278" t="s">
        <v>152</v>
      </c>
      <c r="B22" s="321">
        <v>1.01997603E7</v>
      </c>
      <c r="C22" s="405">
        <v>9634760.3</v>
      </c>
      <c r="D22" s="405">
        <v>565000.0</v>
      </c>
      <c r="E22" s="405"/>
      <c r="F22" s="403">
        <f t="shared" si="1"/>
        <v>0</v>
      </c>
      <c r="H22" s="216"/>
      <c r="I22" s="216"/>
    </row>
    <row r="23" ht="14.25" customHeight="1">
      <c r="A23" s="278" t="s">
        <v>153</v>
      </c>
      <c r="B23" s="321">
        <v>1.388404128E7</v>
      </c>
      <c r="C23" s="405">
        <f>925602.75+925602.75+925602.75+925602.75+925602.75+925602.75-3467107</f>
        <v>2086509.5</v>
      </c>
      <c r="D23" s="405">
        <f>2776808+3467107</f>
        <v>6243915</v>
      </c>
      <c r="E23" s="405">
        <f>5553616.51-925602.75-925602.75-925602.75-925602.75-1-925602.75-925601.75</f>
        <v>0.009999999776</v>
      </c>
      <c r="F23" s="403">
        <f t="shared" si="1"/>
        <v>5553616.77</v>
      </c>
      <c r="H23" s="216">
        <f>9823495.77</f>
        <v>9823495.77</v>
      </c>
      <c r="I23" s="216"/>
    </row>
    <row r="24" ht="14.25" customHeight="1">
      <c r="A24" s="278" t="s">
        <v>102</v>
      </c>
      <c r="B24" s="321">
        <v>964776.57</v>
      </c>
      <c r="C24" s="321">
        <v>964776.57</v>
      </c>
      <c r="D24" s="405"/>
      <c r="E24" s="405"/>
      <c r="F24" s="403">
        <f t="shared" si="1"/>
        <v>0</v>
      </c>
      <c r="H24" s="216">
        <f>H23*3</f>
        <v>29470487.31</v>
      </c>
      <c r="I24" s="216"/>
    </row>
    <row r="25" ht="14.25" customHeight="1">
      <c r="A25" s="278" t="s">
        <v>104</v>
      </c>
      <c r="B25" s="321">
        <v>394975.64</v>
      </c>
      <c r="C25" s="321">
        <f>321022.08+43.5-42858.54+116768.6</f>
        <v>394975.64</v>
      </c>
      <c r="D25" s="405"/>
      <c r="E25" s="405"/>
      <c r="F25" s="448">
        <f t="shared" si="1"/>
        <v>0</v>
      </c>
      <c r="H25" s="216">
        <f>H24*20%</f>
        <v>5894097.462</v>
      </c>
      <c r="I25" s="216">
        <v>1601681.03</v>
      </c>
    </row>
    <row r="26" ht="14.25" customHeight="1">
      <c r="A26" s="278" t="s">
        <v>105</v>
      </c>
      <c r="B26" s="321">
        <v>59893.85</v>
      </c>
      <c r="C26" s="321">
        <v>59893.85</v>
      </c>
      <c r="D26" s="405"/>
      <c r="E26" s="405"/>
      <c r="F26" s="403">
        <f t="shared" si="1"/>
        <v>0</v>
      </c>
      <c r="H26" s="216">
        <f>H24-H25</f>
        <v>23576389.85</v>
      </c>
      <c r="I26" s="216">
        <f>116769-0.4</f>
        <v>116768.6</v>
      </c>
    </row>
    <row r="27" ht="14.25" customHeight="1">
      <c r="A27" s="278" t="s">
        <v>154</v>
      </c>
      <c r="B27" s="321">
        <v>720344.92</v>
      </c>
      <c r="C27" s="321">
        <v>720344.92</v>
      </c>
      <c r="D27" s="405"/>
      <c r="E27" s="405"/>
      <c r="F27" s="403">
        <f t="shared" si="1"/>
        <v>0</v>
      </c>
      <c r="H27" s="216"/>
      <c r="I27" s="216">
        <v>494970.81</v>
      </c>
    </row>
    <row r="28" ht="14.25" customHeight="1">
      <c r="A28" s="278" t="s">
        <v>107</v>
      </c>
      <c r="B28" s="321">
        <v>678257.35</v>
      </c>
      <c r="C28" s="405"/>
      <c r="D28" s="405"/>
      <c r="E28" s="405"/>
      <c r="F28" s="403">
        <f t="shared" si="1"/>
        <v>678257.35</v>
      </c>
      <c r="H28" s="216">
        <f>B23-D23</f>
        <v>7640126.28</v>
      </c>
      <c r="I28" s="216">
        <v>494970.81</v>
      </c>
    </row>
    <row r="29" ht="14.25" customHeight="1">
      <c r="A29" s="278" t="s">
        <v>108</v>
      </c>
      <c r="B29" s="321">
        <v>8221644.59</v>
      </c>
      <c r="C29" s="405">
        <f>5455622.67+2766022</f>
        <v>8221644.67</v>
      </c>
      <c r="D29" s="405"/>
      <c r="E29" s="405"/>
      <c r="F29" s="403">
        <f t="shared" si="1"/>
        <v>-0.08000000007</v>
      </c>
      <c r="H29" s="216">
        <f>H28/6</f>
        <v>1273354.38</v>
      </c>
      <c r="I29" s="216">
        <v>494970.81</v>
      </c>
    </row>
    <row r="30" ht="14.25" customHeight="1">
      <c r="A30" s="278" t="s">
        <v>155</v>
      </c>
      <c r="B30" s="321">
        <v>2.691014366E7</v>
      </c>
      <c r="C30" s="321">
        <f>26910143.66-146900-322746</f>
        <v>26440497.66</v>
      </c>
      <c r="D30" s="405">
        <f>146900+322746</f>
        <v>469646</v>
      </c>
      <c r="E30" s="405"/>
      <c r="F30" s="403">
        <f t="shared" si="1"/>
        <v>0</v>
      </c>
      <c r="H30" s="216"/>
      <c r="I30" s="216"/>
    </row>
    <row r="31" ht="14.25" customHeight="1">
      <c r="A31" s="278" t="s">
        <v>110</v>
      </c>
      <c r="B31" s="420">
        <v>0.0</v>
      </c>
      <c r="C31" s="321">
        <v>0.0</v>
      </c>
      <c r="D31" s="405"/>
      <c r="E31" s="405"/>
      <c r="F31" s="403">
        <f t="shared" si="1"/>
        <v>0</v>
      </c>
      <c r="H31" s="216"/>
      <c r="I31" s="216"/>
    </row>
    <row r="32" ht="14.25" customHeight="1">
      <c r="A32" s="278" t="s">
        <v>112</v>
      </c>
      <c r="B32" s="321">
        <v>29137.55</v>
      </c>
      <c r="C32" s="321">
        <v>29137.55</v>
      </c>
      <c r="D32" s="405"/>
      <c r="E32" s="405"/>
      <c r="F32" s="403">
        <f t="shared" si="1"/>
        <v>0</v>
      </c>
      <c r="H32" s="216"/>
      <c r="I32" s="216"/>
    </row>
    <row r="33" ht="14.25" customHeight="1">
      <c r="A33" s="278" t="s">
        <v>113</v>
      </c>
      <c r="B33" s="321">
        <v>16187.53</v>
      </c>
      <c r="C33" s="321">
        <v>16187.53</v>
      </c>
      <c r="D33" s="405"/>
      <c r="E33" s="405"/>
      <c r="F33" s="403">
        <f t="shared" si="1"/>
        <v>0</v>
      </c>
      <c r="H33" s="216"/>
      <c r="I33" s="216"/>
    </row>
    <row r="34" ht="14.25" customHeight="1">
      <c r="A34" s="278" t="s">
        <v>114</v>
      </c>
      <c r="B34" s="321">
        <v>50181.33</v>
      </c>
      <c r="C34" s="405">
        <v>50181.33</v>
      </c>
      <c r="D34" s="405"/>
      <c r="E34" s="405"/>
      <c r="F34" s="403">
        <f t="shared" si="1"/>
        <v>0</v>
      </c>
      <c r="H34" s="216"/>
      <c r="I34" s="216"/>
    </row>
    <row r="35" ht="14.25" customHeight="1">
      <c r="A35" s="278" t="s">
        <v>115</v>
      </c>
      <c r="B35" s="321">
        <v>137593.97</v>
      </c>
      <c r="C35" s="321">
        <v>137593.97</v>
      </c>
      <c r="D35" s="405"/>
      <c r="E35" s="405"/>
      <c r="F35" s="403">
        <f t="shared" si="1"/>
        <v>0</v>
      </c>
      <c r="H35" s="216"/>
      <c r="I35" s="216"/>
    </row>
    <row r="36" ht="14.25" customHeight="1">
      <c r="A36" s="278" t="s">
        <v>116</v>
      </c>
      <c r="B36" s="321">
        <v>27518.79</v>
      </c>
      <c r="C36" s="321">
        <v>27518.79</v>
      </c>
      <c r="D36" s="405"/>
      <c r="E36" s="405"/>
      <c r="F36" s="403">
        <f t="shared" si="1"/>
        <v>0</v>
      </c>
      <c r="H36" s="216"/>
      <c r="I36" s="216"/>
    </row>
    <row r="37" ht="14.25" customHeight="1">
      <c r="A37" s="278" t="s">
        <v>117</v>
      </c>
      <c r="B37" s="321">
        <v>4856.26</v>
      </c>
      <c r="C37" s="321">
        <v>4856.26</v>
      </c>
      <c r="D37" s="405"/>
      <c r="E37" s="405"/>
      <c r="F37" s="403">
        <f t="shared" si="1"/>
        <v>0</v>
      </c>
      <c r="H37" s="216"/>
      <c r="I37" s="216"/>
    </row>
    <row r="38" ht="14.25" customHeight="1">
      <c r="A38" s="278" t="s">
        <v>118</v>
      </c>
      <c r="B38" s="321">
        <v>3031923.67</v>
      </c>
      <c r="C38" s="321">
        <f>1515961.84+1515961.83</f>
        <v>3031923.67</v>
      </c>
      <c r="D38" s="405"/>
      <c r="E38" s="405"/>
      <c r="F38" s="403">
        <f t="shared" si="1"/>
        <v>0</v>
      </c>
      <c r="H38" s="216"/>
      <c r="I38" s="216"/>
    </row>
    <row r="39" ht="14.25" customHeight="1">
      <c r="A39" s="278" t="s">
        <v>119</v>
      </c>
      <c r="B39" s="321">
        <v>414400.67</v>
      </c>
      <c r="C39" s="321">
        <v>414400.67</v>
      </c>
      <c r="D39" s="405"/>
      <c r="E39" s="405"/>
      <c r="F39" s="403">
        <f t="shared" si="1"/>
        <v>0</v>
      </c>
      <c r="H39" s="216"/>
      <c r="I39" s="216"/>
    </row>
    <row r="40" ht="14.25" customHeight="1">
      <c r="A40" s="278" t="s">
        <v>120</v>
      </c>
      <c r="B40" s="321">
        <v>1265864.55</v>
      </c>
      <c r="C40" s="321">
        <v>1265864.55</v>
      </c>
      <c r="D40" s="405"/>
      <c r="E40" s="405"/>
      <c r="F40" s="403">
        <f t="shared" si="1"/>
        <v>0</v>
      </c>
      <c r="H40" s="216"/>
      <c r="I40" s="216"/>
    </row>
    <row r="41" ht="14.25" customHeight="1">
      <c r="A41" s="278" t="s">
        <v>122</v>
      </c>
      <c r="B41" s="321">
        <v>810995.07</v>
      </c>
      <c r="C41" s="321">
        <v>810995.07</v>
      </c>
      <c r="D41" s="405"/>
      <c r="E41" s="405"/>
      <c r="F41" s="403">
        <f t="shared" si="1"/>
        <v>0</v>
      </c>
      <c r="H41" s="216"/>
      <c r="I41" s="216"/>
    </row>
    <row r="42" ht="14.25" customHeight="1">
      <c r="A42" s="278" t="s">
        <v>123</v>
      </c>
      <c r="B42" s="321">
        <v>853082.63</v>
      </c>
      <c r="C42" s="321">
        <v>853083.0</v>
      </c>
      <c r="D42" s="405"/>
      <c r="E42" s="405"/>
      <c r="F42" s="403">
        <f t="shared" si="1"/>
        <v>-0.37</v>
      </c>
      <c r="H42" s="216"/>
      <c r="I42" s="216"/>
    </row>
    <row r="43" ht="14.25" customHeight="1">
      <c r="A43" s="278" t="s">
        <v>124</v>
      </c>
      <c r="B43" s="321">
        <v>113312.68</v>
      </c>
      <c r="C43" s="321">
        <v>113312.68</v>
      </c>
      <c r="D43" s="405"/>
      <c r="E43" s="405"/>
      <c r="F43" s="403">
        <f t="shared" si="1"/>
        <v>0</v>
      </c>
      <c r="H43" s="216"/>
      <c r="I43" s="216"/>
    </row>
    <row r="44" ht="14.25" customHeight="1">
      <c r="A44" s="278" t="s">
        <v>125</v>
      </c>
      <c r="B44" s="321">
        <v>1942503.15</v>
      </c>
      <c r="C44" s="405"/>
      <c r="D44" s="405"/>
      <c r="E44" s="405"/>
      <c r="F44" s="403">
        <f t="shared" si="1"/>
        <v>1942503.15</v>
      </c>
      <c r="H44" s="216"/>
      <c r="I44" s="216"/>
    </row>
    <row r="45" ht="14.25" customHeight="1">
      <c r="A45" s="278" t="s">
        <v>126</v>
      </c>
      <c r="B45" s="408">
        <v>4855.35</v>
      </c>
      <c r="C45" s="405">
        <v>4855.35</v>
      </c>
      <c r="D45" s="405"/>
      <c r="E45" s="405"/>
      <c r="F45" s="403">
        <f t="shared" si="1"/>
        <v>0</v>
      </c>
      <c r="H45" s="216"/>
      <c r="I45" s="216"/>
    </row>
    <row r="46" ht="14.25" customHeight="1">
      <c r="A46" s="278" t="s">
        <v>128</v>
      </c>
      <c r="B46" s="321">
        <v>101981.42</v>
      </c>
      <c r="C46" s="321">
        <v>101981.42</v>
      </c>
      <c r="D46" s="405"/>
      <c r="E46" s="405"/>
      <c r="F46" s="403">
        <f t="shared" si="1"/>
        <v>0</v>
      </c>
      <c r="H46" s="216"/>
      <c r="I46" s="216"/>
    </row>
    <row r="47" ht="14.25" customHeight="1">
      <c r="A47" s="278" t="s">
        <v>129</v>
      </c>
      <c r="B47" s="321">
        <v>155400.25</v>
      </c>
      <c r="C47" s="321">
        <v>155400.25</v>
      </c>
      <c r="D47" s="405"/>
      <c r="E47" s="405"/>
      <c r="F47" s="403">
        <f t="shared" si="1"/>
        <v>0</v>
      </c>
      <c r="H47" s="216"/>
      <c r="I47" s="216"/>
    </row>
    <row r="48" ht="14.25" customHeight="1">
      <c r="A48" s="278" t="s">
        <v>131</v>
      </c>
      <c r="B48" s="321">
        <v>4804457.8</v>
      </c>
      <c r="C48" s="405">
        <f>929159.06+3875298.74</f>
        <v>4804457.8</v>
      </c>
      <c r="D48" s="405"/>
      <c r="E48" s="405"/>
      <c r="F48" s="403">
        <f t="shared" si="1"/>
        <v>-0.0000000009313225746</v>
      </c>
      <c r="H48" s="216"/>
      <c r="I48" s="216"/>
    </row>
    <row r="49" ht="14.25" customHeight="1">
      <c r="A49" s="278" t="s">
        <v>156</v>
      </c>
      <c r="B49" s="321">
        <v>1733684.06</v>
      </c>
      <c r="C49" s="321">
        <v>1733684.06</v>
      </c>
      <c r="D49" s="405"/>
      <c r="E49" s="405"/>
      <c r="F49" s="403">
        <f t="shared" si="1"/>
        <v>0</v>
      </c>
      <c r="H49" s="216"/>
      <c r="I49" s="216"/>
    </row>
    <row r="50" ht="14.25" customHeight="1">
      <c r="A50" s="278" t="s">
        <v>133</v>
      </c>
      <c r="B50" s="321">
        <v>1968403.19</v>
      </c>
      <c r="C50" s="321">
        <v>1968403.19</v>
      </c>
      <c r="D50" s="405"/>
      <c r="E50" s="405"/>
      <c r="F50" s="403">
        <f t="shared" si="1"/>
        <v>0</v>
      </c>
      <c r="H50" s="216"/>
      <c r="I50" s="216"/>
    </row>
    <row r="51" ht="14.25" customHeight="1">
      <c r="A51" s="278" t="s">
        <v>134</v>
      </c>
      <c r="B51" s="321">
        <v>1619.0</v>
      </c>
      <c r="C51" s="405"/>
      <c r="D51" s="405"/>
      <c r="E51" s="405"/>
      <c r="F51" s="403">
        <f t="shared" si="1"/>
        <v>1619</v>
      </c>
      <c r="H51" s="216"/>
      <c r="I51" s="216"/>
    </row>
    <row r="52" ht="14.25" customHeight="1">
      <c r="A52" s="278" t="s">
        <v>136</v>
      </c>
      <c r="B52" s="321">
        <v>72843.87</v>
      </c>
      <c r="C52" s="405"/>
      <c r="D52" s="405"/>
      <c r="E52" s="405"/>
      <c r="F52" s="403">
        <f t="shared" si="1"/>
        <v>72843.87</v>
      </c>
      <c r="H52" s="216"/>
      <c r="I52" s="216"/>
    </row>
    <row r="53" ht="14.25" customHeight="1">
      <c r="A53" s="278" t="s">
        <v>138</v>
      </c>
      <c r="B53" s="321">
        <v>1.075175495E7</v>
      </c>
      <c r="C53" s="321">
        <v>1.075175495E7</v>
      </c>
      <c r="D53" s="405"/>
      <c r="E53" s="321"/>
      <c r="F53" s="403">
        <f t="shared" si="1"/>
        <v>0</v>
      </c>
      <c r="H53" s="216"/>
      <c r="I53" s="216"/>
    </row>
    <row r="54" ht="14.25" customHeight="1">
      <c r="A54" s="278" t="s">
        <v>139</v>
      </c>
      <c r="B54" s="321">
        <f>29333333.33</f>
        <v>29333333.33</v>
      </c>
      <c r="C54" s="449">
        <f>2445747+310527+25000000+1730000+3460000-3612941</f>
        <v>29333333</v>
      </c>
      <c r="D54" s="405"/>
      <c r="E54" s="405"/>
      <c r="F54" s="403">
        <f t="shared" si="1"/>
        <v>0.3299999982</v>
      </c>
      <c r="H54" s="216"/>
      <c r="I54" s="216"/>
    </row>
    <row r="55" ht="14.25" customHeight="1">
      <c r="A55" s="369" t="s">
        <v>140</v>
      </c>
      <c r="B55" s="450">
        <v>12950.02</v>
      </c>
      <c r="C55" s="409"/>
      <c r="D55" s="409"/>
      <c r="E55" s="409"/>
      <c r="F55" s="451">
        <f t="shared" si="1"/>
        <v>12950.02</v>
      </c>
      <c r="H55" s="216"/>
      <c r="I55" s="216"/>
    </row>
    <row r="56" ht="14.25" customHeight="1">
      <c r="A56" s="372" t="s">
        <v>143</v>
      </c>
      <c r="B56" s="373">
        <f t="shared" ref="B56:F56" si="2">SUM(B9:B55)</f>
        <v>133351136.7</v>
      </c>
      <c r="C56" s="412">
        <f t="shared" si="2"/>
        <v>117398015.9</v>
      </c>
      <c r="D56" s="412">
        <f t="shared" si="2"/>
        <v>7650795</v>
      </c>
      <c r="E56" s="412">
        <f t="shared" si="2"/>
        <v>0.009999999776</v>
      </c>
      <c r="F56" s="413">
        <f t="shared" si="2"/>
        <v>8302325.85</v>
      </c>
      <c r="H56" s="216"/>
      <c r="I56" s="216"/>
    </row>
    <row r="57" ht="14.25" customHeight="1">
      <c r="A57" s="452"/>
      <c r="B57" s="336"/>
      <c r="C57" s="336"/>
      <c r="D57" s="336"/>
      <c r="E57" s="336"/>
      <c r="F57" s="336"/>
      <c r="H57" s="216"/>
      <c r="I57" s="216"/>
    </row>
    <row r="58" ht="14.25" customHeight="1">
      <c r="A58" s="336"/>
      <c r="B58" s="336"/>
      <c r="C58" s="336"/>
      <c r="D58" s="336"/>
      <c r="E58" s="336"/>
      <c r="F58" s="336"/>
      <c r="H58" s="216"/>
      <c r="I58" s="216"/>
    </row>
    <row r="59" ht="14.25" customHeight="1">
      <c r="A59" s="337" t="s">
        <v>159</v>
      </c>
      <c r="B59" s="414">
        <f t="shared" ref="B59:E59" si="3">B12+B13+B15+B18+B20+B25+B32+B34+B41+B44+B46+B47+B51+B52+B55</f>
        <v>4126200.69</v>
      </c>
      <c r="C59" s="414">
        <f t="shared" si="3"/>
        <v>2022581.84</v>
      </c>
      <c r="D59" s="414">
        <f t="shared" si="3"/>
        <v>33234</v>
      </c>
      <c r="E59" s="414">
        <f t="shared" si="3"/>
        <v>0</v>
      </c>
      <c r="F59" s="415">
        <f>B59-C59-D59-E59</f>
        <v>2070384.85</v>
      </c>
      <c r="H59" s="216"/>
      <c r="I59" s="216"/>
    </row>
    <row r="60" ht="14.25" customHeight="1">
      <c r="H60" s="216"/>
      <c r="I60" s="216"/>
    </row>
    <row r="61" ht="14.25" customHeight="1">
      <c r="H61" s="216"/>
      <c r="I61" s="216"/>
    </row>
    <row r="62" ht="14.25" customHeight="1">
      <c r="H62" s="216"/>
      <c r="I62" s="216"/>
    </row>
    <row r="63" ht="14.25" customHeight="1">
      <c r="H63" s="216"/>
      <c r="I63" s="216"/>
    </row>
    <row r="64" ht="14.25" customHeight="1">
      <c r="H64" s="216"/>
      <c r="I64" s="216"/>
    </row>
    <row r="65" ht="14.25" customHeight="1">
      <c r="H65" s="216"/>
      <c r="I65" s="216"/>
    </row>
    <row r="66" ht="14.25" customHeight="1">
      <c r="H66" s="216"/>
      <c r="I66" s="216"/>
    </row>
    <row r="67" ht="14.25" customHeight="1">
      <c r="H67" s="216"/>
      <c r="I67" s="216"/>
    </row>
    <row r="68" ht="14.25" customHeight="1">
      <c r="H68" s="216"/>
      <c r="I68" s="216"/>
    </row>
    <row r="69" ht="14.25" customHeight="1">
      <c r="H69" s="216"/>
      <c r="I69" s="216"/>
    </row>
    <row r="70" ht="14.25" customHeight="1">
      <c r="H70" s="216"/>
      <c r="I70" s="216"/>
    </row>
    <row r="71" ht="14.25" customHeight="1">
      <c r="H71" s="216"/>
      <c r="I71" s="216"/>
    </row>
    <row r="72" ht="14.25" customHeight="1">
      <c r="H72" s="216"/>
      <c r="I72" s="216"/>
    </row>
    <row r="73" ht="14.25" customHeight="1">
      <c r="H73" s="216"/>
      <c r="I73" s="216"/>
    </row>
    <row r="74" ht="14.25" customHeight="1">
      <c r="H74" s="216"/>
      <c r="I74" s="216"/>
    </row>
    <row r="75" ht="14.25" customHeight="1">
      <c r="H75" s="216"/>
      <c r="I75" s="216"/>
    </row>
    <row r="76" ht="14.25" customHeight="1">
      <c r="H76" s="216"/>
      <c r="I76" s="216"/>
    </row>
    <row r="77" ht="14.25" customHeight="1">
      <c r="H77" s="216"/>
      <c r="I77" s="216"/>
    </row>
    <row r="78" ht="14.25" customHeight="1">
      <c r="H78" s="216"/>
      <c r="I78" s="216"/>
    </row>
    <row r="79" ht="14.25" customHeight="1">
      <c r="H79" s="216"/>
      <c r="I79" s="216"/>
    </row>
    <row r="80" ht="14.25" customHeight="1">
      <c r="H80" s="216"/>
      <c r="I80" s="216"/>
    </row>
    <row r="81" ht="14.25" customHeight="1">
      <c r="H81" s="216"/>
      <c r="I81" s="216"/>
    </row>
    <row r="82" ht="14.25" customHeight="1">
      <c r="H82" s="216"/>
      <c r="I82" s="216"/>
    </row>
    <row r="83" ht="14.25" customHeight="1">
      <c r="H83" s="216"/>
      <c r="I83" s="216"/>
    </row>
    <row r="84" ht="14.25" customHeight="1">
      <c r="H84" s="216"/>
      <c r="I84" s="216"/>
    </row>
    <row r="85" ht="14.25" customHeight="1">
      <c r="H85" s="216"/>
      <c r="I85" s="216"/>
    </row>
    <row r="86" ht="14.25" customHeight="1">
      <c r="H86" s="216"/>
      <c r="I86" s="216"/>
    </row>
    <row r="87" ht="14.25" customHeight="1">
      <c r="H87" s="216"/>
      <c r="I87" s="216"/>
    </row>
    <row r="88" ht="14.25" customHeight="1">
      <c r="H88" s="216"/>
      <c r="I88" s="216"/>
    </row>
    <row r="89" ht="14.25" customHeight="1">
      <c r="H89" s="216"/>
      <c r="I89" s="216"/>
    </row>
    <row r="90" ht="14.25" customHeight="1">
      <c r="H90" s="216"/>
      <c r="I90" s="216"/>
    </row>
    <row r="91" ht="14.25" customHeight="1">
      <c r="H91" s="216"/>
      <c r="I91" s="216"/>
    </row>
    <row r="92" ht="14.25" customHeight="1">
      <c r="H92" s="216"/>
      <c r="I92" s="216"/>
    </row>
    <row r="93" ht="14.25" customHeight="1">
      <c r="H93" s="216"/>
      <c r="I93" s="216"/>
    </row>
    <row r="94" ht="14.25" customHeight="1">
      <c r="H94" s="216"/>
      <c r="I94" s="216"/>
    </row>
    <row r="95" ht="14.25" customHeight="1">
      <c r="H95" s="216"/>
      <c r="I95" s="216"/>
    </row>
    <row r="96" ht="14.25" customHeight="1">
      <c r="H96" s="216"/>
      <c r="I96" s="216"/>
    </row>
    <row r="97" ht="14.25" customHeight="1">
      <c r="H97" s="216"/>
      <c r="I97" s="216"/>
    </row>
    <row r="98" ht="14.25" customHeight="1">
      <c r="H98" s="216"/>
      <c r="I98" s="216"/>
    </row>
    <row r="99" ht="14.25" customHeight="1">
      <c r="H99" s="216"/>
      <c r="I99" s="216"/>
    </row>
    <row r="100" ht="14.25" customHeight="1">
      <c r="H100" s="216"/>
      <c r="I100" s="216"/>
    </row>
    <row r="101" ht="14.25" customHeight="1">
      <c r="H101" s="216"/>
      <c r="I101" s="216"/>
    </row>
    <row r="102" ht="14.25" customHeight="1">
      <c r="H102" s="216"/>
      <c r="I102" s="216"/>
    </row>
    <row r="103" ht="14.25" customHeight="1">
      <c r="H103" s="216"/>
      <c r="I103" s="216"/>
    </row>
    <row r="104" ht="14.25" customHeight="1">
      <c r="H104" s="216"/>
      <c r="I104" s="216"/>
    </row>
    <row r="105" ht="14.25" customHeight="1">
      <c r="H105" s="216"/>
      <c r="I105" s="216"/>
    </row>
    <row r="106" ht="14.25" customHeight="1">
      <c r="H106" s="216"/>
      <c r="I106" s="216"/>
    </row>
    <row r="107" ht="14.25" customHeight="1">
      <c r="H107" s="216"/>
      <c r="I107" s="216"/>
    </row>
    <row r="108" ht="14.25" customHeight="1">
      <c r="H108" s="216"/>
      <c r="I108" s="216"/>
    </row>
    <row r="109" ht="14.25" customHeight="1">
      <c r="H109" s="216"/>
      <c r="I109" s="216"/>
    </row>
    <row r="110" ht="14.25" customHeight="1">
      <c r="H110" s="216"/>
      <c r="I110" s="216"/>
    </row>
    <row r="111" ht="14.25" customHeight="1">
      <c r="H111" s="216"/>
      <c r="I111" s="216"/>
    </row>
    <row r="112" ht="14.25" customHeight="1">
      <c r="H112" s="216"/>
      <c r="I112" s="216"/>
    </row>
    <row r="113" ht="14.25" customHeight="1">
      <c r="H113" s="216"/>
      <c r="I113" s="216"/>
    </row>
    <row r="114" ht="14.25" customHeight="1">
      <c r="H114" s="216"/>
      <c r="I114" s="216"/>
    </row>
    <row r="115" ht="14.25" customHeight="1">
      <c r="H115" s="216"/>
      <c r="I115" s="216"/>
    </row>
    <row r="116" ht="14.25" customHeight="1">
      <c r="H116" s="216"/>
      <c r="I116" s="216"/>
    </row>
    <row r="117" ht="14.25" customHeight="1">
      <c r="H117" s="216"/>
      <c r="I117" s="216"/>
    </row>
    <row r="118" ht="14.25" customHeight="1">
      <c r="H118" s="216"/>
      <c r="I118" s="216"/>
    </row>
    <row r="119" ht="14.25" customHeight="1">
      <c r="H119" s="216"/>
      <c r="I119" s="216"/>
    </row>
    <row r="120" ht="14.25" customHeight="1">
      <c r="H120" s="216"/>
      <c r="I120" s="216"/>
    </row>
    <row r="121" ht="14.25" customHeight="1">
      <c r="H121" s="216"/>
      <c r="I121" s="216"/>
    </row>
    <row r="122" ht="14.25" customHeight="1">
      <c r="H122" s="216"/>
      <c r="I122" s="216"/>
    </row>
    <row r="123" ht="14.25" customHeight="1">
      <c r="H123" s="216"/>
      <c r="I123" s="216"/>
    </row>
    <row r="124" ht="14.25" customHeight="1">
      <c r="H124" s="216"/>
      <c r="I124" s="216"/>
    </row>
    <row r="125" ht="14.25" customHeight="1">
      <c r="H125" s="216"/>
      <c r="I125" s="216"/>
    </row>
    <row r="126" ht="14.25" customHeight="1">
      <c r="H126" s="216"/>
      <c r="I126" s="216"/>
    </row>
    <row r="127" ht="14.25" customHeight="1">
      <c r="H127" s="216"/>
      <c r="I127" s="216"/>
    </row>
    <row r="128" ht="14.25" customHeight="1">
      <c r="H128" s="216"/>
      <c r="I128" s="216"/>
    </row>
    <row r="129" ht="14.25" customHeight="1">
      <c r="H129" s="216"/>
      <c r="I129" s="216"/>
    </row>
    <row r="130" ht="14.25" customHeight="1">
      <c r="H130" s="216"/>
      <c r="I130" s="216"/>
    </row>
    <row r="131" ht="14.25" customHeight="1">
      <c r="H131" s="216"/>
      <c r="I131" s="216"/>
    </row>
    <row r="132" ht="14.25" customHeight="1">
      <c r="H132" s="216"/>
      <c r="I132" s="216"/>
    </row>
    <row r="133" ht="14.25" customHeight="1">
      <c r="H133" s="216"/>
      <c r="I133" s="216"/>
    </row>
    <row r="134" ht="14.25" customHeight="1">
      <c r="H134" s="216"/>
      <c r="I134" s="216"/>
    </row>
    <row r="135" ht="14.25" customHeight="1">
      <c r="H135" s="216"/>
      <c r="I135" s="216"/>
    </row>
    <row r="136" ht="14.25" customHeight="1">
      <c r="H136" s="216"/>
      <c r="I136" s="216"/>
    </row>
    <row r="137" ht="14.25" customHeight="1">
      <c r="H137" s="216"/>
      <c r="I137" s="216"/>
    </row>
    <row r="138" ht="14.25" customHeight="1">
      <c r="H138" s="216"/>
      <c r="I138" s="216"/>
    </row>
    <row r="139" ht="14.25" customHeight="1">
      <c r="H139" s="216"/>
      <c r="I139" s="216"/>
    </row>
    <row r="140" ht="14.25" customHeight="1">
      <c r="H140" s="216"/>
      <c r="I140" s="216"/>
    </row>
    <row r="141" ht="14.25" customHeight="1">
      <c r="H141" s="216"/>
      <c r="I141" s="216"/>
    </row>
    <row r="142" ht="14.25" customHeight="1">
      <c r="H142" s="216"/>
      <c r="I142" s="216"/>
    </row>
    <row r="143" ht="14.25" customHeight="1">
      <c r="H143" s="216"/>
      <c r="I143" s="216"/>
    </row>
    <row r="144" ht="14.25" customHeight="1">
      <c r="H144" s="216"/>
      <c r="I144" s="216"/>
    </row>
    <row r="145" ht="14.25" customHeight="1">
      <c r="H145" s="216"/>
      <c r="I145" s="216"/>
    </row>
    <row r="146" ht="14.25" customHeight="1">
      <c r="H146" s="216"/>
      <c r="I146" s="216"/>
    </row>
    <row r="147" ht="14.25" customHeight="1">
      <c r="H147" s="216"/>
      <c r="I147" s="216"/>
    </row>
    <row r="148" ht="14.25" customHeight="1">
      <c r="H148" s="216"/>
      <c r="I148" s="216"/>
    </row>
    <row r="149" ht="14.25" customHeight="1">
      <c r="H149" s="216"/>
      <c r="I149" s="216"/>
    </row>
    <row r="150" ht="14.25" customHeight="1">
      <c r="H150" s="216"/>
      <c r="I150" s="216"/>
    </row>
    <row r="151" ht="14.25" customHeight="1">
      <c r="H151" s="216"/>
      <c r="I151" s="216"/>
    </row>
    <row r="152" ht="14.25" customHeight="1">
      <c r="H152" s="216"/>
      <c r="I152" s="216"/>
    </row>
    <row r="153" ht="14.25" customHeight="1">
      <c r="H153" s="216"/>
      <c r="I153" s="216"/>
    </row>
    <row r="154" ht="14.25" customHeight="1">
      <c r="H154" s="216"/>
      <c r="I154" s="216"/>
    </row>
    <row r="155" ht="14.25" customHeight="1">
      <c r="H155" s="216"/>
      <c r="I155" s="216"/>
    </row>
    <row r="156" ht="14.25" customHeight="1">
      <c r="H156" s="216"/>
      <c r="I156" s="216"/>
    </row>
    <row r="157" ht="14.25" customHeight="1">
      <c r="H157" s="216"/>
      <c r="I157" s="216"/>
    </row>
    <row r="158" ht="14.25" customHeight="1">
      <c r="H158" s="216"/>
      <c r="I158" s="216"/>
    </row>
    <row r="159" ht="14.25" customHeight="1">
      <c r="H159" s="216"/>
      <c r="I159" s="216"/>
    </row>
    <row r="160" ht="14.25" customHeight="1">
      <c r="H160" s="216"/>
      <c r="I160" s="216"/>
    </row>
    <row r="161" ht="14.25" customHeight="1">
      <c r="H161" s="216"/>
      <c r="I161" s="216"/>
    </row>
    <row r="162" ht="14.25" customHeight="1">
      <c r="H162" s="216"/>
      <c r="I162" s="216"/>
    </row>
    <row r="163" ht="14.25" customHeight="1">
      <c r="H163" s="216"/>
      <c r="I163" s="216"/>
    </row>
    <row r="164" ht="14.25" customHeight="1">
      <c r="H164" s="216"/>
      <c r="I164" s="216"/>
    </row>
    <row r="165" ht="14.25" customHeight="1">
      <c r="H165" s="216"/>
      <c r="I165" s="216"/>
    </row>
    <row r="166" ht="14.25" customHeight="1">
      <c r="H166" s="216"/>
      <c r="I166" s="216"/>
    </row>
    <row r="167" ht="14.25" customHeight="1">
      <c r="H167" s="216"/>
      <c r="I167" s="216"/>
    </row>
    <row r="168" ht="14.25" customHeight="1">
      <c r="H168" s="216"/>
      <c r="I168" s="216"/>
    </row>
    <row r="169" ht="14.25" customHeight="1">
      <c r="H169" s="216"/>
      <c r="I169" s="216"/>
    </row>
    <row r="170" ht="14.25" customHeight="1">
      <c r="H170" s="216"/>
      <c r="I170" s="216"/>
    </row>
    <row r="171" ht="14.25" customHeight="1">
      <c r="H171" s="216"/>
      <c r="I171" s="216"/>
    </row>
    <row r="172" ht="14.25" customHeight="1">
      <c r="H172" s="216"/>
      <c r="I172" s="216"/>
    </row>
    <row r="173" ht="14.25" customHeight="1">
      <c r="H173" s="216"/>
      <c r="I173" s="216"/>
    </row>
    <row r="174" ht="14.25" customHeight="1">
      <c r="H174" s="216"/>
      <c r="I174" s="216"/>
    </row>
    <row r="175" ht="14.25" customHeight="1">
      <c r="H175" s="216"/>
      <c r="I175" s="216"/>
    </row>
    <row r="176" ht="14.25" customHeight="1">
      <c r="H176" s="216"/>
      <c r="I176" s="216"/>
    </row>
    <row r="177" ht="14.25" customHeight="1">
      <c r="H177" s="216"/>
      <c r="I177" s="216"/>
    </row>
    <row r="178" ht="14.25" customHeight="1">
      <c r="H178" s="216"/>
      <c r="I178" s="216"/>
    </row>
    <row r="179" ht="14.25" customHeight="1">
      <c r="H179" s="216"/>
      <c r="I179" s="216"/>
    </row>
    <row r="180" ht="14.25" customHeight="1">
      <c r="H180" s="216"/>
      <c r="I180" s="216"/>
    </row>
    <row r="181" ht="14.25" customHeight="1">
      <c r="H181" s="216"/>
      <c r="I181" s="216"/>
    </row>
    <row r="182" ht="14.25" customHeight="1">
      <c r="H182" s="216"/>
      <c r="I182" s="216"/>
    </row>
    <row r="183" ht="14.25" customHeight="1">
      <c r="H183" s="216"/>
      <c r="I183" s="216"/>
    </row>
    <row r="184" ht="14.25" customHeight="1">
      <c r="H184" s="216"/>
      <c r="I184" s="216"/>
    </row>
    <row r="185" ht="14.25" customHeight="1">
      <c r="H185" s="216"/>
      <c r="I185" s="216"/>
    </row>
    <row r="186" ht="14.25" customHeight="1">
      <c r="H186" s="216"/>
      <c r="I186" s="216"/>
    </row>
    <row r="187" ht="14.25" customHeight="1">
      <c r="H187" s="216"/>
      <c r="I187" s="216"/>
    </row>
    <row r="188" ht="14.25" customHeight="1">
      <c r="H188" s="216"/>
      <c r="I188" s="216"/>
    </row>
    <row r="189" ht="14.25" customHeight="1">
      <c r="H189" s="216"/>
      <c r="I189" s="216"/>
    </row>
    <row r="190" ht="14.25" customHeight="1">
      <c r="H190" s="216"/>
      <c r="I190" s="216"/>
    </row>
    <row r="191" ht="14.25" customHeight="1">
      <c r="H191" s="216"/>
      <c r="I191" s="216"/>
    </row>
    <row r="192" ht="14.25" customHeight="1">
      <c r="H192" s="216"/>
      <c r="I192" s="216"/>
    </row>
    <row r="193" ht="14.25" customHeight="1">
      <c r="H193" s="216"/>
      <c r="I193" s="216"/>
    </row>
    <row r="194" ht="14.25" customHeight="1">
      <c r="H194" s="216"/>
      <c r="I194" s="216"/>
    </row>
    <row r="195" ht="14.25" customHeight="1">
      <c r="H195" s="216"/>
      <c r="I195" s="216"/>
    </row>
    <row r="196" ht="14.25" customHeight="1">
      <c r="H196" s="216"/>
      <c r="I196" s="216"/>
    </row>
    <row r="197" ht="14.25" customHeight="1">
      <c r="H197" s="216"/>
      <c r="I197" s="216"/>
    </row>
    <row r="198" ht="14.25" customHeight="1">
      <c r="H198" s="216"/>
      <c r="I198" s="216"/>
    </row>
    <row r="199" ht="14.25" customHeight="1">
      <c r="H199" s="216"/>
      <c r="I199" s="216"/>
    </row>
    <row r="200" ht="14.25" customHeight="1">
      <c r="H200" s="216"/>
      <c r="I200" s="216"/>
    </row>
    <row r="201" ht="14.25" customHeight="1">
      <c r="H201" s="216"/>
      <c r="I201" s="216"/>
    </row>
    <row r="202" ht="14.25" customHeight="1">
      <c r="H202" s="216"/>
      <c r="I202" s="216"/>
    </row>
    <row r="203" ht="14.25" customHeight="1">
      <c r="H203" s="216"/>
      <c r="I203" s="216"/>
    </row>
    <row r="204" ht="14.25" customHeight="1">
      <c r="H204" s="216"/>
      <c r="I204" s="216"/>
    </row>
    <row r="205" ht="14.25" customHeight="1">
      <c r="H205" s="216"/>
      <c r="I205" s="216"/>
    </row>
    <row r="206" ht="14.25" customHeight="1">
      <c r="H206" s="216"/>
      <c r="I206" s="216"/>
    </row>
    <row r="207" ht="14.25" customHeight="1">
      <c r="H207" s="216"/>
      <c r="I207" s="216"/>
    </row>
    <row r="208" ht="14.25" customHeight="1">
      <c r="H208" s="216"/>
      <c r="I208" s="216"/>
    </row>
    <row r="209" ht="14.25" customHeight="1">
      <c r="H209" s="216"/>
      <c r="I209" s="216"/>
    </row>
    <row r="210" ht="14.25" customHeight="1">
      <c r="H210" s="216"/>
      <c r="I210" s="216"/>
    </row>
    <row r="211" ht="14.25" customHeight="1">
      <c r="H211" s="216"/>
      <c r="I211" s="216"/>
    </row>
    <row r="212" ht="14.25" customHeight="1">
      <c r="H212" s="216"/>
      <c r="I212" s="216"/>
    </row>
    <row r="213" ht="14.25" customHeight="1">
      <c r="H213" s="216"/>
      <c r="I213" s="216"/>
    </row>
    <row r="214" ht="14.25" customHeight="1">
      <c r="H214" s="216"/>
      <c r="I214" s="216"/>
    </row>
    <row r="215" ht="14.25" customHeight="1">
      <c r="H215" s="216"/>
      <c r="I215" s="216"/>
    </row>
    <row r="216" ht="14.25" customHeight="1">
      <c r="H216" s="216"/>
      <c r="I216" s="216"/>
    </row>
    <row r="217" ht="14.25" customHeight="1">
      <c r="H217" s="216"/>
      <c r="I217" s="216"/>
    </row>
    <row r="218" ht="14.25" customHeight="1">
      <c r="H218" s="216"/>
      <c r="I218" s="216"/>
    </row>
    <row r="219" ht="14.25" customHeight="1">
      <c r="H219" s="216"/>
      <c r="I219" s="216"/>
    </row>
    <row r="220" ht="14.25" customHeight="1">
      <c r="H220" s="216"/>
      <c r="I220" s="216"/>
    </row>
    <row r="221" ht="14.25" customHeight="1">
      <c r="H221" s="216"/>
      <c r="I221" s="216"/>
    </row>
    <row r="222" ht="14.25" customHeight="1">
      <c r="H222" s="216"/>
      <c r="I222" s="216"/>
    </row>
    <row r="223" ht="14.25" customHeight="1">
      <c r="H223" s="216"/>
      <c r="I223" s="216"/>
    </row>
    <row r="224" ht="14.25" customHeight="1">
      <c r="H224" s="216"/>
      <c r="I224" s="216"/>
    </row>
    <row r="225" ht="14.25" customHeight="1">
      <c r="H225" s="216"/>
      <c r="I225" s="216"/>
    </row>
    <row r="226" ht="14.25" customHeight="1">
      <c r="H226" s="216"/>
      <c r="I226" s="216"/>
    </row>
    <row r="227" ht="14.25" customHeight="1">
      <c r="H227" s="216"/>
      <c r="I227" s="216"/>
    </row>
    <row r="228" ht="14.25" customHeight="1">
      <c r="H228" s="216"/>
      <c r="I228" s="216"/>
    </row>
    <row r="229" ht="14.25" customHeight="1">
      <c r="H229" s="216"/>
      <c r="I229" s="216"/>
    </row>
    <row r="230" ht="14.25" customHeight="1">
      <c r="H230" s="216"/>
      <c r="I230" s="216"/>
    </row>
    <row r="231" ht="14.25" customHeight="1">
      <c r="H231" s="216"/>
      <c r="I231" s="216"/>
    </row>
    <row r="232" ht="14.25" customHeight="1">
      <c r="H232" s="216"/>
      <c r="I232" s="216"/>
    </row>
    <row r="233" ht="14.25" customHeight="1">
      <c r="H233" s="216"/>
      <c r="I233" s="216"/>
    </row>
    <row r="234" ht="14.25" customHeight="1">
      <c r="H234" s="216"/>
      <c r="I234" s="216"/>
    </row>
    <row r="235" ht="14.25" customHeight="1">
      <c r="H235" s="216"/>
      <c r="I235" s="216"/>
    </row>
    <row r="236" ht="14.25" customHeight="1">
      <c r="H236" s="216"/>
      <c r="I236" s="216"/>
    </row>
    <row r="237" ht="14.25" customHeight="1">
      <c r="H237" s="216"/>
      <c r="I237" s="216"/>
    </row>
    <row r="238" ht="14.25" customHeight="1">
      <c r="H238" s="216"/>
      <c r="I238" s="216"/>
    </row>
    <row r="239" ht="14.25" customHeight="1">
      <c r="H239" s="216"/>
      <c r="I239" s="216"/>
    </row>
    <row r="240" ht="14.25" customHeight="1">
      <c r="H240" s="216"/>
      <c r="I240" s="216"/>
    </row>
    <row r="241" ht="14.25" customHeight="1">
      <c r="H241" s="216"/>
      <c r="I241" s="216"/>
    </row>
    <row r="242" ht="14.25" customHeight="1">
      <c r="H242" s="216"/>
      <c r="I242" s="216"/>
    </row>
    <row r="243" ht="14.25" customHeight="1">
      <c r="H243" s="216"/>
      <c r="I243" s="216"/>
    </row>
    <row r="244" ht="14.25" customHeight="1">
      <c r="H244" s="216"/>
      <c r="I244" s="216"/>
    </row>
    <row r="245" ht="14.25" customHeight="1">
      <c r="H245" s="216"/>
      <c r="I245" s="216"/>
    </row>
    <row r="246" ht="14.25" customHeight="1">
      <c r="H246" s="216"/>
      <c r="I246" s="216"/>
    </row>
    <row r="247" ht="14.25" customHeight="1">
      <c r="H247" s="216"/>
      <c r="I247" s="216"/>
    </row>
    <row r="248" ht="14.25" customHeight="1">
      <c r="H248" s="216"/>
      <c r="I248" s="216"/>
    </row>
    <row r="249" ht="14.25" customHeight="1">
      <c r="H249" s="216"/>
      <c r="I249" s="216"/>
    </row>
    <row r="250" ht="14.25" customHeight="1">
      <c r="H250" s="216"/>
      <c r="I250" s="216"/>
    </row>
    <row r="251" ht="14.25" customHeight="1">
      <c r="H251" s="216"/>
      <c r="I251" s="216"/>
    </row>
    <row r="252" ht="14.25" customHeight="1">
      <c r="H252" s="216"/>
      <c r="I252" s="216"/>
    </row>
    <row r="253" ht="14.25" customHeight="1">
      <c r="H253" s="216"/>
      <c r="I253" s="216"/>
    </row>
    <row r="254" ht="14.25" customHeight="1">
      <c r="H254" s="216"/>
      <c r="I254" s="216"/>
    </row>
    <row r="255" ht="14.25" customHeight="1">
      <c r="H255" s="216"/>
      <c r="I255" s="216"/>
    </row>
    <row r="256" ht="14.25" customHeight="1">
      <c r="H256" s="216"/>
      <c r="I256" s="216"/>
    </row>
    <row r="257" ht="14.25" customHeight="1">
      <c r="H257" s="216"/>
      <c r="I257" s="216"/>
    </row>
    <row r="258" ht="14.25" customHeight="1">
      <c r="H258" s="216"/>
      <c r="I258" s="216"/>
    </row>
    <row r="259" ht="14.25" customHeight="1">
      <c r="H259" s="216"/>
      <c r="I259" s="216"/>
    </row>
    <row r="260" ht="14.25" customHeight="1">
      <c r="H260" s="216"/>
      <c r="I260" s="216"/>
    </row>
    <row r="261" ht="14.25" customHeight="1">
      <c r="H261" s="216"/>
      <c r="I261" s="216"/>
    </row>
    <row r="262" ht="14.25" customHeight="1">
      <c r="H262" s="216"/>
      <c r="I262" s="216"/>
    </row>
    <row r="263" ht="14.25" customHeight="1">
      <c r="H263" s="216"/>
      <c r="I263" s="216"/>
    </row>
    <row r="264" ht="14.25" customHeight="1">
      <c r="H264" s="216"/>
      <c r="I264" s="216"/>
    </row>
    <row r="265" ht="14.25" customHeight="1">
      <c r="H265" s="216"/>
      <c r="I265" s="216"/>
    </row>
    <row r="266" ht="14.25" customHeight="1">
      <c r="H266" s="216"/>
      <c r="I266" s="216"/>
    </row>
    <row r="267" ht="14.25" customHeight="1">
      <c r="H267" s="216"/>
      <c r="I267" s="216"/>
    </row>
    <row r="268" ht="14.25" customHeight="1">
      <c r="H268" s="216"/>
      <c r="I268" s="216"/>
    </row>
    <row r="269" ht="14.25" customHeight="1">
      <c r="H269" s="216"/>
      <c r="I269" s="216"/>
    </row>
    <row r="270" ht="14.25" customHeight="1">
      <c r="H270" s="216"/>
      <c r="I270" s="216"/>
    </row>
    <row r="271" ht="14.25" customHeight="1">
      <c r="H271" s="216"/>
      <c r="I271" s="216"/>
    </row>
    <row r="272" ht="14.25" customHeight="1">
      <c r="H272" s="216"/>
      <c r="I272" s="216"/>
    </row>
    <row r="273" ht="14.25" customHeight="1">
      <c r="H273" s="216"/>
      <c r="I273" s="216"/>
    </row>
    <row r="274" ht="14.25" customHeight="1">
      <c r="H274" s="216"/>
      <c r="I274" s="216"/>
    </row>
    <row r="275" ht="14.25" customHeight="1">
      <c r="H275" s="216"/>
      <c r="I275" s="216"/>
    </row>
    <row r="276" ht="14.25" customHeight="1">
      <c r="H276" s="216"/>
      <c r="I276" s="216"/>
    </row>
    <row r="277" ht="14.25" customHeight="1">
      <c r="H277" s="216"/>
      <c r="I277" s="216"/>
    </row>
    <row r="278" ht="14.25" customHeight="1">
      <c r="H278" s="216"/>
      <c r="I278" s="216"/>
    </row>
    <row r="279" ht="14.25" customHeight="1">
      <c r="H279" s="216"/>
      <c r="I279" s="216"/>
    </row>
    <row r="280" ht="14.25" customHeight="1">
      <c r="H280" s="216"/>
      <c r="I280" s="216"/>
    </row>
    <row r="281" ht="14.25" customHeight="1">
      <c r="H281" s="216"/>
      <c r="I281" s="216"/>
    </row>
    <row r="282" ht="14.25" customHeight="1">
      <c r="H282" s="216"/>
      <c r="I282" s="216"/>
    </row>
    <row r="283" ht="14.25" customHeight="1">
      <c r="H283" s="216"/>
      <c r="I283" s="216"/>
    </row>
    <row r="284" ht="14.25" customHeight="1">
      <c r="H284" s="216"/>
      <c r="I284" s="216"/>
    </row>
    <row r="285" ht="14.25" customHeight="1">
      <c r="H285" s="216"/>
      <c r="I285" s="216"/>
    </row>
    <row r="286" ht="14.25" customHeight="1">
      <c r="H286" s="216"/>
      <c r="I286" s="216"/>
    </row>
    <row r="287" ht="14.25" customHeight="1">
      <c r="H287" s="216"/>
      <c r="I287" s="216"/>
    </row>
    <row r="288" ht="14.25" customHeight="1">
      <c r="H288" s="216"/>
      <c r="I288" s="216"/>
    </row>
    <row r="289" ht="14.25" customHeight="1">
      <c r="H289" s="216"/>
      <c r="I289" s="216"/>
    </row>
    <row r="290" ht="14.25" customHeight="1">
      <c r="H290" s="216"/>
      <c r="I290" s="216"/>
    </row>
    <row r="291" ht="14.25" customHeight="1">
      <c r="H291" s="216"/>
      <c r="I291" s="216"/>
    </row>
    <row r="292" ht="14.25" customHeight="1">
      <c r="H292" s="216"/>
      <c r="I292" s="216"/>
    </row>
    <row r="293" ht="14.25" customHeight="1">
      <c r="H293" s="216"/>
      <c r="I293" s="216"/>
    </row>
    <row r="294" ht="14.25" customHeight="1">
      <c r="H294" s="216"/>
      <c r="I294" s="216"/>
    </row>
    <row r="295" ht="14.25" customHeight="1">
      <c r="H295" s="216"/>
      <c r="I295" s="216"/>
    </row>
    <row r="296" ht="14.25" customHeight="1">
      <c r="H296" s="216"/>
      <c r="I296" s="216"/>
    </row>
    <row r="297" ht="14.25" customHeight="1">
      <c r="H297" s="216"/>
      <c r="I297" s="216"/>
    </row>
    <row r="298" ht="14.25" customHeight="1">
      <c r="H298" s="216"/>
      <c r="I298" s="216"/>
    </row>
    <row r="299" ht="14.25" customHeight="1">
      <c r="H299" s="216"/>
      <c r="I299" s="216"/>
    </row>
    <row r="300" ht="14.25" customHeight="1">
      <c r="H300" s="216"/>
      <c r="I300" s="216"/>
    </row>
    <row r="301" ht="14.25" customHeight="1">
      <c r="H301" s="216"/>
      <c r="I301" s="216"/>
    </row>
    <row r="302" ht="14.25" customHeight="1">
      <c r="H302" s="216"/>
      <c r="I302" s="216"/>
    </row>
    <row r="303" ht="14.25" customHeight="1">
      <c r="H303" s="216"/>
      <c r="I303" s="216"/>
    </row>
    <row r="304" ht="14.25" customHeight="1">
      <c r="H304" s="216"/>
      <c r="I304" s="216"/>
    </row>
    <row r="305" ht="14.25" customHeight="1">
      <c r="H305" s="216"/>
      <c r="I305" s="216"/>
    </row>
    <row r="306" ht="14.25" customHeight="1">
      <c r="H306" s="216"/>
      <c r="I306" s="216"/>
    </row>
    <row r="307" ht="14.25" customHeight="1">
      <c r="H307" s="216"/>
      <c r="I307" s="216"/>
    </row>
    <row r="308" ht="14.25" customHeight="1">
      <c r="H308" s="216"/>
      <c r="I308" s="216"/>
    </row>
    <row r="309" ht="14.25" customHeight="1">
      <c r="H309" s="216"/>
      <c r="I309" s="216"/>
    </row>
    <row r="310" ht="14.25" customHeight="1">
      <c r="H310" s="216"/>
      <c r="I310" s="216"/>
    </row>
    <row r="311" ht="14.25" customHeight="1">
      <c r="H311" s="216"/>
      <c r="I311" s="216"/>
    </row>
    <row r="312" ht="14.25" customHeight="1">
      <c r="H312" s="216"/>
      <c r="I312" s="216"/>
    </row>
    <row r="313" ht="14.25" customHeight="1">
      <c r="H313" s="216"/>
      <c r="I313" s="216"/>
    </row>
    <row r="314" ht="14.25" customHeight="1">
      <c r="H314" s="216"/>
      <c r="I314" s="216"/>
    </row>
    <row r="315" ht="14.25" customHeight="1">
      <c r="H315" s="216"/>
      <c r="I315" s="216"/>
    </row>
    <row r="316" ht="14.25" customHeight="1">
      <c r="H316" s="216"/>
      <c r="I316" s="216"/>
    </row>
    <row r="317" ht="14.25" customHeight="1">
      <c r="H317" s="216"/>
      <c r="I317" s="216"/>
    </row>
    <row r="318" ht="14.25" customHeight="1">
      <c r="H318" s="216"/>
      <c r="I318" s="216"/>
    </row>
    <row r="319" ht="14.25" customHeight="1">
      <c r="H319" s="216"/>
      <c r="I319" s="216"/>
    </row>
    <row r="320" ht="14.25" customHeight="1">
      <c r="H320" s="216"/>
      <c r="I320" s="216"/>
    </row>
    <row r="321" ht="14.25" customHeight="1">
      <c r="H321" s="216"/>
      <c r="I321" s="216"/>
    </row>
    <row r="322" ht="14.25" customHeight="1">
      <c r="H322" s="216"/>
      <c r="I322" s="216"/>
    </row>
    <row r="323" ht="14.25" customHeight="1">
      <c r="H323" s="216"/>
      <c r="I323" s="216"/>
    </row>
    <row r="324" ht="14.25" customHeight="1">
      <c r="H324" s="216"/>
      <c r="I324" s="216"/>
    </row>
    <row r="325" ht="14.25" customHeight="1">
      <c r="H325" s="216"/>
      <c r="I325" s="216"/>
    </row>
    <row r="326" ht="14.25" customHeight="1">
      <c r="H326" s="216"/>
      <c r="I326" s="216"/>
    </row>
    <row r="327" ht="14.25" customHeight="1">
      <c r="H327" s="216"/>
      <c r="I327" s="216"/>
    </row>
    <row r="328" ht="14.25" customHeight="1">
      <c r="H328" s="216"/>
      <c r="I328" s="216"/>
    </row>
    <row r="329" ht="14.25" customHeight="1">
      <c r="H329" s="216"/>
      <c r="I329" s="216"/>
    </row>
    <row r="330" ht="14.25" customHeight="1">
      <c r="H330" s="216"/>
      <c r="I330" s="216"/>
    </row>
    <row r="331" ht="14.25" customHeight="1">
      <c r="H331" s="216"/>
      <c r="I331" s="216"/>
    </row>
    <row r="332" ht="14.25" customHeight="1">
      <c r="H332" s="216"/>
      <c r="I332" s="216"/>
    </row>
    <row r="333" ht="14.25" customHeight="1">
      <c r="H333" s="216"/>
      <c r="I333" s="216"/>
    </row>
    <row r="334" ht="14.25" customHeight="1">
      <c r="H334" s="216"/>
      <c r="I334" s="216"/>
    </row>
    <row r="335" ht="14.25" customHeight="1">
      <c r="H335" s="216"/>
      <c r="I335" s="216"/>
    </row>
    <row r="336" ht="14.25" customHeight="1">
      <c r="H336" s="216"/>
      <c r="I336" s="216"/>
    </row>
    <row r="337" ht="14.25" customHeight="1">
      <c r="H337" s="216"/>
      <c r="I337" s="216"/>
    </row>
    <row r="338" ht="14.25" customHeight="1">
      <c r="H338" s="216"/>
      <c r="I338" s="216"/>
    </row>
    <row r="339" ht="14.25" customHeight="1">
      <c r="H339" s="216"/>
      <c r="I339" s="216"/>
    </row>
    <row r="340" ht="14.25" customHeight="1">
      <c r="H340" s="216"/>
      <c r="I340" s="216"/>
    </row>
    <row r="341" ht="14.25" customHeight="1">
      <c r="H341" s="216"/>
      <c r="I341" s="216"/>
    </row>
    <row r="342" ht="14.25" customHeight="1">
      <c r="H342" s="216"/>
      <c r="I342" s="216"/>
    </row>
    <row r="343" ht="14.25" customHeight="1">
      <c r="H343" s="216"/>
      <c r="I343" s="216"/>
    </row>
    <row r="344" ht="14.25" customHeight="1">
      <c r="H344" s="216"/>
      <c r="I344" s="216"/>
    </row>
    <row r="345" ht="14.25" customHeight="1">
      <c r="H345" s="216"/>
      <c r="I345" s="216"/>
    </row>
    <row r="346" ht="14.25" customHeight="1">
      <c r="H346" s="216"/>
      <c r="I346" s="216"/>
    </row>
    <row r="347" ht="14.25" customHeight="1">
      <c r="H347" s="216"/>
      <c r="I347" s="216"/>
    </row>
    <row r="348" ht="14.25" customHeight="1">
      <c r="H348" s="216"/>
      <c r="I348" s="216"/>
    </row>
    <row r="349" ht="14.25" customHeight="1">
      <c r="H349" s="216"/>
      <c r="I349" s="216"/>
    </row>
    <row r="350" ht="14.25" customHeight="1">
      <c r="H350" s="216"/>
      <c r="I350" s="216"/>
    </row>
    <row r="351" ht="14.25" customHeight="1">
      <c r="H351" s="216"/>
      <c r="I351" s="216"/>
    </row>
    <row r="352" ht="14.25" customHeight="1">
      <c r="H352" s="216"/>
      <c r="I352" s="216"/>
    </row>
    <row r="353" ht="14.25" customHeight="1">
      <c r="H353" s="216"/>
      <c r="I353" s="216"/>
    </row>
    <row r="354" ht="14.25" customHeight="1">
      <c r="H354" s="216"/>
      <c r="I354" s="216"/>
    </row>
    <row r="355" ht="14.25" customHeight="1">
      <c r="H355" s="216"/>
      <c r="I355" s="216"/>
    </row>
    <row r="356" ht="14.25" customHeight="1">
      <c r="H356" s="216"/>
      <c r="I356" s="216"/>
    </row>
    <row r="357" ht="14.25" customHeight="1">
      <c r="H357" s="216"/>
      <c r="I357" s="216"/>
    </row>
    <row r="358" ht="14.25" customHeight="1">
      <c r="H358" s="216"/>
      <c r="I358" s="216"/>
    </row>
    <row r="359" ht="14.25" customHeight="1">
      <c r="H359" s="216"/>
      <c r="I359" s="216"/>
    </row>
    <row r="360" ht="14.25" customHeight="1">
      <c r="H360" s="216"/>
      <c r="I360" s="216"/>
    </row>
    <row r="361" ht="14.25" customHeight="1">
      <c r="H361" s="216"/>
      <c r="I361" s="216"/>
    </row>
    <row r="362" ht="14.25" customHeight="1">
      <c r="H362" s="216"/>
      <c r="I362" s="216"/>
    </row>
    <row r="363" ht="14.25" customHeight="1">
      <c r="H363" s="216"/>
      <c r="I363" s="216"/>
    </row>
    <row r="364" ht="14.25" customHeight="1">
      <c r="H364" s="216"/>
      <c r="I364" s="216"/>
    </row>
    <row r="365" ht="14.25" customHeight="1">
      <c r="H365" s="216"/>
      <c r="I365" s="216"/>
    </row>
    <row r="366" ht="14.25" customHeight="1">
      <c r="H366" s="216"/>
      <c r="I366" s="216"/>
    </row>
    <row r="367" ht="14.25" customHeight="1">
      <c r="H367" s="216"/>
      <c r="I367" s="216"/>
    </row>
    <row r="368" ht="14.25" customHeight="1">
      <c r="H368" s="216"/>
      <c r="I368" s="216"/>
    </row>
    <row r="369" ht="14.25" customHeight="1">
      <c r="H369" s="216"/>
      <c r="I369" s="216"/>
    </row>
    <row r="370" ht="14.25" customHeight="1">
      <c r="H370" s="216"/>
      <c r="I370" s="216"/>
    </row>
    <row r="371" ht="14.25" customHeight="1">
      <c r="H371" s="216"/>
      <c r="I371" s="216"/>
    </row>
    <row r="372" ht="14.25" customHeight="1">
      <c r="H372" s="216"/>
      <c r="I372" s="216"/>
    </row>
    <row r="373" ht="14.25" customHeight="1">
      <c r="H373" s="216"/>
      <c r="I373" s="216"/>
    </row>
    <row r="374" ht="14.25" customHeight="1">
      <c r="H374" s="216"/>
      <c r="I374" s="216"/>
    </row>
    <row r="375" ht="14.25" customHeight="1">
      <c r="H375" s="216"/>
      <c r="I375" s="216"/>
    </row>
    <row r="376" ht="14.25" customHeight="1">
      <c r="H376" s="216"/>
      <c r="I376" s="216"/>
    </row>
    <row r="377" ht="14.25" customHeight="1">
      <c r="H377" s="216"/>
      <c r="I377" s="216"/>
    </row>
    <row r="378" ht="14.25" customHeight="1">
      <c r="H378" s="216"/>
      <c r="I378" s="216"/>
    </row>
    <row r="379" ht="14.25" customHeight="1">
      <c r="H379" s="216"/>
      <c r="I379" s="216"/>
    </row>
    <row r="380" ht="14.25" customHeight="1">
      <c r="H380" s="216"/>
      <c r="I380" s="216"/>
    </row>
    <row r="381" ht="14.25" customHeight="1">
      <c r="H381" s="216"/>
      <c r="I381" s="216"/>
    </row>
    <row r="382" ht="14.25" customHeight="1">
      <c r="H382" s="216"/>
      <c r="I382" s="216"/>
    </row>
    <row r="383" ht="14.25" customHeight="1">
      <c r="H383" s="216"/>
      <c r="I383" s="216"/>
    </row>
    <row r="384" ht="14.25" customHeight="1">
      <c r="H384" s="216"/>
      <c r="I384" s="216"/>
    </row>
    <row r="385" ht="14.25" customHeight="1">
      <c r="H385" s="216"/>
      <c r="I385" s="216"/>
    </row>
    <row r="386" ht="14.25" customHeight="1">
      <c r="H386" s="216"/>
      <c r="I386" s="216"/>
    </row>
    <row r="387" ht="14.25" customHeight="1">
      <c r="H387" s="216"/>
      <c r="I387" s="216"/>
    </row>
    <row r="388" ht="14.25" customHeight="1">
      <c r="H388" s="216"/>
      <c r="I388" s="216"/>
    </row>
    <row r="389" ht="14.25" customHeight="1">
      <c r="H389" s="216"/>
      <c r="I389" s="216"/>
    </row>
    <row r="390" ht="14.25" customHeight="1">
      <c r="H390" s="216"/>
      <c r="I390" s="216"/>
    </row>
    <row r="391" ht="14.25" customHeight="1">
      <c r="H391" s="216"/>
      <c r="I391" s="216"/>
    </row>
    <row r="392" ht="14.25" customHeight="1">
      <c r="H392" s="216"/>
      <c r="I392" s="216"/>
    </row>
    <row r="393" ht="14.25" customHeight="1">
      <c r="H393" s="216"/>
      <c r="I393" s="216"/>
    </row>
    <row r="394" ht="14.25" customHeight="1">
      <c r="H394" s="216"/>
      <c r="I394" s="216"/>
    </row>
    <row r="395" ht="14.25" customHeight="1">
      <c r="H395" s="216"/>
      <c r="I395" s="216"/>
    </row>
    <row r="396" ht="14.25" customHeight="1">
      <c r="H396" s="216"/>
      <c r="I396" s="216"/>
    </row>
    <row r="397" ht="14.25" customHeight="1">
      <c r="H397" s="216"/>
      <c r="I397" s="216"/>
    </row>
    <row r="398" ht="14.25" customHeight="1">
      <c r="H398" s="216"/>
      <c r="I398" s="216"/>
    </row>
    <row r="399" ht="14.25" customHeight="1">
      <c r="H399" s="216"/>
      <c r="I399" s="216"/>
    </row>
    <row r="400" ht="14.25" customHeight="1">
      <c r="H400" s="216"/>
      <c r="I400" s="216"/>
    </row>
    <row r="401" ht="14.25" customHeight="1">
      <c r="H401" s="216"/>
      <c r="I401" s="216"/>
    </row>
    <row r="402" ht="14.25" customHeight="1">
      <c r="H402" s="216"/>
      <c r="I402" s="216"/>
    </row>
    <row r="403" ht="14.25" customHeight="1">
      <c r="H403" s="216"/>
      <c r="I403" s="216"/>
    </row>
    <row r="404" ht="14.25" customHeight="1">
      <c r="H404" s="216"/>
      <c r="I404" s="216"/>
    </row>
    <row r="405" ht="14.25" customHeight="1">
      <c r="H405" s="216"/>
      <c r="I405" s="216"/>
    </row>
    <row r="406" ht="14.25" customHeight="1">
      <c r="H406" s="216"/>
      <c r="I406" s="216"/>
    </row>
    <row r="407" ht="14.25" customHeight="1">
      <c r="H407" s="216"/>
      <c r="I407" s="216"/>
    </row>
    <row r="408" ht="14.25" customHeight="1">
      <c r="H408" s="216"/>
      <c r="I408" s="216"/>
    </row>
    <row r="409" ht="14.25" customHeight="1">
      <c r="H409" s="216"/>
      <c r="I409" s="216"/>
    </row>
    <row r="410" ht="14.25" customHeight="1">
      <c r="H410" s="216"/>
      <c r="I410" s="216"/>
    </row>
    <row r="411" ht="14.25" customHeight="1">
      <c r="H411" s="216"/>
      <c r="I411" s="216"/>
    </row>
    <row r="412" ht="14.25" customHeight="1">
      <c r="H412" s="216"/>
      <c r="I412" s="216"/>
    </row>
    <row r="413" ht="14.25" customHeight="1">
      <c r="H413" s="216"/>
      <c r="I413" s="216"/>
    </row>
    <row r="414" ht="14.25" customHeight="1">
      <c r="H414" s="216"/>
      <c r="I414" s="216"/>
    </row>
    <row r="415" ht="14.25" customHeight="1">
      <c r="H415" s="216"/>
      <c r="I415" s="216"/>
    </row>
    <row r="416" ht="14.25" customHeight="1">
      <c r="H416" s="216"/>
      <c r="I416" s="216"/>
    </row>
    <row r="417" ht="14.25" customHeight="1">
      <c r="H417" s="216"/>
      <c r="I417" s="216"/>
    </row>
    <row r="418" ht="14.25" customHeight="1">
      <c r="H418" s="216"/>
      <c r="I418" s="216"/>
    </row>
    <row r="419" ht="14.25" customHeight="1">
      <c r="H419" s="216"/>
      <c r="I419" s="216"/>
    </row>
    <row r="420" ht="14.25" customHeight="1">
      <c r="H420" s="216"/>
      <c r="I420" s="216"/>
    </row>
    <row r="421" ht="14.25" customHeight="1">
      <c r="H421" s="216"/>
      <c r="I421" s="216"/>
    </row>
    <row r="422" ht="14.25" customHeight="1">
      <c r="H422" s="216"/>
      <c r="I422" s="216"/>
    </row>
    <row r="423" ht="14.25" customHeight="1">
      <c r="H423" s="216"/>
      <c r="I423" s="216"/>
    </row>
    <row r="424" ht="14.25" customHeight="1">
      <c r="H424" s="216"/>
      <c r="I424" s="216"/>
    </row>
    <row r="425" ht="14.25" customHeight="1">
      <c r="H425" s="216"/>
      <c r="I425" s="216"/>
    </row>
    <row r="426" ht="14.25" customHeight="1">
      <c r="H426" s="216"/>
      <c r="I426" s="216"/>
    </row>
    <row r="427" ht="14.25" customHeight="1">
      <c r="H427" s="216"/>
      <c r="I427" s="216"/>
    </row>
    <row r="428" ht="14.25" customHeight="1">
      <c r="H428" s="216"/>
      <c r="I428" s="216"/>
    </row>
    <row r="429" ht="14.25" customHeight="1">
      <c r="H429" s="216"/>
      <c r="I429" s="216"/>
    </row>
    <row r="430" ht="14.25" customHeight="1">
      <c r="H430" s="216"/>
      <c r="I430" s="216"/>
    </row>
    <row r="431" ht="14.25" customHeight="1">
      <c r="H431" s="216"/>
      <c r="I431" s="216"/>
    </row>
    <row r="432" ht="14.25" customHeight="1">
      <c r="H432" s="216"/>
      <c r="I432" s="216"/>
    </row>
    <row r="433" ht="14.25" customHeight="1">
      <c r="H433" s="216"/>
      <c r="I433" s="216"/>
    </row>
    <row r="434" ht="14.25" customHeight="1">
      <c r="H434" s="216"/>
      <c r="I434" s="216"/>
    </row>
    <row r="435" ht="14.25" customHeight="1">
      <c r="H435" s="216"/>
      <c r="I435" s="216"/>
    </row>
    <row r="436" ht="14.25" customHeight="1">
      <c r="H436" s="216"/>
      <c r="I436" s="216"/>
    </row>
    <row r="437" ht="14.25" customHeight="1">
      <c r="H437" s="216"/>
      <c r="I437" s="216"/>
    </row>
    <row r="438" ht="14.25" customHeight="1">
      <c r="H438" s="216"/>
      <c r="I438" s="216"/>
    </row>
    <row r="439" ht="14.25" customHeight="1">
      <c r="H439" s="216"/>
      <c r="I439" s="216"/>
    </row>
    <row r="440" ht="14.25" customHeight="1">
      <c r="H440" s="216"/>
      <c r="I440" s="216"/>
    </row>
    <row r="441" ht="14.25" customHeight="1">
      <c r="H441" s="216"/>
      <c r="I441" s="216"/>
    </row>
    <row r="442" ht="14.25" customHeight="1">
      <c r="H442" s="216"/>
      <c r="I442" s="216"/>
    </row>
    <row r="443" ht="14.25" customHeight="1">
      <c r="H443" s="216"/>
      <c r="I443" s="216"/>
    </row>
    <row r="444" ht="14.25" customHeight="1">
      <c r="H444" s="216"/>
      <c r="I444" s="216"/>
    </row>
    <row r="445" ht="14.25" customHeight="1">
      <c r="H445" s="216"/>
      <c r="I445" s="216"/>
    </row>
    <row r="446" ht="14.25" customHeight="1">
      <c r="H446" s="216"/>
      <c r="I446" s="216"/>
    </row>
    <row r="447" ht="14.25" customHeight="1">
      <c r="H447" s="216"/>
      <c r="I447" s="216"/>
    </row>
    <row r="448" ht="14.25" customHeight="1">
      <c r="H448" s="216"/>
      <c r="I448" s="216"/>
    </row>
    <row r="449" ht="14.25" customHeight="1">
      <c r="H449" s="216"/>
      <c r="I449" s="216"/>
    </row>
    <row r="450" ht="14.25" customHeight="1">
      <c r="H450" s="216"/>
      <c r="I450" s="216"/>
    </row>
    <row r="451" ht="14.25" customHeight="1">
      <c r="H451" s="216"/>
      <c r="I451" s="216"/>
    </row>
    <row r="452" ht="14.25" customHeight="1">
      <c r="H452" s="216"/>
      <c r="I452" s="216"/>
    </row>
    <row r="453" ht="14.25" customHeight="1">
      <c r="H453" s="216"/>
      <c r="I453" s="216"/>
    </row>
    <row r="454" ht="14.25" customHeight="1">
      <c r="H454" s="216"/>
      <c r="I454" s="216"/>
    </row>
    <row r="455" ht="14.25" customHeight="1">
      <c r="H455" s="216"/>
      <c r="I455" s="216"/>
    </row>
    <row r="456" ht="14.25" customHeight="1">
      <c r="H456" s="216"/>
      <c r="I456" s="216"/>
    </row>
    <row r="457" ht="14.25" customHeight="1">
      <c r="H457" s="216"/>
      <c r="I457" s="216"/>
    </row>
    <row r="458" ht="14.25" customHeight="1">
      <c r="H458" s="216"/>
      <c r="I458" s="216"/>
    </row>
    <row r="459" ht="14.25" customHeight="1">
      <c r="H459" s="216"/>
      <c r="I459" s="216"/>
    </row>
    <row r="460" ht="14.25" customHeight="1">
      <c r="H460" s="216"/>
      <c r="I460" s="216"/>
    </row>
    <row r="461" ht="14.25" customHeight="1">
      <c r="H461" s="216"/>
      <c r="I461" s="216"/>
    </row>
    <row r="462" ht="14.25" customHeight="1">
      <c r="H462" s="216"/>
      <c r="I462" s="216"/>
    </row>
    <row r="463" ht="14.25" customHeight="1">
      <c r="H463" s="216"/>
      <c r="I463" s="216"/>
    </row>
    <row r="464" ht="14.25" customHeight="1">
      <c r="H464" s="216"/>
      <c r="I464" s="216"/>
    </row>
    <row r="465" ht="14.25" customHeight="1">
      <c r="H465" s="216"/>
      <c r="I465" s="216"/>
    </row>
    <row r="466" ht="14.25" customHeight="1">
      <c r="H466" s="216"/>
      <c r="I466" s="216"/>
    </row>
    <row r="467" ht="14.25" customHeight="1">
      <c r="H467" s="216"/>
      <c r="I467" s="216"/>
    </row>
    <row r="468" ht="14.25" customHeight="1">
      <c r="H468" s="216"/>
      <c r="I468" s="216"/>
    </row>
    <row r="469" ht="14.25" customHeight="1">
      <c r="H469" s="216"/>
      <c r="I469" s="216"/>
    </row>
    <row r="470" ht="14.25" customHeight="1">
      <c r="H470" s="216"/>
      <c r="I470" s="216"/>
    </row>
    <row r="471" ht="14.25" customHeight="1">
      <c r="H471" s="216"/>
      <c r="I471" s="216"/>
    </row>
    <row r="472" ht="14.25" customHeight="1">
      <c r="H472" s="216"/>
      <c r="I472" s="216"/>
    </row>
    <row r="473" ht="14.25" customHeight="1">
      <c r="H473" s="216"/>
      <c r="I473" s="216"/>
    </row>
    <row r="474" ht="14.25" customHeight="1">
      <c r="H474" s="216"/>
      <c r="I474" s="216"/>
    </row>
    <row r="475" ht="14.25" customHeight="1">
      <c r="H475" s="216"/>
      <c r="I475" s="216"/>
    </row>
    <row r="476" ht="14.25" customHeight="1">
      <c r="H476" s="216"/>
      <c r="I476" s="216"/>
    </row>
    <row r="477" ht="14.25" customHeight="1">
      <c r="H477" s="216"/>
      <c r="I477" s="216"/>
    </row>
    <row r="478" ht="14.25" customHeight="1">
      <c r="H478" s="216"/>
      <c r="I478" s="216"/>
    </row>
    <row r="479" ht="14.25" customHeight="1">
      <c r="H479" s="216"/>
      <c r="I479" s="216"/>
    </row>
    <row r="480" ht="14.25" customHeight="1">
      <c r="H480" s="216"/>
      <c r="I480" s="216"/>
    </row>
    <row r="481" ht="14.25" customHeight="1">
      <c r="H481" s="216"/>
      <c r="I481" s="216"/>
    </row>
    <row r="482" ht="14.25" customHeight="1">
      <c r="H482" s="216"/>
      <c r="I482" s="216"/>
    </row>
    <row r="483" ht="14.25" customHeight="1">
      <c r="H483" s="216"/>
      <c r="I483" s="216"/>
    </row>
    <row r="484" ht="14.25" customHeight="1">
      <c r="H484" s="216"/>
      <c r="I484" s="216"/>
    </row>
    <row r="485" ht="14.25" customHeight="1">
      <c r="H485" s="216"/>
      <c r="I485" s="216"/>
    </row>
    <row r="486" ht="14.25" customHeight="1">
      <c r="H486" s="216"/>
      <c r="I486" s="216"/>
    </row>
    <row r="487" ht="14.25" customHeight="1">
      <c r="H487" s="216"/>
      <c r="I487" s="216"/>
    </row>
    <row r="488" ht="14.25" customHeight="1">
      <c r="H488" s="216"/>
      <c r="I488" s="216"/>
    </row>
    <row r="489" ht="14.25" customHeight="1">
      <c r="H489" s="216"/>
      <c r="I489" s="216"/>
    </row>
    <row r="490" ht="14.25" customHeight="1">
      <c r="H490" s="216"/>
      <c r="I490" s="216"/>
    </row>
    <row r="491" ht="14.25" customHeight="1">
      <c r="H491" s="216"/>
      <c r="I491" s="216"/>
    </row>
    <row r="492" ht="14.25" customHeight="1">
      <c r="H492" s="216"/>
      <c r="I492" s="216"/>
    </row>
    <row r="493" ht="14.25" customHeight="1">
      <c r="H493" s="216"/>
      <c r="I493" s="216"/>
    </row>
    <row r="494" ht="14.25" customHeight="1">
      <c r="H494" s="216"/>
      <c r="I494" s="216"/>
    </row>
    <row r="495" ht="14.25" customHeight="1">
      <c r="H495" s="216"/>
      <c r="I495" s="216"/>
    </row>
    <row r="496" ht="14.25" customHeight="1">
      <c r="H496" s="216"/>
      <c r="I496" s="216"/>
    </row>
    <row r="497" ht="14.25" customHeight="1">
      <c r="H497" s="216"/>
      <c r="I497" s="216"/>
    </row>
    <row r="498" ht="14.25" customHeight="1">
      <c r="H498" s="216"/>
      <c r="I498" s="216"/>
    </row>
    <row r="499" ht="14.25" customHeight="1">
      <c r="H499" s="216"/>
      <c r="I499" s="216"/>
    </row>
    <row r="500" ht="14.25" customHeight="1">
      <c r="H500" s="216"/>
      <c r="I500" s="216"/>
    </row>
    <row r="501" ht="14.25" customHeight="1">
      <c r="H501" s="216"/>
      <c r="I501" s="216"/>
    </row>
    <row r="502" ht="14.25" customHeight="1">
      <c r="H502" s="216"/>
      <c r="I502" s="216"/>
    </row>
    <row r="503" ht="14.25" customHeight="1">
      <c r="H503" s="216"/>
      <c r="I503" s="216"/>
    </row>
    <row r="504" ht="14.25" customHeight="1">
      <c r="H504" s="216"/>
      <c r="I504" s="216"/>
    </row>
    <row r="505" ht="14.25" customHeight="1">
      <c r="H505" s="216"/>
      <c r="I505" s="216"/>
    </row>
    <row r="506" ht="14.25" customHeight="1">
      <c r="H506" s="216"/>
      <c r="I506" s="216"/>
    </row>
    <row r="507" ht="14.25" customHeight="1">
      <c r="H507" s="216"/>
      <c r="I507" s="216"/>
    </row>
    <row r="508" ht="14.25" customHeight="1">
      <c r="H508" s="216"/>
      <c r="I508" s="216"/>
    </row>
    <row r="509" ht="14.25" customHeight="1">
      <c r="H509" s="216"/>
      <c r="I509" s="216"/>
    </row>
    <row r="510" ht="14.25" customHeight="1">
      <c r="H510" s="216"/>
      <c r="I510" s="216"/>
    </row>
    <row r="511" ht="14.25" customHeight="1">
      <c r="H511" s="216"/>
      <c r="I511" s="216"/>
    </row>
    <row r="512" ht="14.25" customHeight="1">
      <c r="H512" s="216"/>
      <c r="I512" s="216"/>
    </row>
    <row r="513" ht="14.25" customHeight="1">
      <c r="H513" s="216"/>
      <c r="I513" s="216"/>
    </row>
    <row r="514" ht="14.25" customHeight="1">
      <c r="H514" s="216"/>
      <c r="I514" s="216"/>
    </row>
    <row r="515" ht="14.25" customHeight="1">
      <c r="H515" s="216"/>
      <c r="I515" s="216"/>
    </row>
    <row r="516" ht="14.25" customHeight="1">
      <c r="H516" s="216"/>
      <c r="I516" s="216"/>
    </row>
    <row r="517" ht="14.25" customHeight="1">
      <c r="H517" s="216"/>
      <c r="I517" s="216"/>
    </row>
    <row r="518" ht="14.25" customHeight="1">
      <c r="H518" s="216"/>
      <c r="I518" s="216"/>
    </row>
    <row r="519" ht="14.25" customHeight="1">
      <c r="H519" s="216"/>
      <c r="I519" s="216"/>
    </row>
    <row r="520" ht="14.25" customHeight="1">
      <c r="H520" s="216"/>
      <c r="I520" s="216"/>
    </row>
    <row r="521" ht="14.25" customHeight="1">
      <c r="H521" s="216"/>
      <c r="I521" s="216"/>
    </row>
    <row r="522" ht="14.25" customHeight="1">
      <c r="H522" s="216"/>
      <c r="I522" s="216"/>
    </row>
    <row r="523" ht="14.25" customHeight="1">
      <c r="H523" s="216"/>
      <c r="I523" s="216"/>
    </row>
    <row r="524" ht="14.25" customHeight="1">
      <c r="H524" s="216"/>
      <c r="I524" s="216"/>
    </row>
    <row r="525" ht="14.25" customHeight="1">
      <c r="H525" s="216"/>
      <c r="I525" s="216"/>
    </row>
    <row r="526" ht="14.25" customHeight="1">
      <c r="H526" s="216"/>
      <c r="I526" s="216"/>
    </row>
    <row r="527" ht="14.25" customHeight="1">
      <c r="H527" s="216"/>
      <c r="I527" s="216"/>
    </row>
    <row r="528" ht="14.25" customHeight="1">
      <c r="H528" s="216"/>
      <c r="I528" s="216"/>
    </row>
    <row r="529" ht="14.25" customHeight="1">
      <c r="H529" s="216"/>
      <c r="I529" s="216"/>
    </row>
    <row r="530" ht="14.25" customHeight="1">
      <c r="H530" s="216"/>
      <c r="I530" s="216"/>
    </row>
    <row r="531" ht="14.25" customHeight="1">
      <c r="H531" s="216"/>
      <c r="I531" s="216"/>
    </row>
    <row r="532" ht="14.25" customHeight="1">
      <c r="H532" s="216"/>
      <c r="I532" s="216"/>
    </row>
    <row r="533" ht="14.25" customHeight="1">
      <c r="H533" s="216"/>
      <c r="I533" s="216"/>
    </row>
    <row r="534" ht="14.25" customHeight="1">
      <c r="H534" s="216"/>
      <c r="I534" s="216"/>
    </row>
    <row r="535" ht="14.25" customHeight="1">
      <c r="H535" s="216"/>
      <c r="I535" s="216"/>
    </row>
    <row r="536" ht="14.25" customHeight="1">
      <c r="H536" s="216"/>
      <c r="I536" s="216"/>
    </row>
    <row r="537" ht="14.25" customHeight="1">
      <c r="H537" s="216"/>
      <c r="I537" s="216"/>
    </row>
    <row r="538" ht="14.25" customHeight="1">
      <c r="H538" s="216"/>
      <c r="I538" s="216"/>
    </row>
    <row r="539" ht="14.25" customHeight="1">
      <c r="H539" s="216"/>
      <c r="I539" s="216"/>
    </row>
    <row r="540" ht="14.25" customHeight="1">
      <c r="H540" s="216"/>
      <c r="I540" s="216"/>
    </row>
    <row r="541" ht="14.25" customHeight="1">
      <c r="H541" s="216"/>
      <c r="I541" s="216"/>
    </row>
    <row r="542" ht="14.25" customHeight="1">
      <c r="H542" s="216"/>
      <c r="I542" s="216"/>
    </row>
    <row r="543" ht="14.25" customHeight="1">
      <c r="H543" s="216"/>
      <c r="I543" s="216"/>
    </row>
    <row r="544" ht="14.25" customHeight="1">
      <c r="H544" s="216"/>
      <c r="I544" s="216"/>
    </row>
    <row r="545" ht="14.25" customHeight="1">
      <c r="H545" s="216"/>
      <c r="I545" s="216"/>
    </row>
    <row r="546" ht="14.25" customHeight="1">
      <c r="H546" s="216"/>
      <c r="I546" s="216"/>
    </row>
    <row r="547" ht="14.25" customHeight="1">
      <c r="H547" s="216"/>
      <c r="I547" s="216"/>
    </row>
    <row r="548" ht="14.25" customHeight="1">
      <c r="H548" s="216"/>
      <c r="I548" s="216"/>
    </row>
    <row r="549" ht="14.25" customHeight="1">
      <c r="H549" s="216"/>
      <c r="I549" s="216"/>
    </row>
    <row r="550" ht="14.25" customHeight="1">
      <c r="H550" s="216"/>
      <c r="I550" s="216"/>
    </row>
    <row r="551" ht="14.25" customHeight="1">
      <c r="H551" s="216"/>
      <c r="I551" s="216"/>
    </row>
    <row r="552" ht="14.25" customHeight="1">
      <c r="H552" s="216"/>
      <c r="I552" s="216"/>
    </row>
    <row r="553" ht="14.25" customHeight="1">
      <c r="H553" s="216"/>
      <c r="I553" s="216"/>
    </row>
    <row r="554" ht="14.25" customHeight="1">
      <c r="H554" s="216"/>
      <c r="I554" s="216"/>
    </row>
    <row r="555" ht="14.25" customHeight="1">
      <c r="H555" s="216"/>
      <c r="I555" s="216"/>
    </row>
    <row r="556" ht="14.25" customHeight="1">
      <c r="H556" s="216"/>
      <c r="I556" s="216"/>
    </row>
    <row r="557" ht="14.25" customHeight="1">
      <c r="H557" s="216"/>
      <c r="I557" s="216"/>
    </row>
    <row r="558" ht="14.25" customHeight="1">
      <c r="H558" s="216"/>
      <c r="I558" s="216"/>
    </row>
    <row r="559" ht="14.25" customHeight="1">
      <c r="H559" s="216"/>
      <c r="I559" s="216"/>
    </row>
    <row r="560" ht="14.25" customHeight="1">
      <c r="H560" s="216"/>
      <c r="I560" s="216"/>
    </row>
    <row r="561" ht="14.25" customHeight="1">
      <c r="H561" s="216"/>
      <c r="I561" s="216"/>
    </row>
    <row r="562" ht="14.25" customHeight="1">
      <c r="H562" s="216"/>
      <c r="I562" s="216"/>
    </row>
    <row r="563" ht="14.25" customHeight="1">
      <c r="H563" s="216"/>
      <c r="I563" s="216"/>
    </row>
    <row r="564" ht="14.25" customHeight="1">
      <c r="H564" s="216"/>
      <c r="I564" s="216"/>
    </row>
    <row r="565" ht="14.25" customHeight="1">
      <c r="H565" s="216"/>
      <c r="I565" s="216"/>
    </row>
    <row r="566" ht="14.25" customHeight="1">
      <c r="H566" s="216"/>
      <c r="I566" s="216"/>
    </row>
    <row r="567" ht="14.25" customHeight="1">
      <c r="H567" s="216"/>
      <c r="I567" s="216"/>
    </row>
    <row r="568" ht="14.25" customHeight="1">
      <c r="H568" s="216"/>
      <c r="I568" s="216"/>
    </row>
    <row r="569" ht="14.25" customHeight="1">
      <c r="H569" s="216"/>
      <c r="I569" s="216"/>
    </row>
    <row r="570" ht="14.25" customHeight="1">
      <c r="H570" s="216"/>
      <c r="I570" s="216"/>
    </row>
    <row r="571" ht="14.25" customHeight="1">
      <c r="H571" s="216"/>
      <c r="I571" s="216"/>
    </row>
    <row r="572" ht="14.25" customHeight="1">
      <c r="H572" s="216"/>
      <c r="I572" s="216"/>
    </row>
    <row r="573" ht="14.25" customHeight="1">
      <c r="H573" s="216"/>
      <c r="I573" s="216"/>
    </row>
    <row r="574" ht="14.25" customHeight="1">
      <c r="H574" s="216"/>
      <c r="I574" s="216"/>
    </row>
    <row r="575" ht="14.25" customHeight="1">
      <c r="H575" s="216"/>
      <c r="I575" s="216"/>
    </row>
    <row r="576" ht="14.25" customHeight="1">
      <c r="H576" s="216"/>
      <c r="I576" s="216"/>
    </row>
    <row r="577" ht="14.25" customHeight="1">
      <c r="H577" s="216"/>
      <c r="I577" s="216"/>
    </row>
    <row r="578" ht="14.25" customHeight="1">
      <c r="H578" s="216"/>
      <c r="I578" s="216"/>
    </row>
    <row r="579" ht="14.25" customHeight="1">
      <c r="H579" s="216"/>
      <c r="I579" s="216"/>
    </row>
    <row r="580" ht="14.25" customHeight="1">
      <c r="H580" s="216"/>
      <c r="I580" s="216"/>
    </row>
    <row r="581" ht="14.25" customHeight="1">
      <c r="H581" s="216"/>
      <c r="I581" s="216"/>
    </row>
    <row r="582" ht="14.25" customHeight="1">
      <c r="H582" s="216"/>
      <c r="I582" s="216"/>
    </row>
    <row r="583" ht="14.25" customHeight="1">
      <c r="H583" s="216"/>
      <c r="I583" s="216"/>
    </row>
    <row r="584" ht="14.25" customHeight="1">
      <c r="H584" s="216"/>
      <c r="I584" s="216"/>
    </row>
    <row r="585" ht="14.25" customHeight="1">
      <c r="H585" s="216"/>
      <c r="I585" s="216"/>
    </row>
    <row r="586" ht="14.25" customHeight="1">
      <c r="H586" s="216"/>
      <c r="I586" s="216"/>
    </row>
    <row r="587" ht="14.25" customHeight="1">
      <c r="H587" s="216"/>
      <c r="I587" s="216"/>
    </row>
    <row r="588" ht="14.25" customHeight="1">
      <c r="H588" s="216"/>
      <c r="I588" s="216"/>
    </row>
    <row r="589" ht="14.25" customHeight="1">
      <c r="H589" s="216"/>
      <c r="I589" s="216"/>
    </row>
    <row r="590" ht="14.25" customHeight="1">
      <c r="H590" s="216"/>
      <c r="I590" s="216"/>
    </row>
    <row r="591" ht="14.25" customHeight="1">
      <c r="H591" s="216"/>
      <c r="I591" s="216"/>
    </row>
    <row r="592" ht="14.25" customHeight="1">
      <c r="H592" s="216"/>
      <c r="I592" s="216"/>
    </row>
    <row r="593" ht="14.25" customHeight="1">
      <c r="H593" s="216"/>
      <c r="I593" s="216"/>
    </row>
    <row r="594" ht="14.25" customHeight="1">
      <c r="H594" s="216"/>
      <c r="I594" s="216"/>
    </row>
    <row r="595" ht="14.25" customHeight="1">
      <c r="H595" s="216"/>
      <c r="I595" s="216"/>
    </row>
    <row r="596" ht="14.25" customHeight="1">
      <c r="H596" s="216"/>
      <c r="I596" s="216"/>
    </row>
    <row r="597" ht="14.25" customHeight="1">
      <c r="H597" s="216"/>
      <c r="I597" s="216"/>
    </row>
    <row r="598" ht="14.25" customHeight="1">
      <c r="H598" s="216"/>
      <c r="I598" s="216"/>
    </row>
    <row r="599" ht="14.25" customHeight="1">
      <c r="H599" s="216"/>
      <c r="I599" s="216"/>
    </row>
    <row r="600" ht="14.25" customHeight="1">
      <c r="H600" s="216"/>
      <c r="I600" s="216"/>
    </row>
    <row r="601" ht="14.25" customHeight="1">
      <c r="H601" s="216"/>
      <c r="I601" s="216"/>
    </row>
    <row r="602" ht="14.25" customHeight="1">
      <c r="H602" s="216"/>
      <c r="I602" s="216"/>
    </row>
    <row r="603" ht="14.25" customHeight="1">
      <c r="H603" s="216"/>
      <c r="I603" s="216"/>
    </row>
    <row r="604" ht="14.25" customHeight="1">
      <c r="H604" s="216"/>
      <c r="I604" s="216"/>
    </row>
    <row r="605" ht="14.25" customHeight="1">
      <c r="H605" s="216"/>
      <c r="I605" s="216"/>
    </row>
    <row r="606" ht="14.25" customHeight="1">
      <c r="H606" s="216"/>
      <c r="I606" s="216"/>
    </row>
    <row r="607" ht="14.25" customHeight="1">
      <c r="H607" s="216"/>
      <c r="I607" s="216"/>
    </row>
    <row r="608" ht="14.25" customHeight="1">
      <c r="H608" s="216"/>
      <c r="I608" s="216"/>
    </row>
    <row r="609" ht="14.25" customHeight="1">
      <c r="H609" s="216"/>
      <c r="I609" s="216"/>
    </row>
    <row r="610" ht="14.25" customHeight="1">
      <c r="H610" s="216"/>
      <c r="I610" s="216"/>
    </row>
    <row r="611" ht="14.25" customHeight="1">
      <c r="H611" s="216"/>
      <c r="I611" s="216"/>
    </row>
    <row r="612" ht="14.25" customHeight="1">
      <c r="H612" s="216"/>
      <c r="I612" s="216"/>
    </row>
    <row r="613" ht="14.25" customHeight="1">
      <c r="H613" s="216"/>
      <c r="I613" s="216"/>
    </row>
    <row r="614" ht="14.25" customHeight="1">
      <c r="H614" s="216"/>
      <c r="I614" s="216"/>
    </row>
    <row r="615" ht="14.25" customHeight="1">
      <c r="H615" s="216"/>
      <c r="I615" s="216"/>
    </row>
    <row r="616" ht="14.25" customHeight="1">
      <c r="H616" s="216"/>
      <c r="I616" s="216"/>
    </row>
    <row r="617" ht="14.25" customHeight="1">
      <c r="H617" s="216"/>
      <c r="I617" s="216"/>
    </row>
    <row r="618" ht="14.25" customHeight="1">
      <c r="H618" s="216"/>
      <c r="I618" s="216"/>
    </row>
    <row r="619" ht="14.25" customHeight="1">
      <c r="H619" s="216"/>
      <c r="I619" s="216"/>
    </row>
    <row r="620" ht="14.25" customHeight="1">
      <c r="H620" s="216"/>
      <c r="I620" s="216"/>
    </row>
    <row r="621" ht="14.25" customHeight="1">
      <c r="H621" s="216"/>
      <c r="I621" s="216"/>
    </row>
    <row r="622" ht="14.25" customHeight="1">
      <c r="H622" s="216"/>
      <c r="I622" s="216"/>
    </row>
    <row r="623" ht="14.25" customHeight="1">
      <c r="H623" s="216"/>
      <c r="I623" s="216"/>
    </row>
    <row r="624" ht="14.25" customHeight="1">
      <c r="H624" s="216"/>
      <c r="I624" s="216"/>
    </row>
    <row r="625" ht="14.25" customHeight="1">
      <c r="H625" s="216"/>
      <c r="I625" s="216"/>
    </row>
    <row r="626" ht="14.25" customHeight="1">
      <c r="H626" s="216"/>
      <c r="I626" s="216"/>
    </row>
    <row r="627" ht="14.25" customHeight="1">
      <c r="H627" s="216"/>
      <c r="I627" s="216"/>
    </row>
    <row r="628" ht="14.25" customHeight="1">
      <c r="H628" s="216"/>
      <c r="I628" s="216"/>
    </row>
    <row r="629" ht="14.25" customHeight="1">
      <c r="H629" s="216"/>
      <c r="I629" s="216"/>
    </row>
    <row r="630" ht="14.25" customHeight="1">
      <c r="H630" s="216"/>
      <c r="I630" s="216"/>
    </row>
    <row r="631" ht="14.25" customHeight="1">
      <c r="H631" s="216"/>
      <c r="I631" s="216"/>
    </row>
    <row r="632" ht="14.25" customHeight="1">
      <c r="H632" s="216"/>
      <c r="I632" s="216"/>
    </row>
    <row r="633" ht="14.25" customHeight="1">
      <c r="H633" s="216"/>
      <c r="I633" s="216"/>
    </row>
    <row r="634" ht="14.25" customHeight="1">
      <c r="H634" s="216"/>
      <c r="I634" s="216"/>
    </row>
    <row r="635" ht="14.25" customHeight="1">
      <c r="H635" s="216"/>
      <c r="I635" s="216"/>
    </row>
    <row r="636" ht="14.25" customHeight="1">
      <c r="H636" s="216"/>
      <c r="I636" s="216"/>
    </row>
    <row r="637" ht="14.25" customHeight="1">
      <c r="H637" s="216"/>
      <c r="I637" s="216"/>
    </row>
    <row r="638" ht="14.25" customHeight="1">
      <c r="H638" s="216"/>
      <c r="I638" s="216"/>
    </row>
    <row r="639" ht="14.25" customHeight="1">
      <c r="H639" s="216"/>
      <c r="I639" s="216"/>
    </row>
    <row r="640" ht="14.25" customHeight="1">
      <c r="H640" s="216"/>
      <c r="I640" s="216"/>
    </row>
    <row r="641" ht="14.25" customHeight="1">
      <c r="H641" s="216"/>
      <c r="I641" s="216"/>
    </row>
    <row r="642" ht="14.25" customHeight="1">
      <c r="H642" s="216"/>
      <c r="I642" s="216"/>
    </row>
    <row r="643" ht="14.25" customHeight="1">
      <c r="H643" s="216"/>
      <c r="I643" s="216"/>
    </row>
    <row r="644" ht="14.25" customHeight="1">
      <c r="H644" s="216"/>
      <c r="I644" s="216"/>
    </row>
    <row r="645" ht="14.25" customHeight="1">
      <c r="H645" s="216"/>
      <c r="I645" s="216"/>
    </row>
    <row r="646" ht="14.25" customHeight="1">
      <c r="H646" s="216"/>
      <c r="I646" s="216"/>
    </row>
    <row r="647" ht="14.25" customHeight="1">
      <c r="H647" s="216"/>
      <c r="I647" s="216"/>
    </row>
    <row r="648" ht="14.25" customHeight="1">
      <c r="H648" s="216"/>
      <c r="I648" s="216"/>
    </row>
    <row r="649" ht="14.25" customHeight="1">
      <c r="H649" s="216"/>
      <c r="I649" s="216"/>
    </row>
    <row r="650" ht="14.25" customHeight="1">
      <c r="H650" s="216"/>
      <c r="I650" s="216"/>
    </row>
    <row r="651" ht="14.25" customHeight="1">
      <c r="H651" s="216"/>
      <c r="I651" s="216"/>
    </row>
    <row r="652" ht="14.25" customHeight="1">
      <c r="H652" s="216"/>
      <c r="I652" s="216"/>
    </row>
    <row r="653" ht="14.25" customHeight="1">
      <c r="H653" s="216"/>
      <c r="I653" s="216"/>
    </row>
    <row r="654" ht="14.25" customHeight="1">
      <c r="H654" s="216"/>
      <c r="I654" s="216"/>
    </row>
    <row r="655" ht="14.25" customHeight="1">
      <c r="H655" s="216"/>
      <c r="I655" s="216"/>
    </row>
    <row r="656" ht="14.25" customHeight="1">
      <c r="H656" s="216"/>
      <c r="I656" s="216"/>
    </row>
    <row r="657" ht="14.25" customHeight="1">
      <c r="H657" s="216"/>
      <c r="I657" s="216"/>
    </row>
    <row r="658" ht="14.25" customHeight="1">
      <c r="H658" s="216"/>
      <c r="I658" s="216"/>
    </row>
    <row r="659" ht="14.25" customHeight="1">
      <c r="H659" s="216"/>
      <c r="I659" s="216"/>
    </row>
    <row r="660" ht="14.25" customHeight="1">
      <c r="H660" s="216"/>
      <c r="I660" s="216"/>
    </row>
    <row r="661" ht="14.25" customHeight="1">
      <c r="H661" s="216"/>
      <c r="I661" s="216"/>
    </row>
    <row r="662" ht="14.25" customHeight="1">
      <c r="H662" s="216"/>
      <c r="I662" s="216"/>
    </row>
    <row r="663" ht="14.25" customHeight="1">
      <c r="H663" s="216"/>
      <c r="I663" s="216"/>
    </row>
    <row r="664" ht="14.25" customHeight="1">
      <c r="H664" s="216"/>
      <c r="I664" s="216"/>
    </row>
    <row r="665" ht="14.25" customHeight="1">
      <c r="H665" s="216"/>
      <c r="I665" s="216"/>
    </row>
    <row r="666" ht="14.25" customHeight="1">
      <c r="H666" s="216"/>
      <c r="I666" s="216"/>
    </row>
    <row r="667" ht="14.25" customHeight="1">
      <c r="H667" s="216"/>
      <c r="I667" s="216"/>
    </row>
    <row r="668" ht="14.25" customHeight="1">
      <c r="H668" s="216"/>
      <c r="I668" s="216"/>
    </row>
    <row r="669" ht="14.25" customHeight="1">
      <c r="H669" s="216"/>
      <c r="I669" s="216"/>
    </row>
    <row r="670" ht="14.25" customHeight="1">
      <c r="H670" s="216"/>
      <c r="I670" s="216"/>
    </row>
    <row r="671" ht="14.25" customHeight="1">
      <c r="H671" s="216"/>
      <c r="I671" s="216"/>
    </row>
    <row r="672" ht="14.25" customHeight="1">
      <c r="H672" s="216"/>
      <c r="I672" s="216"/>
    </row>
    <row r="673" ht="14.25" customHeight="1">
      <c r="H673" s="216"/>
      <c r="I673" s="216"/>
    </row>
    <row r="674" ht="14.25" customHeight="1">
      <c r="H674" s="216"/>
      <c r="I674" s="216"/>
    </row>
    <row r="675" ht="14.25" customHeight="1">
      <c r="H675" s="216"/>
      <c r="I675" s="216"/>
    </row>
    <row r="676" ht="14.25" customHeight="1">
      <c r="H676" s="216"/>
      <c r="I676" s="216"/>
    </row>
    <row r="677" ht="14.25" customHeight="1">
      <c r="H677" s="216"/>
      <c r="I677" s="216"/>
    </row>
    <row r="678" ht="14.25" customHeight="1">
      <c r="H678" s="216"/>
      <c r="I678" s="216"/>
    </row>
    <row r="679" ht="14.25" customHeight="1">
      <c r="H679" s="216"/>
      <c r="I679" s="216"/>
    </row>
    <row r="680" ht="14.25" customHeight="1">
      <c r="H680" s="216"/>
      <c r="I680" s="216"/>
    </row>
    <row r="681" ht="14.25" customHeight="1">
      <c r="H681" s="216"/>
      <c r="I681" s="216"/>
    </row>
    <row r="682" ht="14.25" customHeight="1">
      <c r="H682" s="216"/>
      <c r="I682" s="216"/>
    </row>
    <row r="683" ht="14.25" customHeight="1">
      <c r="H683" s="216"/>
      <c r="I683" s="216"/>
    </row>
    <row r="684" ht="14.25" customHeight="1">
      <c r="H684" s="216"/>
      <c r="I684" s="216"/>
    </row>
    <row r="685" ht="14.25" customHeight="1">
      <c r="H685" s="216"/>
      <c r="I685" s="216"/>
    </row>
    <row r="686" ht="14.25" customHeight="1">
      <c r="H686" s="216"/>
      <c r="I686" s="216"/>
    </row>
    <row r="687" ht="14.25" customHeight="1">
      <c r="H687" s="216"/>
      <c r="I687" s="216"/>
    </row>
    <row r="688" ht="14.25" customHeight="1">
      <c r="H688" s="216"/>
      <c r="I688" s="216"/>
    </row>
    <row r="689" ht="14.25" customHeight="1">
      <c r="H689" s="216"/>
      <c r="I689" s="216"/>
    </row>
    <row r="690" ht="14.25" customHeight="1">
      <c r="H690" s="216"/>
      <c r="I690" s="216"/>
    </row>
    <row r="691" ht="14.25" customHeight="1">
      <c r="H691" s="216"/>
      <c r="I691" s="216"/>
    </row>
    <row r="692" ht="14.25" customHeight="1">
      <c r="H692" s="216"/>
      <c r="I692" s="216"/>
    </row>
    <row r="693" ht="14.25" customHeight="1">
      <c r="H693" s="216"/>
      <c r="I693" s="216"/>
    </row>
    <row r="694" ht="14.25" customHeight="1">
      <c r="H694" s="216"/>
      <c r="I694" s="216"/>
    </row>
    <row r="695" ht="14.25" customHeight="1">
      <c r="H695" s="216"/>
      <c r="I695" s="216"/>
    </row>
    <row r="696" ht="14.25" customHeight="1">
      <c r="H696" s="216"/>
      <c r="I696" s="216"/>
    </row>
    <row r="697" ht="14.25" customHeight="1">
      <c r="H697" s="216"/>
      <c r="I697" s="216"/>
    </row>
    <row r="698" ht="14.25" customHeight="1">
      <c r="H698" s="216"/>
      <c r="I698" s="216"/>
    </row>
    <row r="699" ht="14.25" customHeight="1">
      <c r="H699" s="216"/>
      <c r="I699" s="216"/>
    </row>
    <row r="700" ht="14.25" customHeight="1">
      <c r="H700" s="216"/>
      <c r="I700" s="216"/>
    </row>
    <row r="701" ht="14.25" customHeight="1">
      <c r="H701" s="216"/>
      <c r="I701" s="216"/>
    </row>
    <row r="702" ht="14.25" customHeight="1">
      <c r="H702" s="216"/>
      <c r="I702" s="216"/>
    </row>
    <row r="703" ht="14.25" customHeight="1">
      <c r="H703" s="216"/>
      <c r="I703" s="216"/>
    </row>
    <row r="704" ht="14.25" customHeight="1">
      <c r="H704" s="216"/>
      <c r="I704" s="216"/>
    </row>
    <row r="705" ht="14.25" customHeight="1">
      <c r="H705" s="216"/>
      <c r="I705" s="216"/>
    </row>
    <row r="706" ht="14.25" customHeight="1">
      <c r="H706" s="216"/>
      <c r="I706" s="216"/>
    </row>
    <row r="707" ht="14.25" customHeight="1">
      <c r="H707" s="216"/>
      <c r="I707" s="216"/>
    </row>
    <row r="708" ht="14.25" customHeight="1">
      <c r="H708" s="216"/>
      <c r="I708" s="216"/>
    </row>
    <row r="709" ht="14.25" customHeight="1">
      <c r="H709" s="216"/>
      <c r="I709" s="216"/>
    </row>
    <row r="710" ht="14.25" customHeight="1">
      <c r="H710" s="216"/>
      <c r="I710" s="216"/>
    </row>
    <row r="711" ht="14.25" customHeight="1">
      <c r="H711" s="216"/>
      <c r="I711" s="216"/>
    </row>
    <row r="712" ht="14.25" customHeight="1">
      <c r="H712" s="216"/>
      <c r="I712" s="216"/>
    </row>
    <row r="713" ht="14.25" customHeight="1">
      <c r="H713" s="216"/>
      <c r="I713" s="216"/>
    </row>
    <row r="714" ht="14.25" customHeight="1">
      <c r="H714" s="216"/>
      <c r="I714" s="216"/>
    </row>
    <row r="715" ht="14.25" customHeight="1">
      <c r="H715" s="216"/>
      <c r="I715" s="216"/>
    </row>
    <row r="716" ht="14.25" customHeight="1">
      <c r="H716" s="216"/>
      <c r="I716" s="216"/>
    </row>
    <row r="717" ht="14.25" customHeight="1">
      <c r="H717" s="216"/>
      <c r="I717" s="216"/>
    </row>
    <row r="718" ht="14.25" customHeight="1">
      <c r="H718" s="216"/>
      <c r="I718" s="216"/>
    </row>
    <row r="719" ht="14.25" customHeight="1">
      <c r="H719" s="216"/>
      <c r="I719" s="216"/>
    </row>
    <row r="720" ht="14.25" customHeight="1">
      <c r="H720" s="216"/>
      <c r="I720" s="216"/>
    </row>
    <row r="721" ht="14.25" customHeight="1">
      <c r="H721" s="216"/>
      <c r="I721" s="216"/>
    </row>
    <row r="722" ht="14.25" customHeight="1">
      <c r="H722" s="216"/>
      <c r="I722" s="216"/>
    </row>
    <row r="723" ht="14.25" customHeight="1">
      <c r="H723" s="216"/>
      <c r="I723" s="216"/>
    </row>
    <row r="724" ht="14.25" customHeight="1">
      <c r="H724" s="216"/>
      <c r="I724" s="216"/>
    </row>
    <row r="725" ht="14.25" customHeight="1">
      <c r="H725" s="216"/>
      <c r="I725" s="216"/>
    </row>
    <row r="726" ht="14.25" customHeight="1">
      <c r="H726" s="216"/>
      <c r="I726" s="216"/>
    </row>
    <row r="727" ht="14.25" customHeight="1">
      <c r="H727" s="216"/>
      <c r="I727" s="216"/>
    </row>
    <row r="728" ht="14.25" customHeight="1">
      <c r="H728" s="216"/>
      <c r="I728" s="216"/>
    </row>
    <row r="729" ht="14.25" customHeight="1">
      <c r="H729" s="216"/>
      <c r="I729" s="216"/>
    </row>
    <row r="730" ht="14.25" customHeight="1">
      <c r="H730" s="216"/>
      <c r="I730" s="216"/>
    </row>
    <row r="731" ht="14.25" customHeight="1">
      <c r="H731" s="216"/>
      <c r="I731" s="216"/>
    </row>
    <row r="732" ht="14.25" customHeight="1">
      <c r="H732" s="216"/>
      <c r="I732" s="216"/>
    </row>
    <row r="733" ht="14.25" customHeight="1">
      <c r="H733" s="216"/>
      <c r="I733" s="216"/>
    </row>
    <row r="734" ht="14.25" customHeight="1">
      <c r="H734" s="216"/>
      <c r="I734" s="216"/>
    </row>
    <row r="735" ht="14.25" customHeight="1">
      <c r="H735" s="216"/>
      <c r="I735" s="216"/>
    </row>
    <row r="736" ht="14.25" customHeight="1">
      <c r="H736" s="216"/>
      <c r="I736" s="216"/>
    </row>
    <row r="737" ht="14.25" customHeight="1">
      <c r="H737" s="216"/>
      <c r="I737" s="216"/>
    </row>
    <row r="738" ht="14.25" customHeight="1">
      <c r="H738" s="216"/>
      <c r="I738" s="216"/>
    </row>
    <row r="739" ht="14.25" customHeight="1">
      <c r="H739" s="216"/>
      <c r="I739" s="216"/>
    </row>
    <row r="740" ht="14.25" customHeight="1">
      <c r="H740" s="216"/>
      <c r="I740" s="216"/>
    </row>
    <row r="741" ht="14.25" customHeight="1">
      <c r="H741" s="216"/>
      <c r="I741" s="216"/>
    </row>
    <row r="742" ht="14.25" customHeight="1">
      <c r="H742" s="216"/>
      <c r="I742" s="216"/>
    </row>
    <row r="743" ht="14.25" customHeight="1">
      <c r="H743" s="216"/>
      <c r="I743" s="216"/>
    </row>
    <row r="744" ht="14.25" customHeight="1">
      <c r="H744" s="216"/>
      <c r="I744" s="216"/>
    </row>
    <row r="745" ht="14.25" customHeight="1">
      <c r="H745" s="216"/>
      <c r="I745" s="216"/>
    </row>
    <row r="746" ht="14.25" customHeight="1">
      <c r="H746" s="216"/>
      <c r="I746" s="216"/>
    </row>
    <row r="747" ht="14.25" customHeight="1">
      <c r="H747" s="216"/>
      <c r="I747" s="216"/>
    </row>
    <row r="748" ht="14.25" customHeight="1">
      <c r="H748" s="216"/>
      <c r="I748" s="216"/>
    </row>
    <row r="749" ht="14.25" customHeight="1">
      <c r="H749" s="216"/>
      <c r="I749" s="216"/>
    </row>
    <row r="750" ht="14.25" customHeight="1">
      <c r="H750" s="216"/>
      <c r="I750" s="216"/>
    </row>
    <row r="751" ht="14.25" customHeight="1">
      <c r="H751" s="216"/>
      <c r="I751" s="216"/>
    </row>
    <row r="752" ht="14.25" customHeight="1">
      <c r="H752" s="216"/>
      <c r="I752" s="216"/>
    </row>
    <row r="753" ht="14.25" customHeight="1">
      <c r="H753" s="216"/>
      <c r="I753" s="216"/>
    </row>
    <row r="754" ht="14.25" customHeight="1">
      <c r="H754" s="216"/>
      <c r="I754" s="216"/>
    </row>
    <row r="755" ht="14.25" customHeight="1">
      <c r="H755" s="216"/>
      <c r="I755" s="216"/>
    </row>
    <row r="756" ht="14.25" customHeight="1">
      <c r="H756" s="216"/>
      <c r="I756" s="216"/>
    </row>
    <row r="757" ht="14.25" customHeight="1">
      <c r="H757" s="216"/>
      <c r="I757" s="216"/>
    </row>
    <row r="758" ht="14.25" customHeight="1">
      <c r="H758" s="216"/>
      <c r="I758" s="216"/>
    </row>
    <row r="759" ht="14.25" customHeight="1">
      <c r="H759" s="216"/>
      <c r="I759" s="216"/>
    </row>
    <row r="760" ht="14.25" customHeight="1">
      <c r="H760" s="216"/>
      <c r="I760" s="216"/>
    </row>
    <row r="761" ht="14.25" customHeight="1">
      <c r="H761" s="216"/>
      <c r="I761" s="216"/>
    </row>
    <row r="762" ht="14.25" customHeight="1">
      <c r="H762" s="216"/>
      <c r="I762" s="216"/>
    </row>
    <row r="763" ht="14.25" customHeight="1">
      <c r="H763" s="216"/>
      <c r="I763" s="216"/>
    </row>
    <row r="764" ht="14.25" customHeight="1">
      <c r="H764" s="216"/>
      <c r="I764" s="216"/>
    </row>
    <row r="765" ht="14.25" customHeight="1">
      <c r="H765" s="216"/>
      <c r="I765" s="216"/>
    </row>
    <row r="766" ht="14.25" customHeight="1">
      <c r="H766" s="216"/>
      <c r="I766" s="216"/>
    </row>
    <row r="767" ht="14.25" customHeight="1">
      <c r="H767" s="216"/>
      <c r="I767" s="216"/>
    </row>
    <row r="768" ht="14.25" customHeight="1">
      <c r="H768" s="216"/>
      <c r="I768" s="216"/>
    </row>
    <row r="769" ht="14.25" customHeight="1">
      <c r="H769" s="216"/>
      <c r="I769" s="216"/>
    </row>
    <row r="770" ht="14.25" customHeight="1">
      <c r="H770" s="216"/>
      <c r="I770" s="216"/>
    </row>
    <row r="771" ht="14.25" customHeight="1">
      <c r="H771" s="216"/>
      <c r="I771" s="216"/>
    </row>
    <row r="772" ht="14.25" customHeight="1">
      <c r="H772" s="216"/>
      <c r="I772" s="216"/>
    </row>
    <row r="773" ht="14.25" customHeight="1">
      <c r="H773" s="216"/>
      <c r="I773" s="216"/>
    </row>
    <row r="774" ht="14.25" customHeight="1">
      <c r="H774" s="216"/>
      <c r="I774" s="216"/>
    </row>
    <row r="775" ht="14.25" customHeight="1">
      <c r="H775" s="216"/>
      <c r="I775" s="216"/>
    </row>
    <row r="776" ht="14.25" customHeight="1">
      <c r="H776" s="216"/>
      <c r="I776" s="216"/>
    </row>
    <row r="777" ht="14.25" customHeight="1">
      <c r="H777" s="216"/>
      <c r="I777" s="216"/>
    </row>
    <row r="778" ht="14.25" customHeight="1">
      <c r="H778" s="216"/>
      <c r="I778" s="216"/>
    </row>
    <row r="779" ht="14.25" customHeight="1">
      <c r="H779" s="216"/>
      <c r="I779" s="216"/>
    </row>
    <row r="780" ht="14.25" customHeight="1">
      <c r="H780" s="216"/>
      <c r="I780" s="216"/>
    </row>
    <row r="781" ht="14.25" customHeight="1">
      <c r="H781" s="216"/>
      <c r="I781" s="216"/>
    </row>
    <row r="782" ht="14.25" customHeight="1">
      <c r="H782" s="216"/>
      <c r="I782" s="216"/>
    </row>
    <row r="783" ht="14.25" customHeight="1">
      <c r="H783" s="216"/>
      <c r="I783" s="216"/>
    </row>
    <row r="784" ht="14.25" customHeight="1">
      <c r="H784" s="216"/>
      <c r="I784" s="216"/>
    </row>
    <row r="785" ht="14.25" customHeight="1">
      <c r="H785" s="216"/>
      <c r="I785" s="216"/>
    </row>
    <row r="786" ht="14.25" customHeight="1">
      <c r="H786" s="216"/>
      <c r="I786" s="216"/>
    </row>
    <row r="787" ht="14.25" customHeight="1">
      <c r="H787" s="216"/>
      <c r="I787" s="216"/>
    </row>
    <row r="788" ht="14.25" customHeight="1">
      <c r="H788" s="216"/>
      <c r="I788" s="216"/>
    </row>
    <row r="789" ht="14.25" customHeight="1">
      <c r="H789" s="216"/>
      <c r="I789" s="216"/>
    </row>
    <row r="790" ht="14.25" customHeight="1">
      <c r="H790" s="216"/>
      <c r="I790" s="216"/>
    </row>
    <row r="791" ht="14.25" customHeight="1">
      <c r="H791" s="216"/>
      <c r="I791" s="216"/>
    </row>
    <row r="792" ht="14.25" customHeight="1">
      <c r="H792" s="216"/>
      <c r="I792" s="216"/>
    </row>
    <row r="793" ht="14.25" customHeight="1">
      <c r="H793" s="216"/>
      <c r="I793" s="216"/>
    </row>
    <row r="794" ht="14.25" customHeight="1">
      <c r="H794" s="216"/>
      <c r="I794" s="216"/>
    </row>
    <row r="795" ht="14.25" customHeight="1">
      <c r="H795" s="216"/>
      <c r="I795" s="216"/>
    </row>
    <row r="796" ht="14.25" customHeight="1">
      <c r="H796" s="216"/>
      <c r="I796" s="216"/>
    </row>
    <row r="797" ht="14.25" customHeight="1">
      <c r="H797" s="216"/>
      <c r="I797" s="216"/>
    </row>
    <row r="798" ht="14.25" customHeight="1">
      <c r="H798" s="216"/>
      <c r="I798" s="216"/>
    </row>
    <row r="799" ht="14.25" customHeight="1">
      <c r="H799" s="216"/>
      <c r="I799" s="216"/>
    </row>
    <row r="800" ht="14.25" customHeight="1">
      <c r="H800" s="216"/>
      <c r="I800" s="216"/>
    </row>
    <row r="801" ht="14.25" customHeight="1">
      <c r="H801" s="216"/>
      <c r="I801" s="216"/>
    </row>
    <row r="802" ht="14.25" customHeight="1">
      <c r="H802" s="216"/>
      <c r="I802" s="216"/>
    </row>
    <row r="803" ht="14.25" customHeight="1">
      <c r="H803" s="216"/>
      <c r="I803" s="216"/>
    </row>
    <row r="804" ht="14.25" customHeight="1">
      <c r="H804" s="216"/>
      <c r="I804" s="216"/>
    </row>
    <row r="805" ht="14.25" customHeight="1">
      <c r="H805" s="216"/>
      <c r="I805" s="216"/>
    </row>
    <row r="806" ht="14.25" customHeight="1">
      <c r="H806" s="216"/>
      <c r="I806" s="216"/>
    </row>
    <row r="807" ht="14.25" customHeight="1">
      <c r="H807" s="216"/>
      <c r="I807" s="216"/>
    </row>
    <row r="808" ht="14.25" customHeight="1">
      <c r="H808" s="216"/>
      <c r="I808" s="216"/>
    </row>
    <row r="809" ht="14.25" customHeight="1">
      <c r="H809" s="216"/>
      <c r="I809" s="216"/>
    </row>
    <row r="810" ht="14.25" customHeight="1">
      <c r="H810" s="216"/>
      <c r="I810" s="216"/>
    </row>
    <row r="811" ht="14.25" customHeight="1">
      <c r="H811" s="216"/>
      <c r="I811" s="216"/>
    </row>
    <row r="812" ht="14.25" customHeight="1">
      <c r="H812" s="216"/>
      <c r="I812" s="216"/>
    </row>
    <row r="813" ht="14.25" customHeight="1">
      <c r="H813" s="216"/>
      <c r="I813" s="216"/>
    </row>
    <row r="814" ht="14.25" customHeight="1">
      <c r="H814" s="216"/>
      <c r="I814" s="216"/>
    </row>
    <row r="815" ht="14.25" customHeight="1">
      <c r="H815" s="216"/>
      <c r="I815" s="216"/>
    </row>
    <row r="816" ht="14.25" customHeight="1">
      <c r="H816" s="216"/>
      <c r="I816" s="216"/>
    </row>
    <row r="817" ht="14.25" customHeight="1">
      <c r="H817" s="216"/>
      <c r="I817" s="216"/>
    </row>
    <row r="818" ht="14.25" customHeight="1">
      <c r="H818" s="216"/>
      <c r="I818" s="216"/>
    </row>
    <row r="819" ht="14.25" customHeight="1">
      <c r="H819" s="216"/>
      <c r="I819" s="216"/>
    </row>
    <row r="820" ht="14.25" customHeight="1">
      <c r="H820" s="216"/>
      <c r="I820" s="216"/>
    </row>
    <row r="821" ht="14.25" customHeight="1">
      <c r="H821" s="216"/>
      <c r="I821" s="216"/>
    </row>
    <row r="822" ht="14.25" customHeight="1">
      <c r="H822" s="216"/>
      <c r="I822" s="216"/>
    </row>
    <row r="823" ht="14.25" customHeight="1">
      <c r="H823" s="216"/>
      <c r="I823" s="216"/>
    </row>
    <row r="824" ht="14.25" customHeight="1">
      <c r="H824" s="216"/>
      <c r="I824" s="216"/>
    </row>
    <row r="825" ht="14.25" customHeight="1">
      <c r="H825" s="216"/>
      <c r="I825" s="216"/>
    </row>
    <row r="826" ht="14.25" customHeight="1">
      <c r="H826" s="216"/>
      <c r="I826" s="216"/>
    </row>
    <row r="827" ht="14.25" customHeight="1">
      <c r="H827" s="216"/>
      <c r="I827" s="216"/>
    </row>
    <row r="828" ht="14.25" customHeight="1">
      <c r="H828" s="216"/>
      <c r="I828" s="216"/>
    </row>
    <row r="829" ht="14.25" customHeight="1">
      <c r="H829" s="216"/>
      <c r="I829" s="216"/>
    </row>
    <row r="830" ht="14.25" customHeight="1">
      <c r="H830" s="216"/>
      <c r="I830" s="216"/>
    </row>
    <row r="831" ht="14.25" customHeight="1">
      <c r="H831" s="216"/>
      <c r="I831" s="216"/>
    </row>
    <row r="832" ht="14.25" customHeight="1">
      <c r="H832" s="216"/>
      <c r="I832" s="216"/>
    </row>
    <row r="833" ht="14.25" customHeight="1">
      <c r="H833" s="216"/>
      <c r="I833" s="216"/>
    </row>
    <row r="834" ht="14.25" customHeight="1">
      <c r="H834" s="216"/>
      <c r="I834" s="216"/>
    </row>
    <row r="835" ht="14.25" customHeight="1">
      <c r="H835" s="216"/>
      <c r="I835" s="216"/>
    </row>
    <row r="836" ht="14.25" customHeight="1">
      <c r="H836" s="216"/>
      <c r="I836" s="216"/>
    </row>
    <row r="837" ht="14.25" customHeight="1">
      <c r="H837" s="216"/>
      <c r="I837" s="216"/>
    </row>
    <row r="838" ht="14.25" customHeight="1">
      <c r="H838" s="216"/>
      <c r="I838" s="216"/>
    </row>
    <row r="839" ht="14.25" customHeight="1">
      <c r="H839" s="216"/>
      <c r="I839" s="216"/>
    </row>
    <row r="840" ht="14.25" customHeight="1">
      <c r="H840" s="216"/>
      <c r="I840" s="216"/>
    </row>
    <row r="841" ht="14.25" customHeight="1">
      <c r="H841" s="216"/>
      <c r="I841" s="216"/>
    </row>
    <row r="842" ht="14.25" customHeight="1">
      <c r="H842" s="216"/>
      <c r="I842" s="216"/>
    </row>
    <row r="843" ht="14.25" customHeight="1">
      <c r="H843" s="216"/>
      <c r="I843" s="216"/>
    </row>
    <row r="844" ht="14.25" customHeight="1">
      <c r="H844" s="216"/>
      <c r="I844" s="216"/>
    </row>
    <row r="845" ht="14.25" customHeight="1">
      <c r="H845" s="216"/>
      <c r="I845" s="216"/>
    </row>
    <row r="846" ht="14.25" customHeight="1">
      <c r="H846" s="216"/>
      <c r="I846" s="216"/>
    </row>
    <row r="847" ht="14.25" customHeight="1">
      <c r="H847" s="216"/>
      <c r="I847" s="216"/>
    </row>
    <row r="848" ht="14.25" customHeight="1">
      <c r="H848" s="216"/>
      <c r="I848" s="216"/>
    </row>
    <row r="849" ht="14.25" customHeight="1">
      <c r="H849" s="216"/>
      <c r="I849" s="216"/>
    </row>
    <row r="850" ht="14.25" customHeight="1">
      <c r="H850" s="216"/>
      <c r="I850" s="216"/>
    </row>
    <row r="851" ht="14.25" customHeight="1">
      <c r="H851" s="216"/>
      <c r="I851" s="216"/>
    </row>
    <row r="852" ht="14.25" customHeight="1">
      <c r="H852" s="216"/>
      <c r="I852" s="216"/>
    </row>
    <row r="853" ht="14.25" customHeight="1">
      <c r="H853" s="216"/>
      <c r="I853" s="216"/>
    </row>
    <row r="854" ht="14.25" customHeight="1">
      <c r="H854" s="216"/>
      <c r="I854" s="216"/>
    </row>
    <row r="855" ht="14.25" customHeight="1">
      <c r="H855" s="216"/>
      <c r="I855" s="216"/>
    </row>
    <row r="856" ht="14.25" customHeight="1">
      <c r="H856" s="216"/>
      <c r="I856" s="216"/>
    </row>
    <row r="857" ht="14.25" customHeight="1">
      <c r="H857" s="216"/>
      <c r="I857" s="216"/>
    </row>
    <row r="858" ht="14.25" customHeight="1">
      <c r="H858" s="216"/>
      <c r="I858" s="216"/>
    </row>
    <row r="859" ht="14.25" customHeight="1">
      <c r="H859" s="216"/>
      <c r="I859" s="216"/>
    </row>
    <row r="860" ht="14.25" customHeight="1">
      <c r="H860" s="216"/>
      <c r="I860" s="216"/>
    </row>
    <row r="861" ht="14.25" customHeight="1">
      <c r="H861" s="216"/>
      <c r="I861" s="216"/>
    </row>
    <row r="862" ht="14.25" customHeight="1">
      <c r="H862" s="216"/>
      <c r="I862" s="216"/>
    </row>
    <row r="863" ht="14.25" customHeight="1">
      <c r="H863" s="216"/>
      <c r="I863" s="216"/>
    </row>
    <row r="864" ht="14.25" customHeight="1">
      <c r="H864" s="216"/>
      <c r="I864" s="216"/>
    </row>
    <row r="865" ht="14.25" customHeight="1">
      <c r="H865" s="216"/>
      <c r="I865" s="216"/>
    </row>
    <row r="866" ht="14.25" customHeight="1">
      <c r="H866" s="216"/>
      <c r="I866" s="216"/>
    </row>
    <row r="867" ht="14.25" customHeight="1">
      <c r="H867" s="216"/>
      <c r="I867" s="216"/>
    </row>
    <row r="868" ht="14.25" customHeight="1">
      <c r="H868" s="216"/>
      <c r="I868" s="216"/>
    </row>
    <row r="869" ht="14.25" customHeight="1">
      <c r="H869" s="216"/>
      <c r="I869" s="216"/>
    </row>
    <row r="870" ht="14.25" customHeight="1">
      <c r="H870" s="216"/>
      <c r="I870" s="216"/>
    </row>
    <row r="871" ht="14.25" customHeight="1">
      <c r="H871" s="216"/>
      <c r="I871" s="216"/>
    </row>
    <row r="872" ht="14.25" customHeight="1">
      <c r="H872" s="216"/>
      <c r="I872" s="216"/>
    </row>
    <row r="873" ht="14.25" customHeight="1">
      <c r="H873" s="216"/>
      <c r="I873" s="216"/>
    </row>
    <row r="874" ht="14.25" customHeight="1">
      <c r="H874" s="216"/>
      <c r="I874" s="216"/>
    </row>
    <row r="875" ht="14.25" customHeight="1">
      <c r="H875" s="216"/>
      <c r="I875" s="216"/>
    </row>
    <row r="876" ht="14.25" customHeight="1">
      <c r="H876" s="216"/>
      <c r="I876" s="216"/>
    </row>
    <row r="877" ht="14.25" customHeight="1">
      <c r="H877" s="216"/>
      <c r="I877" s="216"/>
    </row>
    <row r="878" ht="14.25" customHeight="1">
      <c r="H878" s="216"/>
      <c r="I878" s="216"/>
    </row>
    <row r="879" ht="14.25" customHeight="1">
      <c r="H879" s="216"/>
      <c r="I879" s="216"/>
    </row>
    <row r="880" ht="14.25" customHeight="1">
      <c r="H880" s="216"/>
      <c r="I880" s="216"/>
    </row>
    <row r="881" ht="14.25" customHeight="1">
      <c r="H881" s="216"/>
      <c r="I881" s="216"/>
    </row>
    <row r="882" ht="14.25" customHeight="1">
      <c r="H882" s="216"/>
      <c r="I882" s="216"/>
    </row>
    <row r="883" ht="14.25" customHeight="1">
      <c r="H883" s="216"/>
      <c r="I883" s="216"/>
    </row>
    <row r="884" ht="14.25" customHeight="1">
      <c r="H884" s="216"/>
      <c r="I884" s="216"/>
    </row>
    <row r="885" ht="14.25" customHeight="1">
      <c r="H885" s="216"/>
      <c r="I885" s="216"/>
    </row>
    <row r="886" ht="14.25" customHeight="1">
      <c r="H886" s="216"/>
      <c r="I886" s="216"/>
    </row>
    <row r="887" ht="14.25" customHeight="1">
      <c r="H887" s="216"/>
      <c r="I887" s="216"/>
    </row>
    <row r="888" ht="14.25" customHeight="1">
      <c r="H888" s="216"/>
      <c r="I888" s="216"/>
    </row>
    <row r="889" ht="14.25" customHeight="1">
      <c r="H889" s="216"/>
      <c r="I889" s="216"/>
    </row>
    <row r="890" ht="14.25" customHeight="1">
      <c r="H890" s="216"/>
      <c r="I890" s="216"/>
    </row>
    <row r="891" ht="14.25" customHeight="1">
      <c r="H891" s="216"/>
      <c r="I891" s="216"/>
    </row>
    <row r="892" ht="14.25" customHeight="1">
      <c r="H892" s="216"/>
      <c r="I892" s="216"/>
    </row>
    <row r="893" ht="14.25" customHeight="1">
      <c r="H893" s="216"/>
      <c r="I893" s="216"/>
    </row>
    <row r="894" ht="14.25" customHeight="1">
      <c r="H894" s="216"/>
      <c r="I894" s="216"/>
    </row>
    <row r="895" ht="14.25" customHeight="1">
      <c r="H895" s="216"/>
      <c r="I895" s="216"/>
    </row>
    <row r="896" ht="14.25" customHeight="1">
      <c r="H896" s="216"/>
      <c r="I896" s="216"/>
    </row>
    <row r="897" ht="14.25" customHeight="1">
      <c r="H897" s="216"/>
      <c r="I897" s="216"/>
    </row>
    <row r="898" ht="14.25" customHeight="1">
      <c r="H898" s="216"/>
      <c r="I898" s="216"/>
    </row>
    <row r="899" ht="14.25" customHeight="1">
      <c r="H899" s="216"/>
      <c r="I899" s="216"/>
    </row>
    <row r="900" ht="14.25" customHeight="1">
      <c r="H900" s="216"/>
      <c r="I900" s="216"/>
    </row>
    <row r="901" ht="14.25" customHeight="1">
      <c r="H901" s="216"/>
      <c r="I901" s="216"/>
    </row>
    <row r="902" ht="14.25" customHeight="1">
      <c r="H902" s="216"/>
      <c r="I902" s="216"/>
    </row>
    <row r="903" ht="14.25" customHeight="1">
      <c r="H903" s="216"/>
      <c r="I903" s="216"/>
    </row>
    <row r="904" ht="14.25" customHeight="1">
      <c r="H904" s="216"/>
      <c r="I904" s="216"/>
    </row>
    <row r="905" ht="14.25" customHeight="1">
      <c r="H905" s="216"/>
      <c r="I905" s="216"/>
    </row>
    <row r="906" ht="14.25" customHeight="1">
      <c r="H906" s="216"/>
      <c r="I906" s="216"/>
    </row>
    <row r="907" ht="14.25" customHeight="1">
      <c r="H907" s="216"/>
      <c r="I907" s="216"/>
    </row>
    <row r="908" ht="14.25" customHeight="1">
      <c r="H908" s="216"/>
      <c r="I908" s="216"/>
    </row>
    <row r="909" ht="14.25" customHeight="1">
      <c r="H909" s="216"/>
      <c r="I909" s="216"/>
    </row>
    <row r="910" ht="14.25" customHeight="1">
      <c r="H910" s="216"/>
      <c r="I910" s="216"/>
    </row>
    <row r="911" ht="14.25" customHeight="1">
      <c r="H911" s="216"/>
      <c r="I911" s="216"/>
    </row>
    <row r="912" ht="14.25" customHeight="1">
      <c r="H912" s="216"/>
      <c r="I912" s="216"/>
    </row>
    <row r="913" ht="14.25" customHeight="1">
      <c r="H913" s="216"/>
      <c r="I913" s="216"/>
    </row>
    <row r="914" ht="14.25" customHeight="1">
      <c r="H914" s="216"/>
      <c r="I914" s="216"/>
    </row>
    <row r="915" ht="14.25" customHeight="1">
      <c r="H915" s="216"/>
      <c r="I915" s="216"/>
    </row>
    <row r="916" ht="14.25" customHeight="1">
      <c r="H916" s="216"/>
      <c r="I916" s="216"/>
    </row>
    <row r="917" ht="14.25" customHeight="1">
      <c r="H917" s="216"/>
      <c r="I917" s="216"/>
    </row>
    <row r="918" ht="14.25" customHeight="1">
      <c r="H918" s="216"/>
      <c r="I918" s="216"/>
    </row>
    <row r="919" ht="14.25" customHeight="1">
      <c r="H919" s="216"/>
      <c r="I919" s="216"/>
    </row>
    <row r="920" ht="14.25" customHeight="1">
      <c r="H920" s="216"/>
      <c r="I920" s="216"/>
    </row>
    <row r="921" ht="14.25" customHeight="1">
      <c r="H921" s="216"/>
      <c r="I921" s="216"/>
    </row>
    <row r="922" ht="14.25" customHeight="1">
      <c r="H922" s="216"/>
      <c r="I922" s="216"/>
    </row>
    <row r="923" ht="14.25" customHeight="1">
      <c r="H923" s="216"/>
      <c r="I923" s="216"/>
    </row>
    <row r="924" ht="14.25" customHeight="1">
      <c r="H924" s="216"/>
      <c r="I924" s="216"/>
    </row>
    <row r="925" ht="14.25" customHeight="1">
      <c r="H925" s="216"/>
      <c r="I925" s="216"/>
    </row>
    <row r="926" ht="14.25" customHeight="1">
      <c r="H926" s="216"/>
      <c r="I926" s="216"/>
    </row>
    <row r="927" ht="14.25" customHeight="1">
      <c r="H927" s="216"/>
      <c r="I927" s="216"/>
    </row>
    <row r="928" ht="14.25" customHeight="1">
      <c r="H928" s="216"/>
      <c r="I928" s="216"/>
    </row>
    <row r="929" ht="14.25" customHeight="1">
      <c r="H929" s="216"/>
      <c r="I929" s="216"/>
    </row>
    <row r="930" ht="14.25" customHeight="1">
      <c r="H930" s="216"/>
      <c r="I930" s="216"/>
    </row>
    <row r="931" ht="14.25" customHeight="1">
      <c r="H931" s="216"/>
      <c r="I931" s="216"/>
    </row>
    <row r="932" ht="14.25" customHeight="1">
      <c r="H932" s="216"/>
      <c r="I932" s="216"/>
    </row>
    <row r="933" ht="14.25" customHeight="1">
      <c r="H933" s="216"/>
      <c r="I933" s="216"/>
    </row>
    <row r="934" ht="14.25" customHeight="1">
      <c r="H934" s="216"/>
      <c r="I934" s="216"/>
    </row>
    <row r="935" ht="14.25" customHeight="1">
      <c r="H935" s="216"/>
      <c r="I935" s="216"/>
    </row>
    <row r="936" ht="14.25" customHeight="1">
      <c r="H936" s="216"/>
      <c r="I936" s="216"/>
    </row>
    <row r="937" ht="14.25" customHeight="1">
      <c r="H937" s="216"/>
      <c r="I937" s="216"/>
    </row>
    <row r="938" ht="14.25" customHeight="1">
      <c r="H938" s="216"/>
      <c r="I938" s="216"/>
    </row>
    <row r="939" ht="14.25" customHeight="1">
      <c r="H939" s="216"/>
      <c r="I939" s="216"/>
    </row>
    <row r="940" ht="14.25" customHeight="1">
      <c r="H940" s="216"/>
      <c r="I940" s="216"/>
    </row>
    <row r="941" ht="14.25" customHeight="1">
      <c r="H941" s="216"/>
      <c r="I941" s="216"/>
    </row>
    <row r="942" ht="14.25" customHeight="1">
      <c r="H942" s="216"/>
      <c r="I942" s="216"/>
    </row>
    <row r="943" ht="14.25" customHeight="1">
      <c r="H943" s="216"/>
      <c r="I943" s="216"/>
    </row>
    <row r="944" ht="14.25" customHeight="1">
      <c r="H944" s="216"/>
      <c r="I944" s="216"/>
    </row>
    <row r="945" ht="14.25" customHeight="1">
      <c r="H945" s="216"/>
      <c r="I945" s="216"/>
    </row>
    <row r="946" ht="14.25" customHeight="1">
      <c r="H946" s="216"/>
      <c r="I946" s="216"/>
    </row>
    <row r="947" ht="14.25" customHeight="1">
      <c r="H947" s="216"/>
      <c r="I947" s="216"/>
    </row>
    <row r="948" ht="14.25" customHeight="1">
      <c r="H948" s="216"/>
      <c r="I948" s="216"/>
    </row>
    <row r="949" ht="14.25" customHeight="1">
      <c r="H949" s="216"/>
      <c r="I949" s="216"/>
    </row>
    <row r="950" ht="14.25" customHeight="1">
      <c r="H950" s="216"/>
      <c r="I950" s="216"/>
    </row>
    <row r="951" ht="14.25" customHeight="1">
      <c r="H951" s="216"/>
      <c r="I951" s="216"/>
    </row>
    <row r="952" ht="14.25" customHeight="1">
      <c r="H952" s="216"/>
      <c r="I952" s="216"/>
    </row>
    <row r="953" ht="14.25" customHeight="1">
      <c r="H953" s="216"/>
      <c r="I953" s="216"/>
    </row>
    <row r="954" ht="14.25" customHeight="1">
      <c r="H954" s="216"/>
      <c r="I954" s="216"/>
    </row>
    <row r="955" ht="14.25" customHeight="1">
      <c r="H955" s="216"/>
      <c r="I955" s="216"/>
    </row>
    <row r="956" ht="14.25" customHeight="1">
      <c r="H956" s="216"/>
      <c r="I956" s="216"/>
    </row>
    <row r="957" ht="14.25" customHeight="1">
      <c r="H957" s="216"/>
      <c r="I957" s="216"/>
    </row>
    <row r="958" ht="14.25" customHeight="1">
      <c r="H958" s="216"/>
      <c r="I958" s="216"/>
    </row>
    <row r="959" ht="14.25" customHeight="1">
      <c r="H959" s="216"/>
      <c r="I959" s="216"/>
    </row>
    <row r="960" ht="14.25" customHeight="1">
      <c r="H960" s="216"/>
      <c r="I960" s="216"/>
    </row>
    <row r="961" ht="14.25" customHeight="1">
      <c r="H961" s="216"/>
      <c r="I961" s="216"/>
    </row>
    <row r="962" ht="14.25" customHeight="1">
      <c r="H962" s="216"/>
      <c r="I962" s="216"/>
    </row>
    <row r="963" ht="14.25" customHeight="1">
      <c r="H963" s="216"/>
      <c r="I963" s="216"/>
    </row>
    <row r="964" ht="14.25" customHeight="1">
      <c r="H964" s="216"/>
      <c r="I964" s="216"/>
    </row>
    <row r="965" ht="14.25" customHeight="1">
      <c r="H965" s="216"/>
      <c r="I965" s="216"/>
    </row>
    <row r="966" ht="14.25" customHeight="1">
      <c r="H966" s="216"/>
      <c r="I966" s="216"/>
    </row>
    <row r="967" ht="14.25" customHeight="1">
      <c r="H967" s="216"/>
      <c r="I967" s="216"/>
    </row>
    <row r="968" ht="14.25" customHeight="1">
      <c r="H968" s="216"/>
      <c r="I968" s="216"/>
    </row>
    <row r="969" ht="14.25" customHeight="1">
      <c r="H969" s="216"/>
      <c r="I969" s="216"/>
    </row>
    <row r="970" ht="14.25" customHeight="1">
      <c r="H970" s="216"/>
      <c r="I970" s="216"/>
    </row>
    <row r="971" ht="14.25" customHeight="1">
      <c r="H971" s="216"/>
      <c r="I971" s="216"/>
    </row>
    <row r="972" ht="14.25" customHeight="1">
      <c r="H972" s="216"/>
      <c r="I972" s="216"/>
    </row>
    <row r="973" ht="14.25" customHeight="1">
      <c r="H973" s="216"/>
      <c r="I973" s="216"/>
    </row>
    <row r="974" ht="14.25" customHeight="1">
      <c r="H974" s="216"/>
      <c r="I974" s="216"/>
    </row>
    <row r="975" ht="14.25" customHeight="1">
      <c r="H975" s="216"/>
      <c r="I975" s="216"/>
    </row>
    <row r="976" ht="14.25" customHeight="1">
      <c r="H976" s="216"/>
      <c r="I976" s="216"/>
    </row>
    <row r="977" ht="14.25" customHeight="1">
      <c r="H977" s="216"/>
      <c r="I977" s="216"/>
    </row>
    <row r="978" ht="14.25" customHeight="1">
      <c r="H978" s="216"/>
      <c r="I978" s="216"/>
    </row>
    <row r="979" ht="14.25" customHeight="1">
      <c r="H979" s="216"/>
      <c r="I979" s="216"/>
    </row>
    <row r="980" ht="14.25" customHeight="1">
      <c r="H980" s="216"/>
      <c r="I980" s="216"/>
    </row>
    <row r="981" ht="14.25" customHeight="1">
      <c r="H981" s="216"/>
      <c r="I981" s="216"/>
    </row>
    <row r="982" ht="14.25" customHeight="1">
      <c r="H982" s="216"/>
      <c r="I982" s="216"/>
    </row>
    <row r="983" ht="14.25" customHeight="1">
      <c r="H983" s="216"/>
      <c r="I983" s="216"/>
    </row>
    <row r="984" ht="14.25" customHeight="1">
      <c r="H984" s="216"/>
      <c r="I984" s="216"/>
    </row>
    <row r="985" ht="14.25" customHeight="1">
      <c r="H985" s="216"/>
      <c r="I985" s="216"/>
    </row>
    <row r="986" ht="14.25" customHeight="1">
      <c r="H986" s="216"/>
      <c r="I986" s="216"/>
    </row>
    <row r="987" ht="14.25" customHeight="1">
      <c r="H987" s="216"/>
      <c r="I987" s="216"/>
    </row>
    <row r="988" ht="14.25" customHeight="1">
      <c r="H988" s="216"/>
      <c r="I988" s="216"/>
    </row>
    <row r="989" ht="14.25" customHeight="1">
      <c r="H989" s="216"/>
      <c r="I989" s="216"/>
    </row>
    <row r="990" ht="14.25" customHeight="1">
      <c r="H990" s="216"/>
      <c r="I990" s="216"/>
    </row>
    <row r="991" ht="14.25" customHeight="1">
      <c r="H991" s="216"/>
      <c r="I991" s="216"/>
    </row>
    <row r="992" ht="14.25" customHeight="1">
      <c r="H992" s="216"/>
      <c r="I992" s="216"/>
    </row>
    <row r="993" ht="14.25" customHeight="1">
      <c r="H993" s="216"/>
      <c r="I993" s="216"/>
    </row>
    <row r="994" ht="14.25" customHeight="1">
      <c r="H994" s="216"/>
      <c r="I994" s="216"/>
    </row>
    <row r="995" ht="14.25" customHeight="1">
      <c r="H995" s="216"/>
      <c r="I995" s="216"/>
    </row>
    <row r="996" ht="14.25" customHeight="1">
      <c r="H996" s="216"/>
      <c r="I996" s="216"/>
    </row>
    <row r="997" ht="14.25" customHeight="1">
      <c r="H997" s="216"/>
      <c r="I997" s="216"/>
    </row>
    <row r="998" ht="14.25" customHeight="1">
      <c r="H998" s="216"/>
      <c r="I998" s="216"/>
    </row>
    <row r="999" ht="14.25" customHeight="1">
      <c r="H999" s="216"/>
      <c r="I999" s="216"/>
    </row>
    <row r="1000" ht="14.25" customHeight="1">
      <c r="H1000" s="216"/>
      <c r="I1000" s="216"/>
    </row>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0"/>
    <col customWidth="1" min="2" max="2" width="14.29"/>
    <col customWidth="1" min="3" max="4" width="12.57"/>
    <col customWidth="1" min="5" max="5" width="12.71"/>
    <col customWidth="1" min="6" max="6" width="15.71"/>
    <col customWidth="1" min="7" max="26" width="8.71"/>
  </cols>
  <sheetData>
    <row r="1" ht="14.25" customHeight="1">
      <c r="A1" s="222"/>
      <c r="B1" s="222"/>
      <c r="C1" s="222"/>
      <c r="D1" s="222"/>
      <c r="E1" s="222"/>
      <c r="F1" s="453" t="str">
        <f>[1]Status!C1</f>
        <v>#ERROR!</v>
      </c>
    </row>
    <row r="2" ht="14.25" customHeight="1">
      <c r="A2" s="222"/>
      <c r="B2" s="222"/>
      <c r="C2" s="222"/>
      <c r="D2" s="222"/>
      <c r="E2" s="222"/>
      <c r="F2" s="454" t="s">
        <v>1</v>
      </c>
      <c r="G2" s="454"/>
    </row>
    <row r="3" ht="14.25" customHeight="1">
      <c r="A3" s="222"/>
      <c r="B3" s="222"/>
      <c r="C3" s="222"/>
      <c r="D3" s="222"/>
      <c r="E3" s="222"/>
      <c r="F3" s="454" t="s">
        <v>203</v>
      </c>
      <c r="G3" s="454"/>
    </row>
    <row r="4" ht="14.25" customHeight="1">
      <c r="A4" s="222"/>
      <c r="B4" s="222"/>
      <c r="C4" s="222"/>
      <c r="D4" s="222"/>
      <c r="E4" s="222"/>
      <c r="F4" s="222"/>
    </row>
    <row r="5" ht="14.25" customHeight="1">
      <c r="A5" s="455" t="s">
        <v>148</v>
      </c>
    </row>
    <row r="6" ht="14.25" customHeight="1">
      <c r="A6" s="456" t="s">
        <v>204</v>
      </c>
    </row>
    <row r="7" ht="14.25" customHeight="1">
      <c r="A7" s="457" t="str">
        <f>[1]Status!A6</f>
        <v>#ERROR!</v>
      </c>
    </row>
    <row r="8" ht="14.25" customHeight="1">
      <c r="A8" s="458" t="s">
        <v>79</v>
      </c>
      <c r="B8" s="402" t="s">
        <v>80</v>
      </c>
      <c r="C8" s="402" t="s">
        <v>81</v>
      </c>
      <c r="D8" s="402" t="s">
        <v>82</v>
      </c>
      <c r="E8" s="402" t="s">
        <v>83</v>
      </c>
      <c r="F8" s="459" t="s">
        <v>84</v>
      </c>
    </row>
    <row r="9" ht="14.25" customHeight="1">
      <c r="A9" s="278" t="s">
        <v>86</v>
      </c>
      <c r="B9" s="322">
        <v>12947.8</v>
      </c>
      <c r="C9" s="321">
        <f>12910.8+37</f>
        <v>12947.8</v>
      </c>
      <c r="D9" s="447"/>
      <c r="E9" s="447"/>
      <c r="F9" s="403">
        <f t="shared" ref="F9:F55" si="1">B9-C9-D9-E9</f>
        <v>0</v>
      </c>
    </row>
    <row r="10" ht="14.25" customHeight="1">
      <c r="A10" s="278" t="s">
        <v>150</v>
      </c>
      <c r="B10" s="321">
        <v>2892710.94</v>
      </c>
      <c r="C10" s="321">
        <v>2892710.94</v>
      </c>
      <c r="D10" s="405"/>
      <c r="E10" s="405"/>
      <c r="F10" s="403">
        <f t="shared" si="1"/>
        <v>0</v>
      </c>
    </row>
    <row r="11" ht="14.25" customHeight="1">
      <c r="A11" s="278" t="s">
        <v>88</v>
      </c>
      <c r="B11" s="321">
        <v>1435833.58</v>
      </c>
      <c r="C11" s="321">
        <v>1435833.58</v>
      </c>
      <c r="D11" s="405"/>
      <c r="E11" s="405"/>
      <c r="F11" s="403">
        <f t="shared" si="1"/>
        <v>0</v>
      </c>
    </row>
    <row r="12" ht="14.25" customHeight="1">
      <c r="A12" s="324" t="s">
        <v>89</v>
      </c>
      <c r="B12" s="321">
        <v>8093.76</v>
      </c>
      <c r="C12" s="405"/>
      <c r="D12" s="405"/>
      <c r="E12" s="405"/>
      <c r="F12" s="403">
        <f t="shared" si="1"/>
        <v>8093.76</v>
      </c>
    </row>
    <row r="13" ht="14.25" customHeight="1">
      <c r="A13" s="278" t="s">
        <v>90</v>
      </c>
      <c r="B13" s="321">
        <v>32375.05</v>
      </c>
      <c r="C13" s="405"/>
      <c r="D13" s="405"/>
      <c r="E13" s="405"/>
      <c r="F13" s="403">
        <f t="shared" si="1"/>
        <v>32375.05</v>
      </c>
    </row>
    <row r="14" ht="14.25" customHeight="1">
      <c r="A14" s="278" t="s">
        <v>91</v>
      </c>
      <c r="B14" s="321">
        <v>1783865.39</v>
      </c>
      <c r="C14" s="321">
        <v>1783865.39</v>
      </c>
      <c r="D14" s="405"/>
      <c r="E14" s="405"/>
      <c r="F14" s="403">
        <f t="shared" si="1"/>
        <v>0</v>
      </c>
    </row>
    <row r="15" ht="14.25" customHeight="1">
      <c r="A15" s="278" t="s">
        <v>92</v>
      </c>
      <c r="B15" s="321">
        <v>32375.05</v>
      </c>
      <c r="C15" s="321">
        <v>32375.05</v>
      </c>
      <c r="D15" s="405"/>
      <c r="E15" s="405"/>
      <c r="F15" s="403">
        <f t="shared" si="1"/>
        <v>0</v>
      </c>
    </row>
    <row r="16" ht="14.25" customHeight="1">
      <c r="A16" s="278" t="s">
        <v>151</v>
      </c>
      <c r="B16" s="321">
        <v>4819026.57</v>
      </c>
      <c r="C16" s="405">
        <f>3855221.72+634409.85</f>
        <v>4489631.57</v>
      </c>
      <c r="D16" s="405">
        <f>887922-558527</f>
        <v>329395</v>
      </c>
      <c r="E16" s="405"/>
      <c r="F16" s="403">
        <f t="shared" si="1"/>
        <v>0</v>
      </c>
    </row>
    <row r="17" ht="14.25" customHeight="1">
      <c r="A17" s="278" t="s">
        <v>95</v>
      </c>
      <c r="B17" s="321">
        <v>71225.12</v>
      </c>
      <c r="C17" s="321">
        <v>71225.12</v>
      </c>
      <c r="D17" s="405"/>
      <c r="E17" s="405"/>
      <c r="F17" s="403">
        <f t="shared" si="1"/>
        <v>0</v>
      </c>
    </row>
    <row r="18" ht="14.25" customHeight="1">
      <c r="A18" s="278" t="s">
        <v>96</v>
      </c>
      <c r="B18" s="321">
        <v>454869.49</v>
      </c>
      <c r="C18" s="321">
        <f>454869.49-90965+454869.49-454869.49+4321</f>
        <v>368225.49</v>
      </c>
      <c r="D18" s="405">
        <f>90965-4321</f>
        <v>86644</v>
      </c>
      <c r="E18" s="405"/>
      <c r="F18" s="403">
        <f t="shared" si="1"/>
        <v>0</v>
      </c>
    </row>
    <row r="19" ht="14.25" customHeight="1">
      <c r="A19" s="278" t="s">
        <v>97</v>
      </c>
      <c r="B19" s="321">
        <v>1196258.19</v>
      </c>
      <c r="C19" s="321">
        <v>1196258.19</v>
      </c>
      <c r="D19" s="405"/>
      <c r="E19" s="405"/>
      <c r="F19" s="403">
        <f t="shared" si="1"/>
        <v>0</v>
      </c>
    </row>
    <row r="20" ht="14.25" customHeight="1">
      <c r="A20" s="278" t="s">
        <v>98</v>
      </c>
      <c r="B20" s="321">
        <v>25900.04</v>
      </c>
      <c r="C20" s="321">
        <v>25900.04</v>
      </c>
      <c r="D20" s="405"/>
      <c r="E20" s="405"/>
      <c r="F20" s="403">
        <f t="shared" si="1"/>
        <v>0</v>
      </c>
    </row>
    <row r="21" ht="14.25" customHeight="1">
      <c r="A21" s="278" t="s">
        <v>99</v>
      </c>
      <c r="B21" s="321">
        <v>912976.48</v>
      </c>
      <c r="C21" s="321">
        <v>912976.48</v>
      </c>
      <c r="D21" s="405"/>
      <c r="E21" s="405"/>
      <c r="F21" s="403">
        <f t="shared" si="1"/>
        <v>0</v>
      </c>
    </row>
    <row r="22" ht="14.25" customHeight="1">
      <c r="A22" s="278" t="s">
        <v>152</v>
      </c>
      <c r="B22" s="321">
        <v>1.01997603E7</v>
      </c>
      <c r="C22" s="405">
        <v>9907090.3</v>
      </c>
      <c r="D22" s="405">
        <v>207355.0</v>
      </c>
      <c r="E22" s="405"/>
      <c r="F22" s="403">
        <f t="shared" si="1"/>
        <v>85315</v>
      </c>
    </row>
    <row r="23" ht="14.25" customHeight="1">
      <c r="A23" s="278" t="s">
        <v>153</v>
      </c>
      <c r="B23" s="321">
        <v>1.388404128E7</v>
      </c>
      <c r="C23" s="405">
        <f>2314006.88+2314006.88+2314006.88+2314006.68+2314006.88+2314006.88+2248464</f>
        <v>16132505.08</v>
      </c>
      <c r="D23" s="405">
        <f>305008+957058+1514742-2248464</f>
        <v>528344</v>
      </c>
      <c r="E23" s="405">
        <f>13884041.28-2314006.88-2314006.88-2314006.88-2314006.68-2314006.88-2314006.88</f>
        <v>0.1999999993</v>
      </c>
      <c r="F23" s="403">
        <f t="shared" si="1"/>
        <v>-2776808</v>
      </c>
    </row>
    <row r="24" ht="14.25" customHeight="1">
      <c r="A24" s="278" t="s">
        <v>102</v>
      </c>
      <c r="B24" s="321">
        <v>964776.57</v>
      </c>
      <c r="C24" s="405">
        <f>668915.66+295860.91</f>
        <v>964776.57</v>
      </c>
      <c r="D24" s="405"/>
      <c r="E24" s="405"/>
      <c r="F24" s="403">
        <f t="shared" si="1"/>
        <v>-0.0000000001164153218</v>
      </c>
    </row>
    <row r="25" ht="14.25" customHeight="1">
      <c r="A25" s="278" t="s">
        <v>104</v>
      </c>
      <c r="B25" s="321">
        <v>394975.64</v>
      </c>
      <c r="C25" s="321">
        <f>185024+102333.28+64725.96+33.5+42858.54</f>
        <v>394975.28</v>
      </c>
      <c r="D25" s="405"/>
      <c r="E25" s="405"/>
      <c r="F25" s="403">
        <f t="shared" si="1"/>
        <v>0.36</v>
      </c>
    </row>
    <row r="26" ht="14.25" customHeight="1">
      <c r="A26" s="278" t="s">
        <v>105</v>
      </c>
      <c r="B26" s="321">
        <v>59893.85</v>
      </c>
      <c r="C26" s="321">
        <v>59893.85</v>
      </c>
      <c r="D26" s="405"/>
      <c r="E26" s="405"/>
      <c r="F26" s="403">
        <f t="shared" si="1"/>
        <v>0</v>
      </c>
    </row>
    <row r="27" ht="14.25" customHeight="1">
      <c r="A27" s="278" t="s">
        <v>154</v>
      </c>
      <c r="B27" s="321">
        <v>720344.92</v>
      </c>
      <c r="C27" s="321">
        <v>720344.92</v>
      </c>
      <c r="D27" s="405"/>
      <c r="E27" s="405"/>
      <c r="F27" s="403">
        <f t="shared" si="1"/>
        <v>0</v>
      </c>
    </row>
    <row r="28" ht="14.25" customHeight="1">
      <c r="A28" s="278" t="s">
        <v>107</v>
      </c>
      <c r="B28" s="321">
        <v>678257.35</v>
      </c>
      <c r="C28" s="405"/>
      <c r="D28" s="405"/>
      <c r="E28" s="405"/>
      <c r="F28" s="403">
        <f t="shared" si="1"/>
        <v>678257.35</v>
      </c>
    </row>
    <row r="29" ht="14.25" customHeight="1">
      <c r="A29" s="278" t="s">
        <v>108</v>
      </c>
      <c r="B29" s="321">
        <v>8221644.59</v>
      </c>
      <c r="C29" s="405">
        <f>6577315.67+988929+9365.8+201131.4</f>
        <v>7776741.87</v>
      </c>
      <c r="D29" s="405">
        <f>237300+418100-9365.8-201131.4</f>
        <v>444902.8</v>
      </c>
      <c r="E29" s="405"/>
      <c r="F29" s="403">
        <f t="shared" si="1"/>
        <v>-0.08000000019</v>
      </c>
    </row>
    <row r="30" ht="14.25" customHeight="1">
      <c r="A30" s="278" t="s">
        <v>155</v>
      </c>
      <c r="B30" s="321">
        <v>2.691014366E7</v>
      </c>
      <c r="C30" s="322">
        <f>26910143.66-498443-33900-67800-607206+3028.11+1453.58+5589.87+236.22</f>
        <v>25713102.44</v>
      </c>
      <c r="D30" s="405">
        <f>566243+33900+607206-3028.11-1453.58-5589.87-236.22</f>
        <v>1197041.22</v>
      </c>
      <c r="E30" s="405"/>
      <c r="F30" s="403">
        <f t="shared" si="1"/>
        <v>0.000000002793967724</v>
      </c>
    </row>
    <row r="31" ht="14.25" customHeight="1">
      <c r="A31" s="278" t="s">
        <v>110</v>
      </c>
      <c r="B31" s="420">
        <v>0.0</v>
      </c>
      <c r="C31" s="321">
        <v>0.0</v>
      </c>
      <c r="D31" s="405"/>
      <c r="E31" s="405"/>
      <c r="F31" s="403">
        <f t="shared" si="1"/>
        <v>0</v>
      </c>
      <c r="H31" s="216"/>
      <c r="I31" s="216"/>
    </row>
    <row r="32" ht="14.25" customHeight="1">
      <c r="A32" s="278" t="s">
        <v>112</v>
      </c>
      <c r="B32" s="321">
        <v>29137.55</v>
      </c>
      <c r="C32" s="405">
        <f>29085.05+52.5</f>
        <v>29137.55</v>
      </c>
      <c r="D32" s="405"/>
      <c r="E32" s="405"/>
      <c r="F32" s="403">
        <f t="shared" si="1"/>
        <v>0</v>
      </c>
    </row>
    <row r="33" ht="14.25" customHeight="1">
      <c r="A33" s="278" t="s">
        <v>113</v>
      </c>
      <c r="B33" s="321">
        <v>16187.53</v>
      </c>
      <c r="C33" s="321">
        <v>16187.53</v>
      </c>
      <c r="D33" s="405"/>
      <c r="E33" s="405"/>
      <c r="F33" s="403">
        <f t="shared" si="1"/>
        <v>0</v>
      </c>
    </row>
    <row r="34" ht="14.25" customHeight="1">
      <c r="A34" s="278" t="s">
        <v>114</v>
      </c>
      <c r="B34" s="321">
        <v>50181.33</v>
      </c>
      <c r="C34" s="405">
        <v>50181.33</v>
      </c>
      <c r="D34" s="405"/>
      <c r="E34" s="405"/>
      <c r="F34" s="403">
        <f t="shared" si="1"/>
        <v>0</v>
      </c>
    </row>
    <row r="35" ht="14.25" customHeight="1">
      <c r="A35" s="278" t="s">
        <v>115</v>
      </c>
      <c r="B35" s="321">
        <v>137593.97</v>
      </c>
      <c r="C35" s="321">
        <v>137593.97</v>
      </c>
      <c r="D35" s="405"/>
      <c r="E35" s="405"/>
      <c r="F35" s="403">
        <f t="shared" si="1"/>
        <v>0</v>
      </c>
    </row>
    <row r="36" ht="14.25" customHeight="1">
      <c r="A36" s="278" t="s">
        <v>116</v>
      </c>
      <c r="B36" s="321">
        <v>27518.79</v>
      </c>
      <c r="C36" s="321">
        <v>27518.79</v>
      </c>
      <c r="D36" s="405"/>
      <c r="E36" s="405"/>
      <c r="F36" s="403">
        <f t="shared" si="1"/>
        <v>0</v>
      </c>
    </row>
    <row r="37" ht="14.25" customHeight="1">
      <c r="A37" s="278" t="s">
        <v>117</v>
      </c>
      <c r="B37" s="321">
        <v>4856.26</v>
      </c>
      <c r="C37" s="321">
        <v>4856.26</v>
      </c>
      <c r="D37" s="405"/>
      <c r="E37" s="405"/>
      <c r="F37" s="403">
        <f t="shared" si="1"/>
        <v>0</v>
      </c>
    </row>
    <row r="38" ht="14.25" customHeight="1">
      <c r="A38" s="278" t="s">
        <v>118</v>
      </c>
      <c r="B38" s="321">
        <v>3031923.67</v>
      </c>
      <c r="C38" s="321">
        <f>1515961.48+1515961.83</f>
        <v>3031923.31</v>
      </c>
      <c r="D38" s="405"/>
      <c r="E38" s="405"/>
      <c r="F38" s="403">
        <f t="shared" si="1"/>
        <v>0.3599999999</v>
      </c>
    </row>
    <row r="39" ht="14.25" customHeight="1">
      <c r="A39" s="278" t="s">
        <v>119</v>
      </c>
      <c r="B39" s="321">
        <v>414400.67</v>
      </c>
      <c r="C39" s="321">
        <v>414400.67</v>
      </c>
      <c r="D39" s="405"/>
      <c r="E39" s="405"/>
      <c r="F39" s="403">
        <f t="shared" si="1"/>
        <v>0</v>
      </c>
    </row>
    <row r="40" ht="14.25" customHeight="1">
      <c r="A40" s="278" t="s">
        <v>120</v>
      </c>
      <c r="B40" s="321">
        <v>1265864.55</v>
      </c>
      <c r="C40" s="321">
        <v>1265864.55</v>
      </c>
      <c r="D40" s="405"/>
      <c r="E40" s="405"/>
      <c r="F40" s="403">
        <f t="shared" si="1"/>
        <v>0</v>
      </c>
    </row>
    <row r="41" ht="14.25" customHeight="1">
      <c r="A41" s="278" t="s">
        <v>122</v>
      </c>
      <c r="B41" s="321">
        <v>810995.07</v>
      </c>
      <c r="C41" s="321">
        <f>793430+17565.07</f>
        <v>810995.07</v>
      </c>
      <c r="D41" s="405"/>
      <c r="E41" s="405"/>
      <c r="F41" s="403">
        <f t="shared" si="1"/>
        <v>0</v>
      </c>
    </row>
    <row r="42" ht="14.25" customHeight="1">
      <c r="A42" s="278" t="s">
        <v>123</v>
      </c>
      <c r="B42" s="321">
        <v>853082.63</v>
      </c>
      <c r="C42" s="321">
        <f>13137+66000+773946</f>
        <v>853083</v>
      </c>
      <c r="D42" s="405"/>
      <c r="E42" s="405"/>
      <c r="F42" s="403">
        <f t="shared" si="1"/>
        <v>-0.37</v>
      </c>
    </row>
    <row r="43" ht="14.25" customHeight="1">
      <c r="A43" s="278" t="s">
        <v>124</v>
      </c>
      <c r="B43" s="321">
        <v>113312.68</v>
      </c>
      <c r="C43" s="321">
        <v>113312.68</v>
      </c>
      <c r="D43" s="405"/>
      <c r="E43" s="405"/>
      <c r="F43" s="403">
        <f t="shared" si="1"/>
        <v>0</v>
      </c>
    </row>
    <row r="44" ht="14.25" customHeight="1">
      <c r="A44" s="278" t="s">
        <v>125</v>
      </c>
      <c r="B44" s="321">
        <v>1942503.15</v>
      </c>
      <c r="C44" s="405"/>
      <c r="D44" s="405"/>
      <c r="E44" s="405"/>
      <c r="F44" s="403">
        <f t="shared" si="1"/>
        <v>1942503.15</v>
      </c>
    </row>
    <row r="45" ht="14.25" customHeight="1">
      <c r="A45" s="278" t="s">
        <v>126</v>
      </c>
      <c r="B45" s="408">
        <v>4855.35</v>
      </c>
      <c r="C45" s="405">
        <v>4855.35</v>
      </c>
      <c r="D45" s="405"/>
      <c r="E45" s="405"/>
      <c r="F45" s="403">
        <f t="shared" si="1"/>
        <v>0</v>
      </c>
    </row>
    <row r="46" ht="14.25" customHeight="1">
      <c r="A46" s="278" t="s">
        <v>128</v>
      </c>
      <c r="B46" s="321">
        <v>101981.42</v>
      </c>
      <c r="C46" s="321">
        <v>101981.42</v>
      </c>
      <c r="D46" s="405"/>
      <c r="E46" s="405"/>
      <c r="F46" s="403">
        <f t="shared" si="1"/>
        <v>0</v>
      </c>
    </row>
    <row r="47" ht="14.25" customHeight="1">
      <c r="A47" s="278" t="s">
        <v>129</v>
      </c>
      <c r="B47" s="321">
        <v>155400.25</v>
      </c>
      <c r="C47" s="321">
        <v>155400.25</v>
      </c>
      <c r="D47" s="405"/>
      <c r="E47" s="405"/>
      <c r="F47" s="403">
        <f t="shared" si="1"/>
        <v>0</v>
      </c>
    </row>
    <row r="48" ht="14.25" customHeight="1">
      <c r="A48" s="278" t="s">
        <v>131</v>
      </c>
      <c r="B48" s="321">
        <v>4804457.8</v>
      </c>
      <c r="C48" s="405">
        <f>4804458-893000+36</f>
        <v>3911494</v>
      </c>
      <c r="D48" s="405">
        <f>893000-36</f>
        <v>892964</v>
      </c>
      <c r="E48" s="405"/>
      <c r="F48" s="403">
        <f t="shared" si="1"/>
        <v>-0.2000000002</v>
      </c>
    </row>
    <row r="49" ht="14.25" customHeight="1">
      <c r="A49" s="278" t="s">
        <v>156</v>
      </c>
      <c r="B49" s="321">
        <v>1733684.06</v>
      </c>
      <c r="C49" s="321">
        <v>1733684.06</v>
      </c>
      <c r="D49" s="405"/>
      <c r="E49" s="405"/>
      <c r="F49" s="403">
        <f t="shared" si="1"/>
        <v>0</v>
      </c>
    </row>
    <row r="50" ht="14.25" customHeight="1">
      <c r="A50" s="278" t="s">
        <v>133</v>
      </c>
      <c r="B50" s="321">
        <v>1968403.19</v>
      </c>
      <c r="C50" s="321">
        <v>1968403.19</v>
      </c>
      <c r="D50" s="405"/>
      <c r="E50" s="405"/>
      <c r="F50" s="403">
        <f t="shared" si="1"/>
        <v>0</v>
      </c>
    </row>
    <row r="51" ht="14.25" customHeight="1">
      <c r="A51" s="278" t="s">
        <v>134</v>
      </c>
      <c r="B51" s="321">
        <v>1619.0</v>
      </c>
      <c r="C51" s="405"/>
      <c r="D51" s="405"/>
      <c r="E51" s="405"/>
      <c r="F51" s="403">
        <f t="shared" si="1"/>
        <v>1619</v>
      </c>
    </row>
    <row r="52" ht="14.25" customHeight="1">
      <c r="A52" s="278" t="s">
        <v>136</v>
      </c>
      <c r="B52" s="321">
        <v>72843.87</v>
      </c>
      <c r="C52" s="405"/>
      <c r="D52" s="405"/>
      <c r="E52" s="405"/>
      <c r="F52" s="403">
        <f t="shared" si="1"/>
        <v>72843.87</v>
      </c>
    </row>
    <row r="53" ht="14.25" customHeight="1">
      <c r="A53" s="278" t="s">
        <v>138</v>
      </c>
      <c r="B53" s="321">
        <v>1.075175495E7</v>
      </c>
      <c r="C53" s="321">
        <v>1.075175495E7</v>
      </c>
      <c r="D53" s="405"/>
      <c r="E53" s="321"/>
      <c r="F53" s="403">
        <f t="shared" si="1"/>
        <v>0</v>
      </c>
    </row>
    <row r="54" ht="14.25" customHeight="1">
      <c r="A54" s="278" t="s">
        <v>139</v>
      </c>
      <c r="B54" s="321">
        <f>29333333.33-216320-67907-121565</f>
        <v>28927541.33</v>
      </c>
      <c r="C54" s="405">
        <f>1248140+25000000+625148+2054253</f>
        <v>28927541</v>
      </c>
      <c r="D54" s="405"/>
      <c r="E54" s="405"/>
      <c r="F54" s="403">
        <f t="shared" si="1"/>
        <v>0.3299999982</v>
      </c>
    </row>
    <row r="55" ht="14.25" customHeight="1">
      <c r="A55" s="369" t="s">
        <v>140</v>
      </c>
      <c r="B55" s="450">
        <v>12950.02</v>
      </c>
      <c r="C55" s="409"/>
      <c r="D55" s="409"/>
      <c r="E55" s="409"/>
      <c r="F55" s="451">
        <f t="shared" si="1"/>
        <v>12950.02</v>
      </c>
    </row>
    <row r="56" ht="14.25" customHeight="1">
      <c r="A56" s="372" t="s">
        <v>141</v>
      </c>
      <c r="B56" s="373">
        <f t="shared" ref="B56:F56" si="2">SUM(B9:B55)</f>
        <v>132945344.7</v>
      </c>
      <c r="C56" s="412">
        <f t="shared" si="2"/>
        <v>129201548.9</v>
      </c>
      <c r="D56" s="412">
        <f t="shared" si="2"/>
        <v>3686646.02</v>
      </c>
      <c r="E56" s="412">
        <f t="shared" si="2"/>
        <v>0.1999999993</v>
      </c>
      <c r="F56" s="413">
        <f t="shared" si="2"/>
        <v>57149.6</v>
      </c>
    </row>
    <row r="57" ht="14.25" customHeight="1">
      <c r="A57" s="460" t="s">
        <v>157</v>
      </c>
      <c r="B57" s="440">
        <f>216320+67907+121565</f>
        <v>405792</v>
      </c>
      <c r="C57" s="440">
        <v>0.0</v>
      </c>
      <c r="D57" s="440">
        <v>0.0</v>
      </c>
      <c r="E57" s="440">
        <v>0.0</v>
      </c>
      <c r="F57" s="441">
        <f>B57-C57-D57-E57</f>
        <v>405792</v>
      </c>
    </row>
    <row r="58" ht="14.25" customHeight="1">
      <c r="A58" s="461" t="s">
        <v>158</v>
      </c>
      <c r="B58" s="247">
        <f t="shared" ref="B58:F58" si="3">SUM(B56:B57)</f>
        <v>133351136.7</v>
      </c>
      <c r="C58" s="247">
        <f t="shared" si="3"/>
        <v>129201548.9</v>
      </c>
      <c r="D58" s="247">
        <f t="shared" si="3"/>
        <v>3686646.02</v>
      </c>
      <c r="E58" s="247">
        <f t="shared" si="3"/>
        <v>0.1999999993</v>
      </c>
      <c r="F58" s="247">
        <f t="shared" si="3"/>
        <v>462941.6</v>
      </c>
    </row>
    <row r="59" ht="14.25" customHeight="1">
      <c r="A59" s="378" t="s">
        <v>205</v>
      </c>
      <c r="B59" s="442"/>
      <c r="C59" s="442"/>
      <c r="D59" s="442"/>
      <c r="E59" s="442"/>
      <c r="F59" s="442"/>
    </row>
    <row r="60" ht="14.25" customHeight="1">
      <c r="A60" s="379"/>
      <c r="B60" s="379"/>
      <c r="C60" s="379"/>
      <c r="D60" s="379"/>
      <c r="E60" s="379"/>
      <c r="F60" s="379"/>
    </row>
    <row r="61" ht="14.25" customHeight="1">
      <c r="A61" s="336"/>
      <c r="B61" s="336"/>
      <c r="C61" s="336"/>
      <c r="D61" s="336"/>
      <c r="E61" s="336"/>
      <c r="F61" s="336"/>
    </row>
    <row r="62" ht="14.25" customHeight="1">
      <c r="A62" s="337" t="s">
        <v>159</v>
      </c>
      <c r="B62" s="414">
        <f t="shared" ref="B62:E62" si="4">B12+B13+B15+B18+B20+B25+B32+B34+B41+B44+B46+B47+B51+B52+B55</f>
        <v>4126200.69</v>
      </c>
      <c r="C62" s="414">
        <f t="shared" si="4"/>
        <v>1969171.48</v>
      </c>
      <c r="D62" s="414">
        <f t="shared" si="4"/>
        <v>86644</v>
      </c>
      <c r="E62" s="414">
        <f t="shared" si="4"/>
        <v>0</v>
      </c>
      <c r="F62" s="415">
        <f>B62-C62-D62-E62</f>
        <v>2070385.21</v>
      </c>
    </row>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5:F5"/>
    <mergeCell ref="A6:F6"/>
    <mergeCell ref="A7:F7"/>
  </mergeCells>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17.57"/>
    <col customWidth="1" min="3" max="3" width="14.29"/>
    <col customWidth="1" min="4" max="4" width="16.71"/>
    <col customWidth="1" min="5" max="5" width="13.71"/>
    <col customWidth="1" min="6" max="6" width="20.71"/>
    <col customWidth="1" min="7" max="26" width="8.71"/>
  </cols>
  <sheetData>
    <row r="1" ht="20.25" customHeight="1">
      <c r="A1" s="217" t="str">
        <f>[1]Status!C1</f>
        <v>#ERROR!</v>
      </c>
      <c r="C1" s="222"/>
      <c r="D1" s="222"/>
      <c r="E1" s="222"/>
      <c r="F1" s="222"/>
    </row>
    <row r="2" ht="20.25" customHeight="1">
      <c r="A2" s="217" t="s">
        <v>1</v>
      </c>
      <c r="B2" s="222"/>
      <c r="C2" s="222"/>
      <c r="D2" s="222"/>
      <c r="E2" s="222"/>
      <c r="F2" s="222"/>
    </row>
    <row r="3" ht="14.25" customHeight="1">
      <c r="A3" s="221" t="s">
        <v>206</v>
      </c>
      <c r="B3" s="222"/>
      <c r="C3" s="222"/>
      <c r="D3" s="222"/>
      <c r="E3" s="222"/>
      <c r="F3" s="222"/>
    </row>
    <row r="4" ht="14.25" customHeight="1">
      <c r="A4" s="222"/>
      <c r="B4" s="222"/>
      <c r="C4" s="222"/>
      <c r="D4" s="222"/>
      <c r="E4" s="222"/>
      <c r="F4" s="222"/>
    </row>
    <row r="5" ht="20.25" customHeight="1">
      <c r="A5" s="223" t="s">
        <v>148</v>
      </c>
    </row>
    <row r="6" ht="20.25" customHeight="1">
      <c r="A6" s="224" t="s">
        <v>207</v>
      </c>
    </row>
    <row r="7" ht="19.5" customHeight="1">
      <c r="A7" s="297" t="str">
        <f>[1]Status!A6</f>
        <v>#ERROR!</v>
      </c>
      <c r="B7" s="298"/>
      <c r="C7" s="298"/>
      <c r="D7" s="298"/>
      <c r="E7" s="298"/>
      <c r="F7" s="298"/>
    </row>
    <row r="8" ht="27.75" customHeight="1">
      <c r="A8" s="226" t="s">
        <v>79</v>
      </c>
      <c r="B8" s="400" t="s">
        <v>80</v>
      </c>
      <c r="C8" s="400" t="s">
        <v>81</v>
      </c>
      <c r="D8" s="400" t="s">
        <v>82</v>
      </c>
      <c r="E8" s="400" t="s">
        <v>83</v>
      </c>
      <c r="F8" s="401" t="s">
        <v>84</v>
      </c>
    </row>
    <row r="9" ht="18.0" customHeight="1">
      <c r="A9" s="356" t="s">
        <v>86</v>
      </c>
      <c r="B9" s="462">
        <v>8868.36</v>
      </c>
      <c r="C9" s="357">
        <v>8868.36</v>
      </c>
      <c r="D9" s="402"/>
      <c r="E9" s="402"/>
      <c r="F9" s="403">
        <f t="shared" ref="F9:F55" si="1">B9-C9-D9-E9</f>
        <v>0</v>
      </c>
    </row>
    <row r="10" ht="18.0" customHeight="1">
      <c r="A10" s="317" t="s">
        <v>150</v>
      </c>
      <c r="B10" s="361">
        <v>2892710.94</v>
      </c>
      <c r="C10" s="361">
        <v>2892710.94</v>
      </c>
      <c r="D10" s="404"/>
      <c r="E10" s="404"/>
      <c r="F10" s="403">
        <f t="shared" si="1"/>
        <v>0</v>
      </c>
    </row>
    <row r="11" ht="18.0" customHeight="1">
      <c r="A11" s="278" t="s">
        <v>88</v>
      </c>
      <c r="B11" s="364">
        <v>1435833.58</v>
      </c>
      <c r="C11" s="364">
        <v>1435833.58</v>
      </c>
      <c r="D11" s="405"/>
      <c r="E11" s="405"/>
      <c r="F11" s="403">
        <f t="shared" si="1"/>
        <v>0</v>
      </c>
    </row>
    <row r="12" ht="18.0" customHeight="1">
      <c r="A12" s="324" t="s">
        <v>89</v>
      </c>
      <c r="B12" s="364">
        <v>8093.76</v>
      </c>
      <c r="C12" s="405"/>
      <c r="D12" s="405"/>
      <c r="E12" s="405"/>
      <c r="F12" s="403">
        <f t="shared" si="1"/>
        <v>8093.76</v>
      </c>
    </row>
    <row r="13" ht="18.0" customHeight="1">
      <c r="A13" s="278" t="s">
        <v>90</v>
      </c>
      <c r="B13" s="364">
        <v>32375.05</v>
      </c>
      <c r="C13" s="405"/>
      <c r="D13" s="405"/>
      <c r="E13" s="405"/>
      <c r="F13" s="403">
        <f t="shared" si="1"/>
        <v>32375.05</v>
      </c>
    </row>
    <row r="14" ht="18.0" customHeight="1">
      <c r="A14" s="278" t="s">
        <v>91</v>
      </c>
      <c r="B14" s="364">
        <v>1783865.39</v>
      </c>
      <c r="C14" s="364">
        <v>1783865.39</v>
      </c>
      <c r="D14" s="405"/>
      <c r="E14" s="405"/>
      <c r="F14" s="403">
        <f t="shared" si="1"/>
        <v>0</v>
      </c>
    </row>
    <row r="15" ht="18.0" customHeight="1">
      <c r="A15" s="278" t="s">
        <v>92</v>
      </c>
      <c r="B15" s="364">
        <v>32375.05</v>
      </c>
      <c r="C15" s="364">
        <v>32375.05</v>
      </c>
      <c r="D15" s="405"/>
      <c r="E15" s="405"/>
      <c r="F15" s="403">
        <f t="shared" si="1"/>
        <v>0</v>
      </c>
    </row>
    <row r="16" ht="18.0" customHeight="1">
      <c r="A16" s="278" t="s">
        <v>151</v>
      </c>
      <c r="B16" s="364">
        <v>4819026.57</v>
      </c>
      <c r="C16" s="405">
        <f>178983.65+3855221.72+606897-61250-31+139765+5650</f>
        <v>4725236.37</v>
      </c>
      <c r="D16" s="405">
        <f>99440-5650</f>
        <v>93790</v>
      </c>
      <c r="E16" s="405"/>
      <c r="F16" s="403">
        <f t="shared" si="1"/>
        <v>0.2000000002</v>
      </c>
    </row>
    <row r="17" ht="18.0" customHeight="1">
      <c r="A17" s="278" t="s">
        <v>95</v>
      </c>
      <c r="B17" s="364">
        <v>71225.12</v>
      </c>
      <c r="C17" s="368">
        <v>71225.12</v>
      </c>
      <c r="D17" s="405"/>
      <c r="E17" s="405"/>
      <c r="F17" s="403">
        <f t="shared" si="1"/>
        <v>0</v>
      </c>
    </row>
    <row r="18" ht="18.0" customHeight="1">
      <c r="A18" s="278" t="s">
        <v>96</v>
      </c>
      <c r="B18" s="364">
        <v>454869.49</v>
      </c>
      <c r="C18" s="364">
        <f>454869.49-90965</f>
        <v>363904.49</v>
      </c>
      <c r="D18" s="405">
        <v>90965.0</v>
      </c>
      <c r="E18" s="405"/>
      <c r="F18" s="403">
        <f t="shared" si="1"/>
        <v>0</v>
      </c>
    </row>
    <row r="19" ht="18.0" customHeight="1">
      <c r="A19" s="278" t="s">
        <v>97</v>
      </c>
      <c r="B19" s="364">
        <v>1196258.19</v>
      </c>
      <c r="C19" s="364">
        <v>1196258.19</v>
      </c>
      <c r="D19" s="405"/>
      <c r="E19" s="405"/>
      <c r="F19" s="403">
        <f t="shared" si="1"/>
        <v>0</v>
      </c>
    </row>
    <row r="20" ht="18.0" customHeight="1">
      <c r="A20" s="278" t="s">
        <v>98</v>
      </c>
      <c r="B20" s="364">
        <v>25900.04</v>
      </c>
      <c r="C20" s="364">
        <v>25900.04</v>
      </c>
      <c r="D20" s="405"/>
      <c r="E20" s="405"/>
      <c r="F20" s="403">
        <f t="shared" si="1"/>
        <v>0</v>
      </c>
    </row>
    <row r="21" ht="18.0" customHeight="1">
      <c r="A21" s="278" t="s">
        <v>99</v>
      </c>
      <c r="B21" s="364">
        <v>912976.48</v>
      </c>
      <c r="C21" s="368">
        <v>912976.48</v>
      </c>
      <c r="D21" s="405"/>
      <c r="E21" s="405"/>
      <c r="F21" s="403">
        <f t="shared" si="1"/>
        <v>0</v>
      </c>
    </row>
    <row r="22" ht="18.0" customHeight="1">
      <c r="A22" s="278" t="s">
        <v>152</v>
      </c>
      <c r="B22" s="364">
        <v>1.01997603E7</v>
      </c>
      <c r="C22" s="405">
        <f>9997393.3+6295+1224.96</f>
        <v>10004913.26</v>
      </c>
      <c r="D22" s="405">
        <f>202367+85315-6295-1224.96</f>
        <v>280162.04</v>
      </c>
      <c r="E22" s="405"/>
      <c r="F22" s="403">
        <f t="shared" si="1"/>
        <v>-85315</v>
      </c>
    </row>
    <row r="23" ht="18.0" customHeight="1">
      <c r="A23" s="278" t="s">
        <v>153</v>
      </c>
      <c r="B23" s="364">
        <v>1.388404128E7</v>
      </c>
      <c r="C23" s="405">
        <f>2314006.88+2314006.88+2314006.88+2314006.88+2314006.88+2314006.68+739879</f>
        <v>14623920.08</v>
      </c>
      <c r="D23" s="405">
        <f>1748779+129238+96050+225325+577416-739879</f>
        <v>2036929</v>
      </c>
      <c r="E23" s="364">
        <f>13884041.28-2314006.88-2314006.88-2314006.88-2314006.88-2314006.88-2314006.68</f>
        <v>0.1999999997</v>
      </c>
      <c r="F23" s="403">
        <f t="shared" si="1"/>
        <v>-2776808</v>
      </c>
    </row>
    <row r="24" ht="18.0" customHeight="1">
      <c r="A24" s="278" t="s">
        <v>102</v>
      </c>
      <c r="B24" s="364">
        <v>964776.57</v>
      </c>
      <c r="C24" s="405">
        <f>103448.4+475700.55+385627.63</f>
        <v>964776.58</v>
      </c>
      <c r="D24" s="405"/>
      <c r="E24" s="405"/>
      <c r="F24" s="403">
        <f t="shared" si="1"/>
        <v>-0.01000000001</v>
      </c>
    </row>
    <row r="25" ht="18.0" customHeight="1">
      <c r="A25" s="278" t="s">
        <v>104</v>
      </c>
      <c r="B25" s="364">
        <v>394975.64</v>
      </c>
      <c r="C25" s="364">
        <f>150000+230000+14976</f>
        <v>394976</v>
      </c>
      <c r="D25" s="405"/>
      <c r="E25" s="405"/>
      <c r="F25" s="403">
        <f t="shared" si="1"/>
        <v>-0.36</v>
      </c>
    </row>
    <row r="26" ht="18.0" customHeight="1">
      <c r="A26" s="278" t="s">
        <v>105</v>
      </c>
      <c r="B26" s="364">
        <v>59893.85</v>
      </c>
      <c r="C26" s="364">
        <v>59893.85</v>
      </c>
      <c r="D26" s="405"/>
      <c r="E26" s="405"/>
      <c r="F26" s="403">
        <f t="shared" si="1"/>
        <v>0</v>
      </c>
    </row>
    <row r="27" ht="18.0" customHeight="1">
      <c r="A27" s="278" t="s">
        <v>154</v>
      </c>
      <c r="B27" s="364">
        <v>720344.92</v>
      </c>
      <c r="C27" s="368">
        <v>720344.92</v>
      </c>
      <c r="D27" s="405"/>
      <c r="E27" s="405"/>
      <c r="F27" s="403">
        <f t="shared" si="1"/>
        <v>0</v>
      </c>
    </row>
    <row r="28" ht="18.0" customHeight="1">
      <c r="A28" s="278" t="s">
        <v>107</v>
      </c>
      <c r="B28" s="364">
        <v>678257.35</v>
      </c>
      <c r="C28" s="405"/>
      <c r="D28" s="405"/>
      <c r="E28" s="405"/>
      <c r="F28" s="403">
        <f t="shared" si="1"/>
        <v>678257.35</v>
      </c>
    </row>
    <row r="29" ht="18.0" customHeight="1">
      <c r="A29" s="278" t="s">
        <v>108</v>
      </c>
      <c r="B29" s="364">
        <v>8221644.59</v>
      </c>
      <c r="C29" s="405">
        <f>6687842.22+1381252</f>
        <v>8069094.22</v>
      </c>
      <c r="D29" s="405">
        <v>152550.0</v>
      </c>
      <c r="E29" s="405"/>
      <c r="F29" s="403">
        <f t="shared" si="1"/>
        <v>0.3700000001</v>
      </c>
    </row>
    <row r="30" ht="18.0" customHeight="1">
      <c r="A30" s="278" t="s">
        <v>155</v>
      </c>
      <c r="B30" s="364">
        <v>2.691014366E7</v>
      </c>
      <c r="C30" s="406">
        <f>26910143.66-160178+379</f>
        <v>26750344.66</v>
      </c>
      <c r="D30" s="463">
        <f>160178-379</f>
        <v>159799</v>
      </c>
      <c r="E30" s="405"/>
      <c r="F30" s="403">
        <f t="shared" si="1"/>
        <v>0</v>
      </c>
    </row>
    <row r="31" ht="14.25" customHeight="1">
      <c r="A31" s="278" t="s">
        <v>110</v>
      </c>
      <c r="B31" s="420">
        <v>0.0</v>
      </c>
      <c r="C31" s="321">
        <v>0.0</v>
      </c>
      <c r="D31" s="405"/>
      <c r="E31" s="405"/>
      <c r="F31" s="403">
        <f t="shared" si="1"/>
        <v>0</v>
      </c>
      <c r="H31" s="216"/>
      <c r="I31" s="216"/>
    </row>
    <row r="32" ht="18.0" customHeight="1">
      <c r="A32" s="278" t="s">
        <v>112</v>
      </c>
      <c r="B32" s="364">
        <v>29137.55</v>
      </c>
      <c r="C32" s="405">
        <f>17395.21+10305.91+1436.43</f>
        <v>29137.55</v>
      </c>
      <c r="D32" s="405"/>
      <c r="E32" s="405"/>
      <c r="F32" s="403">
        <f t="shared" si="1"/>
        <v>0</v>
      </c>
    </row>
    <row r="33" ht="18.0" customHeight="1">
      <c r="A33" s="278" t="s">
        <v>113</v>
      </c>
      <c r="B33" s="364">
        <v>16187.53</v>
      </c>
      <c r="C33" s="368">
        <v>16187.53</v>
      </c>
      <c r="D33" s="405"/>
      <c r="E33" s="405"/>
      <c r="F33" s="403">
        <f t="shared" si="1"/>
        <v>0</v>
      </c>
    </row>
    <row r="34" ht="18.0" customHeight="1">
      <c r="A34" s="278" t="s">
        <v>114</v>
      </c>
      <c r="B34" s="364">
        <v>50181.33</v>
      </c>
      <c r="C34" s="405">
        <v>50181.33</v>
      </c>
      <c r="D34" s="405"/>
      <c r="E34" s="405"/>
      <c r="F34" s="403">
        <f t="shared" si="1"/>
        <v>0</v>
      </c>
    </row>
    <row r="35" ht="18.0" customHeight="1">
      <c r="A35" s="278" t="s">
        <v>115</v>
      </c>
      <c r="B35" s="364">
        <v>137593.97</v>
      </c>
      <c r="C35" s="364">
        <v>137593.97</v>
      </c>
      <c r="D35" s="405"/>
      <c r="E35" s="405"/>
      <c r="F35" s="403">
        <f t="shared" si="1"/>
        <v>0</v>
      </c>
    </row>
    <row r="36" ht="18.0" customHeight="1">
      <c r="A36" s="278" t="s">
        <v>116</v>
      </c>
      <c r="B36" s="364">
        <v>27518.79</v>
      </c>
      <c r="C36" s="364">
        <v>27518.79</v>
      </c>
      <c r="D36" s="405"/>
      <c r="E36" s="405"/>
      <c r="F36" s="403">
        <f t="shared" si="1"/>
        <v>0</v>
      </c>
    </row>
    <row r="37" ht="18.0" customHeight="1">
      <c r="A37" s="278" t="s">
        <v>117</v>
      </c>
      <c r="B37" s="364">
        <v>4856.26</v>
      </c>
      <c r="C37" s="368">
        <v>4856.26</v>
      </c>
      <c r="D37" s="405"/>
      <c r="E37" s="405"/>
      <c r="F37" s="403">
        <f t="shared" si="1"/>
        <v>0</v>
      </c>
    </row>
    <row r="38" ht="18.0" customHeight="1">
      <c r="A38" s="278" t="s">
        <v>118</v>
      </c>
      <c r="B38" s="364">
        <v>3031923.67</v>
      </c>
      <c r="C38" s="364">
        <v>3031923.67</v>
      </c>
      <c r="D38" s="405"/>
      <c r="E38" s="405"/>
      <c r="F38" s="403">
        <f t="shared" si="1"/>
        <v>0</v>
      </c>
    </row>
    <row r="39" ht="18.0" customHeight="1">
      <c r="A39" s="278" t="s">
        <v>119</v>
      </c>
      <c r="B39" s="364">
        <v>414400.67</v>
      </c>
      <c r="C39" s="364">
        <v>414400.67</v>
      </c>
      <c r="D39" s="405"/>
      <c r="E39" s="405"/>
      <c r="F39" s="403">
        <f t="shared" si="1"/>
        <v>0</v>
      </c>
    </row>
    <row r="40" ht="18.0" customHeight="1">
      <c r="A40" s="278" t="s">
        <v>120</v>
      </c>
      <c r="B40" s="364">
        <v>1265864.55</v>
      </c>
      <c r="C40" s="368">
        <v>1265864.55</v>
      </c>
      <c r="D40" s="405"/>
      <c r="E40" s="405"/>
      <c r="F40" s="403">
        <f t="shared" si="1"/>
        <v>0</v>
      </c>
    </row>
    <row r="41" ht="18.0" customHeight="1">
      <c r="A41" s="278" t="s">
        <v>122</v>
      </c>
      <c r="B41" s="364">
        <v>810995.07</v>
      </c>
      <c r="C41" s="364">
        <f>53940+6290+200765.07+550000</f>
        <v>810995.07</v>
      </c>
      <c r="D41" s="405"/>
      <c r="E41" s="405"/>
      <c r="F41" s="403">
        <f t="shared" si="1"/>
        <v>-0.0000000001164153218</v>
      </c>
    </row>
    <row r="42" ht="18.0" customHeight="1">
      <c r="A42" s="278" t="s">
        <v>123</v>
      </c>
      <c r="B42" s="364">
        <v>853082.63</v>
      </c>
      <c r="C42" s="364">
        <f>13136.63+333082.63+506863</f>
        <v>853082.26</v>
      </c>
      <c r="D42" s="405"/>
      <c r="E42" s="405"/>
      <c r="F42" s="403">
        <f t="shared" si="1"/>
        <v>0.37</v>
      </c>
    </row>
    <row r="43" ht="18.0" customHeight="1">
      <c r="A43" s="278" t="s">
        <v>124</v>
      </c>
      <c r="B43" s="364">
        <v>113312.68</v>
      </c>
      <c r="C43" s="364">
        <v>113312.68</v>
      </c>
      <c r="D43" s="405"/>
      <c r="E43" s="405"/>
      <c r="F43" s="403">
        <f t="shared" si="1"/>
        <v>0</v>
      </c>
    </row>
    <row r="44" ht="18.0" customHeight="1">
      <c r="A44" s="278" t="s">
        <v>125</v>
      </c>
      <c r="B44" s="364">
        <v>1942503.15</v>
      </c>
      <c r="C44" s="405"/>
      <c r="D44" s="405"/>
      <c r="E44" s="405"/>
      <c r="F44" s="403">
        <f t="shared" si="1"/>
        <v>1942503.15</v>
      </c>
    </row>
    <row r="45" ht="18.0" customHeight="1">
      <c r="A45" s="317" t="s">
        <v>126</v>
      </c>
      <c r="B45" s="406">
        <v>2023.06</v>
      </c>
      <c r="C45" s="407">
        <v>2023.06</v>
      </c>
      <c r="D45" s="405"/>
      <c r="E45" s="405"/>
      <c r="F45" s="403">
        <f t="shared" si="1"/>
        <v>0</v>
      </c>
    </row>
    <row r="46" ht="18.0" customHeight="1">
      <c r="A46" s="317" t="s">
        <v>128</v>
      </c>
      <c r="B46" s="364">
        <v>101981.42</v>
      </c>
      <c r="C46" s="364">
        <v>101981.42</v>
      </c>
      <c r="D46" s="405"/>
      <c r="E46" s="405"/>
      <c r="F46" s="403">
        <f t="shared" si="1"/>
        <v>0</v>
      </c>
    </row>
    <row r="47" ht="18.0" customHeight="1">
      <c r="A47" s="278" t="s">
        <v>129</v>
      </c>
      <c r="B47" s="364">
        <v>155400.25</v>
      </c>
      <c r="C47" s="368">
        <v>155400.25</v>
      </c>
      <c r="D47" s="405"/>
      <c r="E47" s="405"/>
      <c r="F47" s="403">
        <f t="shared" si="1"/>
        <v>0</v>
      </c>
    </row>
    <row r="48" ht="18.0" customHeight="1">
      <c r="A48" s="278" t="s">
        <v>131</v>
      </c>
      <c r="B48" s="364">
        <v>4804457.8</v>
      </c>
      <c r="C48" s="405">
        <f>4804302.54-565000+155</f>
        <v>4239457.54</v>
      </c>
      <c r="D48" s="405"/>
      <c r="E48" s="405"/>
      <c r="F48" s="403">
        <f t="shared" si="1"/>
        <v>565000.26</v>
      </c>
    </row>
    <row r="49" ht="18.0" customHeight="1">
      <c r="A49" s="278" t="s">
        <v>156</v>
      </c>
      <c r="B49" s="364">
        <v>1733684.06</v>
      </c>
      <c r="C49" s="364">
        <v>1733684.06</v>
      </c>
      <c r="D49" s="405"/>
      <c r="E49" s="405"/>
      <c r="F49" s="403">
        <f t="shared" si="1"/>
        <v>0</v>
      </c>
    </row>
    <row r="50" ht="18.0" customHeight="1">
      <c r="A50" s="278" t="s">
        <v>133</v>
      </c>
      <c r="B50" s="364">
        <v>1968403.19</v>
      </c>
      <c r="C50" s="364">
        <v>1968403.19</v>
      </c>
      <c r="D50" s="405"/>
      <c r="E50" s="405"/>
      <c r="F50" s="403">
        <f t="shared" si="1"/>
        <v>0</v>
      </c>
    </row>
    <row r="51" ht="18.0" customHeight="1">
      <c r="A51" s="278" t="s">
        <v>134</v>
      </c>
      <c r="B51" s="364">
        <v>1619.0</v>
      </c>
      <c r="C51" s="405"/>
      <c r="D51" s="405"/>
      <c r="E51" s="405"/>
      <c r="F51" s="403">
        <f t="shared" si="1"/>
        <v>1619</v>
      </c>
    </row>
    <row r="52" ht="18.0" customHeight="1">
      <c r="A52" s="278" t="s">
        <v>136</v>
      </c>
      <c r="B52" s="364">
        <v>72843.87</v>
      </c>
      <c r="C52" s="405"/>
      <c r="D52" s="405"/>
      <c r="E52" s="405"/>
      <c r="F52" s="403">
        <f t="shared" si="1"/>
        <v>72843.87</v>
      </c>
    </row>
    <row r="53" ht="18.0" customHeight="1">
      <c r="A53" s="278" t="s">
        <v>138</v>
      </c>
      <c r="B53" s="364">
        <v>1.075175495E7</v>
      </c>
      <c r="C53" s="364">
        <v>1.075175495E7</v>
      </c>
      <c r="D53" s="405"/>
      <c r="E53" s="364"/>
      <c r="F53" s="403">
        <f t="shared" si="1"/>
        <v>0</v>
      </c>
    </row>
    <row r="54" ht="18.0" customHeight="1">
      <c r="A54" s="278" t="s">
        <v>139</v>
      </c>
      <c r="B54" s="364">
        <v>2.933333333E7</v>
      </c>
      <c r="C54" s="405">
        <f>18142783+210137+2388553+4000000-1248140+1946666+1946667+1946667</f>
        <v>29333333</v>
      </c>
      <c r="D54" s="405"/>
      <c r="E54" s="405"/>
      <c r="F54" s="403">
        <f t="shared" si="1"/>
        <v>0.3299999982</v>
      </c>
    </row>
    <row r="55" ht="18.0" customHeight="1">
      <c r="A55" s="369" t="s">
        <v>140</v>
      </c>
      <c r="B55" s="364">
        <v>12950.02</v>
      </c>
      <c r="C55" s="409"/>
      <c r="D55" s="410"/>
      <c r="E55" s="411"/>
      <c r="F55" s="403">
        <f t="shared" si="1"/>
        <v>12950.02</v>
      </c>
    </row>
    <row r="56" ht="18.0" customHeight="1">
      <c r="A56" s="372" t="s">
        <v>143</v>
      </c>
      <c r="B56" s="437">
        <f t="shared" ref="B56:F56" si="2">SUM(B9:B55)</f>
        <v>133344225</v>
      </c>
      <c r="C56" s="438">
        <f t="shared" si="2"/>
        <v>130078509.4</v>
      </c>
      <c r="D56" s="439">
        <f t="shared" si="2"/>
        <v>2814195.04</v>
      </c>
      <c r="E56" s="412">
        <f t="shared" si="2"/>
        <v>0.1999999997</v>
      </c>
      <c r="F56" s="412">
        <f t="shared" si="2"/>
        <v>451520.36</v>
      </c>
    </row>
    <row r="57" ht="14.25" customHeight="1">
      <c r="A57" s="452"/>
      <c r="B57" s="336"/>
      <c r="C57" s="336"/>
      <c r="D57" s="336"/>
      <c r="E57" s="336"/>
      <c r="F57" s="336"/>
    </row>
    <row r="58" ht="14.25" customHeight="1">
      <c r="A58" s="452"/>
      <c r="B58" s="336"/>
      <c r="C58" s="336"/>
      <c r="D58" s="336"/>
      <c r="E58" s="336"/>
      <c r="F58" s="336"/>
    </row>
    <row r="59" ht="14.25" customHeight="1">
      <c r="A59" s="452"/>
      <c r="B59" s="336"/>
      <c r="C59" s="336"/>
      <c r="D59" s="336"/>
      <c r="E59" s="336"/>
      <c r="F59" s="336"/>
    </row>
    <row r="60" ht="14.25" customHeight="1">
      <c r="A60" s="379"/>
      <c r="B60" s="379"/>
      <c r="C60" s="379"/>
      <c r="D60" s="379"/>
      <c r="E60" s="379"/>
      <c r="F60" s="379"/>
    </row>
    <row r="61" ht="14.25" customHeight="1">
      <c r="A61" s="336"/>
      <c r="B61" s="336"/>
      <c r="C61" s="336"/>
      <c r="D61" s="336"/>
      <c r="E61" s="336"/>
      <c r="F61" s="336"/>
    </row>
    <row r="62" ht="14.25" customHeight="1">
      <c r="A62" s="337" t="s">
        <v>159</v>
      </c>
      <c r="B62" s="414">
        <f t="shared" ref="B62:E62" si="3">B12+B13+B15+B18+B20+B25+B32+B34+B41+B44+B46+B47+B51+B52+B55</f>
        <v>4126200.69</v>
      </c>
      <c r="C62" s="414">
        <f t="shared" si="3"/>
        <v>1964851.2</v>
      </c>
      <c r="D62" s="414">
        <f t="shared" si="3"/>
        <v>90965</v>
      </c>
      <c r="E62" s="414">
        <f t="shared" si="3"/>
        <v>0</v>
      </c>
      <c r="F62" s="415">
        <f>B62-C62-D62-E62</f>
        <v>2070384.49</v>
      </c>
    </row>
    <row r="63" ht="14.25" customHeight="1">
      <c r="A63" s="379"/>
      <c r="B63" s="379"/>
      <c r="C63" s="379"/>
      <c r="D63" s="379"/>
      <c r="E63" s="379"/>
      <c r="F63" s="379"/>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29"/>
    <col customWidth="1" min="2" max="2" width="17.0"/>
    <col customWidth="1" min="3" max="3" width="13.71"/>
    <col customWidth="1" min="4" max="4" width="16.43"/>
    <col customWidth="1" min="5" max="5" width="13.29"/>
    <col customWidth="1" min="6" max="6" width="16.0"/>
    <col customWidth="1" min="7" max="26" width="8.71"/>
  </cols>
  <sheetData>
    <row r="1" ht="14.25" customHeight="1">
      <c r="A1" s="464" t="str">
        <f>[1]Status!C1</f>
        <v>#ERROR!</v>
      </c>
      <c r="B1" s="11"/>
      <c r="C1" s="12"/>
      <c r="G1" s="465"/>
    </row>
    <row r="2" ht="14.25" customHeight="1">
      <c r="A2" s="466" t="s">
        <v>1</v>
      </c>
      <c r="D2" s="453"/>
      <c r="G2" s="465"/>
    </row>
    <row r="3" ht="14.25" customHeight="1">
      <c r="A3" s="467" t="s">
        <v>208</v>
      </c>
      <c r="D3" s="468"/>
    </row>
    <row r="4" ht="14.25" customHeight="1"/>
    <row r="5" ht="14.25" customHeight="1">
      <c r="A5" s="455" t="s">
        <v>148</v>
      </c>
    </row>
    <row r="6" ht="14.25" customHeight="1">
      <c r="A6" s="456" t="s">
        <v>209</v>
      </c>
    </row>
    <row r="7" ht="21.0" customHeight="1">
      <c r="A7" s="469" t="str">
        <f>[1]Status!A6</f>
        <v>#ERROR!</v>
      </c>
      <c r="B7" s="298"/>
      <c r="C7" s="298"/>
      <c r="D7" s="298"/>
      <c r="E7" s="298"/>
      <c r="F7" s="298"/>
    </row>
    <row r="8" ht="29.25" customHeight="1">
      <c r="A8" s="226" t="s">
        <v>79</v>
      </c>
      <c r="B8" s="400" t="s">
        <v>80</v>
      </c>
      <c r="C8" s="400" t="s">
        <v>81</v>
      </c>
      <c r="D8" s="400" t="s">
        <v>82</v>
      </c>
      <c r="E8" s="400" t="s">
        <v>83</v>
      </c>
      <c r="F8" s="401" t="s">
        <v>84</v>
      </c>
    </row>
    <row r="9" ht="18.0" customHeight="1">
      <c r="A9" s="356" t="s">
        <v>150</v>
      </c>
      <c r="B9" s="470">
        <f>'YR2006'!B8+'YR2007'!B8+'YR2008'!B9</f>
        <v>7980429.42</v>
      </c>
      <c r="C9" s="470">
        <f>'YR2006'!C8+'YR2007'!C8+'YR2008'!C9</f>
        <v>7850479.42</v>
      </c>
      <c r="D9" s="470">
        <f>'YR2006'!D8+'YR2007'!D8+'YR2008'!D9</f>
        <v>129950</v>
      </c>
      <c r="E9" s="470">
        <f>'YR2006'!E8+'YR2007'!E8+'YR2008'!E9</f>
        <v>0</v>
      </c>
      <c r="F9" s="471">
        <f t="shared" ref="F9:F53" si="1">B9-C9-D9-E9</f>
        <v>0</v>
      </c>
    </row>
    <row r="10" ht="18.0" customHeight="1">
      <c r="A10" s="278" t="s">
        <v>88</v>
      </c>
      <c r="B10" s="470">
        <f>'YR2006'!B9+'YR2007'!B9+'YR2008'!B10</f>
        <v>4306023.15</v>
      </c>
      <c r="C10" s="470">
        <f>'YR2006'!C9+'YR2007'!C9+'YR2008'!C10</f>
        <v>4306023.15</v>
      </c>
      <c r="D10" s="470">
        <f>'YR2006'!D9+'YR2007'!D9+'YR2008'!D10</f>
        <v>0</v>
      </c>
      <c r="E10" s="470">
        <f>'YR2006'!E9+'YR2007'!E9+'YR2008'!E10</f>
        <v>0</v>
      </c>
      <c r="F10" s="403">
        <f t="shared" si="1"/>
        <v>0</v>
      </c>
    </row>
    <row r="11" ht="18.0" customHeight="1">
      <c r="A11" s="324" t="s">
        <v>89</v>
      </c>
      <c r="B11" s="470">
        <f>'YR2006'!B10+'YR2007'!B10+'YR2008'!B11</f>
        <v>25064.16</v>
      </c>
      <c r="C11" s="470">
        <f>'YR2006'!C10+'YR2007'!C10+'YR2008'!C11</f>
        <v>0</v>
      </c>
      <c r="D11" s="470">
        <f>'YR2006'!D10+'YR2007'!D10+'YR2008'!D11</f>
        <v>0</v>
      </c>
      <c r="E11" s="470">
        <f>'YR2006'!E10+'YR2007'!E10+'YR2008'!E11</f>
        <v>0</v>
      </c>
      <c r="F11" s="403">
        <f t="shared" si="1"/>
        <v>25064.16</v>
      </c>
    </row>
    <row r="12" ht="18.0" customHeight="1">
      <c r="A12" s="278" t="s">
        <v>90</v>
      </c>
      <c r="B12" s="470">
        <f>'YR2006'!B11+'YR2007'!B11+'YR2008'!B12</f>
        <v>90231</v>
      </c>
      <c r="C12" s="470">
        <f>'YR2006'!C11+'YR2007'!C11+'YR2008'!C12</f>
        <v>0</v>
      </c>
      <c r="D12" s="470">
        <f>'YR2006'!D11+'YR2007'!D11+'YR2008'!D12</f>
        <v>0</v>
      </c>
      <c r="E12" s="470">
        <f>'YR2006'!E11+'YR2007'!E11+'YR2008'!E12</f>
        <v>0</v>
      </c>
      <c r="F12" s="403">
        <f t="shared" si="1"/>
        <v>90231</v>
      </c>
    </row>
    <row r="13" ht="18.0" customHeight="1">
      <c r="A13" s="278" t="s">
        <v>91</v>
      </c>
      <c r="B13" s="470">
        <f>'YR2006'!B12+'YR2007'!B12+'YR2008'!B13</f>
        <v>5358717.99</v>
      </c>
      <c r="C13" s="470">
        <f>'YR2006'!C12+'YR2007'!C12+'YR2008'!C13</f>
        <v>5358717.99</v>
      </c>
      <c r="D13" s="470">
        <f>'YR2006'!D12+'YR2007'!D12+'YR2008'!D13</f>
        <v>0</v>
      </c>
      <c r="E13" s="470">
        <f>'YR2006'!E12+'YR2007'!E12+'YR2008'!E13</f>
        <v>0</v>
      </c>
      <c r="F13" s="403">
        <f t="shared" si="1"/>
        <v>0</v>
      </c>
    </row>
    <row r="14" ht="18.0" customHeight="1">
      <c r="A14" s="278" t="s">
        <v>92</v>
      </c>
      <c r="B14" s="470">
        <f>'YR2006'!B13+'YR2007'!B13+'YR2008'!B14</f>
        <v>85218.15</v>
      </c>
      <c r="C14" s="470">
        <f>'YR2006'!C13+'YR2007'!C13+'YR2008'!C14</f>
        <v>85218.15</v>
      </c>
      <c r="D14" s="470">
        <f>'YR2006'!D13+'YR2007'!D13+'YR2008'!D14</f>
        <v>0</v>
      </c>
      <c r="E14" s="470">
        <f>'YR2006'!E13+'YR2007'!E13+'YR2008'!E14</f>
        <v>0</v>
      </c>
      <c r="F14" s="403">
        <f t="shared" si="1"/>
        <v>0</v>
      </c>
    </row>
    <row r="15" ht="18.0" customHeight="1">
      <c r="A15" s="278" t="s">
        <v>151</v>
      </c>
      <c r="B15" s="470">
        <f>'YR2006'!B14+'YR2007'!B14+'YR2008'!B15</f>
        <v>14101097.97</v>
      </c>
      <c r="C15" s="470">
        <f>'YR2006'!C14+'YR2007'!C14+'YR2008'!C15</f>
        <v>12495580.72</v>
      </c>
      <c r="D15" s="470">
        <f>'YR2006'!D14+'YR2007'!D14+'YR2008'!D15</f>
        <v>1605517</v>
      </c>
      <c r="E15" s="470">
        <f>'YR2006'!E14+'YR2007'!E14+'YR2008'!E15</f>
        <v>0</v>
      </c>
      <c r="F15" s="403">
        <f t="shared" si="1"/>
        <v>0.2500000019</v>
      </c>
    </row>
    <row r="16" ht="18.0" customHeight="1">
      <c r="A16" s="278" t="s">
        <v>95</v>
      </c>
      <c r="B16" s="470">
        <f>'YR2006'!B15+'YR2007'!B15+'YR2008'!B16</f>
        <v>195500.46</v>
      </c>
      <c r="C16" s="470">
        <f>'YR2006'!C15+'YR2007'!C15+'YR2008'!C16</f>
        <v>195500.46</v>
      </c>
      <c r="D16" s="470">
        <f>'YR2006'!D15+'YR2007'!D15+'YR2008'!D16</f>
        <v>0</v>
      </c>
      <c r="E16" s="470">
        <f>'YR2006'!E15+'YR2007'!E15+'YR2008'!E16</f>
        <v>0</v>
      </c>
      <c r="F16" s="403">
        <f t="shared" si="1"/>
        <v>0</v>
      </c>
    </row>
    <row r="17" ht="18.0" customHeight="1">
      <c r="A17" s="278" t="s">
        <v>96</v>
      </c>
      <c r="B17" s="470">
        <f>'YR2006'!B16+'YR2007'!B16+'YR2008'!B17</f>
        <v>917348.37</v>
      </c>
      <c r="C17" s="470">
        <f>'YR2006'!C16+'YR2007'!C16+'YR2008'!C17</f>
        <v>917348.37</v>
      </c>
      <c r="D17" s="470">
        <f>'YR2006'!D16+'YR2007'!D16+'YR2008'!D17</f>
        <v>0</v>
      </c>
      <c r="E17" s="470">
        <f>'YR2006'!E16+'YR2007'!E16+'YR2008'!E17</f>
        <v>0</v>
      </c>
      <c r="F17" s="403">
        <f t="shared" si="1"/>
        <v>0</v>
      </c>
    </row>
    <row r="18" ht="18.0" customHeight="1">
      <c r="A18" s="278" t="s">
        <v>97</v>
      </c>
      <c r="B18" s="470">
        <f>'YR2006'!B17+'YR2007'!B17+'YR2008'!B18</f>
        <v>3599213.76</v>
      </c>
      <c r="C18" s="470">
        <f>'YR2006'!C17+'YR2007'!C17+'YR2008'!C18</f>
        <v>3599213.76</v>
      </c>
      <c r="D18" s="470">
        <f>'YR2006'!D17+'YR2007'!D17+'YR2008'!D18</f>
        <v>0</v>
      </c>
      <c r="E18" s="470">
        <f>'YR2006'!E17+'YR2007'!E17+'YR2008'!E18</f>
        <v>0</v>
      </c>
      <c r="F18" s="403">
        <f t="shared" si="1"/>
        <v>0</v>
      </c>
    </row>
    <row r="19" ht="18.0" customHeight="1">
      <c r="A19" s="278" t="s">
        <v>98</v>
      </c>
      <c r="B19" s="470">
        <f>'YR2006'!B18+'YR2007'!B18+'YR2008'!B19</f>
        <v>60153.99</v>
      </c>
      <c r="C19" s="470">
        <f>'YR2006'!C18+'YR2007'!C18+'YR2008'!C19</f>
        <v>60153.99</v>
      </c>
      <c r="D19" s="470">
        <f>'YR2006'!D18+'YR2007'!D18+'YR2008'!D19</f>
        <v>0</v>
      </c>
      <c r="E19" s="470">
        <f>'YR2006'!E18+'YR2007'!E18+'YR2008'!E19</f>
        <v>0</v>
      </c>
      <c r="F19" s="403">
        <f t="shared" si="1"/>
        <v>0</v>
      </c>
    </row>
    <row r="20" ht="18.0" customHeight="1">
      <c r="A20" s="278" t="s">
        <v>99</v>
      </c>
      <c r="B20" s="470">
        <f>'YR2006'!B19+'YR2007'!B19+'YR2008'!B20</f>
        <v>2671839.75</v>
      </c>
      <c r="C20" s="470">
        <f>'YR2006'!C19+'YR2007'!C19+'YR2008'!C20</f>
        <v>2671839.75</v>
      </c>
      <c r="D20" s="470">
        <f>'YR2006'!D19+'YR2007'!D19+'YR2008'!D20</f>
        <v>0</v>
      </c>
      <c r="E20" s="470">
        <f>'YR2006'!E19+'YR2007'!E19+'YR2008'!E20</f>
        <v>0</v>
      </c>
      <c r="F20" s="403">
        <f t="shared" si="1"/>
        <v>0</v>
      </c>
    </row>
    <row r="21" ht="18.0" customHeight="1">
      <c r="A21" s="278" t="s">
        <v>152</v>
      </c>
      <c r="B21" s="470">
        <f>'YR2006'!B20+'YR2007'!B20+'YR2008'!B21</f>
        <v>30227380.29</v>
      </c>
      <c r="C21" s="470">
        <f>'YR2006'!C20+'YR2007'!C20+'YR2008'!C21</f>
        <v>27935225.86</v>
      </c>
      <c r="D21" s="470">
        <f>'YR2006'!D20+'YR2007'!D20+'YR2008'!D21</f>
        <v>2200829</v>
      </c>
      <c r="E21" s="470">
        <f>'YR2006'!E20+'YR2007'!E20+'YR2008'!E21</f>
        <v>0</v>
      </c>
      <c r="F21" s="403">
        <f t="shared" si="1"/>
        <v>91325.43</v>
      </c>
    </row>
    <row r="22" ht="18.0" customHeight="1">
      <c r="A22" s="278" t="s">
        <v>210</v>
      </c>
      <c r="B22" s="470">
        <f>'YR2006'!B21+'YR2007'!B21+'YR2008'!B22</f>
        <v>43421155.56</v>
      </c>
      <c r="C22" s="470">
        <f>'YR2006'!C21+'YR2007'!C21+'YR2008'!C22</f>
        <v>34578521.89</v>
      </c>
      <c r="D22" s="470">
        <f>'YR2006'!D21+'YR2007'!D21+'YR2008'!D22</f>
        <v>8901757</v>
      </c>
      <c r="E22" s="470">
        <f>'YR2006'!E21+'YR2007'!E21+'YR2008'!E22-1</f>
        <v>-0.4400000004</v>
      </c>
      <c r="F22" s="403">
        <f t="shared" si="1"/>
        <v>-59122.89</v>
      </c>
    </row>
    <row r="23" ht="18.0" customHeight="1">
      <c r="A23" s="278" t="s">
        <v>102</v>
      </c>
      <c r="B23" s="470">
        <f>'YR2006'!B22+'YR2007'!B22+'YR2008'!B23</f>
        <v>2656801.26</v>
      </c>
      <c r="C23" s="470">
        <f>'YR2006'!C22+'YR2007'!C22+'YR2008'!C23</f>
        <v>1527311.36</v>
      </c>
      <c r="D23" s="470">
        <f>'YR2006'!D22+'YR2007'!D22+'YR2008'!D23</f>
        <v>0</v>
      </c>
      <c r="E23" s="470">
        <f>'YR2006'!E22+'YR2007'!E22+'YR2008'!E23</f>
        <v>0</v>
      </c>
      <c r="F23" s="403">
        <f t="shared" si="1"/>
        <v>1129489.9</v>
      </c>
    </row>
    <row r="24" ht="18.0" customHeight="1">
      <c r="A24" s="278" t="s">
        <v>104</v>
      </c>
      <c r="B24" s="470">
        <f>'YR2006'!B23+'YR2007'!B23+'YR2008'!B24</f>
        <v>631616.91</v>
      </c>
      <c r="C24" s="470">
        <f>'YR2006'!C23+'YR2007'!C23+'YR2008'!C24</f>
        <v>631616.91</v>
      </c>
      <c r="D24" s="470">
        <f>'YR2006'!D23+'YR2007'!D23+'YR2008'!D24</f>
        <v>0</v>
      </c>
      <c r="E24" s="470">
        <f>'YR2006'!E23+'YR2007'!E23+'YR2008'!E24</f>
        <v>0</v>
      </c>
      <c r="F24" s="403">
        <f t="shared" si="1"/>
        <v>0</v>
      </c>
    </row>
    <row r="25" ht="18.0" customHeight="1">
      <c r="A25" s="278" t="s">
        <v>105</v>
      </c>
      <c r="B25" s="470">
        <f>'YR2006'!B24+'YR2007'!B24+'YR2008'!B25</f>
        <v>170436.3</v>
      </c>
      <c r="C25" s="470">
        <f>'YR2006'!C24+'YR2007'!C24+'YR2008'!C25</f>
        <v>170436.3</v>
      </c>
      <c r="D25" s="470">
        <f>'YR2006'!D24+'YR2007'!D24+'YR2008'!D25</f>
        <v>0</v>
      </c>
      <c r="E25" s="470">
        <f>'YR2006'!E24+'YR2007'!E24+'YR2008'!E25</f>
        <v>0</v>
      </c>
      <c r="F25" s="403">
        <f t="shared" si="1"/>
        <v>0</v>
      </c>
    </row>
    <row r="26" ht="18.0" customHeight="1">
      <c r="A26" s="278" t="s">
        <v>154</v>
      </c>
      <c r="B26" s="470">
        <f>'YR2006'!B25+'YR2007'!B25+'YR2008'!B26</f>
        <v>1754491.38</v>
      </c>
      <c r="C26" s="470">
        <f>'YR2006'!C25+'YR2007'!C25+'YR2008'!C26</f>
        <v>1754491.38</v>
      </c>
      <c r="D26" s="470">
        <f>'YR2006'!D25+'YR2007'!D25+'YR2008'!D26</f>
        <v>0</v>
      </c>
      <c r="E26" s="470">
        <f>'YR2006'!E25+'YR2007'!E25+'YR2008'!E26</f>
        <v>0</v>
      </c>
      <c r="F26" s="403">
        <f t="shared" si="1"/>
        <v>0</v>
      </c>
    </row>
    <row r="27" ht="18.0" customHeight="1">
      <c r="A27" s="278" t="s">
        <v>107</v>
      </c>
      <c r="B27" s="470">
        <f>'YR2006'!B26+'YR2007'!B26+'YR2008'!B27</f>
        <v>2340992.79</v>
      </c>
      <c r="C27" s="470">
        <f>'YR2006'!C26+'YR2007'!C26+'YR2008'!C27</f>
        <v>0</v>
      </c>
      <c r="D27" s="405">
        <v>32347.0</v>
      </c>
      <c r="E27" s="405">
        <v>0.0</v>
      </c>
      <c r="F27" s="403">
        <f t="shared" si="1"/>
        <v>2308645.79</v>
      </c>
    </row>
    <row r="28" ht="18.0" customHeight="1">
      <c r="A28" s="278" t="s">
        <v>108</v>
      </c>
      <c r="B28" s="470">
        <f>'YR2006'!B27+'YR2007'!B27+'YR2008'!B28</f>
        <v>24487687.02</v>
      </c>
      <c r="C28" s="470">
        <f>'YR2006'!C27+'YR2007'!C27+'YR2008'!C28</f>
        <v>19807792.41</v>
      </c>
      <c r="D28" s="470">
        <f>'YR2006'!D27+'YR2007'!D27+'YR2008'!D28</f>
        <v>4679895.06</v>
      </c>
      <c r="E28" s="470">
        <f>'YR2006'!E27+'YR2007'!E27+'YR2008'!E28</f>
        <v>0</v>
      </c>
      <c r="F28" s="403">
        <f t="shared" si="1"/>
        <v>-0.4500000048</v>
      </c>
    </row>
    <row r="29" ht="18.0" customHeight="1">
      <c r="A29" s="278" t="s">
        <v>155</v>
      </c>
      <c r="B29" s="470">
        <f>'YR2006'!B28+'YR2007'!B28+'YR2008'!B29</f>
        <v>88088000.01</v>
      </c>
      <c r="C29" s="470">
        <f>'YR2006'!C28+'YR2007'!C28+'YR2008'!C29</f>
        <v>87201010.01</v>
      </c>
      <c r="D29" s="470">
        <f>'YR2006'!D28+'YR2007'!D28+'YR2008'!D29</f>
        <v>886990</v>
      </c>
      <c r="E29" s="470">
        <f>'YR2006'!E28+'YR2007'!E28+'YR2008'!E29</f>
        <v>0</v>
      </c>
      <c r="F29" s="403">
        <f t="shared" si="1"/>
        <v>0</v>
      </c>
    </row>
    <row r="30" ht="14.25" customHeight="1">
      <c r="A30" s="278" t="s">
        <v>110</v>
      </c>
      <c r="B30" s="470">
        <f>'YR2006'!B29+'YR2007'!B29+'YR2008'!B30</f>
        <v>0</v>
      </c>
      <c r="C30" s="470">
        <f>'YR2006'!C29+'YR2007'!C29+'YR2008'!C30</f>
        <v>0</v>
      </c>
      <c r="D30" s="470">
        <f>'YR2006'!D29+'YR2007'!D29+'YR2008'!D30</f>
        <v>0</v>
      </c>
      <c r="E30" s="470">
        <f>'YR2006'!E29+'YR2007'!E29+'YR2008'!E30</f>
        <v>0</v>
      </c>
      <c r="F30" s="403">
        <f t="shared" si="1"/>
        <v>0</v>
      </c>
      <c r="H30" s="216"/>
      <c r="I30" s="216"/>
    </row>
    <row r="31" ht="18.0" customHeight="1">
      <c r="A31" s="278" t="s">
        <v>112</v>
      </c>
      <c r="B31" s="470">
        <f>'YR2006'!B30+'YR2007'!B30+'YR2008'!B31</f>
        <v>75192.48</v>
      </c>
      <c r="C31" s="470">
        <f>'YR2006'!C30+'YR2007'!C30+'YR2008'!C31</f>
        <v>75192.48</v>
      </c>
      <c r="D31" s="470">
        <f>'YR2006'!D30+'YR2007'!D30+'YR2008'!D31</f>
        <v>0</v>
      </c>
      <c r="E31" s="470">
        <f>'YR2006'!E30+'YR2007'!E30+'YR2008'!E31</f>
        <v>0</v>
      </c>
      <c r="F31" s="403">
        <f t="shared" si="1"/>
        <v>0</v>
      </c>
    </row>
    <row r="32" ht="18.0" customHeight="1">
      <c r="A32" s="278" t="s">
        <v>113</v>
      </c>
      <c r="B32" s="470">
        <f>'YR2006'!B31+'YR2007'!B31+'YR2008'!B32</f>
        <v>25064.16</v>
      </c>
      <c r="C32" s="470">
        <f>'YR2006'!C31+'YR2007'!C31+'YR2008'!C32</f>
        <v>25064.16</v>
      </c>
      <c r="D32" s="470">
        <f>'YR2006'!D31+'YR2007'!D31+'YR2008'!D32</f>
        <v>0</v>
      </c>
      <c r="E32" s="470">
        <f>'YR2006'!E31+'YR2007'!E31+'YR2008'!E32</f>
        <v>0</v>
      </c>
      <c r="F32" s="403">
        <f t="shared" si="1"/>
        <v>0</v>
      </c>
    </row>
    <row r="33" ht="18.0" customHeight="1">
      <c r="A33" s="278" t="s">
        <v>114</v>
      </c>
      <c r="B33" s="470">
        <f>'YR2006'!B32+'YR2007'!B32+'YR2008'!B33</f>
        <v>120307.98</v>
      </c>
      <c r="C33" s="470">
        <f>'YR2006'!C32+'YR2007'!C32+'YR2008'!C33</f>
        <v>80205.76</v>
      </c>
      <c r="D33" s="470">
        <f>'YR2006'!D32+'YR2007'!D32+'YR2008'!D33</f>
        <v>0</v>
      </c>
      <c r="E33" s="470">
        <f>'YR2006'!E32+'YR2007'!E32+'YR2008'!E33</f>
        <v>0</v>
      </c>
      <c r="F33" s="403">
        <f t="shared" si="1"/>
        <v>40102.22</v>
      </c>
    </row>
    <row r="34" ht="18.0" customHeight="1">
      <c r="A34" s="278" t="s">
        <v>115</v>
      </c>
      <c r="B34" s="470">
        <f>'YR2006'!B33+'YR2007'!B33+'YR2008'!B34</f>
        <v>385988.1</v>
      </c>
      <c r="C34" s="470">
        <f>'YR2006'!C33+'YR2007'!C33+'YR2008'!C34</f>
        <v>385988.1</v>
      </c>
      <c r="D34" s="470">
        <f>'YR2006'!D33+'YR2007'!D33+'YR2008'!D34</f>
        <v>0</v>
      </c>
      <c r="E34" s="470">
        <f>'YR2006'!E33+'YR2007'!E33+'YR2008'!E34</f>
        <v>0</v>
      </c>
      <c r="F34" s="403">
        <f t="shared" si="1"/>
        <v>0</v>
      </c>
    </row>
    <row r="35" ht="18.0" customHeight="1">
      <c r="A35" s="278" t="s">
        <v>116</v>
      </c>
      <c r="B35" s="470">
        <f>'YR2006'!B34+'YR2007'!B34+'YR2008'!B35</f>
        <v>70179.66</v>
      </c>
      <c r="C35" s="470">
        <f>'YR2006'!C34+'YR2007'!C34+'YR2008'!C35</f>
        <v>70179.66</v>
      </c>
      <c r="D35" s="470">
        <f>'YR2006'!D34+'YR2007'!D34+'YR2008'!D35</f>
        <v>0</v>
      </c>
      <c r="E35" s="470">
        <f>'YR2006'!E34+'YR2007'!E34+'YR2008'!E35</f>
        <v>0</v>
      </c>
      <c r="F35" s="403">
        <f t="shared" si="1"/>
        <v>0</v>
      </c>
    </row>
    <row r="36" ht="18.0" customHeight="1">
      <c r="A36" s="278" t="s">
        <v>117</v>
      </c>
      <c r="B36" s="470">
        <f>'YR2006'!B35+'YR2007'!B35+'YR2008'!B36</f>
        <v>15038.49</v>
      </c>
      <c r="C36" s="470">
        <f>'YR2006'!C35+'YR2007'!C35+'YR2008'!C36</f>
        <v>15038.49</v>
      </c>
      <c r="D36" s="470">
        <f>'YR2006'!D35+'YR2007'!D35+'YR2008'!D36</f>
        <v>0</v>
      </c>
      <c r="E36" s="470">
        <f>'YR2006'!E35+'YR2007'!E35+'YR2008'!E36</f>
        <v>0</v>
      </c>
      <c r="F36" s="403">
        <f t="shared" si="1"/>
        <v>0</v>
      </c>
    </row>
    <row r="37" ht="18.0" customHeight="1">
      <c r="A37" s="278" t="s">
        <v>118</v>
      </c>
      <c r="B37" s="470">
        <f>'YR2006'!B36+'YR2007'!B36+'YR2008'!B37</f>
        <v>8471687.01</v>
      </c>
      <c r="C37" s="470">
        <f>'YR2006'!C36+'YR2007'!C36+'YR2008'!C37</f>
        <v>8471687.01</v>
      </c>
      <c r="D37" s="470">
        <f>'YR2006'!D36+'YR2007'!D36+'YR2008'!D37</f>
        <v>0</v>
      </c>
      <c r="E37" s="470">
        <f>'YR2006'!E36+'YR2007'!E36+'YR2008'!E37</f>
        <v>0</v>
      </c>
      <c r="F37" s="403">
        <f t="shared" si="1"/>
        <v>0</v>
      </c>
    </row>
    <row r="38" ht="18.0" customHeight="1">
      <c r="A38" s="278" t="s">
        <v>119</v>
      </c>
      <c r="B38" s="470">
        <f>'YR2006'!B37+'YR2007'!B37+'YR2008'!B38</f>
        <v>1107835.98</v>
      </c>
      <c r="C38" s="470">
        <f>'YR2006'!C37+'YR2007'!C37+'YR2008'!C38</f>
        <v>1107835.98</v>
      </c>
      <c r="D38" s="470">
        <f>'YR2006'!D37+'YR2007'!D37+'YR2008'!D38</f>
        <v>0</v>
      </c>
      <c r="E38" s="470">
        <f>'YR2006'!E37+'YR2007'!E37+'YR2008'!E38</f>
        <v>0</v>
      </c>
      <c r="F38" s="403">
        <f t="shared" si="1"/>
        <v>0</v>
      </c>
    </row>
    <row r="39" ht="18.0" customHeight="1">
      <c r="A39" s="278" t="s">
        <v>120</v>
      </c>
      <c r="B39" s="470">
        <f>'YR2006'!B38+'YR2007'!B38+'YR2008'!B39</f>
        <v>3403713.3</v>
      </c>
      <c r="C39" s="470">
        <f>'YR2006'!C38+'YR2007'!C38+'YR2008'!C39</f>
        <v>3403713.3</v>
      </c>
      <c r="D39" s="470">
        <f>'YR2006'!D38+'YR2007'!D38+'YR2008'!D39</f>
        <v>0</v>
      </c>
      <c r="E39" s="470">
        <f>'YR2006'!E38+'YR2007'!E38+'YR2008'!E39</f>
        <v>0</v>
      </c>
      <c r="F39" s="403">
        <f t="shared" si="1"/>
        <v>0</v>
      </c>
    </row>
    <row r="40" ht="18.0" customHeight="1">
      <c r="A40" s="278" t="s">
        <v>122</v>
      </c>
      <c r="B40" s="470">
        <f>'YR2006'!B39+'YR2007'!B39+'YR2008'!B40</f>
        <v>2310915.81</v>
      </c>
      <c r="C40" s="470">
        <f>'YR2006'!C39+'YR2007'!C39+'YR2008'!C40</f>
        <v>2310915.54</v>
      </c>
      <c r="D40" s="470">
        <f>'YR2006'!D39+'YR2007'!D39+'YR2008'!D40</f>
        <v>0</v>
      </c>
      <c r="E40" s="470">
        <f>'YR2006'!E39+'YR2007'!E39+'YR2008'!E40</f>
        <v>0</v>
      </c>
      <c r="F40" s="403">
        <f t="shared" si="1"/>
        <v>0.27</v>
      </c>
    </row>
    <row r="41" ht="18.0" customHeight="1">
      <c r="A41" s="278" t="s">
        <v>123</v>
      </c>
      <c r="B41" s="470">
        <f>'YR2006'!B40+'YR2007'!B40+'YR2008'!B41</f>
        <v>2356031.31</v>
      </c>
      <c r="C41" s="470">
        <f>'YR2006'!C40+'YR2007'!C40+'YR2008'!C41</f>
        <v>2356031.04</v>
      </c>
      <c r="D41" s="470">
        <f>'YR2006'!D40+'YR2007'!D40+'YR2008'!D41</f>
        <v>0</v>
      </c>
      <c r="E41" s="470">
        <f>'YR2006'!E40+'YR2007'!E40+'YR2008'!E41</f>
        <v>0</v>
      </c>
      <c r="F41" s="403">
        <f t="shared" si="1"/>
        <v>0.27</v>
      </c>
    </row>
    <row r="42" ht="18.0" customHeight="1">
      <c r="A42" s="278" t="s">
        <v>124</v>
      </c>
      <c r="B42" s="470">
        <f>'YR2006'!B41+'YR2007'!B41+'YR2008'!B42</f>
        <v>100122.35</v>
      </c>
      <c r="C42" s="470">
        <f>'YR2006'!C41+'YR2007'!C41+'YR2008'!C42</f>
        <v>100122.35</v>
      </c>
      <c r="D42" s="470">
        <f>'YR2006'!D41+'YR2007'!D41+'YR2008'!D42</f>
        <v>0</v>
      </c>
      <c r="E42" s="470">
        <f>'YR2006'!E41+'YR2007'!E41+'YR2008'!E42</f>
        <v>0</v>
      </c>
      <c r="F42" s="403">
        <f t="shared" si="1"/>
        <v>0</v>
      </c>
    </row>
    <row r="43" ht="18.0" customHeight="1">
      <c r="A43" s="278" t="s">
        <v>125</v>
      </c>
      <c r="B43" s="470">
        <f>'YR2006'!B42+'YR2007'!B42+'YR2008'!B43</f>
        <v>5514115.8</v>
      </c>
      <c r="C43" s="470">
        <f>'YR2006'!C42+'YR2007'!C42+'YR2008'!C43</f>
        <v>0</v>
      </c>
      <c r="D43" s="470">
        <f>'YR2006'!D42+'YR2007'!D42+'YR2008'!D43</f>
        <v>0</v>
      </c>
      <c r="E43" s="470">
        <f>'YR2006'!E42+'YR2007'!E42+'YR2008'!E43</f>
        <v>0</v>
      </c>
      <c r="F43" s="403">
        <f t="shared" si="1"/>
        <v>5514115.8</v>
      </c>
    </row>
    <row r="44" ht="18.0" customHeight="1">
      <c r="A44" s="278" t="s">
        <v>128</v>
      </c>
      <c r="B44" s="470">
        <f>'YR2006'!B43+'YR2007'!B43+'YR2008'!B44</f>
        <v>255654.45</v>
      </c>
      <c r="C44" s="470">
        <f>'YR2006'!C43+'YR2007'!C43+'YR2008'!C44</f>
        <v>255654.45</v>
      </c>
      <c r="D44" s="470">
        <f>'YR2006'!D43+'YR2007'!D43+'YR2008'!D44</f>
        <v>0</v>
      </c>
      <c r="E44" s="470">
        <f>'YR2006'!E43+'YR2007'!E43+'YR2008'!E44</f>
        <v>0</v>
      </c>
      <c r="F44" s="403">
        <f t="shared" si="1"/>
        <v>0</v>
      </c>
    </row>
    <row r="45" ht="18.0" customHeight="1">
      <c r="A45" s="278" t="s">
        <v>129</v>
      </c>
      <c r="B45" s="470">
        <f>'YR2006'!B44+'YR2007'!B44+'YR2008'!B45</f>
        <v>411052.26</v>
      </c>
      <c r="C45" s="470">
        <f>'YR2006'!C44+'YR2007'!C44+'YR2008'!C45</f>
        <v>411052.26</v>
      </c>
      <c r="D45" s="470">
        <f>'YR2006'!D44+'YR2007'!D44+'YR2008'!D45</f>
        <v>0</v>
      </c>
      <c r="E45" s="470">
        <f>'YR2006'!E44+'YR2007'!E44+'YR2008'!E45</f>
        <v>0</v>
      </c>
      <c r="F45" s="403">
        <f t="shared" si="1"/>
        <v>0</v>
      </c>
    </row>
    <row r="46" ht="18.0" customHeight="1">
      <c r="A46" s="278" t="s">
        <v>131</v>
      </c>
      <c r="B46" s="470">
        <f>'YR2006'!B45+'YR2007'!B45+'YR2008'!B46</f>
        <v>12632338.02</v>
      </c>
      <c r="C46" s="470">
        <f>'YR2006'!C45+'YR2007'!C45+'YR2008'!C46</f>
        <v>12474061.02</v>
      </c>
      <c r="D46" s="470">
        <f>'YR2006'!D45+'YR2007'!D45+'YR2008'!D46</f>
        <v>727677</v>
      </c>
      <c r="E46" s="470">
        <f>'YR2006'!E45+'YR2007'!E45+'YR2008'!E46</f>
        <v>0</v>
      </c>
      <c r="F46" s="403">
        <f t="shared" si="1"/>
        <v>-569400</v>
      </c>
    </row>
    <row r="47" ht="18.0" customHeight="1">
      <c r="A47" s="278" t="s">
        <v>156</v>
      </c>
      <c r="B47" s="470">
        <f>'YR2006'!B46+'YR2007'!B46+'YR2008'!B47</f>
        <v>5002806.9</v>
      </c>
      <c r="C47" s="470">
        <f>'YR2006'!C46+'YR2007'!C46+'YR2008'!C47</f>
        <v>5002806.9</v>
      </c>
      <c r="D47" s="470">
        <f>'YR2006'!D46+'YR2007'!D46+'YR2008'!D47</f>
        <v>0</v>
      </c>
      <c r="E47" s="470">
        <f>'YR2006'!E46+'YR2007'!E46+'YR2008'!E47</f>
        <v>0</v>
      </c>
      <c r="F47" s="403">
        <f t="shared" si="1"/>
        <v>0</v>
      </c>
    </row>
    <row r="48" ht="18.0" customHeight="1">
      <c r="A48" s="278" t="s">
        <v>133</v>
      </c>
      <c r="B48" s="470">
        <f>'YR2006'!B47+'YR2007'!B47+'YR2008'!B48</f>
        <v>6000360.57</v>
      </c>
      <c r="C48" s="470">
        <f>'YR2006'!C47+'YR2007'!C47+'YR2008'!C48</f>
        <v>5203788.57</v>
      </c>
      <c r="D48" s="470">
        <f>'YR2006'!D47+'YR2007'!D47+'YR2008'!D48</f>
        <v>506557</v>
      </c>
      <c r="E48" s="470">
        <f>'YR2006'!E47+'YR2007'!E47+'YR2008'!E48</f>
        <v>0</v>
      </c>
      <c r="F48" s="403">
        <f t="shared" si="1"/>
        <v>290015</v>
      </c>
    </row>
    <row r="49" ht="18.0" customHeight="1">
      <c r="A49" s="278" t="s">
        <v>134</v>
      </c>
      <c r="B49" s="470">
        <f>'YR2006'!B48+'YR2007'!B48+'YR2008'!B49</f>
        <v>5012.82</v>
      </c>
      <c r="C49" s="470">
        <f>'YR2006'!C48+'YR2007'!C48+'YR2008'!C49</f>
        <v>0</v>
      </c>
      <c r="D49" s="470">
        <f>'YR2006'!D48+'YR2007'!D48+'YR2008'!D49</f>
        <v>0</v>
      </c>
      <c r="E49" s="470">
        <f>'YR2006'!E48+'YR2007'!E48+'YR2008'!E49</f>
        <v>0</v>
      </c>
      <c r="F49" s="403">
        <f t="shared" si="1"/>
        <v>5012.82</v>
      </c>
    </row>
    <row r="50" ht="18.0" customHeight="1">
      <c r="A50" s="278" t="s">
        <v>136</v>
      </c>
      <c r="B50" s="470">
        <f>'YR2006'!B49+'YR2007'!B49+'YR2008'!B50</f>
        <v>195500.46</v>
      </c>
      <c r="C50" s="470">
        <f>'YR2006'!C49+'YR2007'!C49+'YR2008'!C50</f>
        <v>0</v>
      </c>
      <c r="D50" s="470">
        <f>'YR2006'!D49+'YR2007'!D49+'YR2008'!D50</f>
        <v>0</v>
      </c>
      <c r="E50" s="470">
        <f>'YR2006'!E49+'YR2007'!E49+'YR2008'!E50</f>
        <v>0</v>
      </c>
      <c r="F50" s="403">
        <f t="shared" si="1"/>
        <v>195500.46</v>
      </c>
    </row>
    <row r="51" ht="18.0" customHeight="1">
      <c r="A51" s="278" t="s">
        <v>138</v>
      </c>
      <c r="B51" s="470">
        <f>'YR2006'!B50+'YR2007'!B50+'YR2008'!B51</f>
        <v>30713625.03</v>
      </c>
      <c r="C51" s="470">
        <f>'YR2006'!C50+'YR2007'!C50+'YR2008'!C51</f>
        <v>30713625.03</v>
      </c>
      <c r="D51" s="470">
        <f>'YR2006'!D50+'YR2007'!D50+'YR2008'!D51</f>
        <v>0</v>
      </c>
      <c r="E51" s="470">
        <f>'YR2006'!E50+'YR2007'!E50+'YR2008'!E51</f>
        <v>0</v>
      </c>
      <c r="F51" s="403">
        <f t="shared" si="1"/>
        <v>0</v>
      </c>
    </row>
    <row r="52" ht="18.0" customHeight="1">
      <c r="A52" s="278" t="s">
        <v>211</v>
      </c>
      <c r="B52" s="470">
        <f>'YR2006'!B51+'YR2007'!B51+'YR2008'!B52</f>
        <v>55616358.01</v>
      </c>
      <c r="C52" s="470">
        <f>'YR2006'!C51+'YR2007'!C51+'YR2008'!C52</f>
        <v>55616359</v>
      </c>
      <c r="D52" s="470">
        <f>'YR2006'!D51+'YR2007'!D51+'YR2008'!D52</f>
        <v>0</v>
      </c>
      <c r="E52" s="470">
        <f>'YR2006'!E51+'YR2007'!E51+'YR2008'!E52</f>
        <v>0</v>
      </c>
      <c r="F52" s="403">
        <f t="shared" si="1"/>
        <v>-0.9899999946</v>
      </c>
    </row>
    <row r="53" ht="18.0" customHeight="1">
      <c r="A53" s="350" t="s">
        <v>140</v>
      </c>
      <c r="B53" s="470">
        <f>'YR2006'!B52+'YR2007'!B52+'YR2008'!B53</f>
        <v>70179.66</v>
      </c>
      <c r="C53" s="470">
        <f>'YR2006'!C52+'YR2007'!C52+'YR2008'!C53</f>
        <v>0</v>
      </c>
      <c r="D53" s="470">
        <f>'YR2006'!D52+'YR2007'!D52+'YR2008'!D53</f>
        <v>0</v>
      </c>
      <c r="E53" s="470">
        <f>'YR2006'!E52+'YR2007'!E52+'YR2008'!E53</f>
        <v>0</v>
      </c>
      <c r="F53" s="472">
        <f t="shared" si="1"/>
        <v>70179.66</v>
      </c>
    </row>
    <row r="54" ht="14.25" customHeight="1">
      <c r="A54" s="372" t="s">
        <v>141</v>
      </c>
      <c r="B54" s="373">
        <f t="shared" ref="B54:F54" si="2">SUM(B9:B53)</f>
        <v>368028480.3</v>
      </c>
      <c r="C54" s="412">
        <f t="shared" si="2"/>
        <v>339225803</v>
      </c>
      <c r="D54" s="412">
        <f t="shared" si="2"/>
        <v>19671519.06</v>
      </c>
      <c r="E54" s="412">
        <f t="shared" si="2"/>
        <v>-0.4400000004</v>
      </c>
      <c r="F54" s="413">
        <f t="shared" si="2"/>
        <v>9131158.7</v>
      </c>
    </row>
    <row r="55" ht="14.25" customHeight="1">
      <c r="A55" s="473" t="s">
        <v>212</v>
      </c>
      <c r="B55" s="474">
        <f>'YR2007'!B54+'YR2008'!B55</f>
        <v>32471642</v>
      </c>
      <c r="C55" s="412">
        <v>0.0</v>
      </c>
      <c r="D55" s="412">
        <v>0.0</v>
      </c>
      <c r="E55" s="412">
        <v>0.0</v>
      </c>
      <c r="F55" s="403">
        <f>B55-C55-D55-E55</f>
        <v>32471642</v>
      </c>
    </row>
    <row r="56" ht="14.25" customHeight="1">
      <c r="A56" s="372" t="s">
        <v>143</v>
      </c>
      <c r="B56" s="373">
        <f t="shared" ref="B56:F56" si="3">B54+B55</f>
        <v>400500122.3</v>
      </c>
      <c r="C56" s="373">
        <f t="shared" si="3"/>
        <v>339225803</v>
      </c>
      <c r="D56" s="373">
        <f t="shared" si="3"/>
        <v>19671519.06</v>
      </c>
      <c r="E56" s="373">
        <f t="shared" si="3"/>
        <v>-0.4400000004</v>
      </c>
      <c r="F56" s="373">
        <f t="shared" si="3"/>
        <v>41602800.7</v>
      </c>
    </row>
    <row r="57" ht="14.25" customHeight="1">
      <c r="A57" s="475" t="s">
        <v>213</v>
      </c>
      <c r="B57" s="476"/>
      <c r="C57" s="476"/>
      <c r="D57" s="476"/>
      <c r="E57" s="476"/>
      <c r="F57" s="476"/>
    </row>
    <row r="58" ht="14.25" customHeight="1"/>
    <row r="59" ht="14.25" customHeight="1">
      <c r="A59" s="442" t="s">
        <v>214</v>
      </c>
      <c r="B59" s="477"/>
      <c r="C59" s="478"/>
      <c r="D59" s="478"/>
      <c r="E59" s="478"/>
      <c r="F59" s="478"/>
    </row>
    <row r="60" ht="14.25" customHeight="1">
      <c r="A60" s="479"/>
      <c r="B60" s="480"/>
      <c r="C60" s="481"/>
      <c r="D60" s="481"/>
      <c r="E60" s="481"/>
      <c r="F60" s="481"/>
    </row>
    <row r="61" ht="14.25" customHeight="1"/>
    <row r="62" ht="14.25" customHeight="1">
      <c r="A62" s="337" t="s">
        <v>159</v>
      </c>
      <c r="B62" s="414">
        <f t="shared" ref="B62:F62" si="4">B11+B12+B14+B17+B19+B24+B31+B33+B40+B43+B44+B45+B49+B50+B53</f>
        <v>10767564.3</v>
      </c>
      <c r="C62" s="414">
        <f t="shared" si="4"/>
        <v>4827357.91</v>
      </c>
      <c r="D62" s="414">
        <f t="shared" si="4"/>
        <v>0</v>
      </c>
      <c r="E62" s="414">
        <f t="shared" si="4"/>
        <v>0</v>
      </c>
      <c r="F62" s="414">
        <f t="shared" si="4"/>
        <v>5940206.39</v>
      </c>
    </row>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A1:C1"/>
    <mergeCell ref="A3:B3"/>
    <mergeCell ref="A5:F5"/>
    <mergeCell ref="A6:F6"/>
    <mergeCell ref="A7:F7"/>
    <mergeCell ref="A57:F58"/>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29"/>
    <col customWidth="1" min="2" max="5" width="17.43"/>
    <col customWidth="1" min="6" max="6" width="19.29"/>
    <col customWidth="1" min="7" max="7" width="2.29"/>
    <col customWidth="1" min="8" max="26" width="8.71"/>
  </cols>
  <sheetData>
    <row r="1" ht="14.25" customHeight="1">
      <c r="B1" s="482"/>
      <c r="F1" s="453" t="str">
        <f>[1]Status!C1</f>
        <v>#ERROR!</v>
      </c>
      <c r="G1" s="483"/>
    </row>
    <row r="2" ht="14.25" customHeight="1">
      <c r="B2" s="466"/>
      <c r="F2" s="453" t="s">
        <v>1</v>
      </c>
      <c r="G2" s="483"/>
    </row>
    <row r="3" ht="14.25" customHeight="1">
      <c r="B3" s="468"/>
      <c r="F3" s="454" t="s">
        <v>215</v>
      </c>
    </row>
    <row r="4" ht="14.25" customHeight="1"/>
    <row r="5" ht="14.25" customHeight="1">
      <c r="A5" s="223" t="s">
        <v>148</v>
      </c>
    </row>
    <row r="6" ht="14.25" customHeight="1">
      <c r="A6" s="224" t="s">
        <v>216</v>
      </c>
    </row>
    <row r="7" ht="14.25" customHeight="1">
      <c r="A7" s="297" t="str">
        <f>[1]Status!A6</f>
        <v>#ERROR!</v>
      </c>
      <c r="B7" s="298"/>
      <c r="C7" s="298"/>
      <c r="D7" s="298"/>
      <c r="E7" s="298"/>
      <c r="F7" s="298"/>
    </row>
    <row r="8" ht="31.5" customHeight="1">
      <c r="A8" s="226" t="s">
        <v>79</v>
      </c>
      <c r="B8" s="400" t="s">
        <v>80</v>
      </c>
      <c r="C8" s="400" t="s">
        <v>81</v>
      </c>
      <c r="D8" s="400" t="s">
        <v>82</v>
      </c>
      <c r="E8" s="400" t="s">
        <v>83</v>
      </c>
      <c r="F8" s="401" t="s">
        <v>84</v>
      </c>
    </row>
    <row r="9" ht="17.25" customHeight="1">
      <c r="A9" s="484" t="s">
        <v>150</v>
      </c>
      <c r="B9" s="485">
        <v>2660143.14</v>
      </c>
      <c r="C9" s="485">
        <v>2660143.14</v>
      </c>
      <c r="D9" s="486"/>
      <c r="E9" s="486"/>
      <c r="F9" s="487">
        <f t="shared" ref="F9:F53" si="1">B9-C9-D9-E9</f>
        <v>0</v>
      </c>
    </row>
    <row r="10" ht="17.25" customHeight="1">
      <c r="A10" s="488" t="s">
        <v>88</v>
      </c>
      <c r="B10" s="489">
        <v>1435341.05</v>
      </c>
      <c r="C10" s="489">
        <v>1435341.05</v>
      </c>
      <c r="D10" s="490"/>
      <c r="E10" s="490"/>
      <c r="F10" s="487">
        <f t="shared" si="1"/>
        <v>0</v>
      </c>
    </row>
    <row r="11" ht="17.25" customHeight="1">
      <c r="A11" s="491" t="s">
        <v>89</v>
      </c>
      <c r="B11" s="489">
        <v>8354.72</v>
      </c>
      <c r="C11" s="490"/>
      <c r="D11" s="490"/>
      <c r="E11" s="490"/>
      <c r="F11" s="487">
        <f t="shared" si="1"/>
        <v>8354.72</v>
      </c>
    </row>
    <row r="12" ht="17.25" customHeight="1">
      <c r="A12" s="488" t="s">
        <v>90</v>
      </c>
      <c r="B12" s="489">
        <v>30077.0</v>
      </c>
      <c r="C12" s="490"/>
      <c r="D12" s="490"/>
      <c r="E12" s="490"/>
      <c r="F12" s="487">
        <f t="shared" si="1"/>
        <v>30077</v>
      </c>
    </row>
    <row r="13" ht="17.25" customHeight="1">
      <c r="A13" s="488" t="s">
        <v>91</v>
      </c>
      <c r="B13" s="489">
        <v>1786239.33</v>
      </c>
      <c r="C13" s="489">
        <v>1786239.33</v>
      </c>
      <c r="D13" s="490"/>
      <c r="E13" s="490"/>
      <c r="F13" s="487">
        <f t="shared" si="1"/>
        <v>0</v>
      </c>
    </row>
    <row r="14" ht="17.25" customHeight="1">
      <c r="A14" s="488" t="s">
        <v>92</v>
      </c>
      <c r="B14" s="489">
        <v>28406.05</v>
      </c>
      <c r="C14" s="489">
        <v>28406.05</v>
      </c>
      <c r="D14" s="490"/>
      <c r="E14" s="490"/>
      <c r="F14" s="487">
        <f t="shared" si="1"/>
        <v>0</v>
      </c>
    </row>
    <row r="15" ht="17.25" customHeight="1">
      <c r="A15" s="488" t="s">
        <v>151</v>
      </c>
      <c r="B15" s="489">
        <v>4700365.99</v>
      </c>
      <c r="C15" s="490">
        <f>142847.91+3760292.79-142848+3495+3165.44-529.44</f>
        <v>3766423.7</v>
      </c>
      <c r="D15" s="490">
        <f>656272+198880+84921-3495-3165.44+529.44</f>
        <v>933942</v>
      </c>
      <c r="E15" s="490"/>
      <c r="F15" s="487">
        <f t="shared" si="1"/>
        <v>0.29</v>
      </c>
    </row>
    <row r="16" ht="17.25" customHeight="1">
      <c r="A16" s="488" t="s">
        <v>95</v>
      </c>
      <c r="B16" s="489">
        <v>65166.82</v>
      </c>
      <c r="C16" s="489">
        <v>65166.82</v>
      </c>
      <c r="D16" s="490"/>
      <c r="E16" s="490"/>
      <c r="F16" s="487">
        <f t="shared" si="1"/>
        <v>0</v>
      </c>
    </row>
    <row r="17" ht="17.25" customHeight="1">
      <c r="A17" s="488" t="s">
        <v>96</v>
      </c>
      <c r="B17" s="489">
        <v>305782.79</v>
      </c>
      <c r="C17" s="489">
        <f>305782.79</f>
        <v>305782.79</v>
      </c>
      <c r="D17" s="490"/>
      <c r="E17" s="490"/>
      <c r="F17" s="487">
        <f t="shared" si="1"/>
        <v>0</v>
      </c>
    </row>
    <row r="18" ht="17.25" customHeight="1">
      <c r="A18" s="488" t="s">
        <v>97</v>
      </c>
      <c r="B18" s="489">
        <v>1199737.92</v>
      </c>
      <c r="C18" s="489">
        <v>1199737.92</v>
      </c>
      <c r="D18" s="490"/>
      <c r="E18" s="490"/>
      <c r="F18" s="487">
        <f t="shared" si="1"/>
        <v>0</v>
      </c>
    </row>
    <row r="19" ht="17.25" customHeight="1">
      <c r="A19" s="488" t="s">
        <v>98</v>
      </c>
      <c r="B19" s="489">
        <v>20051.33</v>
      </c>
      <c r="C19" s="489">
        <v>20051.33</v>
      </c>
      <c r="D19" s="490"/>
      <c r="E19" s="490"/>
      <c r="F19" s="487">
        <f t="shared" si="1"/>
        <v>0</v>
      </c>
    </row>
    <row r="20" ht="17.25" customHeight="1">
      <c r="A20" s="488" t="s">
        <v>99</v>
      </c>
      <c r="B20" s="489">
        <v>890613.25</v>
      </c>
      <c r="C20" s="489">
        <v>890613.25</v>
      </c>
      <c r="D20" s="490"/>
      <c r="E20" s="490"/>
      <c r="F20" s="487">
        <f t="shared" si="1"/>
        <v>0</v>
      </c>
    </row>
    <row r="21" ht="17.25" customHeight="1">
      <c r="A21" s="488" t="s">
        <v>152</v>
      </c>
      <c r="B21" s="489">
        <v>1.007579343E7</v>
      </c>
      <c r="C21" s="492">
        <f>9148063.43+45337-3782</f>
        <v>9189618.43</v>
      </c>
      <c r="D21" s="492">
        <f>540705+302275-45337+3782</f>
        <v>801425</v>
      </c>
      <c r="E21" s="490"/>
      <c r="F21" s="487">
        <f t="shared" si="1"/>
        <v>84750</v>
      </c>
    </row>
    <row r="22" ht="17.25" customHeight="1">
      <c r="A22" s="488" t="s">
        <v>217</v>
      </c>
      <c r="B22" s="489">
        <v>1.447371852E7</v>
      </c>
      <c r="C22" s="490">
        <f>964914.57+964914.57+964914.57+964914.57+964914.6+964914.4+989493</f>
        <v>6778980.28</v>
      </c>
      <c r="D22" s="490">
        <f>572817+353814+1189494+583497+191436+62862-989493</f>
        <v>1964427</v>
      </c>
      <c r="E22" s="489">
        <f>5789487.42-964914.57-964914.57-964914.57-964914.57-964914.6-964914.4</f>
        <v>0.1400000001</v>
      </c>
      <c r="F22" s="487">
        <f t="shared" si="1"/>
        <v>5730311.1</v>
      </c>
    </row>
    <row r="23" ht="17.25" customHeight="1">
      <c r="A23" s="488" t="s">
        <v>102</v>
      </c>
      <c r="B23" s="489">
        <v>885600.42</v>
      </c>
      <c r="C23" s="489">
        <v>885600.42</v>
      </c>
      <c r="D23" s="490"/>
      <c r="E23" s="490"/>
      <c r="F23" s="487">
        <f t="shared" si="1"/>
        <v>0</v>
      </c>
    </row>
    <row r="24" ht="17.25" customHeight="1">
      <c r="A24" s="488" t="s">
        <v>104</v>
      </c>
      <c r="B24" s="489">
        <v>210538.97</v>
      </c>
      <c r="C24" s="489">
        <f>210538.97</f>
        <v>210538.97</v>
      </c>
      <c r="D24" s="490"/>
      <c r="E24" s="490"/>
      <c r="F24" s="487">
        <f t="shared" si="1"/>
        <v>0</v>
      </c>
    </row>
    <row r="25" ht="17.25" customHeight="1">
      <c r="A25" s="488" t="s">
        <v>105</v>
      </c>
      <c r="B25" s="489">
        <v>56812.1</v>
      </c>
      <c r="C25" s="489">
        <v>56812.1</v>
      </c>
      <c r="D25" s="490"/>
      <c r="E25" s="490"/>
      <c r="F25" s="487">
        <f t="shared" si="1"/>
        <v>0</v>
      </c>
    </row>
    <row r="26" ht="17.25" customHeight="1">
      <c r="A26" s="488" t="s">
        <v>154</v>
      </c>
      <c r="B26" s="489">
        <v>584830.46</v>
      </c>
      <c r="C26" s="489">
        <v>584830.46</v>
      </c>
      <c r="D26" s="490"/>
      <c r="E26" s="490"/>
      <c r="F26" s="487">
        <f t="shared" si="1"/>
        <v>0</v>
      </c>
    </row>
    <row r="27" ht="17.25" customHeight="1">
      <c r="A27" s="488" t="s">
        <v>107</v>
      </c>
      <c r="B27" s="489">
        <v>780330.93</v>
      </c>
      <c r="C27" s="490"/>
      <c r="D27" s="493">
        <v>32347.0</v>
      </c>
      <c r="E27" s="490"/>
      <c r="F27" s="487">
        <f t="shared" si="1"/>
        <v>747983.93</v>
      </c>
    </row>
    <row r="28" ht="17.25" customHeight="1">
      <c r="A28" s="488" t="s">
        <v>108</v>
      </c>
      <c r="B28" s="489">
        <v>8162562.34</v>
      </c>
      <c r="C28" s="490">
        <f>4665805.3+1864236+110527+1416.99+66030+6831.44+24.99</f>
        <v>6714871.72</v>
      </c>
      <c r="D28" s="490">
        <f>1120000+401994-1416.99-66030-6831.44-24.99</f>
        <v>1447690.58</v>
      </c>
      <c r="E28" s="490"/>
      <c r="F28" s="487">
        <f t="shared" si="1"/>
        <v>0.03999999911</v>
      </c>
    </row>
    <row r="29" ht="17.25" customHeight="1">
      <c r="A29" s="488" t="s">
        <v>155</v>
      </c>
      <c r="B29" s="489">
        <v>2.936266667E7</v>
      </c>
      <c r="C29" s="489">
        <f>29362666.67-33900</f>
        <v>29328766.67</v>
      </c>
      <c r="D29" s="490">
        <v>33900.0</v>
      </c>
      <c r="E29" s="490"/>
      <c r="F29" s="487">
        <f t="shared" si="1"/>
        <v>0</v>
      </c>
    </row>
    <row r="30" ht="14.25" customHeight="1">
      <c r="A30" s="278" t="s">
        <v>110</v>
      </c>
      <c r="B30" s="420">
        <v>0.0</v>
      </c>
      <c r="C30" s="321">
        <v>0.0</v>
      </c>
      <c r="D30" s="405"/>
      <c r="E30" s="405"/>
      <c r="F30" s="487">
        <f t="shared" si="1"/>
        <v>0</v>
      </c>
      <c r="H30" s="216"/>
    </row>
    <row r="31" ht="17.25" customHeight="1">
      <c r="A31" s="488" t="s">
        <v>112</v>
      </c>
      <c r="B31" s="489">
        <v>25064.16</v>
      </c>
      <c r="C31" s="489">
        <v>25064.16</v>
      </c>
      <c r="D31" s="490"/>
      <c r="E31" s="490"/>
      <c r="F31" s="487">
        <f t="shared" si="1"/>
        <v>0</v>
      </c>
    </row>
    <row r="32" ht="17.25" customHeight="1">
      <c r="A32" s="488" t="s">
        <v>113</v>
      </c>
      <c r="B32" s="489">
        <v>8354.72</v>
      </c>
      <c r="C32" s="489">
        <v>8354.72</v>
      </c>
      <c r="D32" s="490"/>
      <c r="E32" s="490"/>
      <c r="F32" s="487">
        <f t="shared" si="1"/>
        <v>0</v>
      </c>
    </row>
    <row r="33" ht="17.25" customHeight="1">
      <c r="A33" s="488" t="s">
        <v>114</v>
      </c>
      <c r="B33" s="489">
        <v>40102.66</v>
      </c>
      <c r="C33" s="490">
        <v>40102.88</v>
      </c>
      <c r="D33" s="490"/>
      <c r="E33" s="490"/>
      <c r="F33" s="487">
        <f t="shared" si="1"/>
        <v>-0.22</v>
      </c>
    </row>
    <row r="34" ht="17.25" customHeight="1">
      <c r="A34" s="488" t="s">
        <v>115</v>
      </c>
      <c r="B34" s="489">
        <v>128662.7</v>
      </c>
      <c r="C34" s="489">
        <v>128662.7</v>
      </c>
      <c r="D34" s="490"/>
      <c r="E34" s="490"/>
      <c r="F34" s="487">
        <f t="shared" si="1"/>
        <v>0</v>
      </c>
    </row>
    <row r="35" ht="17.25" customHeight="1">
      <c r="A35" s="488" t="s">
        <v>116</v>
      </c>
      <c r="B35" s="489">
        <v>23393.22</v>
      </c>
      <c r="C35" s="489">
        <v>23393.22</v>
      </c>
      <c r="D35" s="490"/>
      <c r="E35" s="490"/>
      <c r="F35" s="487">
        <f t="shared" si="1"/>
        <v>0</v>
      </c>
    </row>
    <row r="36" ht="17.25" customHeight="1">
      <c r="A36" s="488" t="s">
        <v>117</v>
      </c>
      <c r="B36" s="489">
        <v>5012.83</v>
      </c>
      <c r="C36" s="489">
        <v>5012.83</v>
      </c>
      <c r="D36" s="490"/>
      <c r="E36" s="490"/>
      <c r="F36" s="487">
        <f t="shared" si="1"/>
        <v>0</v>
      </c>
    </row>
    <row r="37" ht="17.25" customHeight="1">
      <c r="A37" s="488" t="s">
        <v>118</v>
      </c>
      <c r="B37" s="489">
        <v>2823895.67</v>
      </c>
      <c r="C37" s="489">
        <f>3400000-1728312.99</f>
        <v>1671687.01</v>
      </c>
      <c r="D37" s="490"/>
      <c r="E37" s="490"/>
      <c r="F37" s="487">
        <f t="shared" si="1"/>
        <v>1152208.66</v>
      </c>
    </row>
    <row r="38" ht="17.25" customHeight="1">
      <c r="A38" s="488" t="s">
        <v>119</v>
      </c>
      <c r="B38" s="489">
        <v>369278.66</v>
      </c>
      <c r="C38" s="489">
        <v>369278.66</v>
      </c>
      <c r="D38" s="490"/>
      <c r="E38" s="490"/>
      <c r="F38" s="487">
        <f t="shared" si="1"/>
        <v>0</v>
      </c>
    </row>
    <row r="39" ht="17.25" customHeight="1">
      <c r="A39" s="488" t="s">
        <v>120</v>
      </c>
      <c r="B39" s="489">
        <v>1134571.1</v>
      </c>
      <c r="C39" s="489">
        <v>1134571.1</v>
      </c>
      <c r="D39" s="490"/>
      <c r="E39" s="490"/>
      <c r="F39" s="487">
        <f t="shared" si="1"/>
        <v>0</v>
      </c>
    </row>
    <row r="40" ht="17.25" customHeight="1">
      <c r="A40" s="488" t="s">
        <v>122</v>
      </c>
      <c r="B40" s="489">
        <v>770305.27</v>
      </c>
      <c r="C40" s="489">
        <f>171270+253016.79+346018.48</f>
        <v>770305.27</v>
      </c>
      <c r="D40" s="490"/>
      <c r="E40" s="490"/>
      <c r="F40" s="487">
        <f t="shared" si="1"/>
        <v>0</v>
      </c>
    </row>
    <row r="41" ht="17.25" customHeight="1">
      <c r="A41" s="488" t="s">
        <v>123</v>
      </c>
      <c r="B41" s="489">
        <v>785343.77</v>
      </c>
      <c r="C41" s="489">
        <v>785343.77</v>
      </c>
      <c r="D41" s="490"/>
      <c r="E41" s="490"/>
      <c r="F41" s="487">
        <f t="shared" si="1"/>
        <v>0</v>
      </c>
    </row>
    <row r="42" ht="17.25" customHeight="1">
      <c r="A42" s="488" t="s">
        <v>124</v>
      </c>
      <c r="B42" s="494">
        <v>100122.35</v>
      </c>
      <c r="C42" s="489">
        <v>100122.35</v>
      </c>
      <c r="D42" s="490"/>
      <c r="E42" s="490"/>
      <c r="F42" s="487">
        <f t="shared" si="1"/>
        <v>0</v>
      </c>
    </row>
    <row r="43" ht="17.25" customHeight="1">
      <c r="A43" s="488" t="s">
        <v>125</v>
      </c>
      <c r="B43" s="489">
        <v>1838038.6</v>
      </c>
      <c r="C43" s="490"/>
      <c r="D43" s="490"/>
      <c r="E43" s="490"/>
      <c r="F43" s="487">
        <f t="shared" si="1"/>
        <v>1838038.6</v>
      </c>
    </row>
    <row r="44" ht="17.25" customHeight="1">
      <c r="A44" s="495" t="s">
        <v>128</v>
      </c>
      <c r="B44" s="489">
        <v>85218.15</v>
      </c>
      <c r="C44" s="489">
        <v>85218.15</v>
      </c>
      <c r="D44" s="490"/>
      <c r="E44" s="490"/>
      <c r="F44" s="487">
        <f t="shared" si="1"/>
        <v>0</v>
      </c>
    </row>
    <row r="45" ht="17.25" customHeight="1">
      <c r="A45" s="488" t="s">
        <v>129</v>
      </c>
      <c r="B45" s="489">
        <v>137017.42</v>
      </c>
      <c r="C45" s="489">
        <v>137017.42</v>
      </c>
      <c r="D45" s="490"/>
      <c r="E45" s="490"/>
      <c r="F45" s="487">
        <f t="shared" si="1"/>
        <v>0</v>
      </c>
    </row>
    <row r="46" ht="17.25" customHeight="1">
      <c r="A46" s="488" t="s">
        <v>131</v>
      </c>
      <c r="B46" s="489">
        <v>4210779.34</v>
      </c>
      <c r="C46" s="489">
        <f>4210779.34-166562+793+3092</f>
        <v>4048102.34</v>
      </c>
      <c r="D46" s="490">
        <f>166562+565000-793-3092</f>
        <v>727677</v>
      </c>
      <c r="E46" s="490"/>
      <c r="F46" s="487">
        <f t="shared" si="1"/>
        <v>-565000</v>
      </c>
    </row>
    <row r="47" ht="17.25" customHeight="1">
      <c r="A47" s="488" t="s">
        <v>156</v>
      </c>
      <c r="B47" s="489">
        <v>1667602.3</v>
      </c>
      <c r="C47" s="489">
        <v>1667602.3</v>
      </c>
      <c r="D47" s="490"/>
      <c r="E47" s="490"/>
      <c r="F47" s="487">
        <f t="shared" si="1"/>
        <v>0</v>
      </c>
    </row>
    <row r="48" ht="17.25" customHeight="1">
      <c r="A48" s="488" t="s">
        <v>133</v>
      </c>
      <c r="B48" s="489">
        <v>2000120.19</v>
      </c>
      <c r="C48" s="490">
        <v>1997218.18</v>
      </c>
      <c r="D48" s="490">
        <v>91689.0</v>
      </c>
      <c r="E48" s="490"/>
      <c r="F48" s="487">
        <f t="shared" si="1"/>
        <v>-88786.99</v>
      </c>
    </row>
    <row r="49" ht="17.25" customHeight="1">
      <c r="A49" s="488" t="s">
        <v>134</v>
      </c>
      <c r="B49" s="489">
        <v>1670.94</v>
      </c>
      <c r="C49" s="490"/>
      <c r="D49" s="490"/>
      <c r="E49" s="490"/>
      <c r="F49" s="487">
        <f t="shared" si="1"/>
        <v>1670.94</v>
      </c>
    </row>
    <row r="50" ht="17.25" customHeight="1">
      <c r="A50" s="488" t="s">
        <v>136</v>
      </c>
      <c r="B50" s="489">
        <v>65166.82</v>
      </c>
      <c r="C50" s="490"/>
      <c r="D50" s="490"/>
      <c r="E50" s="490"/>
      <c r="F50" s="487">
        <f t="shared" si="1"/>
        <v>65166.82</v>
      </c>
    </row>
    <row r="51" ht="17.25" customHeight="1">
      <c r="A51" s="488" t="s">
        <v>138</v>
      </c>
      <c r="B51" s="489">
        <v>1.023787501E7</v>
      </c>
      <c r="C51" s="489">
        <v>1.023787501E7</v>
      </c>
      <c r="D51" s="490"/>
      <c r="E51" s="489"/>
      <c r="F51" s="487">
        <f t="shared" si="1"/>
        <v>0</v>
      </c>
    </row>
    <row r="52" ht="17.25" customHeight="1">
      <c r="A52" s="488" t="s">
        <v>211</v>
      </c>
      <c r="B52" s="496">
        <f>29362666.67-17581918</f>
        <v>11780748.67</v>
      </c>
      <c r="C52" s="490">
        <f>4000000+226532+1857217+1900000+1900000+1897000</f>
        <v>11780749</v>
      </c>
      <c r="D52" s="490"/>
      <c r="E52" s="490"/>
      <c r="F52" s="487">
        <f t="shared" si="1"/>
        <v>-0.3299999982</v>
      </c>
    </row>
    <row r="53" ht="17.25" customHeight="1">
      <c r="A53" s="497" t="s">
        <v>140</v>
      </c>
      <c r="B53" s="489">
        <v>23393.22</v>
      </c>
      <c r="C53" s="498"/>
      <c r="D53" s="499"/>
      <c r="E53" s="500"/>
      <c r="F53" s="487">
        <f t="shared" si="1"/>
        <v>23393.22</v>
      </c>
    </row>
    <row r="54" ht="17.25" customHeight="1">
      <c r="A54" s="501" t="s">
        <v>141</v>
      </c>
      <c r="B54" s="502">
        <f t="shared" ref="B54:F54" si="2">SUM(B9:B53)</f>
        <v>115984871</v>
      </c>
      <c r="C54" s="503">
        <f t="shared" si="2"/>
        <v>100923605.5</v>
      </c>
      <c r="D54" s="503">
        <f t="shared" si="2"/>
        <v>6033097.58</v>
      </c>
      <c r="E54" s="503">
        <f t="shared" si="2"/>
        <v>0.1400000001</v>
      </c>
      <c r="F54" s="503">
        <f t="shared" si="2"/>
        <v>9028167.78</v>
      </c>
    </row>
    <row r="55" ht="17.25" customHeight="1">
      <c r="A55" s="504" t="s">
        <v>212</v>
      </c>
      <c r="B55" s="502">
        <v>1.7581918E7</v>
      </c>
      <c r="C55" s="503">
        <v>0.0</v>
      </c>
      <c r="D55" s="503">
        <v>0.0</v>
      </c>
      <c r="E55" s="503">
        <v>0.0</v>
      </c>
      <c r="F55" s="503">
        <f>B55-C55-D55-E55</f>
        <v>17581918</v>
      </c>
    </row>
    <row r="56" ht="17.25" customHeight="1">
      <c r="A56" s="501" t="s">
        <v>143</v>
      </c>
      <c r="B56" s="505">
        <f t="shared" ref="B56:F56" si="3">SUM(B54:B55)</f>
        <v>133566789</v>
      </c>
      <c r="C56" s="502">
        <f t="shared" si="3"/>
        <v>100923605.5</v>
      </c>
      <c r="D56" s="502">
        <f t="shared" si="3"/>
        <v>6033097.58</v>
      </c>
      <c r="E56" s="502">
        <f t="shared" si="3"/>
        <v>0.1400000001</v>
      </c>
      <c r="F56" s="502">
        <f t="shared" si="3"/>
        <v>26610085.78</v>
      </c>
    </row>
    <row r="57" ht="15.0" customHeight="1">
      <c r="A57" s="506" t="s">
        <v>218</v>
      </c>
      <c r="B57" s="476"/>
      <c r="C57" s="476"/>
      <c r="D57" s="476"/>
      <c r="E57" s="476"/>
      <c r="F57" s="476"/>
    </row>
    <row r="58" ht="14.25" customHeight="1">
      <c r="A58" s="442" t="s">
        <v>219</v>
      </c>
      <c r="B58" s="477"/>
      <c r="C58" s="478"/>
      <c r="D58" s="478"/>
      <c r="E58" s="478"/>
      <c r="F58" s="478"/>
    </row>
    <row r="59" ht="14.25" customHeight="1">
      <c r="A59" s="507" t="s">
        <v>220</v>
      </c>
      <c r="G59" s="507"/>
      <c r="L59" s="507"/>
      <c r="R59" s="507"/>
      <c r="X59" s="507"/>
    </row>
    <row r="60" ht="14.25" customHeight="1">
      <c r="A60" s="353"/>
      <c r="B60" s="353"/>
      <c r="C60" s="353"/>
      <c r="D60" s="353"/>
      <c r="E60" s="353"/>
      <c r="F60" s="353"/>
    </row>
    <row r="61" ht="14.25" customHeight="1">
      <c r="A61" s="508" t="s">
        <v>159</v>
      </c>
      <c r="B61" s="509">
        <f t="shared" ref="B61:F61" si="4">B11+B12+B14+B17+B19+B24+B31+B33+B40+B43+B44+B45+B49+B50+B53</f>
        <v>3589188.1</v>
      </c>
      <c r="C61" s="509">
        <f t="shared" si="4"/>
        <v>1622487.02</v>
      </c>
      <c r="D61" s="509">
        <f t="shared" si="4"/>
        <v>0</v>
      </c>
      <c r="E61" s="509">
        <f t="shared" si="4"/>
        <v>0</v>
      </c>
      <c r="F61" s="509">
        <f t="shared" si="4"/>
        <v>1966701.08</v>
      </c>
    </row>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9">
    <mergeCell ref="R59:W59"/>
    <mergeCell ref="X59:Z59"/>
    <mergeCell ref="A5:F5"/>
    <mergeCell ref="A6:F6"/>
    <mergeCell ref="A7:F7"/>
    <mergeCell ref="A57:F57"/>
    <mergeCell ref="A59:F59"/>
    <mergeCell ref="G59:K59"/>
    <mergeCell ref="L59:Q59"/>
  </mergeCells>
  <printOptions/>
  <pageMargins bottom="0.75" footer="0.0" header="0.0" left="0.7" right="0.7" top="0.75"/>
  <pageSetup orientation="landscape"/>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29"/>
    <col customWidth="1" min="2" max="2" width="17.0"/>
    <col customWidth="1" min="3" max="3" width="15.57"/>
    <col customWidth="1" min="4" max="4" width="15.71"/>
    <col customWidth="1" min="5" max="5" width="17.0"/>
    <col customWidth="1" min="6" max="6" width="17.29"/>
    <col customWidth="1" min="7" max="26" width="8.71"/>
  </cols>
  <sheetData>
    <row r="1" ht="14.25" customHeight="1">
      <c r="A1" s="510" t="str">
        <f>[1]Status!C1</f>
        <v>#ERROR!</v>
      </c>
      <c r="B1" s="510"/>
    </row>
    <row r="2" ht="14.25" customHeight="1">
      <c r="A2" s="510" t="s">
        <v>1</v>
      </c>
      <c r="B2" s="510"/>
    </row>
    <row r="3" ht="14.25" customHeight="1">
      <c r="A3" s="510" t="s">
        <v>221</v>
      </c>
      <c r="B3" s="510"/>
    </row>
    <row r="4" ht="14.25" customHeight="1">
      <c r="A4" s="511" t="s">
        <v>148</v>
      </c>
    </row>
    <row r="5" ht="14.25" customHeight="1">
      <c r="A5" s="512" t="s">
        <v>222</v>
      </c>
    </row>
    <row r="6" ht="14.25" customHeight="1">
      <c r="A6" s="513" t="str">
        <f>[1]Status!A6</f>
        <v>#ERROR!</v>
      </c>
      <c r="B6" s="298"/>
      <c r="C6" s="298"/>
      <c r="D6" s="298"/>
      <c r="E6" s="298"/>
      <c r="F6" s="298"/>
    </row>
    <row r="7" ht="29.25" customHeight="1">
      <c r="A7" s="514" t="s">
        <v>79</v>
      </c>
      <c r="B7" s="515" t="s">
        <v>80</v>
      </c>
      <c r="C7" s="515" t="s">
        <v>81</v>
      </c>
      <c r="D7" s="515" t="s">
        <v>82</v>
      </c>
      <c r="E7" s="515" t="s">
        <v>83</v>
      </c>
      <c r="F7" s="516" t="s">
        <v>84</v>
      </c>
    </row>
    <row r="8" ht="17.25" customHeight="1">
      <c r="A8" s="517" t="s">
        <v>150</v>
      </c>
      <c r="B8" s="518">
        <v>2660143.14</v>
      </c>
      <c r="C8" s="518">
        <f>2530193.14-129950+129950</f>
        <v>2530193.14</v>
      </c>
      <c r="D8" s="519"/>
      <c r="E8" s="519"/>
      <c r="F8" s="520">
        <f t="shared" ref="F8:F52" si="1">B8-C8-D8-E8</f>
        <v>129950</v>
      </c>
    </row>
    <row r="9" ht="17.25" customHeight="1">
      <c r="A9" s="521" t="s">
        <v>88</v>
      </c>
      <c r="B9" s="522">
        <v>1435341.05</v>
      </c>
      <c r="C9" s="522">
        <v>1435341.05</v>
      </c>
      <c r="D9" s="523"/>
      <c r="E9" s="523"/>
      <c r="F9" s="520">
        <f t="shared" si="1"/>
        <v>0</v>
      </c>
    </row>
    <row r="10" ht="17.25" customHeight="1">
      <c r="A10" s="524" t="s">
        <v>89</v>
      </c>
      <c r="B10" s="522">
        <v>8354.72</v>
      </c>
      <c r="C10" s="523"/>
      <c r="D10" s="523"/>
      <c r="E10" s="523"/>
      <c r="F10" s="520">
        <f t="shared" si="1"/>
        <v>8354.72</v>
      </c>
    </row>
    <row r="11" ht="17.25" customHeight="1">
      <c r="A11" s="521" t="s">
        <v>90</v>
      </c>
      <c r="B11" s="522">
        <v>30077.0</v>
      </c>
      <c r="C11" s="523"/>
      <c r="D11" s="523"/>
      <c r="E11" s="523"/>
      <c r="F11" s="520">
        <f t="shared" si="1"/>
        <v>30077</v>
      </c>
    </row>
    <row r="12" ht="17.25" customHeight="1">
      <c r="A12" s="521" t="s">
        <v>91</v>
      </c>
      <c r="B12" s="522">
        <v>1786239.33</v>
      </c>
      <c r="C12" s="522">
        <v>1786239.33</v>
      </c>
      <c r="D12" s="523"/>
      <c r="E12" s="523"/>
      <c r="F12" s="520">
        <f t="shared" si="1"/>
        <v>0</v>
      </c>
    </row>
    <row r="13" ht="17.25" customHeight="1">
      <c r="A13" s="521" t="s">
        <v>92</v>
      </c>
      <c r="B13" s="522">
        <v>28406.05</v>
      </c>
      <c r="C13" s="522">
        <v>28406.05</v>
      </c>
      <c r="D13" s="523"/>
      <c r="E13" s="523"/>
      <c r="F13" s="520">
        <f t="shared" si="1"/>
        <v>0</v>
      </c>
    </row>
    <row r="14" ht="17.25" customHeight="1">
      <c r="A14" s="521" t="s">
        <v>151</v>
      </c>
      <c r="B14" s="522">
        <v>4700365.99</v>
      </c>
      <c r="C14" s="523">
        <f>294802+306940.92+3760292.81-1629+11121</f>
        <v>4371527.73</v>
      </c>
      <c r="D14" s="523">
        <f>145770+176280+17909-11121</f>
        <v>328838</v>
      </c>
      <c r="E14" s="523"/>
      <c r="F14" s="520">
        <f t="shared" si="1"/>
        <v>0.2599999998</v>
      </c>
    </row>
    <row r="15" ht="17.25" customHeight="1">
      <c r="A15" s="521" t="s">
        <v>95</v>
      </c>
      <c r="B15" s="522">
        <v>65166.82</v>
      </c>
      <c r="C15" s="523">
        <v>65166.82</v>
      </c>
      <c r="D15" s="523"/>
      <c r="E15" s="523"/>
      <c r="F15" s="520">
        <f t="shared" si="1"/>
        <v>0</v>
      </c>
    </row>
    <row r="16" ht="17.25" customHeight="1">
      <c r="A16" s="521" t="s">
        <v>96</v>
      </c>
      <c r="B16" s="522">
        <v>305782.79</v>
      </c>
      <c r="C16" s="522">
        <f>305782.79+305782.79-305782.79</f>
        <v>305782.79</v>
      </c>
      <c r="D16" s="523"/>
      <c r="E16" s="523"/>
      <c r="F16" s="520">
        <f t="shared" si="1"/>
        <v>0</v>
      </c>
    </row>
    <row r="17" ht="17.25" customHeight="1">
      <c r="A17" s="521" t="s">
        <v>97</v>
      </c>
      <c r="B17" s="522">
        <v>1199737.92</v>
      </c>
      <c r="C17" s="522">
        <v>1199737.92</v>
      </c>
      <c r="D17" s="523"/>
      <c r="E17" s="523"/>
      <c r="F17" s="520">
        <f t="shared" si="1"/>
        <v>0</v>
      </c>
    </row>
    <row r="18" ht="17.25" customHeight="1">
      <c r="A18" s="521" t="s">
        <v>98</v>
      </c>
      <c r="B18" s="522">
        <v>20051.33</v>
      </c>
      <c r="C18" s="522">
        <v>20051.33</v>
      </c>
      <c r="D18" s="523"/>
      <c r="E18" s="523"/>
      <c r="F18" s="520">
        <f t="shared" si="1"/>
        <v>0</v>
      </c>
    </row>
    <row r="19" ht="17.25" customHeight="1">
      <c r="A19" s="521" t="s">
        <v>99</v>
      </c>
      <c r="B19" s="522">
        <v>890613.25</v>
      </c>
      <c r="C19" s="522">
        <v>890613.25</v>
      </c>
      <c r="D19" s="523"/>
      <c r="E19" s="523"/>
      <c r="F19" s="520">
        <f t="shared" si="1"/>
        <v>0</v>
      </c>
    </row>
    <row r="20" ht="17.25" customHeight="1">
      <c r="A20" s="521" t="s">
        <v>152</v>
      </c>
      <c r="B20" s="522">
        <v>1.007579343E7</v>
      </c>
      <c r="C20" s="523">
        <v>9287393.43</v>
      </c>
      <c r="D20" s="523">
        <f>169500+585000+84750</f>
        <v>839250</v>
      </c>
      <c r="E20" s="523"/>
      <c r="F20" s="520">
        <f t="shared" si="1"/>
        <v>-50850</v>
      </c>
    </row>
    <row r="21" ht="17.25" customHeight="1">
      <c r="A21" s="521" t="s">
        <v>153</v>
      </c>
      <c r="B21" s="522">
        <v>1.447371852E7</v>
      </c>
      <c r="C21" s="523">
        <f>2412286.42+2412286.41+2412286.42+2412286.42+2412286.43+2412286+1317681</f>
        <v>15791399.1</v>
      </c>
      <c r="D21" s="523">
        <f>946611+357500+943887+646693-1317681</f>
        <v>1577010</v>
      </c>
      <c r="E21" s="522">
        <f>14473718.52-2412286.42-2412286.41-2412286.42-2412286.42-2412286.43-2412286</f>
        <v>0.4199999995</v>
      </c>
      <c r="F21" s="520">
        <f t="shared" si="1"/>
        <v>-2894691</v>
      </c>
    </row>
    <row r="22" ht="17.25" customHeight="1">
      <c r="A22" s="521" t="s">
        <v>102</v>
      </c>
      <c r="B22" s="522">
        <v>885600.42</v>
      </c>
      <c r="C22" s="523">
        <v>641710.94</v>
      </c>
      <c r="D22" s="523"/>
      <c r="E22" s="523"/>
      <c r="F22" s="520">
        <f t="shared" si="1"/>
        <v>243889.48</v>
      </c>
    </row>
    <row r="23" ht="17.25" customHeight="1">
      <c r="A23" s="521" t="s">
        <v>104</v>
      </c>
      <c r="B23" s="522">
        <v>210538.97</v>
      </c>
      <c r="C23" s="522">
        <v>210538.97</v>
      </c>
      <c r="D23" s="523"/>
      <c r="E23" s="523"/>
      <c r="F23" s="520">
        <f t="shared" si="1"/>
        <v>0</v>
      </c>
    </row>
    <row r="24" ht="17.25" customHeight="1">
      <c r="A24" s="521" t="s">
        <v>105</v>
      </c>
      <c r="B24" s="522">
        <v>56812.1</v>
      </c>
      <c r="C24" s="522">
        <v>56812.1</v>
      </c>
      <c r="D24" s="523"/>
      <c r="E24" s="523"/>
      <c r="F24" s="520">
        <f t="shared" si="1"/>
        <v>0</v>
      </c>
    </row>
    <row r="25" ht="17.25" customHeight="1">
      <c r="A25" s="521" t="s">
        <v>154</v>
      </c>
      <c r="B25" s="522">
        <v>584830.46</v>
      </c>
      <c r="C25" s="522">
        <v>584830.46</v>
      </c>
      <c r="D25" s="523"/>
      <c r="E25" s="523"/>
      <c r="F25" s="520">
        <f t="shared" si="1"/>
        <v>0</v>
      </c>
    </row>
    <row r="26" ht="17.25" customHeight="1">
      <c r="A26" s="521" t="s">
        <v>107</v>
      </c>
      <c r="B26" s="522">
        <v>780330.93</v>
      </c>
      <c r="C26" s="523"/>
      <c r="D26" s="523"/>
      <c r="E26" s="523"/>
      <c r="F26" s="520">
        <f t="shared" si="1"/>
        <v>780330.93</v>
      </c>
    </row>
    <row r="27" ht="17.25" customHeight="1">
      <c r="A27" s="521" t="s">
        <v>108</v>
      </c>
      <c r="B27" s="522">
        <v>8162562.34</v>
      </c>
      <c r="C27" s="523">
        <f>6530049+231725.83+1632512-1864236+12067.32+20752.2</f>
        <v>6562870.35</v>
      </c>
      <c r="D27" s="523">
        <f>325937+542076+764499-12067.32-20752.2</f>
        <v>1599692.48</v>
      </c>
      <c r="E27" s="523"/>
      <c r="F27" s="520">
        <f t="shared" si="1"/>
        <v>-0.4900000007</v>
      </c>
    </row>
    <row r="28" ht="17.25" customHeight="1">
      <c r="A28" s="521" t="s">
        <v>155</v>
      </c>
      <c r="B28" s="522">
        <v>2.936266667E7</v>
      </c>
      <c r="C28" s="522">
        <f>29362666.67-62150</f>
        <v>29300516.67</v>
      </c>
      <c r="D28" s="523">
        <v>62150.0</v>
      </c>
      <c r="E28" s="523"/>
      <c r="F28" s="520">
        <f t="shared" si="1"/>
        <v>0</v>
      </c>
    </row>
    <row r="29" ht="14.25" customHeight="1">
      <c r="A29" s="278" t="s">
        <v>110</v>
      </c>
      <c r="B29" s="420">
        <v>0.0</v>
      </c>
      <c r="C29" s="321">
        <v>0.0</v>
      </c>
      <c r="D29" s="405"/>
      <c r="E29" s="405"/>
      <c r="F29" s="520">
        <f t="shared" si="1"/>
        <v>0</v>
      </c>
      <c r="H29" s="216"/>
      <c r="I29" s="216"/>
    </row>
    <row r="30" ht="17.25" customHeight="1">
      <c r="A30" s="521" t="s">
        <v>112</v>
      </c>
      <c r="B30" s="522">
        <v>25064.16</v>
      </c>
      <c r="C30" s="522">
        <v>25064.16</v>
      </c>
      <c r="D30" s="523"/>
      <c r="E30" s="523"/>
      <c r="F30" s="520">
        <f t="shared" si="1"/>
        <v>0</v>
      </c>
    </row>
    <row r="31" ht="17.25" customHeight="1">
      <c r="A31" s="521" t="s">
        <v>113</v>
      </c>
      <c r="B31" s="522">
        <v>8354.72</v>
      </c>
      <c r="C31" s="522">
        <v>8354.72</v>
      </c>
      <c r="D31" s="523"/>
      <c r="E31" s="523"/>
      <c r="F31" s="520">
        <f t="shared" si="1"/>
        <v>0</v>
      </c>
    </row>
    <row r="32" ht="17.25" customHeight="1">
      <c r="A32" s="521" t="s">
        <v>114</v>
      </c>
      <c r="B32" s="522">
        <v>40102.66</v>
      </c>
      <c r="C32" s="522">
        <v>40102.88</v>
      </c>
      <c r="D32" s="523"/>
      <c r="E32" s="523"/>
      <c r="F32" s="520">
        <f t="shared" si="1"/>
        <v>-0.22</v>
      </c>
    </row>
    <row r="33" ht="17.25" customHeight="1">
      <c r="A33" s="521" t="s">
        <v>115</v>
      </c>
      <c r="B33" s="522">
        <v>128662.7</v>
      </c>
      <c r="C33" s="522">
        <v>128662.7</v>
      </c>
      <c r="D33" s="523"/>
      <c r="E33" s="523"/>
      <c r="F33" s="520">
        <f t="shared" si="1"/>
        <v>0</v>
      </c>
    </row>
    <row r="34" ht="17.25" customHeight="1">
      <c r="A34" s="521" t="s">
        <v>116</v>
      </c>
      <c r="B34" s="522">
        <v>23393.22</v>
      </c>
      <c r="C34" s="522">
        <v>23393.22</v>
      </c>
      <c r="D34" s="523"/>
      <c r="E34" s="523"/>
      <c r="F34" s="520">
        <f t="shared" si="1"/>
        <v>0</v>
      </c>
    </row>
    <row r="35" ht="17.25" customHeight="1">
      <c r="A35" s="521" t="s">
        <v>117</v>
      </c>
      <c r="B35" s="522">
        <v>5012.83</v>
      </c>
      <c r="C35" s="522">
        <v>5012.83</v>
      </c>
      <c r="D35" s="523"/>
      <c r="E35" s="523"/>
      <c r="F35" s="520">
        <f t="shared" si="1"/>
        <v>0</v>
      </c>
    </row>
    <row r="36" ht="17.25" customHeight="1">
      <c r="A36" s="521" t="s">
        <v>118</v>
      </c>
      <c r="B36" s="522">
        <v>2823895.67</v>
      </c>
      <c r="C36" s="522">
        <f>1700000+1700000</f>
        <v>3400000</v>
      </c>
      <c r="D36" s="523"/>
      <c r="E36" s="523"/>
      <c r="F36" s="520">
        <f t="shared" si="1"/>
        <v>-576104.33</v>
      </c>
    </row>
    <row r="37" ht="17.25" customHeight="1">
      <c r="A37" s="521" t="s">
        <v>119</v>
      </c>
      <c r="B37" s="522">
        <v>369278.66</v>
      </c>
      <c r="C37" s="522">
        <v>369278.66</v>
      </c>
      <c r="D37" s="523"/>
      <c r="E37" s="523"/>
      <c r="F37" s="520">
        <f t="shared" si="1"/>
        <v>0</v>
      </c>
    </row>
    <row r="38" ht="17.25" customHeight="1">
      <c r="A38" s="521" t="s">
        <v>120</v>
      </c>
      <c r="B38" s="522">
        <v>1134571.1</v>
      </c>
      <c r="C38" s="522">
        <v>1134571.1</v>
      </c>
      <c r="D38" s="523"/>
      <c r="E38" s="523"/>
      <c r="F38" s="520">
        <f t="shared" si="1"/>
        <v>0</v>
      </c>
    </row>
    <row r="39" ht="17.25" customHeight="1">
      <c r="A39" s="521" t="s">
        <v>122</v>
      </c>
      <c r="B39" s="522">
        <v>770305.27</v>
      </c>
      <c r="C39" s="522">
        <f>349980+420285.27+39.73</f>
        <v>770305</v>
      </c>
      <c r="D39" s="523"/>
      <c r="E39" s="523"/>
      <c r="F39" s="520">
        <f t="shared" si="1"/>
        <v>0.27</v>
      </c>
    </row>
    <row r="40" ht="17.25" customHeight="1">
      <c r="A40" s="521" t="s">
        <v>123</v>
      </c>
      <c r="B40" s="522">
        <v>785343.77</v>
      </c>
      <c r="C40" s="523">
        <f>2002.78+55063.27+9041.34+15099.84+5358.29+27502.58+616673.4+54602</f>
        <v>785343.5</v>
      </c>
      <c r="D40" s="523"/>
      <c r="E40" s="523"/>
      <c r="F40" s="520">
        <f t="shared" si="1"/>
        <v>0.27</v>
      </c>
    </row>
    <row r="41" ht="17.25" customHeight="1">
      <c r="A41" s="488" t="s">
        <v>124</v>
      </c>
      <c r="B41" s="522">
        <v>0.0</v>
      </c>
      <c r="C41" s="523">
        <v>0.0</v>
      </c>
      <c r="D41" s="523">
        <v>0.0</v>
      </c>
      <c r="E41" s="523">
        <v>0.0</v>
      </c>
      <c r="F41" s="520">
        <f t="shared" si="1"/>
        <v>0</v>
      </c>
    </row>
    <row r="42" ht="17.25" customHeight="1">
      <c r="A42" s="521" t="s">
        <v>125</v>
      </c>
      <c r="B42" s="522">
        <v>1838038.6</v>
      </c>
      <c r="C42" s="523"/>
      <c r="D42" s="523"/>
      <c r="E42" s="523"/>
      <c r="F42" s="520">
        <f t="shared" si="1"/>
        <v>1838038.6</v>
      </c>
    </row>
    <row r="43" ht="17.25" customHeight="1">
      <c r="A43" s="525" t="s">
        <v>128</v>
      </c>
      <c r="B43" s="522">
        <v>85218.15</v>
      </c>
      <c r="C43" s="522">
        <v>85218.15</v>
      </c>
      <c r="D43" s="523"/>
      <c r="E43" s="523"/>
      <c r="F43" s="520">
        <f t="shared" si="1"/>
        <v>0</v>
      </c>
    </row>
    <row r="44" ht="17.25" customHeight="1">
      <c r="A44" s="521" t="s">
        <v>129</v>
      </c>
      <c r="B44" s="522">
        <v>137017.42</v>
      </c>
      <c r="C44" s="522">
        <v>137017.42</v>
      </c>
      <c r="D44" s="523"/>
      <c r="E44" s="523"/>
      <c r="F44" s="520">
        <f t="shared" si="1"/>
        <v>0</v>
      </c>
    </row>
    <row r="45" ht="17.25" customHeight="1">
      <c r="A45" s="521" t="s">
        <v>131</v>
      </c>
      <c r="B45" s="522">
        <v>4210779.34</v>
      </c>
      <c r="C45" s="522">
        <v>4210779.34</v>
      </c>
      <c r="D45" s="523"/>
      <c r="E45" s="523"/>
      <c r="F45" s="520">
        <f t="shared" si="1"/>
        <v>0</v>
      </c>
    </row>
    <row r="46" ht="17.25" customHeight="1">
      <c r="A46" s="521" t="s">
        <v>156</v>
      </c>
      <c r="B46" s="522">
        <v>1667602.3</v>
      </c>
      <c r="C46" s="522">
        <v>1667602.3</v>
      </c>
      <c r="D46" s="523"/>
      <c r="E46" s="523"/>
      <c r="F46" s="520">
        <f t="shared" si="1"/>
        <v>0</v>
      </c>
    </row>
    <row r="47" ht="17.25" customHeight="1">
      <c r="A47" s="521" t="s">
        <v>133</v>
      </c>
      <c r="B47" s="522">
        <v>2000120.19</v>
      </c>
      <c r="C47" s="523">
        <v>1603225.1</v>
      </c>
      <c r="D47" s="523">
        <v>14844.0</v>
      </c>
      <c r="E47" s="523"/>
      <c r="F47" s="520">
        <f t="shared" si="1"/>
        <v>382051.09</v>
      </c>
    </row>
    <row r="48" ht="17.25" customHeight="1">
      <c r="A48" s="521" t="s">
        <v>134</v>
      </c>
      <c r="B48" s="522">
        <v>1670.94</v>
      </c>
      <c r="C48" s="523"/>
      <c r="D48" s="523"/>
      <c r="E48" s="523"/>
      <c r="F48" s="520">
        <f t="shared" si="1"/>
        <v>1670.94</v>
      </c>
    </row>
    <row r="49" ht="17.25" customHeight="1">
      <c r="A49" s="521" t="s">
        <v>136</v>
      </c>
      <c r="B49" s="522">
        <v>65166.82</v>
      </c>
      <c r="C49" s="523"/>
      <c r="D49" s="523"/>
      <c r="E49" s="523"/>
      <c r="F49" s="520">
        <f t="shared" si="1"/>
        <v>65166.82</v>
      </c>
    </row>
    <row r="50" ht="17.25" customHeight="1">
      <c r="A50" s="521" t="s">
        <v>138</v>
      </c>
      <c r="B50" s="522">
        <v>1.023787501E7</v>
      </c>
      <c r="C50" s="522">
        <v>1.023787501E7</v>
      </c>
      <c r="D50" s="523"/>
      <c r="E50" s="522"/>
      <c r="F50" s="520">
        <f t="shared" si="1"/>
        <v>0</v>
      </c>
    </row>
    <row r="51" ht="17.25" customHeight="1">
      <c r="A51" s="521" t="s">
        <v>223</v>
      </c>
      <c r="B51" s="526">
        <f>29362666.67-14889724</f>
        <v>14472942.67</v>
      </c>
      <c r="C51" s="523">
        <f>1847943+18000000-5375000</f>
        <v>14472943</v>
      </c>
      <c r="D51" s="523"/>
      <c r="E51" s="523"/>
      <c r="F51" s="520">
        <f t="shared" si="1"/>
        <v>-0.3299999982</v>
      </c>
    </row>
    <row r="52" ht="17.25" customHeight="1">
      <c r="A52" s="527" t="s">
        <v>140</v>
      </c>
      <c r="B52" s="522">
        <v>23393.22</v>
      </c>
      <c r="C52" s="528"/>
      <c r="D52" s="529"/>
      <c r="E52" s="528"/>
      <c r="F52" s="530">
        <f t="shared" si="1"/>
        <v>23393.22</v>
      </c>
    </row>
    <row r="53" ht="17.25" customHeight="1">
      <c r="A53" s="531" t="s">
        <v>141</v>
      </c>
      <c r="B53" s="532">
        <f t="shared" ref="B53:F53" si="2">SUM(B8:B52)</f>
        <v>118576942.7</v>
      </c>
      <c r="C53" s="533">
        <f t="shared" si="2"/>
        <v>114173880.5</v>
      </c>
      <c r="D53" s="533">
        <f t="shared" si="2"/>
        <v>4421784.48</v>
      </c>
      <c r="E53" s="533">
        <f t="shared" si="2"/>
        <v>0.4199999995</v>
      </c>
      <c r="F53" s="534">
        <f t="shared" si="2"/>
        <v>-18722.77</v>
      </c>
    </row>
    <row r="54" ht="17.25" customHeight="1">
      <c r="A54" s="504" t="s">
        <v>224</v>
      </c>
      <c r="B54" s="535">
        <v>1.4889724E7</v>
      </c>
      <c r="C54" s="536">
        <v>0.0</v>
      </c>
      <c r="D54" s="537">
        <v>0.0</v>
      </c>
      <c r="E54" s="537">
        <v>0.0</v>
      </c>
      <c r="F54" s="538">
        <f>B54-C54-D54-E54</f>
        <v>14889724</v>
      </c>
    </row>
    <row r="55" ht="17.25" customHeight="1">
      <c r="A55" s="501" t="s">
        <v>143</v>
      </c>
      <c r="B55" s="539">
        <f t="shared" ref="B55:F55" si="3">SUM(B53:B54)</f>
        <v>133466666.7</v>
      </c>
      <c r="C55" s="540">
        <f t="shared" si="3"/>
        <v>114173880.5</v>
      </c>
      <c r="D55" s="539">
        <f t="shared" si="3"/>
        <v>4421784.48</v>
      </c>
      <c r="E55" s="539">
        <f t="shared" si="3"/>
        <v>0.4199999995</v>
      </c>
      <c r="F55" s="541">
        <f t="shared" si="3"/>
        <v>14871001.23</v>
      </c>
    </row>
    <row r="56" ht="14.25" customHeight="1">
      <c r="A56" s="139" t="s">
        <v>225</v>
      </c>
      <c r="B56" s="542"/>
      <c r="C56" s="542"/>
      <c r="D56" s="542"/>
      <c r="E56" s="542"/>
      <c r="F56" s="542"/>
    </row>
    <row r="57" ht="14.25" customHeight="1">
      <c r="A57" s="543"/>
      <c r="B57" s="543"/>
      <c r="C57" s="543"/>
      <c r="D57" s="543"/>
      <c r="E57" s="543"/>
      <c r="F57" s="543"/>
    </row>
    <row r="58" ht="14.25" customHeight="1">
      <c r="A58" s="544" t="s">
        <v>159</v>
      </c>
      <c r="B58" s="545">
        <f t="shared" ref="B58:F58" si="4">B10+B11+B13+B16+B18+B23+B30+B32+B39+B42+B43+B44+B48+B49+B52</f>
        <v>3589188.1</v>
      </c>
      <c r="C58" s="545">
        <f t="shared" si="4"/>
        <v>1622486.75</v>
      </c>
      <c r="D58" s="545">
        <f t="shared" si="4"/>
        <v>0</v>
      </c>
      <c r="E58" s="545">
        <f t="shared" si="4"/>
        <v>0</v>
      </c>
      <c r="F58" s="545">
        <f t="shared" si="4"/>
        <v>1966701.35</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4:F4"/>
    <mergeCell ref="A5:F5"/>
    <mergeCell ref="A6:F6"/>
  </mergeCells>
  <printOptions/>
  <pageMargins bottom="0.75" footer="0.0" header="0.0" left="0.7" right="0.7" top="0.75"/>
  <pageSetup orientation="landscape"/>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18.29"/>
    <col customWidth="1" min="3" max="3" width="14.57"/>
    <col customWidth="1" min="4" max="4" width="16.43"/>
    <col customWidth="1" min="5" max="5" width="15.71"/>
    <col customWidth="1" min="6" max="6" width="17.0"/>
    <col customWidth="1" min="7" max="26" width="8.71"/>
  </cols>
  <sheetData>
    <row r="1" ht="15.75" customHeight="1">
      <c r="B1" s="546"/>
      <c r="C1" s="546"/>
      <c r="D1" s="546"/>
      <c r="E1" s="547" t="str">
        <f>[1]Status!C1</f>
        <v>#ERROR!</v>
      </c>
    </row>
    <row r="2" ht="15.75" customHeight="1">
      <c r="B2" s="546"/>
      <c r="C2" s="546"/>
      <c r="D2" s="546"/>
      <c r="E2" s="546"/>
      <c r="F2" s="548" t="s">
        <v>226</v>
      </c>
    </row>
    <row r="3" ht="15.75" customHeight="1">
      <c r="A3" s="546"/>
      <c r="B3" s="546"/>
      <c r="C3" s="546"/>
      <c r="D3" s="546"/>
      <c r="E3" s="546"/>
      <c r="F3" s="546"/>
    </row>
    <row r="4" ht="20.25" customHeight="1">
      <c r="A4" s="549" t="s">
        <v>148</v>
      </c>
      <c r="G4" s="550"/>
      <c r="H4" s="550"/>
    </row>
    <row r="5" ht="20.25" customHeight="1">
      <c r="A5" s="551" t="s">
        <v>227</v>
      </c>
    </row>
    <row r="6" ht="20.25" customHeight="1">
      <c r="A6" s="552" t="str">
        <f>[1]Status!A6</f>
        <v>#ERROR!</v>
      </c>
      <c r="B6" s="298"/>
      <c r="C6" s="298"/>
      <c r="D6" s="298"/>
      <c r="E6" s="298"/>
      <c r="F6" s="298"/>
    </row>
    <row r="7" ht="30.75" customHeight="1">
      <c r="A7" s="553" t="s">
        <v>79</v>
      </c>
      <c r="B7" s="554" t="s">
        <v>80</v>
      </c>
      <c r="C7" s="554" t="s">
        <v>81</v>
      </c>
      <c r="D7" s="554" t="s">
        <v>82</v>
      </c>
      <c r="E7" s="554" t="s">
        <v>83</v>
      </c>
      <c r="F7" s="555" t="s">
        <v>84</v>
      </c>
    </row>
    <row r="8" ht="18.0" customHeight="1">
      <c r="A8" s="556" t="s">
        <v>150</v>
      </c>
      <c r="B8" s="557">
        <v>2660143.14</v>
      </c>
      <c r="C8" s="557">
        <v>2660143.14</v>
      </c>
      <c r="D8" s="558">
        <v>129950.0</v>
      </c>
      <c r="E8" s="558"/>
      <c r="F8" s="559">
        <f t="shared" ref="F8:F52" si="1">B8-C8-D8-E8</f>
        <v>-129950</v>
      </c>
    </row>
    <row r="9" ht="18.0" customHeight="1">
      <c r="A9" s="560" t="s">
        <v>88</v>
      </c>
      <c r="B9" s="561">
        <v>1435341.05</v>
      </c>
      <c r="C9" s="561">
        <v>1435341.05</v>
      </c>
      <c r="D9" s="562"/>
      <c r="E9" s="562"/>
      <c r="F9" s="559">
        <f t="shared" si="1"/>
        <v>0</v>
      </c>
    </row>
    <row r="10" ht="18.0" customHeight="1">
      <c r="A10" s="563" t="s">
        <v>89</v>
      </c>
      <c r="B10" s="561">
        <v>8354.72</v>
      </c>
      <c r="C10" s="562"/>
      <c r="D10" s="562"/>
      <c r="E10" s="562"/>
      <c r="F10" s="559">
        <f t="shared" si="1"/>
        <v>8354.72</v>
      </c>
    </row>
    <row r="11" ht="18.0" customHeight="1">
      <c r="A11" s="560" t="s">
        <v>90</v>
      </c>
      <c r="B11" s="561">
        <v>30077.0</v>
      </c>
      <c r="C11" s="562"/>
      <c r="D11" s="562"/>
      <c r="E11" s="562"/>
      <c r="F11" s="559">
        <f t="shared" si="1"/>
        <v>30077</v>
      </c>
    </row>
    <row r="12" ht="18.0" customHeight="1">
      <c r="A12" s="560" t="s">
        <v>91</v>
      </c>
      <c r="B12" s="561">
        <v>1786239.33</v>
      </c>
      <c r="C12" s="561">
        <v>1786239.33</v>
      </c>
      <c r="D12" s="562"/>
      <c r="E12" s="562"/>
      <c r="F12" s="559">
        <f t="shared" si="1"/>
        <v>0</v>
      </c>
    </row>
    <row r="13" ht="18.0" customHeight="1">
      <c r="A13" s="560" t="s">
        <v>92</v>
      </c>
      <c r="B13" s="561">
        <v>28406.05</v>
      </c>
      <c r="C13" s="561">
        <v>28406.05</v>
      </c>
      <c r="D13" s="562"/>
      <c r="E13" s="562"/>
      <c r="F13" s="559">
        <f t="shared" si="1"/>
        <v>0</v>
      </c>
    </row>
    <row r="14" ht="18.0" customHeight="1">
      <c r="A14" s="560" t="s">
        <v>151</v>
      </c>
      <c r="B14" s="561">
        <v>4700365.99</v>
      </c>
      <c r="C14" s="562">
        <f>335641.5+3760292.79+47598+204977+9120</f>
        <v>4357629.29</v>
      </c>
      <c r="D14" s="562">
        <f>33900+47460+326005-7910-47598-9120</f>
        <v>342737</v>
      </c>
      <c r="E14" s="562"/>
      <c r="F14" s="559">
        <f t="shared" si="1"/>
        <v>-0.2999999998</v>
      </c>
    </row>
    <row r="15" ht="18.0" customHeight="1">
      <c r="A15" s="560" t="s">
        <v>95</v>
      </c>
      <c r="B15" s="561">
        <v>65166.82</v>
      </c>
      <c r="C15" s="562">
        <f>6076.88+59089.94</f>
        <v>65166.82</v>
      </c>
      <c r="D15" s="562"/>
      <c r="E15" s="562"/>
      <c r="F15" s="559">
        <f t="shared" si="1"/>
        <v>0</v>
      </c>
    </row>
    <row r="16" ht="18.0" customHeight="1">
      <c r="A16" s="560" t="s">
        <v>96</v>
      </c>
      <c r="B16" s="561">
        <v>305782.79</v>
      </c>
      <c r="C16" s="561">
        <v>305782.79</v>
      </c>
      <c r="D16" s="562"/>
      <c r="E16" s="562"/>
      <c r="F16" s="559">
        <f t="shared" si="1"/>
        <v>0</v>
      </c>
    </row>
    <row r="17" ht="18.0" customHeight="1">
      <c r="A17" s="560" t="s">
        <v>97</v>
      </c>
      <c r="B17" s="561">
        <v>1199737.92</v>
      </c>
      <c r="C17" s="561">
        <v>1199737.92</v>
      </c>
      <c r="D17" s="562"/>
      <c r="E17" s="562"/>
      <c r="F17" s="559">
        <f t="shared" si="1"/>
        <v>0</v>
      </c>
    </row>
    <row r="18" ht="18.0" customHeight="1">
      <c r="A18" s="560" t="s">
        <v>98</v>
      </c>
      <c r="B18" s="561">
        <v>20051.33</v>
      </c>
      <c r="C18" s="561">
        <v>20051.33</v>
      </c>
      <c r="D18" s="562"/>
      <c r="E18" s="562"/>
      <c r="F18" s="559">
        <f t="shared" si="1"/>
        <v>0</v>
      </c>
    </row>
    <row r="19" ht="18.0" customHeight="1">
      <c r="A19" s="560" t="s">
        <v>99</v>
      </c>
      <c r="B19" s="561">
        <v>890613.25</v>
      </c>
      <c r="C19" s="561">
        <v>890613.25</v>
      </c>
      <c r="D19" s="562"/>
      <c r="E19" s="562"/>
      <c r="F19" s="559">
        <f t="shared" si="1"/>
        <v>0</v>
      </c>
    </row>
    <row r="20" ht="18.0" customHeight="1">
      <c r="A20" s="560" t="s">
        <v>152</v>
      </c>
      <c r="B20" s="561">
        <v>1.007579343E7</v>
      </c>
      <c r="C20" s="564">
        <f>9342968+6196+2558+106492</f>
        <v>9458214</v>
      </c>
      <c r="D20" s="564">
        <f>641500+33900-6196-2558-106492</f>
        <v>560154</v>
      </c>
      <c r="E20" s="562"/>
      <c r="F20" s="559">
        <f t="shared" si="1"/>
        <v>57425.43</v>
      </c>
    </row>
    <row r="21" ht="18.0" customHeight="1">
      <c r="A21" s="560" t="s">
        <v>153</v>
      </c>
      <c r="B21" s="561">
        <v>1.447371852E7</v>
      </c>
      <c r="C21" s="562">
        <f>2412286.41+2412286.42+2412286.42+2412286.42+2412286.42+2412286.42-2465576</f>
        <v>12008142.51</v>
      </c>
      <c r="D21" s="562">
        <f>2894744+2465576</f>
        <v>5360320</v>
      </c>
      <c r="E21" s="561"/>
      <c r="F21" s="559">
        <f t="shared" si="1"/>
        <v>-2894743.99</v>
      </c>
    </row>
    <row r="22" ht="18.0" customHeight="1">
      <c r="A22" s="560" t="s">
        <v>102</v>
      </c>
      <c r="B22" s="561">
        <v>885600.42</v>
      </c>
      <c r="C22" s="562"/>
      <c r="D22" s="562"/>
      <c r="E22" s="562"/>
      <c r="F22" s="559">
        <f t="shared" si="1"/>
        <v>885600.42</v>
      </c>
    </row>
    <row r="23" ht="18.0" customHeight="1">
      <c r="A23" s="560" t="s">
        <v>104</v>
      </c>
      <c r="B23" s="561">
        <v>210538.97</v>
      </c>
      <c r="C23" s="561">
        <v>210538.97</v>
      </c>
      <c r="D23" s="562"/>
      <c r="E23" s="562"/>
      <c r="F23" s="559">
        <f t="shared" si="1"/>
        <v>0</v>
      </c>
    </row>
    <row r="24" ht="18.0" customHeight="1">
      <c r="A24" s="560" t="s">
        <v>105</v>
      </c>
      <c r="B24" s="561">
        <v>56812.1</v>
      </c>
      <c r="C24" s="561">
        <v>56812.1</v>
      </c>
      <c r="D24" s="562"/>
      <c r="E24" s="562"/>
      <c r="F24" s="559">
        <f t="shared" si="1"/>
        <v>0</v>
      </c>
    </row>
    <row r="25" ht="18.0" customHeight="1">
      <c r="A25" s="560" t="s">
        <v>154</v>
      </c>
      <c r="B25" s="561">
        <v>584830.46</v>
      </c>
      <c r="C25" s="561">
        <v>584830.46</v>
      </c>
      <c r="D25" s="562"/>
      <c r="E25" s="562"/>
      <c r="F25" s="559">
        <f t="shared" si="1"/>
        <v>0</v>
      </c>
    </row>
    <row r="26" ht="18.0" customHeight="1">
      <c r="A26" s="560" t="s">
        <v>107</v>
      </c>
      <c r="B26" s="561">
        <v>780330.93</v>
      </c>
      <c r="C26" s="562"/>
      <c r="D26" s="562"/>
      <c r="E26" s="562"/>
      <c r="F26" s="559">
        <f t="shared" si="1"/>
        <v>780330.93</v>
      </c>
    </row>
    <row r="27" ht="18.0" customHeight="1">
      <c r="A27" s="560" t="s">
        <v>108</v>
      </c>
      <c r="B27" s="561">
        <v>8162562.34</v>
      </c>
      <c r="C27" s="562">
        <f>6530043.87+1632518.47-1632512</f>
        <v>6530050.34</v>
      </c>
      <c r="D27" s="562">
        <v>1632512.0</v>
      </c>
      <c r="E27" s="562"/>
      <c r="F27" s="559">
        <f t="shared" si="1"/>
        <v>0</v>
      </c>
    </row>
    <row r="28" ht="18.0" customHeight="1">
      <c r="A28" s="560" t="s">
        <v>155</v>
      </c>
      <c r="B28" s="561">
        <v>2.936266667E7</v>
      </c>
      <c r="C28" s="561">
        <f>29362666.67-790940</f>
        <v>28571726.67</v>
      </c>
      <c r="D28" s="562">
        <v>790940.0</v>
      </c>
      <c r="E28" s="562"/>
      <c r="F28" s="559">
        <f t="shared" si="1"/>
        <v>0</v>
      </c>
    </row>
    <row r="29" ht="14.25" customHeight="1">
      <c r="A29" s="278" t="s">
        <v>110</v>
      </c>
      <c r="B29" s="420">
        <v>0.0</v>
      </c>
      <c r="C29" s="321">
        <v>0.0</v>
      </c>
      <c r="D29" s="405"/>
      <c r="E29" s="405"/>
      <c r="F29" s="403">
        <f t="shared" si="1"/>
        <v>0</v>
      </c>
      <c r="H29" s="216"/>
      <c r="I29" s="216"/>
    </row>
    <row r="30" ht="18.0" customHeight="1">
      <c r="A30" s="560" t="s">
        <v>112</v>
      </c>
      <c r="B30" s="561">
        <v>25064.16</v>
      </c>
      <c r="C30" s="561">
        <v>25064.16</v>
      </c>
      <c r="D30" s="562"/>
      <c r="E30" s="562"/>
      <c r="F30" s="559">
        <f t="shared" si="1"/>
        <v>0</v>
      </c>
    </row>
    <row r="31" ht="18.0" customHeight="1">
      <c r="A31" s="560" t="s">
        <v>113</v>
      </c>
      <c r="B31" s="561">
        <v>8354.72</v>
      </c>
      <c r="C31" s="561">
        <v>8354.72</v>
      </c>
      <c r="D31" s="562"/>
      <c r="E31" s="562"/>
      <c r="F31" s="559">
        <f t="shared" si="1"/>
        <v>0</v>
      </c>
    </row>
    <row r="32" ht="18.0" customHeight="1">
      <c r="A32" s="560" t="s">
        <v>114</v>
      </c>
      <c r="B32" s="561">
        <v>40102.66</v>
      </c>
      <c r="C32" s="561"/>
      <c r="D32" s="562"/>
      <c r="E32" s="562"/>
      <c r="F32" s="559">
        <f t="shared" si="1"/>
        <v>40102.66</v>
      </c>
    </row>
    <row r="33" ht="18.0" customHeight="1">
      <c r="A33" s="560" t="s">
        <v>115</v>
      </c>
      <c r="B33" s="561">
        <v>128662.7</v>
      </c>
      <c r="C33" s="561">
        <v>128662.7</v>
      </c>
      <c r="D33" s="562"/>
      <c r="E33" s="562"/>
      <c r="F33" s="559">
        <f t="shared" si="1"/>
        <v>0</v>
      </c>
    </row>
    <row r="34" ht="18.0" customHeight="1">
      <c r="A34" s="560" t="s">
        <v>116</v>
      </c>
      <c r="B34" s="561">
        <v>23393.22</v>
      </c>
      <c r="C34" s="561">
        <v>23393.22</v>
      </c>
      <c r="D34" s="562"/>
      <c r="E34" s="562"/>
      <c r="F34" s="559">
        <f t="shared" si="1"/>
        <v>0</v>
      </c>
    </row>
    <row r="35" ht="18.0" customHeight="1">
      <c r="A35" s="560" t="s">
        <v>117</v>
      </c>
      <c r="B35" s="561">
        <v>5012.83</v>
      </c>
      <c r="C35" s="561">
        <v>5012.83</v>
      </c>
      <c r="D35" s="562"/>
      <c r="E35" s="562"/>
      <c r="F35" s="559">
        <f t="shared" si="1"/>
        <v>0</v>
      </c>
    </row>
    <row r="36" ht="18.0" customHeight="1">
      <c r="A36" s="560" t="s">
        <v>118</v>
      </c>
      <c r="B36" s="561">
        <v>2823895.67</v>
      </c>
      <c r="C36" s="561">
        <v>3400000.0</v>
      </c>
      <c r="D36" s="562"/>
      <c r="E36" s="562"/>
      <c r="F36" s="559">
        <f t="shared" si="1"/>
        <v>-576104.33</v>
      </c>
    </row>
    <row r="37" ht="18.0" customHeight="1">
      <c r="A37" s="560" t="s">
        <v>119</v>
      </c>
      <c r="B37" s="561">
        <v>369278.66</v>
      </c>
      <c r="C37" s="561">
        <v>369278.66</v>
      </c>
      <c r="D37" s="562"/>
      <c r="E37" s="562"/>
      <c r="F37" s="559">
        <f t="shared" si="1"/>
        <v>0</v>
      </c>
    </row>
    <row r="38" ht="18.0" customHeight="1">
      <c r="A38" s="560" t="s">
        <v>120</v>
      </c>
      <c r="B38" s="561">
        <v>1134571.1</v>
      </c>
      <c r="C38" s="561">
        <v>1134571.1</v>
      </c>
      <c r="D38" s="562"/>
      <c r="E38" s="562"/>
      <c r="F38" s="559">
        <f t="shared" si="1"/>
        <v>0</v>
      </c>
    </row>
    <row r="39" ht="18.0" customHeight="1">
      <c r="A39" s="560" t="s">
        <v>122</v>
      </c>
      <c r="B39" s="561">
        <v>770305.27</v>
      </c>
      <c r="C39" s="561">
        <f>350000+420305.27</f>
        <v>770305.27</v>
      </c>
      <c r="D39" s="562"/>
      <c r="E39" s="562"/>
      <c r="F39" s="559">
        <f t="shared" si="1"/>
        <v>0</v>
      </c>
    </row>
    <row r="40" ht="18.0" customHeight="1">
      <c r="A40" s="560" t="s">
        <v>123</v>
      </c>
      <c r="B40" s="561">
        <v>785343.77</v>
      </c>
      <c r="C40" s="561">
        <v>785343.77</v>
      </c>
      <c r="D40" s="562"/>
      <c r="E40" s="562"/>
      <c r="F40" s="559">
        <f t="shared" si="1"/>
        <v>0</v>
      </c>
    </row>
    <row r="41" ht="18.0" customHeight="1">
      <c r="A41" s="488" t="s">
        <v>124</v>
      </c>
      <c r="B41" s="522">
        <v>0.0</v>
      </c>
      <c r="C41" s="523">
        <v>0.0</v>
      </c>
      <c r="D41" s="523">
        <v>0.0</v>
      </c>
      <c r="E41" s="523">
        <v>0.0</v>
      </c>
      <c r="F41" s="520">
        <f t="shared" si="1"/>
        <v>0</v>
      </c>
    </row>
    <row r="42" ht="18.0" customHeight="1">
      <c r="A42" s="560" t="s">
        <v>125</v>
      </c>
      <c r="B42" s="561">
        <v>1838038.6</v>
      </c>
      <c r="C42" s="562"/>
      <c r="D42" s="562"/>
      <c r="E42" s="562"/>
      <c r="F42" s="559">
        <f t="shared" si="1"/>
        <v>1838038.6</v>
      </c>
    </row>
    <row r="43" ht="18.0" customHeight="1">
      <c r="A43" s="565" t="s">
        <v>128</v>
      </c>
      <c r="B43" s="561">
        <v>85218.15</v>
      </c>
      <c r="C43" s="561">
        <v>85218.15</v>
      </c>
      <c r="D43" s="562"/>
      <c r="E43" s="562"/>
      <c r="F43" s="559">
        <f t="shared" si="1"/>
        <v>0</v>
      </c>
    </row>
    <row r="44" ht="18.0" customHeight="1">
      <c r="A44" s="560" t="s">
        <v>129</v>
      </c>
      <c r="B44" s="561">
        <v>137017.42</v>
      </c>
      <c r="C44" s="561">
        <v>137017.42</v>
      </c>
      <c r="D44" s="562"/>
      <c r="E44" s="562"/>
      <c r="F44" s="559">
        <f t="shared" si="1"/>
        <v>0</v>
      </c>
    </row>
    <row r="45" ht="18.0" customHeight="1">
      <c r="A45" s="560" t="s">
        <v>131</v>
      </c>
      <c r="B45" s="561">
        <v>4210779.34</v>
      </c>
      <c r="C45" s="562">
        <f>140000+4076693.51-1514.17</f>
        <v>4215179.34</v>
      </c>
      <c r="D45" s="562"/>
      <c r="E45" s="562"/>
      <c r="F45" s="559">
        <f t="shared" si="1"/>
        <v>-4400</v>
      </c>
    </row>
    <row r="46" ht="18.0" customHeight="1">
      <c r="A46" s="560" t="s">
        <v>156</v>
      </c>
      <c r="B46" s="561">
        <v>1667602.3</v>
      </c>
      <c r="C46" s="561">
        <v>1667602.3</v>
      </c>
      <c r="D46" s="562"/>
      <c r="E46" s="562"/>
      <c r="F46" s="559">
        <f t="shared" si="1"/>
        <v>0</v>
      </c>
    </row>
    <row r="47" ht="18.0" customHeight="1">
      <c r="A47" s="560" t="s">
        <v>133</v>
      </c>
      <c r="B47" s="561">
        <v>2000120.19</v>
      </c>
      <c r="C47" s="562">
        <v>1603345.29</v>
      </c>
      <c r="D47" s="562">
        <v>400024.0</v>
      </c>
      <c r="E47" s="562"/>
      <c r="F47" s="559">
        <f t="shared" si="1"/>
        <v>-3249.1</v>
      </c>
    </row>
    <row r="48" ht="18.0" customHeight="1">
      <c r="A48" s="560" t="s">
        <v>134</v>
      </c>
      <c r="B48" s="561">
        <v>1670.94</v>
      </c>
      <c r="C48" s="562"/>
      <c r="D48" s="562"/>
      <c r="E48" s="562"/>
      <c r="F48" s="559">
        <f t="shared" si="1"/>
        <v>1670.94</v>
      </c>
    </row>
    <row r="49" ht="18.0" customHeight="1">
      <c r="A49" s="560" t="s">
        <v>136</v>
      </c>
      <c r="B49" s="561">
        <v>65166.82</v>
      </c>
      <c r="C49" s="562"/>
      <c r="D49" s="562"/>
      <c r="E49" s="562"/>
      <c r="F49" s="559">
        <f t="shared" si="1"/>
        <v>65166.82</v>
      </c>
    </row>
    <row r="50" ht="18.0" customHeight="1">
      <c r="A50" s="560" t="s">
        <v>138</v>
      </c>
      <c r="B50" s="561">
        <v>1.023787501E7</v>
      </c>
      <c r="C50" s="561">
        <v>1.023787501E7</v>
      </c>
      <c r="D50" s="562"/>
      <c r="E50" s="561"/>
      <c r="F50" s="559">
        <f t="shared" si="1"/>
        <v>0</v>
      </c>
    </row>
    <row r="51" ht="18.0" customHeight="1">
      <c r="A51" s="560" t="s">
        <v>139</v>
      </c>
      <c r="B51" s="561">
        <v>2.936266667E7</v>
      </c>
      <c r="C51" s="562">
        <f>19101321+5000000+2426289-1847943+2341500+2341500</f>
        <v>29362667</v>
      </c>
      <c r="D51" s="562"/>
      <c r="E51" s="562">
        <f>4683000-2341500-2341500</f>
        <v>0</v>
      </c>
      <c r="F51" s="559">
        <f t="shared" si="1"/>
        <v>-0.3299999982</v>
      </c>
    </row>
    <row r="52" ht="18.0" customHeight="1">
      <c r="A52" s="566" t="s">
        <v>140</v>
      </c>
      <c r="B52" s="561">
        <v>23393.22</v>
      </c>
      <c r="C52" s="567"/>
      <c r="D52" s="568"/>
      <c r="E52" s="569"/>
      <c r="F52" s="559">
        <f t="shared" si="1"/>
        <v>23393.22</v>
      </c>
    </row>
    <row r="53" ht="18.0" customHeight="1">
      <c r="A53" s="570" t="s">
        <v>143</v>
      </c>
      <c r="B53" s="571">
        <f t="shared" ref="B53:F53" si="2">SUM(B8:B52)</f>
        <v>133466666.7</v>
      </c>
      <c r="C53" s="572">
        <f t="shared" si="2"/>
        <v>124128317</v>
      </c>
      <c r="D53" s="573">
        <f t="shared" si="2"/>
        <v>9216637</v>
      </c>
      <c r="E53" s="574">
        <f t="shared" si="2"/>
        <v>0</v>
      </c>
      <c r="F53" s="575">
        <f t="shared" si="2"/>
        <v>121712.69</v>
      </c>
    </row>
    <row r="54" ht="20.25" customHeight="1">
      <c r="A54" s="576"/>
      <c r="B54" s="576"/>
      <c r="C54" s="576"/>
      <c r="D54" s="576"/>
      <c r="E54" s="576"/>
      <c r="F54" s="576"/>
    </row>
    <row r="55" ht="20.25" customHeight="1">
      <c r="A55" s="508" t="s">
        <v>159</v>
      </c>
      <c r="B55" s="509">
        <f t="shared" ref="B55:F55" si="3">B10+B11+B13+B16+B18+B23+B30+B32+B39+B42+B43+B44+B48+B49+B52</f>
        <v>3589188.1</v>
      </c>
      <c r="C55" s="509">
        <f t="shared" si="3"/>
        <v>1582384.14</v>
      </c>
      <c r="D55" s="509">
        <f t="shared" si="3"/>
        <v>0</v>
      </c>
      <c r="E55" s="509">
        <f t="shared" si="3"/>
        <v>0</v>
      </c>
      <c r="F55" s="577">
        <f t="shared" si="3"/>
        <v>2006803.96</v>
      </c>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4:F4"/>
    <mergeCell ref="A5:F5"/>
    <mergeCell ref="A6:F6"/>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29"/>
    <col customWidth="1" min="2" max="2" width="16.43"/>
    <col customWidth="1" min="3" max="3" width="14.71"/>
    <col customWidth="1" min="4" max="4" width="16.0"/>
    <col customWidth="1" min="5" max="5" width="14.71"/>
    <col customWidth="1" min="6" max="6" width="15.57"/>
    <col customWidth="1" min="7" max="26" width="8.71"/>
  </cols>
  <sheetData>
    <row r="1" ht="15.0" customHeight="1">
      <c r="F1" s="547" t="str">
        <f>[1]Status!C1</f>
        <v>#ERROR!</v>
      </c>
    </row>
    <row r="2" ht="15.0" customHeight="1">
      <c r="F2" s="548" t="s">
        <v>228</v>
      </c>
    </row>
    <row r="3" ht="15.0" customHeight="1">
      <c r="F3" s="548"/>
    </row>
    <row r="4" ht="14.25" customHeight="1">
      <c r="A4" s="511" t="s">
        <v>148</v>
      </c>
    </row>
    <row r="5" ht="14.25" customHeight="1">
      <c r="A5" s="512" t="s">
        <v>229</v>
      </c>
    </row>
    <row r="6" ht="14.25" customHeight="1">
      <c r="A6" s="513" t="str">
        <f>[1]Status!A6</f>
        <v>#ERROR!</v>
      </c>
      <c r="B6" s="298"/>
      <c r="C6" s="298"/>
      <c r="D6" s="298"/>
      <c r="E6" s="298"/>
      <c r="F6" s="298"/>
    </row>
    <row r="7" ht="14.25" customHeight="1">
      <c r="A7" s="578" t="s">
        <v>79</v>
      </c>
      <c r="B7" s="579" t="s">
        <v>80</v>
      </c>
      <c r="C7" s="579" t="s">
        <v>81</v>
      </c>
      <c r="D7" s="579" t="s">
        <v>82</v>
      </c>
      <c r="E7" s="579" t="s">
        <v>83</v>
      </c>
      <c r="F7" s="580" t="s">
        <v>84</v>
      </c>
    </row>
    <row r="8" ht="15.0" customHeight="1">
      <c r="A8" s="581" t="s">
        <v>150</v>
      </c>
      <c r="B8" s="582">
        <f>'YR2003'!B8+'YR2004'!B8+'YR2005'!B8</f>
        <v>9452416.74</v>
      </c>
      <c r="C8" s="582">
        <f>'YR2003'!C8+'YR2004'!C8+'YR2005'!C8-1</f>
        <v>9452416.58</v>
      </c>
      <c r="D8" s="582">
        <f>'YR2003'!D8+'YR2004'!D8+'YR2005'!D8</f>
        <v>0</v>
      </c>
      <c r="E8" s="582">
        <f>'YR2003'!E8+'YR2004'!E8+'YR2005'!E8</f>
        <v>0</v>
      </c>
      <c r="F8" s="583">
        <f t="shared" ref="F8:F50" si="1">B8-C8-D8-E8</f>
        <v>0.1600000001</v>
      </c>
    </row>
    <row r="9" ht="14.25" customHeight="1">
      <c r="A9" s="584" t="s">
        <v>88</v>
      </c>
      <c r="B9" s="582">
        <f>'YR2003'!B9+'YR2004'!B9+'YR2005'!B9</f>
        <v>5498539.98</v>
      </c>
      <c r="C9" s="582">
        <f>'YR2003'!C9+'YR2004'!C9+'YR2005'!C9</f>
        <v>5498539.98</v>
      </c>
      <c r="D9" s="582">
        <f>'YR2003'!D9+'YR2004'!D9+'YR2005'!D9</f>
        <v>0</v>
      </c>
      <c r="E9" s="582">
        <f>'YR2003'!E9+'YR2004'!E9+'YR2005'!E9</f>
        <v>0</v>
      </c>
      <c r="F9" s="583">
        <f t="shared" si="1"/>
        <v>0</v>
      </c>
    </row>
    <row r="10" ht="14.25" customHeight="1">
      <c r="A10" s="585" t="s">
        <v>89</v>
      </c>
      <c r="B10" s="582">
        <f>'YR2003'!B10+'YR2004'!B10+'YR2005'!B10</f>
        <v>23054.67495</v>
      </c>
      <c r="C10" s="582">
        <f>'YR2003'!C10+'YR2004'!C10+'YR2005'!C10</f>
        <v>0</v>
      </c>
      <c r="D10" s="582">
        <f>'YR2003'!D10+'YR2004'!D10+'YR2005'!D10</f>
        <v>0</v>
      </c>
      <c r="E10" s="582">
        <f>'YR2003'!E10+'YR2004'!E10+'YR2005'!E10</f>
        <v>0</v>
      </c>
      <c r="F10" s="583">
        <f t="shared" si="1"/>
        <v>23054.67495</v>
      </c>
    </row>
    <row r="11" ht="14.25" customHeight="1">
      <c r="A11" s="584" t="s">
        <v>90</v>
      </c>
      <c r="B11" s="582">
        <f>'YR2003'!B11+'YR2004'!B11+'YR2005'!B11</f>
        <v>109509.72</v>
      </c>
      <c r="C11" s="582">
        <f>'YR2003'!C11+'YR2004'!C11+'YR2005'!C11</f>
        <v>0</v>
      </c>
      <c r="D11" s="582">
        <f>'YR2003'!D11+'YR2004'!D11+'YR2005'!D11</f>
        <v>0</v>
      </c>
      <c r="E11" s="582">
        <f>'YR2003'!E11+'YR2004'!E11+'YR2005'!E11</f>
        <v>0</v>
      </c>
      <c r="F11" s="583">
        <f t="shared" si="1"/>
        <v>109509.72</v>
      </c>
    </row>
    <row r="12" ht="14.25" customHeight="1">
      <c r="A12" s="584" t="s">
        <v>91</v>
      </c>
      <c r="B12" s="582">
        <f>'YR2003'!B12+'YR2004'!B12+'YR2005'!B12</f>
        <v>6559055.01</v>
      </c>
      <c r="C12" s="582">
        <f>'YR2003'!C12+'YR2004'!C12+'YR2005'!C12</f>
        <v>6559055.34</v>
      </c>
      <c r="D12" s="582">
        <f>'YR2003'!D12+'YR2004'!D12+'YR2005'!D12</f>
        <v>0</v>
      </c>
      <c r="E12" s="582">
        <f>'YR2003'!E12+'YR2004'!E12+'YR2005'!E12</f>
        <v>0</v>
      </c>
      <c r="F12" s="583">
        <f t="shared" si="1"/>
        <v>-0.3300000001</v>
      </c>
    </row>
    <row r="13" ht="14.25" customHeight="1">
      <c r="A13" s="584" t="s">
        <v>92</v>
      </c>
      <c r="B13" s="582">
        <f>'YR2003'!B13+'YR2004'!B13+'YR2005'!B13</f>
        <v>74927.7</v>
      </c>
      <c r="C13" s="582">
        <f>'YR2003'!C13+'YR2004'!C13+'YR2005'!C13</f>
        <v>74927.7</v>
      </c>
      <c r="D13" s="582">
        <f>'YR2003'!D13+'YR2004'!D13+'YR2005'!D13</f>
        <v>0</v>
      </c>
      <c r="E13" s="582">
        <f>'YR2003'!E13+'YR2004'!E13+'YR2005'!E13</f>
        <v>0</v>
      </c>
      <c r="F13" s="583">
        <f t="shared" si="1"/>
        <v>0</v>
      </c>
    </row>
    <row r="14" ht="14.25" customHeight="1">
      <c r="A14" s="584" t="s">
        <v>151</v>
      </c>
      <c r="B14" s="582">
        <f>'YR2003'!B14+'YR2004'!B14+'YR2005'!B14</f>
        <v>14864501.67</v>
      </c>
      <c r="C14" s="582">
        <f>'YR2003'!C14+'YR2004'!C14+'YR2005'!C14</f>
        <v>13594192.22</v>
      </c>
      <c r="D14" s="582">
        <f>'YR2003'!D14+'YR2004'!D14+'YR2005'!D14</f>
        <v>1270310.1</v>
      </c>
      <c r="E14" s="582">
        <f>'YR2003'!E14+'YR2004'!E14+'YR2005'!E14</f>
        <v>0</v>
      </c>
      <c r="F14" s="583">
        <f t="shared" si="1"/>
        <v>-0.6500000027</v>
      </c>
    </row>
    <row r="15" ht="14.25" customHeight="1">
      <c r="A15" s="584" t="s">
        <v>96</v>
      </c>
      <c r="B15" s="582">
        <f>'YR2003'!B15+'YR2004'!B15+'YR2005'!B15</f>
        <v>991351.02</v>
      </c>
      <c r="C15" s="582">
        <f>'YR2003'!C15+'YR2004'!C15+'YR2005'!C15</f>
        <v>925260.68</v>
      </c>
      <c r="D15" s="582">
        <f>'YR2003'!D15+'YR2004'!D15+'YR2005'!D15</f>
        <v>66090</v>
      </c>
      <c r="E15" s="582">
        <f>'YR2003'!E15+'YR2004'!E15+'YR2005'!E15</f>
        <v>0</v>
      </c>
      <c r="F15" s="583">
        <f t="shared" si="1"/>
        <v>0.3399999999</v>
      </c>
    </row>
    <row r="16" ht="14.25" customHeight="1">
      <c r="A16" s="584" t="s">
        <v>97</v>
      </c>
      <c r="B16" s="582">
        <f>'YR2003'!B16+'YR2004'!B16+'YR2005'!B16</f>
        <v>4351569.9</v>
      </c>
      <c r="C16" s="582">
        <f>'YR2003'!C16+'YR2004'!C16+'YR2005'!C16</f>
        <v>4351569.6</v>
      </c>
      <c r="D16" s="582">
        <f>'YR2003'!D16+'YR2004'!D16+'YR2005'!D16</f>
        <v>0</v>
      </c>
      <c r="E16" s="582">
        <f>'YR2003'!E16+'YR2004'!E16+'YR2005'!E16</f>
        <v>0</v>
      </c>
      <c r="F16" s="583">
        <f t="shared" si="1"/>
        <v>0.3000000007</v>
      </c>
    </row>
    <row r="17" ht="14.25" customHeight="1">
      <c r="A17" s="584" t="s">
        <v>98</v>
      </c>
      <c r="B17" s="582">
        <f>'YR2003'!B17+'YR2004'!B17+'YR2005'!B17</f>
        <v>57636.69</v>
      </c>
      <c r="C17" s="582">
        <f>'YR2003'!C17+'YR2004'!C17+'YR2005'!C17</f>
        <v>57636.23</v>
      </c>
      <c r="D17" s="582">
        <f>'YR2003'!D17+'YR2004'!D17+'YR2005'!D17</f>
        <v>0</v>
      </c>
      <c r="E17" s="582">
        <f>'YR2003'!E17+'YR2004'!E17+'YR2005'!E17</f>
        <v>0</v>
      </c>
      <c r="F17" s="583">
        <f t="shared" si="1"/>
        <v>0.46</v>
      </c>
    </row>
    <row r="18" ht="14.25" customHeight="1">
      <c r="A18" s="584" t="s">
        <v>99</v>
      </c>
      <c r="B18" s="582">
        <f>'YR2003'!B18+'YR2004'!B18+'YR2005'!B18</f>
        <v>3031689.75</v>
      </c>
      <c r="C18" s="582">
        <f>'YR2003'!C18+'YR2004'!C18+'YR2005'!C18</f>
        <v>3031689.5</v>
      </c>
      <c r="D18" s="582">
        <f>'YR2003'!D18+'YR2004'!D18+'YR2005'!D18</f>
        <v>0</v>
      </c>
      <c r="E18" s="582">
        <f>'YR2003'!E18+'YR2004'!E18+'YR2005'!E18</f>
        <v>0</v>
      </c>
      <c r="F18" s="583">
        <f t="shared" si="1"/>
        <v>0.25</v>
      </c>
    </row>
    <row r="19" ht="14.25" customHeight="1">
      <c r="A19" s="584" t="s">
        <v>152</v>
      </c>
      <c r="B19" s="582">
        <f>'YR2003'!B19+'YR2004'!B19+'YR2005'!B19</f>
        <v>37556066</v>
      </c>
      <c r="C19" s="582">
        <f>'YR2003'!C19+'YR2004'!C19+'YR2005'!C19</f>
        <v>33209077</v>
      </c>
      <c r="D19" s="582">
        <f>'YR2003'!D19+'YR2004'!D19+'YR2005'!D19</f>
        <v>4403689</v>
      </c>
      <c r="E19" s="582">
        <f>'YR2003'!E19+'YR2004'!E19+'YR2005'!E19</f>
        <v>0</v>
      </c>
      <c r="F19" s="583">
        <f t="shared" si="1"/>
        <v>-56700</v>
      </c>
    </row>
    <row r="20" ht="14.25" customHeight="1">
      <c r="A20" s="584" t="s">
        <v>153</v>
      </c>
      <c r="B20" s="582">
        <f>'YR2003'!B20+'YR2004'!B20+'YR2005'!B20</f>
        <v>56743318.71</v>
      </c>
      <c r="C20" s="582">
        <f>'YR2003'!C20+'YR2004'!C20+'YR2005'!C20</f>
        <v>46753040.35</v>
      </c>
      <c r="D20" s="582">
        <f>'YR2003'!D20+'YR2004'!D20+'YR2005'!D20</f>
        <v>9990279</v>
      </c>
      <c r="E20" s="582">
        <f>'YR2003'!E20+'YR2004'!E20+'YR2005'!E20</f>
        <v>0.04999999912</v>
      </c>
      <c r="F20" s="583">
        <f t="shared" si="1"/>
        <v>-0.6899999997</v>
      </c>
    </row>
    <row r="21" ht="14.25" customHeight="1">
      <c r="A21" s="584" t="s">
        <v>102</v>
      </c>
      <c r="B21" s="582">
        <f>'YR2003'!B21+'YR2004'!B21+'YR2005'!B21</f>
        <v>3129672.12</v>
      </c>
      <c r="C21" s="582">
        <f>'YR2003'!C21+'YR2004'!C21+'YR2005'!C21</f>
        <v>4208790.74</v>
      </c>
      <c r="D21" s="582">
        <f>'YR2003'!D21+'YR2004'!D21+'YR2005'!D21</f>
        <v>0</v>
      </c>
      <c r="E21" s="582">
        <f>'YR2003'!E21+'YR2004'!E21+'YR2005'!E21</f>
        <v>0</v>
      </c>
      <c r="F21" s="583">
        <f t="shared" si="1"/>
        <v>-1079118.62</v>
      </c>
    </row>
    <row r="22" ht="14.25" customHeight="1">
      <c r="A22" s="584" t="s">
        <v>104</v>
      </c>
      <c r="B22" s="582">
        <f>'YR2003'!B22+'YR2004'!B22+'YR2005'!B22</f>
        <v>697403.94</v>
      </c>
      <c r="C22" s="582">
        <f>'YR2003'!C22+'YR2004'!C22+'YR2005'!C22</f>
        <v>650909.94</v>
      </c>
      <c r="D22" s="582">
        <f>'YR2003'!D22+'YR2004'!D22+'YR2005'!D22</f>
        <v>46494</v>
      </c>
      <c r="E22" s="582">
        <f>'YR2003'!E22+'YR2004'!E22+'YR2005'!E22</f>
        <v>0</v>
      </c>
      <c r="F22" s="583">
        <f t="shared" si="1"/>
        <v>0</v>
      </c>
    </row>
    <row r="23" ht="14.25" customHeight="1">
      <c r="A23" s="584" t="s">
        <v>105</v>
      </c>
      <c r="B23" s="582">
        <f>'YR2003'!B23+'YR2004'!B23+'YR2005'!B23</f>
        <v>190201.08</v>
      </c>
      <c r="C23" s="582">
        <f>'YR2003'!C23+'YR2004'!C23+'YR2005'!C23</f>
        <v>190201.08</v>
      </c>
      <c r="D23" s="582">
        <f>'YR2003'!D23+'YR2004'!D23+'YR2005'!D23</f>
        <v>0</v>
      </c>
      <c r="E23" s="582">
        <f>'YR2003'!E23+'YR2004'!E23+'YR2005'!E23</f>
        <v>0</v>
      </c>
      <c r="F23" s="583">
        <f t="shared" si="1"/>
        <v>0</v>
      </c>
    </row>
    <row r="24" ht="14.25" customHeight="1">
      <c r="A24" s="584" t="s">
        <v>154</v>
      </c>
      <c r="B24" s="582">
        <f>'YR2003'!B24+'YR2004'!B24+'YR2005'!B24</f>
        <v>1711809.6</v>
      </c>
      <c r="C24" s="582">
        <f>'YR2003'!C24+'YR2004'!C24+'YR2005'!C24</f>
        <v>1711809.4</v>
      </c>
      <c r="D24" s="582">
        <f>'YR2003'!D24+'YR2004'!D24+'YR2005'!D24</f>
        <v>0</v>
      </c>
      <c r="E24" s="582">
        <f>'YR2003'!E24+'YR2004'!E24+'YR2005'!E24</f>
        <v>0</v>
      </c>
      <c r="F24" s="583">
        <f t="shared" si="1"/>
        <v>0.2</v>
      </c>
    </row>
    <row r="25" ht="14.25" customHeight="1">
      <c r="A25" s="584" t="s">
        <v>107</v>
      </c>
      <c r="B25" s="582">
        <f>'YR2003'!B25+'YR2004'!B25+'YR2005'!B25</f>
        <v>2409213.54</v>
      </c>
      <c r="C25" s="582">
        <f>'YR2003'!C25+'YR2004'!C25+'YR2005'!C25</f>
        <v>70024</v>
      </c>
      <c r="D25" s="582">
        <f>'YR2003'!D25+'YR2004'!D25+'YR2005'!D25</f>
        <v>0</v>
      </c>
      <c r="E25" s="582">
        <f>'YR2003'!E25+'YR2004'!E25+'YR2005'!E25</f>
        <v>0</v>
      </c>
      <c r="F25" s="583">
        <f t="shared" si="1"/>
        <v>2339189.54</v>
      </c>
    </row>
    <row r="26" ht="14.25" customHeight="1">
      <c r="A26" s="584" t="s">
        <v>108</v>
      </c>
      <c r="B26" s="582">
        <f>'YR2003'!B26+'YR2004'!B26+'YR2005'!B26</f>
        <v>29417765.22</v>
      </c>
      <c r="C26" s="582">
        <f>'YR2003'!C26+'YR2004'!C26+'YR2005'!C26</f>
        <v>24947765.22</v>
      </c>
      <c r="D26" s="582">
        <f>'YR2003'!D26+'YR2004'!D26+'YR2005'!D26</f>
        <v>4470000</v>
      </c>
      <c r="E26" s="582">
        <f>'YR2003'!E26+'YR2004'!E26+'YR2005'!E26</f>
        <v>0</v>
      </c>
      <c r="F26" s="583">
        <f t="shared" si="1"/>
        <v>0</v>
      </c>
    </row>
    <row r="27" ht="14.25" customHeight="1">
      <c r="A27" s="584" t="s">
        <v>155</v>
      </c>
      <c r="B27" s="582">
        <f>'YR2003'!B27+'YR2004'!B27+'YR2005'!B27</f>
        <v>104280000</v>
      </c>
      <c r="C27" s="582">
        <f>'YR2003'!C27+'YR2004'!C27+'YR2005'!C27</f>
        <v>94065778</v>
      </c>
      <c r="D27" s="582">
        <f>'YR2003'!D27+'YR2004'!D27+'YR2005'!D27</f>
        <v>10214222</v>
      </c>
      <c r="E27" s="582">
        <f>'YR2003'!E27+'YR2004'!E27+'YR2005'!E27</f>
        <v>0</v>
      </c>
      <c r="F27" s="583">
        <f t="shared" si="1"/>
        <v>0</v>
      </c>
    </row>
    <row r="28" ht="14.25" customHeight="1">
      <c r="A28" s="278" t="s">
        <v>110</v>
      </c>
      <c r="B28" s="582">
        <f>'YR2003'!B28+'YR2004'!B28+'YR2005'!B28</f>
        <v>0</v>
      </c>
      <c r="C28" s="582">
        <f>'YR2003'!C28+'YR2004'!C28+'YR2005'!C28</f>
        <v>0</v>
      </c>
      <c r="D28" s="582">
        <f>'YR2003'!D28+'YR2004'!D28+'YR2005'!D28</f>
        <v>0</v>
      </c>
      <c r="E28" s="582">
        <f>'YR2003'!E28+'YR2004'!E28+'YR2005'!E28</f>
        <v>0</v>
      </c>
      <c r="F28" s="583">
        <f t="shared" si="1"/>
        <v>0</v>
      </c>
    </row>
    <row r="29" ht="14.25" customHeight="1">
      <c r="A29" s="584" t="s">
        <v>112</v>
      </c>
      <c r="B29" s="582">
        <f>'YR2003'!B29+'YR2004'!B29+'YR2005'!B29</f>
        <v>57636.69</v>
      </c>
      <c r="C29" s="582">
        <f>'YR2003'!C29+'YR2004'!C29+'YR2005'!C29</f>
        <v>57636.23</v>
      </c>
      <c r="D29" s="582">
        <f>'YR2003'!D29+'YR2004'!D29+'YR2005'!D29</f>
        <v>0</v>
      </c>
      <c r="E29" s="582">
        <f>'YR2003'!E29+'YR2004'!E29+'YR2005'!E29</f>
        <v>0</v>
      </c>
      <c r="F29" s="583">
        <f t="shared" si="1"/>
        <v>0.46</v>
      </c>
    </row>
    <row r="30" ht="14.25" customHeight="1">
      <c r="A30" s="584" t="s">
        <v>113</v>
      </c>
      <c r="B30" s="582">
        <f>'YR2003'!B30+'YR2004'!B30+'YR2005'!B30</f>
        <v>34582.02</v>
      </c>
      <c r="C30" s="582">
        <f>'YR2003'!C30+'YR2004'!C30+'YR2005'!C30</f>
        <v>34581.68</v>
      </c>
      <c r="D30" s="582">
        <f>'YR2003'!D30+'YR2004'!D30+'YR2005'!D30</f>
        <v>0</v>
      </c>
      <c r="E30" s="582">
        <f>'YR2003'!E30+'YR2004'!E30+'YR2005'!E30</f>
        <v>0</v>
      </c>
      <c r="F30" s="583">
        <f t="shared" si="1"/>
        <v>0.34</v>
      </c>
    </row>
    <row r="31" ht="14.25" customHeight="1">
      <c r="A31" s="584" t="s">
        <v>114</v>
      </c>
      <c r="B31" s="582">
        <f>'YR2003'!B31+'YR2004'!B31+'YR2005'!B31</f>
        <v>97982.37</v>
      </c>
      <c r="C31" s="582">
        <f>'YR2003'!C31+'YR2004'!C31+'YR2005'!C31</f>
        <v>0</v>
      </c>
      <c r="D31" s="582">
        <f>'YR2003'!D31+'YR2004'!D31+'YR2005'!D31</f>
        <v>0</v>
      </c>
      <c r="E31" s="582">
        <f>'YR2003'!E31+'YR2004'!E31+'YR2005'!E31</f>
        <v>0</v>
      </c>
      <c r="F31" s="583">
        <f t="shared" si="1"/>
        <v>97982.37</v>
      </c>
    </row>
    <row r="32" ht="14.25" customHeight="1">
      <c r="A32" s="584" t="s">
        <v>115</v>
      </c>
      <c r="B32" s="582">
        <f>'YR2003'!B32+'YR2004'!B32+'YR2005'!B32</f>
        <v>461093.49</v>
      </c>
      <c r="C32" s="582">
        <f>'YR2003'!C32+'YR2004'!C32+'YR2005'!C32</f>
        <v>461093.49</v>
      </c>
      <c r="D32" s="582">
        <f>'YR2003'!D32+'YR2004'!D32+'YR2005'!D32</f>
        <v>0</v>
      </c>
      <c r="E32" s="582">
        <f>'YR2003'!E32+'YR2004'!E32+'YR2005'!E32</f>
        <v>0</v>
      </c>
      <c r="F32" s="583">
        <f t="shared" si="1"/>
        <v>0</v>
      </c>
    </row>
    <row r="33" ht="14.25" customHeight="1">
      <c r="A33" s="584" t="s">
        <v>117</v>
      </c>
      <c r="B33" s="582">
        <f>'YR2003'!B33+'YR2004'!B33+'YR2005'!B33</f>
        <v>23054.67</v>
      </c>
      <c r="C33" s="582">
        <f>'YR2003'!C33+'YR2004'!C33+'YR2005'!C33</f>
        <v>23074.67</v>
      </c>
      <c r="D33" s="582">
        <f>'YR2003'!D33+'YR2004'!D33+'YR2005'!D33</f>
        <v>0</v>
      </c>
      <c r="E33" s="582">
        <f>'YR2003'!E33+'YR2004'!E33+'YR2005'!E33</f>
        <v>0</v>
      </c>
      <c r="F33" s="583">
        <f t="shared" si="1"/>
        <v>-20</v>
      </c>
    </row>
    <row r="34" ht="14.25" customHeight="1">
      <c r="A34" s="584" t="s">
        <v>118</v>
      </c>
      <c r="B34" s="582">
        <f>'YR2003'!B34+'YR2004'!B34+'YR2005'!B34</f>
        <v>10092183.96</v>
      </c>
      <c r="C34" s="582">
        <f>'YR2003'!C34+'YR2004'!C34+'YR2005'!C34</f>
        <v>10092183.96</v>
      </c>
      <c r="D34" s="582">
        <f>'YR2003'!D34+'YR2004'!D34+'YR2005'!D34</f>
        <v>0</v>
      </c>
      <c r="E34" s="582">
        <f>'YR2003'!E34+'YR2004'!E34+'YR2005'!E34</f>
        <v>0</v>
      </c>
      <c r="F34" s="583">
        <f t="shared" si="1"/>
        <v>0</v>
      </c>
    </row>
    <row r="35" ht="14.25" customHeight="1">
      <c r="A35" s="584" t="s">
        <v>119</v>
      </c>
      <c r="B35" s="582">
        <f>'YR2003'!B35+'YR2004'!B35+'YR2005'!B35</f>
        <v>1400571.51</v>
      </c>
      <c r="C35" s="582">
        <f>'YR2003'!C35+'YR2004'!C35+'YR2005'!C35</f>
        <v>1400571.51</v>
      </c>
      <c r="D35" s="582">
        <f>'YR2003'!D35+'YR2004'!D35+'YR2005'!D35</f>
        <v>0</v>
      </c>
      <c r="E35" s="582">
        <f>'YR2003'!E35+'YR2004'!E35+'YR2005'!E35</f>
        <v>0</v>
      </c>
      <c r="F35" s="583">
        <f t="shared" si="1"/>
        <v>0</v>
      </c>
    </row>
    <row r="36" ht="14.25" customHeight="1">
      <c r="A36" s="584" t="s">
        <v>120</v>
      </c>
      <c r="B36" s="582">
        <f>'YR2003'!B36+'YR2004'!B36+'YR2005'!B36</f>
        <v>3757912.02</v>
      </c>
      <c r="C36" s="582">
        <f>'YR2003'!C36+'YR2004'!C36+'YR2005'!C36</f>
        <v>3757911.68</v>
      </c>
      <c r="D36" s="582">
        <f>'YR2003'!D36+'YR2004'!D36+'YR2005'!D36</f>
        <v>0</v>
      </c>
      <c r="E36" s="582">
        <f>'YR2003'!E36+'YR2004'!E36+'YR2005'!E36</f>
        <v>0</v>
      </c>
      <c r="F36" s="583">
        <f t="shared" si="1"/>
        <v>0.3400000008</v>
      </c>
    </row>
    <row r="37" ht="14.25" customHeight="1">
      <c r="A37" s="584" t="s">
        <v>122</v>
      </c>
      <c r="B37" s="582">
        <f>'YR2003'!B37+'YR2004'!B37+'YR2005'!B37</f>
        <v>1838610.33</v>
      </c>
      <c r="C37" s="582">
        <f>'YR2003'!C37+'YR2004'!C37+'YR2005'!C37</f>
        <v>1838610.11</v>
      </c>
      <c r="D37" s="582">
        <f>'YR2003'!D37+'YR2004'!D37+'YR2005'!D37</f>
        <v>0</v>
      </c>
      <c r="E37" s="582">
        <f>'YR2003'!E37+'YR2004'!E37+'YR2005'!E37</f>
        <v>0</v>
      </c>
      <c r="F37" s="583">
        <f t="shared" si="1"/>
        <v>0.2200000002</v>
      </c>
    </row>
    <row r="38" ht="14.25" customHeight="1">
      <c r="A38" s="584" t="s">
        <v>123</v>
      </c>
      <c r="B38" s="582">
        <f>'YR2003'!B38+'YR2004'!B38+'YR2005'!B38</f>
        <v>2685869.64</v>
      </c>
      <c r="C38" s="582">
        <f>'YR2003'!C38+'YR2004'!C38+'YR2005'!C38</f>
        <v>2638126.64</v>
      </c>
      <c r="D38" s="582">
        <f>'YR2003'!D38+'YR2004'!D38+'YR2005'!D38</f>
        <v>47743</v>
      </c>
      <c r="E38" s="582">
        <f>'YR2003'!E38+'YR2004'!E38+'YR2005'!E38</f>
        <v>0</v>
      </c>
      <c r="F38" s="583">
        <f t="shared" si="1"/>
        <v>0.0000000004656612873</v>
      </c>
    </row>
    <row r="39" ht="14.25" customHeight="1">
      <c r="A39" s="584" t="s">
        <v>125</v>
      </c>
      <c r="B39" s="582">
        <f>'YR2003'!B39+'YR2004'!B39+'YR2005'!B39</f>
        <v>6916402.47</v>
      </c>
      <c r="C39" s="582">
        <f>'YR2003'!C39+'YR2004'!C39+'YR2005'!C39</f>
        <v>0</v>
      </c>
      <c r="D39" s="582">
        <f>'YR2003'!D39+'YR2004'!D39+'YR2005'!D39</f>
        <v>0</v>
      </c>
      <c r="E39" s="582">
        <f>'YR2003'!E39+'YR2004'!E39+'YR2005'!E39</f>
        <v>0</v>
      </c>
      <c r="F39" s="583">
        <f t="shared" si="1"/>
        <v>6916402.47</v>
      </c>
    </row>
    <row r="40" ht="14.25" customHeight="1">
      <c r="A40" s="586" t="s">
        <v>128</v>
      </c>
      <c r="B40" s="582">
        <f>'YR2003'!B40+'YR2004'!B40+'YR2005'!B40</f>
        <v>247838.18</v>
      </c>
      <c r="C40" s="582">
        <f>'YR2003'!C40+'YR2004'!C40+'YR2005'!C40</f>
        <v>231315.18</v>
      </c>
      <c r="D40" s="582">
        <f>'YR2003'!D40+'YR2004'!D40+'YR2005'!D40</f>
        <v>16523</v>
      </c>
      <c r="E40" s="582">
        <f>'YR2003'!E40+'YR2004'!E40+'YR2005'!E40</f>
        <v>0</v>
      </c>
      <c r="F40" s="583">
        <f t="shared" si="1"/>
        <v>0</v>
      </c>
    </row>
    <row r="41" ht="14.25" customHeight="1">
      <c r="A41" s="584" t="s">
        <v>129</v>
      </c>
      <c r="B41" s="582">
        <f>'YR2003'!B41+'YR2004'!B41+'YR2005'!B41</f>
        <v>466857.18</v>
      </c>
      <c r="C41" s="582">
        <f>'YR2003'!C41+'YR2004'!C41+'YR2005'!C41</f>
        <v>466857.06</v>
      </c>
      <c r="D41" s="582">
        <f>'YR2003'!D41+'YR2004'!D41+'YR2005'!D41</f>
        <v>0</v>
      </c>
      <c r="E41" s="582">
        <f>'YR2003'!E41+'YR2004'!E41+'YR2005'!E41</f>
        <v>0</v>
      </c>
      <c r="F41" s="583">
        <f t="shared" si="1"/>
        <v>0.12</v>
      </c>
    </row>
    <row r="42" ht="14.25" customHeight="1">
      <c r="A42" s="584" t="s">
        <v>131</v>
      </c>
      <c r="B42" s="582">
        <f>'YR2003'!B42+'YR2004'!B42+'YR2005'!B42</f>
        <v>14633954.94</v>
      </c>
      <c r="C42" s="582">
        <f>'YR2003'!C42+'YR2004'!C42+'YR2005'!C42</f>
        <v>13069353.97</v>
      </c>
      <c r="D42" s="582">
        <f>'YR2003'!D42+'YR2004'!D42+'YR2005'!D42</f>
        <v>1560201</v>
      </c>
      <c r="E42" s="582">
        <f>'YR2003'!E42+'YR2004'!E42+'YR2005'!E42</f>
        <v>0</v>
      </c>
      <c r="F42" s="583">
        <f t="shared" si="1"/>
        <v>4399.97</v>
      </c>
    </row>
    <row r="43" ht="14.25" customHeight="1">
      <c r="A43" s="584" t="s">
        <v>156</v>
      </c>
      <c r="B43" s="582">
        <f>'YR2003'!B43+'YR2004'!B43+'YR2005'!B43</f>
        <v>5965397.42</v>
      </c>
      <c r="C43" s="582">
        <f>'YR2003'!C43+'YR2004'!C43+'YR2005'!C43</f>
        <v>5533585.43</v>
      </c>
      <c r="D43" s="582">
        <f>'YR2003'!D43+'YR2004'!D43+'YR2005'!D43</f>
        <v>431812</v>
      </c>
      <c r="E43" s="582">
        <f>'YR2003'!E43+'YR2004'!E43+'YR2005'!E43</f>
        <v>0</v>
      </c>
      <c r="F43" s="583">
        <f t="shared" si="1"/>
        <v>-0.009999999776</v>
      </c>
    </row>
    <row r="44" ht="14.25" customHeight="1">
      <c r="A44" s="584" t="s">
        <v>133</v>
      </c>
      <c r="B44" s="582">
        <f>'YR2003'!B44+'YR2004'!B44+'YR2005'!B44</f>
        <v>7342913.97</v>
      </c>
      <c r="C44" s="582">
        <f>'YR2003'!C44+'YR2004'!C44+'YR2005'!C44</f>
        <v>6653985.68</v>
      </c>
      <c r="D44" s="582">
        <f>'YR2003'!D44+'YR2004'!D44+'YR2005'!D44</f>
        <v>978943</v>
      </c>
      <c r="E44" s="582">
        <f>'YR2003'!E44+'YR2004'!E44+'YR2005'!E44</f>
        <v>0</v>
      </c>
      <c r="F44" s="583">
        <f t="shared" si="1"/>
        <v>-290014.71</v>
      </c>
    </row>
    <row r="45" ht="14.25" customHeight="1">
      <c r="A45" s="584" t="s">
        <v>134</v>
      </c>
      <c r="B45" s="582">
        <f>'YR2003'!B45+'YR2004'!B45+'YR2005'!B45</f>
        <v>5763.66</v>
      </c>
      <c r="C45" s="582">
        <f>'YR2003'!C45+'YR2004'!C45+'YR2005'!C45</f>
        <v>0</v>
      </c>
      <c r="D45" s="582">
        <f>'YR2003'!D45+'YR2004'!D45+'YR2005'!D45</f>
        <v>0</v>
      </c>
      <c r="E45" s="582">
        <f>'YR2003'!E45+'YR2004'!E45+'YR2005'!E45</f>
        <v>0</v>
      </c>
      <c r="F45" s="583">
        <f t="shared" si="1"/>
        <v>5763.66</v>
      </c>
    </row>
    <row r="46" ht="14.25" customHeight="1">
      <c r="A46" s="584" t="s">
        <v>230</v>
      </c>
      <c r="B46" s="582">
        <f>'YR2003'!B46+'YR2004'!B46+'YR2005'!B46</f>
        <v>17291.01</v>
      </c>
      <c r="C46" s="582">
        <f>'YR2003'!C46+'YR2004'!C46+'YR2005'!C46</f>
        <v>5763.67</v>
      </c>
      <c r="D46" s="582">
        <f>'YR2003'!D46+'YR2004'!D46+'YR2005'!D46</f>
        <v>0</v>
      </c>
      <c r="E46" s="582">
        <f>'YR2003'!E46+'YR2004'!E46+'YR2005'!E46</f>
        <v>0</v>
      </c>
      <c r="F46" s="583">
        <f t="shared" si="1"/>
        <v>11527.34</v>
      </c>
    </row>
    <row r="47" ht="14.25" customHeight="1">
      <c r="A47" s="584" t="s">
        <v>136</v>
      </c>
      <c r="B47" s="582">
        <f>'YR2003'!B47+'YR2004'!B47+'YR2005'!B47</f>
        <v>305474.43</v>
      </c>
      <c r="C47" s="582">
        <f>'YR2003'!C47+'YR2004'!C47+'YR2005'!C47</f>
        <v>0</v>
      </c>
      <c r="D47" s="582">
        <f>'YR2003'!D47+'YR2004'!D47+'YR2005'!D47</f>
        <v>0</v>
      </c>
      <c r="E47" s="582">
        <f>'YR2003'!E47+'YR2004'!E47+'YR2005'!E47</f>
        <v>0</v>
      </c>
      <c r="F47" s="583">
        <f t="shared" si="1"/>
        <v>305474.43</v>
      </c>
    </row>
    <row r="48" ht="14.25" customHeight="1">
      <c r="A48" s="584" t="s">
        <v>138</v>
      </c>
      <c r="B48" s="582">
        <f>'YR2003'!B48+'YR2004'!B48+'YR2005'!B48</f>
        <v>32155507.89</v>
      </c>
      <c r="C48" s="582">
        <f>'YR2003'!C48+'YR2004'!C48+'YR2005'!C48</f>
        <v>32155508.3</v>
      </c>
      <c r="D48" s="582">
        <f>'YR2003'!D48+'YR2004'!D48+'YR2005'!D48</f>
        <v>0</v>
      </c>
      <c r="E48" s="582">
        <f>'YR2003'!E48+'YR2004'!E48+'YR2005'!E48</f>
        <v>0.0000000009313225746</v>
      </c>
      <c r="F48" s="583">
        <f t="shared" si="1"/>
        <v>-0.4100000048</v>
      </c>
    </row>
    <row r="49" ht="14.25" customHeight="1">
      <c r="A49" s="584" t="s">
        <v>139</v>
      </c>
      <c r="B49" s="582">
        <f>'YR2003'!B49+'YR2004'!B49+'YR2005'!B49</f>
        <v>104280000</v>
      </c>
      <c r="C49" s="582">
        <f>'YR2003'!C49+'YR2004'!C49+'YR2005'!C49</f>
        <v>93530000</v>
      </c>
      <c r="D49" s="582">
        <f>'YR2003'!D49+'YR2004'!D49+'YR2005'!D49</f>
        <v>10750000</v>
      </c>
      <c r="E49" s="582">
        <f>'YR2003'!E49+'YR2004'!E49+'YR2005'!E49</f>
        <v>0</v>
      </c>
      <c r="F49" s="583">
        <f t="shared" si="1"/>
        <v>0</v>
      </c>
    </row>
    <row r="50" ht="14.25" customHeight="1">
      <c r="A50" s="587" t="s">
        <v>140</v>
      </c>
      <c r="B50" s="582">
        <f>'YR2003'!B50+'YR2004'!B50+'YR2005'!B50</f>
        <v>63400.35</v>
      </c>
      <c r="C50" s="582">
        <f>'YR2003'!C50+'YR2004'!C50+'YR2005'!C50</f>
        <v>21133</v>
      </c>
      <c r="D50" s="582">
        <f>'YR2003'!D50+'YR2004'!D50+'YR2005'!D50</f>
        <v>0</v>
      </c>
      <c r="E50" s="582">
        <f>'YR2003'!E50+'YR2004'!E50+'YR2005'!E50</f>
        <v>0</v>
      </c>
      <c r="F50" s="583">
        <f t="shared" si="1"/>
        <v>42267.35</v>
      </c>
    </row>
    <row r="51" ht="14.25" customHeight="1">
      <c r="A51" s="588" t="s">
        <v>143</v>
      </c>
      <c r="B51" s="589">
        <f t="shared" ref="B51:F51" si="2">SUM(B8:B50)</f>
        <v>474000001.3</v>
      </c>
      <c r="C51" s="590">
        <f t="shared" si="2"/>
        <v>421323975.8</v>
      </c>
      <c r="D51" s="591">
        <f t="shared" si="2"/>
        <v>44246306.1</v>
      </c>
      <c r="E51" s="592">
        <f t="shared" si="2"/>
        <v>0.05000000005</v>
      </c>
      <c r="F51" s="592">
        <f t="shared" si="2"/>
        <v>8429719.295</v>
      </c>
    </row>
    <row r="52" ht="14.25" customHeight="1">
      <c r="A52" s="452"/>
      <c r="B52" s="336"/>
      <c r="C52" s="336"/>
      <c r="D52" s="336"/>
      <c r="E52" s="336"/>
      <c r="F52" s="336"/>
    </row>
    <row r="53" ht="14.25" customHeight="1">
      <c r="A53" s="452"/>
      <c r="B53" s="336"/>
      <c r="C53" s="336"/>
      <c r="D53" s="336"/>
      <c r="E53" s="336"/>
      <c r="F53" s="336"/>
    </row>
    <row r="54" ht="14.25" customHeight="1">
      <c r="A54" s="452"/>
      <c r="B54" s="336"/>
      <c r="C54" s="336"/>
      <c r="D54" s="336"/>
      <c r="E54" s="336"/>
      <c r="F54" s="336"/>
    </row>
    <row r="55" ht="14.25" customHeight="1">
      <c r="A55" s="379"/>
      <c r="B55" s="379"/>
      <c r="C55" s="379"/>
      <c r="D55" s="379"/>
      <c r="E55" s="379"/>
      <c r="F55" s="379"/>
    </row>
    <row r="56" ht="14.25" customHeight="1">
      <c r="A56" s="336"/>
      <c r="B56" s="336"/>
      <c r="C56" s="336"/>
      <c r="D56" s="336"/>
      <c r="E56" s="336"/>
      <c r="F56" s="336"/>
    </row>
    <row r="57" ht="14.25" customHeight="1">
      <c r="A57" s="337" t="s">
        <v>159</v>
      </c>
      <c r="B57" s="414">
        <f t="shared" ref="B57:E57" si="3">B10+B11+B13+B15+B17+B22+B29+B31+B37+B39+B40+B41+B45+B46+B47+B50</f>
        <v>11971140.41</v>
      </c>
      <c r="C57" s="414">
        <f t="shared" si="3"/>
        <v>4330049.8</v>
      </c>
      <c r="D57" s="414">
        <f t="shared" si="3"/>
        <v>129107</v>
      </c>
      <c r="E57" s="414">
        <f t="shared" si="3"/>
        <v>0</v>
      </c>
      <c r="F57" s="415">
        <f>B57-C57-D57-E57</f>
        <v>7511983.615</v>
      </c>
    </row>
    <row r="58" ht="14.25" customHeight="1">
      <c r="A58" s="379"/>
      <c r="B58" s="379"/>
      <c r="C58" s="379"/>
      <c r="D58" s="379"/>
      <c r="E58" s="379"/>
      <c r="F58" s="379"/>
    </row>
    <row r="59" ht="14.25" customHeight="1">
      <c r="A59" s="593"/>
      <c r="B59" s="396"/>
      <c r="C59" s="396"/>
      <c r="D59" s="396"/>
      <c r="E59" s="396"/>
      <c r="F59" s="396"/>
    </row>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4:F4"/>
    <mergeCell ref="A5:F5"/>
    <mergeCell ref="A6:F6"/>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43"/>
    <col customWidth="1" min="2" max="2" width="17.57"/>
    <col customWidth="1" min="3" max="3" width="16.29"/>
    <col customWidth="1" min="4" max="4" width="15.43"/>
    <col customWidth="1" min="5" max="5" width="15.29"/>
    <col customWidth="1" min="6" max="6" width="16.71"/>
    <col customWidth="1" min="7" max="7" width="8.71"/>
    <col customWidth="1" min="8" max="8" width="15.0"/>
    <col customWidth="1" min="9" max="26" width="8.71"/>
  </cols>
  <sheetData>
    <row r="1" ht="14.25" customHeight="1">
      <c r="A1" s="594" t="str">
        <f>[1]Status!C1</f>
        <v>#ERROR!</v>
      </c>
    </row>
    <row r="2" ht="14.25" customHeight="1">
      <c r="A2" s="595" t="s">
        <v>231</v>
      </c>
    </row>
    <row r="3" ht="14.25" customHeight="1"/>
    <row r="4" ht="14.25" customHeight="1">
      <c r="A4" s="511" t="s">
        <v>148</v>
      </c>
    </row>
    <row r="5" ht="14.25" customHeight="1">
      <c r="A5" s="512" t="s">
        <v>232</v>
      </c>
    </row>
    <row r="6" ht="14.25" customHeight="1">
      <c r="A6" s="513" t="str">
        <f>[1]Status!A6</f>
        <v>#ERROR!</v>
      </c>
      <c r="B6" s="298"/>
      <c r="C6" s="298"/>
      <c r="D6" s="298"/>
      <c r="E6" s="298"/>
      <c r="F6" s="298"/>
    </row>
    <row r="7" ht="26.25" customHeight="1">
      <c r="A7" s="596" t="s">
        <v>79</v>
      </c>
      <c r="B7" s="579" t="s">
        <v>80</v>
      </c>
      <c r="C7" s="579" t="s">
        <v>81</v>
      </c>
      <c r="D7" s="579" t="s">
        <v>82</v>
      </c>
      <c r="E7" s="579" t="s">
        <v>83</v>
      </c>
      <c r="F7" s="580" t="s">
        <v>84</v>
      </c>
    </row>
    <row r="8" ht="18.0" customHeight="1">
      <c r="A8" s="581" t="s">
        <v>150</v>
      </c>
      <c r="B8" s="582">
        <v>3150805.58</v>
      </c>
      <c r="C8" s="597">
        <v>3150805.58</v>
      </c>
      <c r="D8" s="597"/>
      <c r="E8" s="597"/>
      <c r="F8" s="583">
        <f t="shared" ref="F8:F50" si="1">B8-C8-D8-E8</f>
        <v>0</v>
      </c>
    </row>
    <row r="9" ht="18.0" customHeight="1">
      <c r="A9" s="584" t="s">
        <v>88</v>
      </c>
      <c r="B9" s="598">
        <v>1832846.66</v>
      </c>
      <c r="C9" s="599">
        <v>1832846.66</v>
      </c>
      <c r="D9" s="599"/>
      <c r="E9" s="599"/>
      <c r="F9" s="583">
        <f t="shared" si="1"/>
        <v>0</v>
      </c>
    </row>
    <row r="10" ht="18.0" customHeight="1">
      <c r="A10" s="585" t="s">
        <v>89</v>
      </c>
      <c r="B10" s="598">
        <v>7684.89164893386</v>
      </c>
      <c r="C10" s="599"/>
      <c r="D10" s="599"/>
      <c r="E10" s="599"/>
      <c r="F10" s="583">
        <f t="shared" si="1"/>
        <v>7684.891649</v>
      </c>
    </row>
    <row r="11" ht="18.0" customHeight="1">
      <c r="A11" s="584" t="s">
        <v>90</v>
      </c>
      <c r="B11" s="598">
        <v>36503.24</v>
      </c>
      <c r="C11" s="599"/>
      <c r="D11" s="599"/>
      <c r="E11" s="599"/>
      <c r="F11" s="583">
        <f t="shared" si="1"/>
        <v>36503.24</v>
      </c>
    </row>
    <row r="12" ht="18.0" customHeight="1">
      <c r="A12" s="584" t="s">
        <v>91</v>
      </c>
      <c r="B12" s="598">
        <v>2186351.67</v>
      </c>
      <c r="C12" s="599">
        <v>2186351.67</v>
      </c>
      <c r="D12" s="599"/>
      <c r="E12" s="599"/>
      <c r="F12" s="583">
        <f t="shared" si="1"/>
        <v>0</v>
      </c>
    </row>
    <row r="13" ht="18.0" customHeight="1">
      <c r="A13" s="584" t="s">
        <v>92</v>
      </c>
      <c r="B13" s="598">
        <v>24975.9</v>
      </c>
      <c r="C13" s="598">
        <f>24975.9</f>
        <v>24975.9</v>
      </c>
      <c r="D13" s="599"/>
      <c r="E13" s="599"/>
      <c r="F13" s="583">
        <f t="shared" si="1"/>
        <v>0</v>
      </c>
    </row>
    <row r="14" ht="18.0" customHeight="1">
      <c r="A14" s="584" t="s">
        <v>151</v>
      </c>
      <c r="B14" s="598">
        <v>4954833.89</v>
      </c>
      <c r="C14" s="599">
        <f>785692+300450.77+21617.15+3963867.1-294802+750+2000+732.9</f>
        <v>4780307.92</v>
      </c>
      <c r="D14" s="599">
        <f>70060+330413-222464-750-2000-732.9</f>
        <v>174526.1</v>
      </c>
      <c r="E14" s="599">
        <f>3963867.1-3963867.1</f>
        <v>0</v>
      </c>
      <c r="F14" s="583">
        <f t="shared" si="1"/>
        <v>-0.1300000003</v>
      </c>
    </row>
    <row r="15" ht="18.0" customHeight="1">
      <c r="A15" s="584" t="s">
        <v>96</v>
      </c>
      <c r="B15" s="598">
        <v>330450.34</v>
      </c>
      <c r="C15" s="599">
        <v>330450.34</v>
      </c>
      <c r="D15" s="599"/>
      <c r="E15" s="599"/>
      <c r="F15" s="583">
        <f t="shared" si="1"/>
        <v>0</v>
      </c>
    </row>
    <row r="16" ht="18.0" customHeight="1">
      <c r="A16" s="584" t="s">
        <v>97</v>
      </c>
      <c r="B16" s="598">
        <v>1450523.3</v>
      </c>
      <c r="C16" s="598">
        <v>1450523.3</v>
      </c>
      <c r="D16" s="599"/>
      <c r="E16" s="599"/>
      <c r="F16" s="583">
        <f t="shared" si="1"/>
        <v>0</v>
      </c>
    </row>
    <row r="17" ht="18.0" customHeight="1">
      <c r="A17" s="584" t="s">
        <v>98</v>
      </c>
      <c r="B17" s="598">
        <v>19212.23</v>
      </c>
      <c r="C17" s="598">
        <v>19212.23</v>
      </c>
      <c r="D17" s="599"/>
      <c r="E17" s="599"/>
      <c r="F17" s="583">
        <f t="shared" si="1"/>
        <v>0</v>
      </c>
    </row>
    <row r="18" ht="18.0" customHeight="1">
      <c r="A18" s="584" t="s">
        <v>99</v>
      </c>
      <c r="B18" s="598">
        <v>1010563.25</v>
      </c>
      <c r="C18" s="598">
        <v>1010563.25</v>
      </c>
      <c r="D18" s="599"/>
      <c r="E18" s="599"/>
      <c r="F18" s="583">
        <f t="shared" si="1"/>
        <v>0</v>
      </c>
    </row>
    <row r="19" ht="18.0" customHeight="1">
      <c r="A19" s="584" t="s">
        <v>152</v>
      </c>
      <c r="B19" s="598">
        <v>1.25186885E7</v>
      </c>
      <c r="C19" s="600">
        <f>9924992.5+49074+436843</f>
        <v>10410909.5</v>
      </c>
      <c r="D19" s="600">
        <f>550001+1866000+177695+45765+45560-49074-436843</f>
        <v>2199104</v>
      </c>
      <c r="E19" s="599">
        <v>0.0</v>
      </c>
      <c r="F19" s="583">
        <f t="shared" si="1"/>
        <v>-91325</v>
      </c>
      <c r="H19" s="601">
        <v>-46318.0</v>
      </c>
      <c r="I19" s="601">
        <v>46318.0</v>
      </c>
    </row>
    <row r="20" ht="18.0" customHeight="1">
      <c r="A20" s="584" t="s">
        <v>153</v>
      </c>
      <c r="B20" s="598">
        <v>1.891443957E7</v>
      </c>
      <c r="C20" s="599">
        <f>1260962.64+1260962.64+1260962.64+1260962.64+1260962.64+1260962.63+2058765</f>
        <v>9624540.83</v>
      </c>
      <c r="D20" s="599">
        <f>918527+670454+414056+1527263+252587+1-2058765</f>
        <v>1724123</v>
      </c>
      <c r="E20" s="599">
        <f>7565775.83-1260962.64-1260962.64-1260962.64-1260962.64-1260962.64-1260962.63</f>
        <v>0.000000001629814506</v>
      </c>
      <c r="F20" s="583">
        <f t="shared" si="1"/>
        <v>7565775.74</v>
      </c>
    </row>
    <row r="21" ht="18.0" customHeight="1">
      <c r="A21" s="584" t="s">
        <v>102</v>
      </c>
      <c r="B21" s="598">
        <v>1043224.04</v>
      </c>
      <c r="C21" s="599">
        <v>1501378.14</v>
      </c>
      <c r="D21" s="599"/>
      <c r="E21" s="599"/>
      <c r="F21" s="583">
        <f t="shared" si="1"/>
        <v>-458154.1</v>
      </c>
    </row>
    <row r="22" ht="18.0" customHeight="1">
      <c r="A22" s="584" t="s">
        <v>104</v>
      </c>
      <c r="B22" s="598">
        <v>232467.97</v>
      </c>
      <c r="C22" s="598">
        <v>232467.97</v>
      </c>
      <c r="D22" s="599"/>
      <c r="E22" s="599"/>
      <c r="F22" s="583">
        <f t="shared" si="1"/>
        <v>0</v>
      </c>
    </row>
    <row r="23" ht="18.0" customHeight="1">
      <c r="A23" s="584" t="s">
        <v>105</v>
      </c>
      <c r="B23" s="598">
        <v>63400.36</v>
      </c>
      <c r="C23" s="598">
        <v>63400.36</v>
      </c>
      <c r="D23" s="599"/>
      <c r="E23" s="599"/>
      <c r="F23" s="583">
        <f t="shared" si="1"/>
        <v>0</v>
      </c>
    </row>
    <row r="24" ht="18.0" customHeight="1">
      <c r="A24" s="584" t="s">
        <v>154</v>
      </c>
      <c r="B24" s="598">
        <v>570603.2</v>
      </c>
      <c r="C24" s="599">
        <v>570603.2</v>
      </c>
      <c r="D24" s="599"/>
      <c r="E24" s="599"/>
      <c r="F24" s="583">
        <f t="shared" si="1"/>
        <v>0</v>
      </c>
    </row>
    <row r="25" ht="18.0" customHeight="1">
      <c r="A25" s="584" t="s">
        <v>107</v>
      </c>
      <c r="B25" s="598">
        <v>803071.18</v>
      </c>
      <c r="C25" s="599"/>
      <c r="D25" s="599"/>
      <c r="E25" s="599"/>
      <c r="F25" s="583">
        <f t="shared" si="1"/>
        <v>803071.18</v>
      </c>
    </row>
    <row r="26" ht="18.0" customHeight="1">
      <c r="A26" s="584" t="s">
        <v>108</v>
      </c>
      <c r="B26" s="598">
        <v>9805921.74</v>
      </c>
      <c r="C26" s="599">
        <f>7844737.39+1413553.83</f>
        <v>9258291.22</v>
      </c>
      <c r="D26" s="599">
        <v>547630.52</v>
      </c>
      <c r="E26" s="599"/>
      <c r="F26" s="583">
        <f t="shared" si="1"/>
        <v>0.000000001396983862</v>
      </c>
    </row>
    <row r="27" ht="18.0" customHeight="1">
      <c r="A27" s="584" t="s">
        <v>155</v>
      </c>
      <c r="B27" s="598">
        <v>3.476E7</v>
      </c>
      <c r="C27" s="599">
        <f>34760000-2818307-3559500-791000+1654765</f>
        <v>29245958</v>
      </c>
      <c r="D27" s="599">
        <f>2818307+3559500+791000-1654765</f>
        <v>5514042</v>
      </c>
      <c r="E27" s="599"/>
      <c r="F27" s="583">
        <f t="shared" si="1"/>
        <v>0</v>
      </c>
    </row>
    <row r="28" ht="14.25" customHeight="1">
      <c r="A28" s="278" t="s">
        <v>110</v>
      </c>
      <c r="B28" s="420">
        <v>0.0</v>
      </c>
      <c r="C28" s="321">
        <v>0.0</v>
      </c>
      <c r="D28" s="405"/>
      <c r="E28" s="405"/>
      <c r="F28" s="583">
        <f t="shared" si="1"/>
        <v>0</v>
      </c>
      <c r="H28" s="216"/>
      <c r="I28" s="216"/>
    </row>
    <row r="29" ht="18.0" customHeight="1">
      <c r="A29" s="584" t="s">
        <v>112</v>
      </c>
      <c r="B29" s="598">
        <v>19212.23</v>
      </c>
      <c r="C29" s="599">
        <v>19212.0</v>
      </c>
      <c r="D29" s="599"/>
      <c r="E29" s="599"/>
      <c r="F29" s="583">
        <f t="shared" si="1"/>
        <v>0.23</v>
      </c>
    </row>
    <row r="30" ht="18.0" customHeight="1">
      <c r="A30" s="584" t="s">
        <v>113</v>
      </c>
      <c r="B30" s="598">
        <v>11527.34</v>
      </c>
      <c r="C30" s="598">
        <v>11527.34</v>
      </c>
      <c r="D30" s="599"/>
      <c r="E30" s="599"/>
      <c r="F30" s="583">
        <f t="shared" si="1"/>
        <v>0</v>
      </c>
    </row>
    <row r="31" ht="18.0" customHeight="1">
      <c r="A31" s="584" t="s">
        <v>114</v>
      </c>
      <c r="B31" s="598">
        <v>32660.79</v>
      </c>
      <c r="C31" s="599"/>
      <c r="D31" s="599"/>
      <c r="E31" s="599"/>
      <c r="F31" s="583">
        <f t="shared" si="1"/>
        <v>32660.79</v>
      </c>
    </row>
    <row r="32" ht="18.0" customHeight="1">
      <c r="A32" s="584" t="s">
        <v>115</v>
      </c>
      <c r="B32" s="598">
        <v>153697.83</v>
      </c>
      <c r="C32" s="598">
        <v>153697.83</v>
      </c>
      <c r="D32" s="599"/>
      <c r="E32" s="599"/>
      <c r="F32" s="583">
        <f t="shared" si="1"/>
        <v>0</v>
      </c>
    </row>
    <row r="33" ht="18.0" customHeight="1">
      <c r="A33" s="584" t="s">
        <v>117</v>
      </c>
      <c r="B33" s="598">
        <v>7684.89</v>
      </c>
      <c r="C33" s="598">
        <v>7684.89</v>
      </c>
      <c r="D33" s="599"/>
      <c r="E33" s="599"/>
      <c r="F33" s="583">
        <f t="shared" si="1"/>
        <v>0</v>
      </c>
    </row>
    <row r="34" ht="18.0" customHeight="1">
      <c r="A34" s="584" t="s">
        <v>118</v>
      </c>
      <c r="B34" s="598">
        <v>3364061.32</v>
      </c>
      <c r="C34" s="598">
        <v>3364061.32</v>
      </c>
      <c r="D34" s="599"/>
      <c r="E34" s="599">
        <f>3364061.32-3364061.32</f>
        <v>0</v>
      </c>
      <c r="F34" s="583">
        <f t="shared" si="1"/>
        <v>0</v>
      </c>
    </row>
    <row r="35" ht="18.0" customHeight="1">
      <c r="A35" s="584" t="s">
        <v>119</v>
      </c>
      <c r="B35" s="598">
        <v>466857.17</v>
      </c>
      <c r="C35" s="598">
        <v>466857.17</v>
      </c>
      <c r="D35" s="599"/>
      <c r="E35" s="599"/>
      <c r="F35" s="583">
        <f t="shared" si="1"/>
        <v>0</v>
      </c>
    </row>
    <row r="36" ht="18.0" customHeight="1">
      <c r="A36" s="584" t="s">
        <v>120</v>
      </c>
      <c r="B36" s="598">
        <v>1252637.34</v>
      </c>
      <c r="C36" s="599">
        <v>1252637.34</v>
      </c>
      <c r="D36" s="599"/>
      <c r="E36" s="599"/>
      <c r="F36" s="583">
        <f t="shared" si="1"/>
        <v>0</v>
      </c>
    </row>
    <row r="37" ht="18.0" customHeight="1">
      <c r="A37" s="584" t="s">
        <v>122</v>
      </c>
      <c r="B37" s="598">
        <v>612870.11</v>
      </c>
      <c r="C37" s="598">
        <v>612870.11</v>
      </c>
      <c r="D37" s="599"/>
      <c r="E37" s="599"/>
      <c r="F37" s="583">
        <f t="shared" si="1"/>
        <v>0</v>
      </c>
    </row>
    <row r="38" ht="18.0" customHeight="1">
      <c r="A38" s="584" t="s">
        <v>123</v>
      </c>
      <c r="B38" s="598">
        <v>895289.88</v>
      </c>
      <c r="C38" s="598">
        <f>793589.88+53765+192</f>
        <v>847546.88</v>
      </c>
      <c r="D38" s="599">
        <f>101700-53765-192</f>
        <v>47743</v>
      </c>
      <c r="E38" s="599"/>
      <c r="F38" s="583">
        <f t="shared" si="1"/>
        <v>0</v>
      </c>
    </row>
    <row r="39" ht="18.0" customHeight="1">
      <c r="A39" s="584" t="s">
        <v>125</v>
      </c>
      <c r="B39" s="598">
        <v>2305467.49</v>
      </c>
      <c r="C39" s="599"/>
      <c r="D39" s="599"/>
      <c r="E39" s="599"/>
      <c r="F39" s="583">
        <f t="shared" si="1"/>
        <v>2305467.49</v>
      </c>
    </row>
    <row r="40" ht="18.0" customHeight="1">
      <c r="A40" s="586" t="s">
        <v>128</v>
      </c>
      <c r="B40" s="598">
        <v>82612.59</v>
      </c>
      <c r="C40" s="598">
        <v>82612.59</v>
      </c>
      <c r="D40" s="599"/>
      <c r="E40" s="599"/>
      <c r="F40" s="583">
        <f t="shared" si="1"/>
        <v>0</v>
      </c>
    </row>
    <row r="41" ht="18.0" customHeight="1">
      <c r="A41" s="584" t="s">
        <v>129</v>
      </c>
      <c r="B41" s="598">
        <v>155619.06</v>
      </c>
      <c r="C41" s="599">
        <v>155619.06</v>
      </c>
      <c r="D41" s="599"/>
      <c r="E41" s="599"/>
      <c r="F41" s="583">
        <f t="shared" si="1"/>
        <v>0</v>
      </c>
    </row>
    <row r="42" ht="18.0" customHeight="1">
      <c r="A42" s="584" t="s">
        <v>131</v>
      </c>
      <c r="B42" s="598">
        <v>4877984.97</v>
      </c>
      <c r="C42" s="599">
        <f>4082143.97+240</f>
        <v>4082383.97</v>
      </c>
      <c r="D42" s="599">
        <f>655841+135600-240</f>
        <v>791201</v>
      </c>
      <c r="E42" s="599"/>
      <c r="F42" s="583">
        <f t="shared" si="1"/>
        <v>4400</v>
      </c>
    </row>
    <row r="43" ht="18.0" customHeight="1">
      <c r="A43" s="584" t="s">
        <v>156</v>
      </c>
      <c r="B43" s="598">
        <v>1988465.71</v>
      </c>
      <c r="C43" s="599">
        <f>1590773+200000+6437+250860+94037</f>
        <v>2142107</v>
      </c>
      <c r="D43" s="599">
        <f>135035+23113+185320-250860-94037+1429</f>
        <v>0</v>
      </c>
      <c r="E43" s="599"/>
      <c r="F43" s="583">
        <f t="shared" si="1"/>
        <v>-153641.29</v>
      </c>
    </row>
    <row r="44" ht="18.0" customHeight="1">
      <c r="A44" s="584" t="s">
        <v>133</v>
      </c>
      <c r="B44" s="598">
        <v>2447637.99</v>
      </c>
      <c r="C44" s="599">
        <f>305349+2142289</f>
        <v>2447638</v>
      </c>
      <c r="D44" s="599">
        <v>290015.0</v>
      </c>
      <c r="E44" s="599"/>
      <c r="F44" s="583">
        <f t="shared" si="1"/>
        <v>-290015.01</v>
      </c>
    </row>
    <row r="45" ht="18.0" customHeight="1">
      <c r="A45" s="584" t="s">
        <v>134</v>
      </c>
      <c r="B45" s="598">
        <v>1921.22</v>
      </c>
      <c r="C45" s="599"/>
      <c r="D45" s="599"/>
      <c r="E45" s="599"/>
      <c r="F45" s="583">
        <f t="shared" si="1"/>
        <v>1921.22</v>
      </c>
    </row>
    <row r="46" ht="18.0" customHeight="1">
      <c r="A46" s="584" t="s">
        <v>230</v>
      </c>
      <c r="B46" s="598">
        <v>5763.67</v>
      </c>
      <c r="C46" s="598"/>
      <c r="D46" s="599"/>
      <c r="E46" s="599"/>
      <c r="F46" s="583">
        <f t="shared" si="1"/>
        <v>5763.67</v>
      </c>
    </row>
    <row r="47" ht="18.0" customHeight="1">
      <c r="A47" s="584" t="s">
        <v>136</v>
      </c>
      <c r="B47" s="598">
        <v>101824.81</v>
      </c>
      <c r="C47" s="599"/>
      <c r="D47" s="599"/>
      <c r="E47" s="599"/>
      <c r="F47" s="583">
        <f t="shared" si="1"/>
        <v>101824.81</v>
      </c>
    </row>
    <row r="48" ht="18.0" customHeight="1">
      <c r="A48" s="584" t="s">
        <v>138</v>
      </c>
      <c r="B48" s="598">
        <v>1.071850263E7</v>
      </c>
      <c r="C48" s="598">
        <v>1.071850263E7</v>
      </c>
      <c r="D48" s="599"/>
      <c r="E48" s="598"/>
      <c r="F48" s="583">
        <f t="shared" si="1"/>
        <v>0</v>
      </c>
    </row>
    <row r="49" ht="18.0" customHeight="1">
      <c r="A49" s="584" t="s">
        <v>139</v>
      </c>
      <c r="B49" s="598">
        <v>3.476E7</v>
      </c>
      <c r="C49" s="599">
        <f>18000000-357038+4000000+427038+2500000+2500000+2315000</f>
        <v>29385000</v>
      </c>
      <c r="D49" s="599">
        <v>5375000.0</v>
      </c>
      <c r="E49" s="599">
        <f>7315000-2500000-2500000-2315000</f>
        <v>0</v>
      </c>
      <c r="F49" s="583">
        <f t="shared" si="1"/>
        <v>0</v>
      </c>
    </row>
    <row r="50" ht="18.0" customHeight="1">
      <c r="A50" s="587" t="s">
        <v>140</v>
      </c>
      <c r="B50" s="598">
        <v>21133.45</v>
      </c>
      <c r="C50" s="602"/>
      <c r="D50" s="603"/>
      <c r="E50" s="604"/>
      <c r="F50" s="583">
        <f t="shared" si="1"/>
        <v>21133.45</v>
      </c>
    </row>
    <row r="51" ht="18.0" customHeight="1">
      <c r="A51" s="588" t="s">
        <v>143</v>
      </c>
      <c r="B51" s="589">
        <f t="shared" ref="B51:F51" si="2">SUM(B8:B50)</f>
        <v>158000000</v>
      </c>
      <c r="C51" s="590">
        <f t="shared" si="2"/>
        <v>131443544.2</v>
      </c>
      <c r="D51" s="591">
        <f t="shared" si="2"/>
        <v>16663384.62</v>
      </c>
      <c r="E51" s="592">
        <f t="shared" si="2"/>
        <v>0.000000001629814506</v>
      </c>
      <c r="F51" s="592">
        <f t="shared" si="2"/>
        <v>9893071.182</v>
      </c>
    </row>
    <row r="52" ht="14.25" customHeight="1">
      <c r="A52" s="452"/>
      <c r="B52" s="336"/>
      <c r="C52" s="336"/>
      <c r="D52" s="336"/>
      <c r="E52" s="336"/>
      <c r="F52" s="336"/>
    </row>
    <row r="53" ht="14.25" customHeight="1">
      <c r="A53" s="452"/>
      <c r="B53" s="336"/>
      <c r="C53" s="336"/>
      <c r="D53" s="336"/>
      <c r="E53" s="336"/>
      <c r="F53" s="336"/>
    </row>
    <row r="54" ht="14.25" customHeight="1">
      <c r="A54" s="452"/>
      <c r="B54" s="336"/>
      <c r="C54" s="336"/>
      <c r="D54" s="336"/>
      <c r="E54" s="336"/>
      <c r="F54" s="336"/>
    </row>
    <row r="55" ht="14.25" customHeight="1">
      <c r="A55" s="379"/>
      <c r="B55" s="379"/>
      <c r="C55" s="379"/>
      <c r="D55" s="379"/>
      <c r="E55" s="379"/>
      <c r="F55" s="379"/>
    </row>
    <row r="56" ht="14.25" customHeight="1">
      <c r="A56" s="336"/>
      <c r="B56" s="336"/>
      <c r="C56" s="336"/>
      <c r="D56" s="336"/>
      <c r="E56" s="336"/>
      <c r="F56" s="336"/>
    </row>
    <row r="57" ht="14.25" customHeight="1">
      <c r="A57" s="337" t="s">
        <v>159</v>
      </c>
      <c r="B57" s="414">
        <f t="shared" ref="B57:E57" si="3">B10+B11+B13+B15+B17+B22+B29+B31+B37+B39+B40+B41+B45+B46+B47+B50</f>
        <v>3990379.992</v>
      </c>
      <c r="C57" s="414">
        <f t="shared" si="3"/>
        <v>1477420.2</v>
      </c>
      <c r="D57" s="414">
        <f t="shared" si="3"/>
        <v>0</v>
      </c>
      <c r="E57" s="414">
        <f t="shared" si="3"/>
        <v>0</v>
      </c>
      <c r="F57" s="415">
        <f>B57-C57-D57-E57</f>
        <v>2512959.792</v>
      </c>
    </row>
    <row r="58" ht="14.25" customHeight="1">
      <c r="A58" s="379"/>
      <c r="B58" s="379"/>
      <c r="C58" s="379"/>
      <c r="D58" s="379"/>
      <c r="E58" s="379"/>
      <c r="F58" s="379"/>
    </row>
    <row r="59" ht="14.25" customHeight="1">
      <c r="A59" s="593"/>
      <c r="B59" s="379"/>
      <c r="C59" s="379"/>
      <c r="D59" s="379"/>
      <c r="E59" s="379"/>
      <c r="F59" s="379"/>
    </row>
    <row r="60" ht="14.25" customHeight="1">
      <c r="A60" s="379"/>
      <c r="B60" s="379"/>
      <c r="C60" s="379"/>
      <c r="D60" s="379"/>
      <c r="E60" s="379"/>
      <c r="F60" s="379"/>
    </row>
    <row r="61" ht="14.25" customHeight="1">
      <c r="A61" s="379"/>
      <c r="B61" s="379"/>
      <c r="C61" s="379"/>
      <c r="D61" s="379"/>
      <c r="E61" s="379"/>
      <c r="F61" s="379"/>
    </row>
    <row r="62" ht="14.25" customHeight="1">
      <c r="A62" s="379"/>
      <c r="B62" s="379"/>
      <c r="C62" s="379"/>
      <c r="D62" s="379"/>
      <c r="E62" s="379"/>
      <c r="F62" s="379"/>
    </row>
    <row r="63" ht="14.25" customHeight="1">
      <c r="A63" s="379"/>
      <c r="B63" s="379"/>
      <c r="C63" s="379"/>
      <c r="D63" s="379"/>
      <c r="E63" s="379"/>
      <c r="F63" s="379"/>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2" width="16.71"/>
    <col customWidth="1" min="3" max="3" width="18.29"/>
    <col customWidth="1" min="4" max="4" width="15.29"/>
    <col customWidth="1" min="5" max="5" width="16.29"/>
    <col customWidth="1" min="6" max="6" width="18.57"/>
    <col customWidth="1" min="7" max="7" width="3.0"/>
    <col customWidth="1" min="8" max="26" width="9.71"/>
  </cols>
  <sheetData>
    <row r="1" ht="12.75" customHeight="1">
      <c r="A1" s="379"/>
      <c r="B1" s="605"/>
      <c r="C1" s="379"/>
      <c r="D1" s="379"/>
      <c r="E1" s="379"/>
      <c r="F1" s="606" t="str">
        <f>[1]Status!C1</f>
        <v>#ERROR!</v>
      </c>
      <c r="G1" s="379"/>
      <c r="H1" s="379"/>
      <c r="I1" s="379"/>
      <c r="J1" s="379"/>
      <c r="K1" s="379"/>
      <c r="L1" s="379"/>
      <c r="M1" s="379"/>
      <c r="N1" s="379"/>
      <c r="O1" s="379"/>
      <c r="P1" s="379"/>
      <c r="Q1" s="379"/>
      <c r="R1" s="379"/>
      <c r="S1" s="379"/>
      <c r="T1" s="379"/>
      <c r="U1" s="379"/>
      <c r="V1" s="379"/>
      <c r="W1" s="379"/>
      <c r="X1" s="379"/>
      <c r="Y1" s="379"/>
      <c r="Z1" s="379"/>
    </row>
    <row r="2" ht="12.75" customHeight="1">
      <c r="A2" s="379"/>
      <c r="B2" s="605"/>
      <c r="C2" s="379"/>
      <c r="D2" s="379"/>
      <c r="E2" s="379"/>
      <c r="F2" s="606" t="s">
        <v>233</v>
      </c>
      <c r="G2" s="379"/>
      <c r="H2" s="379"/>
      <c r="I2" s="379"/>
      <c r="J2" s="379"/>
      <c r="K2" s="379"/>
      <c r="L2" s="379"/>
      <c r="M2" s="379"/>
      <c r="N2" s="379"/>
      <c r="O2" s="379"/>
      <c r="P2" s="379"/>
      <c r="Q2" s="379"/>
      <c r="R2" s="379"/>
      <c r="S2" s="379"/>
      <c r="T2" s="379"/>
      <c r="U2" s="379"/>
      <c r="V2" s="379"/>
      <c r="W2" s="379"/>
      <c r="X2" s="379"/>
      <c r="Y2" s="379"/>
      <c r="Z2" s="379"/>
    </row>
    <row r="3" ht="12.75" customHeight="1">
      <c r="A3" s="379"/>
      <c r="B3" s="605"/>
      <c r="C3" s="379"/>
      <c r="D3" s="379"/>
      <c r="E3" s="379"/>
      <c r="F3" s="606"/>
      <c r="G3" s="379"/>
      <c r="H3" s="379"/>
      <c r="I3" s="379"/>
      <c r="J3" s="379"/>
      <c r="K3" s="379"/>
      <c r="L3" s="379"/>
      <c r="M3" s="379"/>
      <c r="N3" s="379"/>
      <c r="O3" s="379"/>
      <c r="P3" s="379"/>
      <c r="Q3" s="379"/>
      <c r="R3" s="379"/>
      <c r="S3" s="379"/>
      <c r="T3" s="379"/>
      <c r="U3" s="379"/>
      <c r="V3" s="379"/>
      <c r="W3" s="379"/>
      <c r="X3" s="379"/>
      <c r="Y3" s="379"/>
      <c r="Z3" s="379"/>
    </row>
    <row r="4" ht="12.75" customHeight="1">
      <c r="A4" s="511" t="s">
        <v>148</v>
      </c>
      <c r="G4" s="379"/>
      <c r="H4" s="379"/>
      <c r="I4" s="379"/>
      <c r="J4" s="379"/>
      <c r="K4" s="379"/>
      <c r="L4" s="379"/>
      <c r="M4" s="379"/>
      <c r="N4" s="379"/>
      <c r="O4" s="379"/>
      <c r="P4" s="379"/>
      <c r="Q4" s="379"/>
      <c r="R4" s="379"/>
      <c r="S4" s="379"/>
      <c r="T4" s="379"/>
      <c r="U4" s="379"/>
      <c r="V4" s="379"/>
      <c r="W4" s="379"/>
      <c r="X4" s="379"/>
      <c r="Y4" s="379"/>
      <c r="Z4" s="379"/>
    </row>
    <row r="5" ht="12.75" customHeight="1">
      <c r="A5" s="512" t="s">
        <v>234</v>
      </c>
      <c r="G5" s="379"/>
      <c r="H5" s="379"/>
      <c r="I5" s="379"/>
      <c r="J5" s="379"/>
      <c r="K5" s="379"/>
      <c r="L5" s="379"/>
      <c r="M5" s="379"/>
      <c r="N5" s="379"/>
      <c r="O5" s="379"/>
      <c r="P5" s="379"/>
      <c r="Q5" s="379"/>
      <c r="R5" s="379"/>
      <c r="S5" s="379"/>
      <c r="T5" s="379"/>
      <c r="U5" s="379"/>
      <c r="V5" s="379"/>
      <c r="W5" s="379"/>
      <c r="X5" s="379"/>
      <c r="Y5" s="379"/>
      <c r="Z5" s="379"/>
    </row>
    <row r="6" ht="12.75" customHeight="1">
      <c r="A6" s="513" t="str">
        <f>[1]Status!A6</f>
        <v>#ERROR!</v>
      </c>
      <c r="B6" s="298"/>
      <c r="C6" s="298"/>
      <c r="D6" s="298"/>
      <c r="E6" s="298"/>
      <c r="F6" s="298"/>
      <c r="G6" s="379"/>
      <c r="H6" s="379"/>
      <c r="I6" s="379"/>
      <c r="J6" s="379"/>
      <c r="K6" s="379"/>
      <c r="L6" s="379"/>
      <c r="M6" s="379"/>
      <c r="N6" s="379"/>
      <c r="O6" s="379"/>
      <c r="P6" s="379"/>
      <c r="Q6" s="379"/>
      <c r="R6" s="379"/>
      <c r="S6" s="379"/>
      <c r="T6" s="379"/>
      <c r="U6" s="379"/>
      <c r="V6" s="379"/>
      <c r="W6" s="379"/>
      <c r="X6" s="379"/>
      <c r="Y6" s="379"/>
      <c r="Z6" s="379"/>
    </row>
    <row r="7" ht="12.75" customHeight="1">
      <c r="A7" s="578" t="s">
        <v>79</v>
      </c>
      <c r="B7" s="579" t="s">
        <v>80</v>
      </c>
      <c r="C7" s="579" t="s">
        <v>81</v>
      </c>
      <c r="D7" s="579" t="s">
        <v>82</v>
      </c>
      <c r="E7" s="579" t="s">
        <v>83</v>
      </c>
      <c r="F7" s="580" t="s">
        <v>84</v>
      </c>
      <c r="G7" s="607"/>
      <c r="H7" s="379"/>
      <c r="I7" s="379"/>
      <c r="J7" s="379"/>
      <c r="K7" s="379"/>
      <c r="L7" s="379"/>
      <c r="M7" s="379"/>
      <c r="N7" s="379"/>
      <c r="O7" s="379"/>
      <c r="P7" s="379"/>
      <c r="Q7" s="379"/>
      <c r="R7" s="379"/>
      <c r="S7" s="379"/>
      <c r="T7" s="379"/>
      <c r="U7" s="379"/>
      <c r="V7" s="379"/>
      <c r="W7" s="379"/>
      <c r="X7" s="379"/>
      <c r="Y7" s="379"/>
      <c r="Z7" s="379"/>
    </row>
    <row r="8" ht="18.0" customHeight="1">
      <c r="A8" s="581" t="s">
        <v>150</v>
      </c>
      <c r="B8" s="582">
        <v>3150805.58</v>
      </c>
      <c r="C8" s="597">
        <f>3058937+91869</f>
        <v>3150806</v>
      </c>
      <c r="D8" s="597"/>
      <c r="E8" s="597"/>
      <c r="F8" s="583">
        <f t="shared" ref="F8:F50" si="1">B8-C8-D8-E8</f>
        <v>-0.4199999999</v>
      </c>
      <c r="G8" s="608"/>
      <c r="H8" s="379"/>
      <c r="I8" s="379"/>
      <c r="J8" s="379"/>
      <c r="K8" s="379"/>
      <c r="L8" s="379"/>
      <c r="M8" s="379"/>
      <c r="N8" s="379"/>
      <c r="O8" s="379"/>
      <c r="P8" s="379"/>
      <c r="Q8" s="379"/>
      <c r="R8" s="379"/>
      <c r="S8" s="379"/>
      <c r="T8" s="379"/>
      <c r="U8" s="379"/>
      <c r="V8" s="379"/>
      <c r="W8" s="379"/>
      <c r="X8" s="379"/>
      <c r="Y8" s="379"/>
      <c r="Z8" s="379"/>
    </row>
    <row r="9" ht="18.0" customHeight="1">
      <c r="A9" s="584" t="s">
        <v>88</v>
      </c>
      <c r="B9" s="598">
        <v>1832846.66</v>
      </c>
      <c r="C9" s="599">
        <v>1832846.66</v>
      </c>
      <c r="D9" s="599"/>
      <c r="E9" s="599"/>
      <c r="F9" s="583">
        <f t="shared" si="1"/>
        <v>0</v>
      </c>
      <c r="G9" s="608"/>
      <c r="H9" s="379"/>
      <c r="I9" s="379"/>
      <c r="J9" s="379"/>
      <c r="K9" s="379"/>
      <c r="L9" s="379"/>
      <c r="M9" s="379"/>
      <c r="N9" s="379"/>
      <c r="O9" s="379"/>
      <c r="P9" s="379"/>
      <c r="Q9" s="379"/>
      <c r="R9" s="379"/>
      <c r="S9" s="379"/>
      <c r="T9" s="379"/>
      <c r="U9" s="379"/>
      <c r="V9" s="379"/>
      <c r="W9" s="379"/>
      <c r="X9" s="379"/>
      <c r="Y9" s="379"/>
      <c r="Z9" s="379"/>
    </row>
    <row r="10" ht="18.0" customHeight="1">
      <c r="A10" s="585" t="s">
        <v>89</v>
      </c>
      <c r="B10" s="598">
        <v>7684.89164893386</v>
      </c>
      <c r="C10" s="599">
        <v>0.0</v>
      </c>
      <c r="D10" s="599"/>
      <c r="E10" s="599"/>
      <c r="F10" s="583">
        <f t="shared" si="1"/>
        <v>7684.891649</v>
      </c>
      <c r="G10" s="608"/>
      <c r="H10" s="379"/>
      <c r="I10" s="379"/>
      <c r="J10" s="379"/>
      <c r="K10" s="379"/>
      <c r="L10" s="379"/>
      <c r="M10" s="379"/>
      <c r="N10" s="379"/>
      <c r="O10" s="379"/>
      <c r="P10" s="379"/>
      <c r="Q10" s="379"/>
      <c r="R10" s="379"/>
      <c r="S10" s="379"/>
      <c r="T10" s="379"/>
      <c r="U10" s="379"/>
      <c r="V10" s="379"/>
      <c r="W10" s="379"/>
      <c r="X10" s="379"/>
      <c r="Y10" s="379"/>
      <c r="Z10" s="379"/>
    </row>
    <row r="11" ht="18.0" customHeight="1">
      <c r="A11" s="584" t="s">
        <v>90</v>
      </c>
      <c r="B11" s="598">
        <v>36503.24</v>
      </c>
      <c r="C11" s="599">
        <v>0.0</v>
      </c>
      <c r="D11" s="599"/>
      <c r="E11" s="599"/>
      <c r="F11" s="583">
        <f t="shared" si="1"/>
        <v>36503.24</v>
      </c>
      <c r="G11" s="608"/>
      <c r="H11" s="379"/>
      <c r="I11" s="379"/>
      <c r="J11" s="379"/>
      <c r="K11" s="379"/>
      <c r="L11" s="379"/>
      <c r="M11" s="379"/>
      <c r="N11" s="379"/>
      <c r="O11" s="379"/>
      <c r="P11" s="379"/>
      <c r="Q11" s="379"/>
      <c r="R11" s="379"/>
      <c r="S11" s="379"/>
      <c r="T11" s="379"/>
      <c r="U11" s="379"/>
      <c r="V11" s="379"/>
      <c r="W11" s="379"/>
      <c r="X11" s="379"/>
      <c r="Y11" s="379"/>
      <c r="Z11" s="379"/>
    </row>
    <row r="12" ht="18.0" customHeight="1">
      <c r="A12" s="584" t="s">
        <v>91</v>
      </c>
      <c r="B12" s="598">
        <v>2186351.67</v>
      </c>
      <c r="C12" s="599">
        <v>2186351.67</v>
      </c>
      <c r="D12" s="599"/>
      <c r="E12" s="599"/>
      <c r="F12" s="583">
        <f t="shared" si="1"/>
        <v>0</v>
      </c>
      <c r="G12" s="608"/>
      <c r="H12" s="379"/>
      <c r="I12" s="379"/>
      <c r="J12" s="379"/>
      <c r="K12" s="379"/>
      <c r="L12" s="379"/>
      <c r="M12" s="379"/>
      <c r="N12" s="379"/>
      <c r="O12" s="379"/>
      <c r="P12" s="379"/>
      <c r="Q12" s="379"/>
      <c r="R12" s="379"/>
      <c r="S12" s="379"/>
      <c r="T12" s="379"/>
      <c r="U12" s="379"/>
      <c r="V12" s="379"/>
      <c r="W12" s="379"/>
      <c r="X12" s="379"/>
      <c r="Y12" s="379"/>
      <c r="Z12" s="379"/>
    </row>
    <row r="13" ht="18.0" customHeight="1">
      <c r="A13" s="584" t="s">
        <v>92</v>
      </c>
      <c r="B13" s="598">
        <v>24975.9</v>
      </c>
      <c r="C13" s="599">
        <v>24975.9</v>
      </c>
      <c r="D13" s="599"/>
      <c r="E13" s="599"/>
      <c r="F13" s="583">
        <f t="shared" si="1"/>
        <v>0</v>
      </c>
      <c r="G13" s="608"/>
      <c r="H13" s="379"/>
      <c r="I13" s="379"/>
      <c r="J13" s="379"/>
      <c r="K13" s="379"/>
      <c r="L13" s="379"/>
      <c r="M13" s="379"/>
      <c r="N13" s="379"/>
      <c r="O13" s="379"/>
      <c r="P13" s="379"/>
      <c r="Q13" s="379"/>
      <c r="R13" s="379"/>
      <c r="S13" s="379"/>
      <c r="T13" s="379"/>
      <c r="U13" s="379"/>
      <c r="V13" s="379"/>
      <c r="W13" s="379"/>
      <c r="X13" s="379"/>
      <c r="Y13" s="379"/>
      <c r="Z13" s="379"/>
    </row>
    <row r="14" ht="18.0" customHeight="1">
      <c r="A14" s="584" t="s">
        <v>151</v>
      </c>
      <c r="B14" s="598">
        <v>4954833.89</v>
      </c>
      <c r="C14" s="599">
        <f>499078-61354+3963867+265918</f>
        <v>4667509</v>
      </c>
      <c r="D14" s="599">
        <f>214700+468125-395500</f>
        <v>287325</v>
      </c>
      <c r="E14" s="599">
        <f>3963867-3963867</f>
        <v>0</v>
      </c>
      <c r="F14" s="583">
        <f t="shared" si="1"/>
        <v>-0.1100000003</v>
      </c>
      <c r="G14" s="608"/>
      <c r="H14" s="379"/>
      <c r="I14" s="379"/>
      <c r="J14" s="379"/>
      <c r="K14" s="379"/>
      <c r="L14" s="379"/>
      <c r="M14" s="379"/>
      <c r="N14" s="379"/>
      <c r="O14" s="379"/>
      <c r="P14" s="379"/>
      <c r="Q14" s="379"/>
      <c r="R14" s="379"/>
      <c r="S14" s="379"/>
      <c r="T14" s="379"/>
      <c r="U14" s="379"/>
      <c r="V14" s="379"/>
      <c r="W14" s="379"/>
      <c r="X14" s="379"/>
      <c r="Y14" s="379"/>
      <c r="Z14" s="379"/>
    </row>
    <row r="15" ht="18.0" customHeight="1">
      <c r="A15" s="584" t="s">
        <v>96</v>
      </c>
      <c r="B15" s="598">
        <v>330450.34</v>
      </c>
      <c r="C15" s="599">
        <f>330450+330450-330450</f>
        <v>330450</v>
      </c>
      <c r="D15" s="599"/>
      <c r="E15" s="599"/>
      <c r="F15" s="583">
        <f t="shared" si="1"/>
        <v>0.34</v>
      </c>
      <c r="G15" s="608"/>
      <c r="H15" s="379"/>
      <c r="I15" s="379"/>
      <c r="J15" s="379"/>
      <c r="K15" s="379"/>
      <c r="L15" s="379"/>
      <c r="M15" s="379"/>
      <c r="N15" s="379"/>
      <c r="O15" s="379"/>
      <c r="P15" s="379"/>
      <c r="Q15" s="379"/>
      <c r="R15" s="379"/>
      <c r="S15" s="379"/>
      <c r="T15" s="379"/>
      <c r="U15" s="379"/>
      <c r="V15" s="379"/>
      <c r="W15" s="379"/>
      <c r="X15" s="379"/>
      <c r="Y15" s="379"/>
      <c r="Z15" s="379"/>
    </row>
    <row r="16" ht="18.0" customHeight="1">
      <c r="A16" s="584" t="s">
        <v>97</v>
      </c>
      <c r="B16" s="598">
        <v>1450523.3</v>
      </c>
      <c r="C16" s="598">
        <v>1450523.3</v>
      </c>
      <c r="D16" s="599"/>
      <c r="E16" s="599"/>
      <c r="F16" s="583">
        <f t="shared" si="1"/>
        <v>0</v>
      </c>
      <c r="G16" s="608"/>
      <c r="H16" s="379"/>
      <c r="I16" s="379"/>
      <c r="J16" s="379"/>
      <c r="K16" s="379"/>
      <c r="L16" s="379"/>
      <c r="M16" s="379"/>
      <c r="N16" s="379"/>
      <c r="O16" s="379"/>
      <c r="P16" s="379"/>
      <c r="Q16" s="379"/>
      <c r="R16" s="379"/>
      <c r="S16" s="379"/>
      <c r="T16" s="379"/>
      <c r="U16" s="379"/>
      <c r="V16" s="379"/>
      <c r="W16" s="379"/>
      <c r="X16" s="379"/>
      <c r="Y16" s="379"/>
      <c r="Z16" s="379"/>
    </row>
    <row r="17" ht="18.0" customHeight="1">
      <c r="A17" s="584" t="s">
        <v>98</v>
      </c>
      <c r="B17" s="598">
        <v>19212.23</v>
      </c>
      <c r="C17" s="599">
        <v>19212.0</v>
      </c>
      <c r="D17" s="599"/>
      <c r="E17" s="599"/>
      <c r="F17" s="583">
        <f t="shared" si="1"/>
        <v>0.23</v>
      </c>
      <c r="G17" s="608"/>
      <c r="H17" s="379"/>
      <c r="I17" s="379"/>
      <c r="J17" s="379"/>
      <c r="K17" s="379"/>
      <c r="L17" s="379"/>
      <c r="M17" s="379"/>
      <c r="N17" s="379"/>
      <c r="O17" s="379"/>
      <c r="P17" s="379"/>
      <c r="Q17" s="379"/>
      <c r="R17" s="379"/>
      <c r="S17" s="379"/>
      <c r="T17" s="379"/>
      <c r="U17" s="379"/>
      <c r="V17" s="379"/>
      <c r="W17" s="379"/>
      <c r="X17" s="379"/>
      <c r="Y17" s="379"/>
      <c r="Z17" s="379"/>
    </row>
    <row r="18" ht="18.0" customHeight="1">
      <c r="A18" s="584" t="s">
        <v>99</v>
      </c>
      <c r="B18" s="598">
        <v>1010563.25</v>
      </c>
      <c r="C18" s="599">
        <v>1010563.0</v>
      </c>
      <c r="D18" s="599"/>
      <c r="E18" s="599"/>
      <c r="F18" s="583">
        <f t="shared" si="1"/>
        <v>0.25</v>
      </c>
      <c r="G18" s="608"/>
      <c r="H18" s="379"/>
      <c r="I18" s="379"/>
      <c r="J18" s="379"/>
      <c r="K18" s="379"/>
      <c r="L18" s="379"/>
      <c r="M18" s="379"/>
      <c r="N18" s="379"/>
      <c r="O18" s="379"/>
      <c r="P18" s="379"/>
      <c r="Q18" s="379"/>
      <c r="R18" s="379"/>
      <c r="S18" s="379"/>
      <c r="T18" s="379"/>
      <c r="U18" s="379"/>
      <c r="V18" s="379"/>
      <c r="W18" s="379"/>
      <c r="X18" s="379"/>
      <c r="Y18" s="379"/>
      <c r="Z18" s="379"/>
    </row>
    <row r="19" ht="18.0" customHeight="1">
      <c r="A19" s="584" t="s">
        <v>152</v>
      </c>
      <c r="B19" s="598">
        <v>1.25186885E7</v>
      </c>
      <c r="C19" s="600">
        <f>10216005.5+46318+37643+14137</f>
        <v>10314103.5</v>
      </c>
      <c r="D19" s="600">
        <f>991683+1085000+226000-46318-37643-14137</f>
        <v>2204585</v>
      </c>
      <c r="E19" s="599">
        <v>0.0</v>
      </c>
      <c r="F19" s="583">
        <f t="shared" si="1"/>
        <v>0</v>
      </c>
      <c r="G19" s="608"/>
      <c r="H19" s="379"/>
      <c r="I19" s="379"/>
      <c r="J19" s="379"/>
      <c r="K19" s="379"/>
      <c r="L19" s="379"/>
      <c r="M19" s="379"/>
      <c r="N19" s="379"/>
      <c r="O19" s="379"/>
      <c r="P19" s="379"/>
      <c r="Q19" s="379"/>
      <c r="R19" s="379"/>
      <c r="S19" s="379"/>
      <c r="T19" s="379"/>
      <c r="U19" s="379"/>
      <c r="V19" s="379"/>
      <c r="W19" s="379"/>
      <c r="X19" s="379"/>
      <c r="Y19" s="379"/>
      <c r="Z19" s="379"/>
    </row>
    <row r="20" ht="18.0" customHeight="1">
      <c r="A20" s="584" t="s">
        <v>101</v>
      </c>
      <c r="B20" s="598">
        <v>1.891443957E7</v>
      </c>
      <c r="C20" s="599">
        <f>6304813.19+6304813.19+3152406.6+3152406.59+1204445</f>
        <v>20118884.57</v>
      </c>
      <c r="D20" s="599">
        <f>1901368+1866181+33984-18645-1204445</f>
        <v>2578443</v>
      </c>
      <c r="E20" s="599">
        <f>18914439.57-6304813.19-6304813.19-3152406.6-3152406.59</f>
        <v>-0.000000001396983862</v>
      </c>
      <c r="F20" s="583">
        <f t="shared" si="1"/>
        <v>-3782888</v>
      </c>
      <c r="G20" s="608"/>
      <c r="H20" s="379"/>
      <c r="I20" s="379"/>
      <c r="J20" s="379"/>
      <c r="K20" s="379"/>
      <c r="L20" s="379"/>
      <c r="M20" s="379"/>
      <c r="N20" s="379"/>
      <c r="O20" s="379"/>
      <c r="P20" s="379"/>
      <c r="Q20" s="379"/>
      <c r="R20" s="379"/>
      <c r="S20" s="379"/>
      <c r="T20" s="379"/>
      <c r="U20" s="379"/>
      <c r="V20" s="379"/>
      <c r="W20" s="379"/>
      <c r="X20" s="379"/>
      <c r="Y20" s="379"/>
      <c r="Z20" s="379"/>
    </row>
    <row r="21" ht="18.0" customHeight="1">
      <c r="A21" s="584" t="s">
        <v>102</v>
      </c>
      <c r="B21" s="598">
        <v>1043224.04</v>
      </c>
      <c r="C21" s="599">
        <v>1172560.25</v>
      </c>
      <c r="D21" s="599"/>
      <c r="E21" s="599"/>
      <c r="F21" s="583">
        <f t="shared" si="1"/>
        <v>-129336.21</v>
      </c>
      <c r="G21" s="608"/>
      <c r="H21" s="379"/>
      <c r="I21" s="379"/>
      <c r="J21" s="379"/>
      <c r="K21" s="379"/>
      <c r="L21" s="379"/>
      <c r="M21" s="379"/>
      <c r="N21" s="379"/>
      <c r="O21" s="379"/>
      <c r="P21" s="379"/>
      <c r="Q21" s="379"/>
      <c r="R21" s="379"/>
      <c r="S21" s="379"/>
      <c r="T21" s="379"/>
      <c r="U21" s="379"/>
      <c r="V21" s="379"/>
      <c r="W21" s="379"/>
      <c r="X21" s="379"/>
      <c r="Y21" s="379"/>
      <c r="Z21" s="379"/>
    </row>
    <row r="22" ht="18.0" customHeight="1">
      <c r="A22" s="584" t="s">
        <v>104</v>
      </c>
      <c r="B22" s="598">
        <v>232467.97</v>
      </c>
      <c r="C22" s="598">
        <v>232467.97</v>
      </c>
      <c r="D22" s="599"/>
      <c r="E22" s="599"/>
      <c r="F22" s="583">
        <f t="shared" si="1"/>
        <v>0</v>
      </c>
      <c r="G22" s="608"/>
      <c r="H22" s="379"/>
      <c r="I22" s="379"/>
      <c r="J22" s="379"/>
      <c r="K22" s="379"/>
      <c r="L22" s="379"/>
      <c r="M22" s="379"/>
      <c r="N22" s="379"/>
      <c r="O22" s="379"/>
      <c r="P22" s="379"/>
      <c r="Q22" s="379"/>
      <c r="R22" s="379"/>
      <c r="S22" s="379"/>
      <c r="T22" s="379"/>
      <c r="U22" s="379"/>
      <c r="V22" s="379"/>
      <c r="W22" s="379"/>
      <c r="X22" s="379"/>
      <c r="Y22" s="379"/>
      <c r="Z22" s="379"/>
    </row>
    <row r="23" ht="18.0" customHeight="1">
      <c r="A23" s="584" t="s">
        <v>105</v>
      </c>
      <c r="B23" s="598">
        <v>63400.36</v>
      </c>
      <c r="C23" s="598">
        <v>63400.36</v>
      </c>
      <c r="D23" s="599"/>
      <c r="E23" s="599"/>
      <c r="F23" s="583">
        <f t="shared" si="1"/>
        <v>0</v>
      </c>
      <c r="G23" s="608"/>
      <c r="H23" s="379"/>
      <c r="I23" s="379"/>
      <c r="J23" s="379"/>
      <c r="K23" s="379"/>
      <c r="L23" s="379"/>
      <c r="M23" s="379"/>
      <c r="N23" s="379"/>
      <c r="O23" s="379"/>
      <c r="P23" s="379"/>
      <c r="Q23" s="379"/>
      <c r="R23" s="379"/>
      <c r="S23" s="379"/>
      <c r="T23" s="379"/>
      <c r="U23" s="379"/>
      <c r="V23" s="379"/>
      <c r="W23" s="379"/>
      <c r="X23" s="379"/>
      <c r="Y23" s="379"/>
      <c r="Z23" s="379"/>
    </row>
    <row r="24" ht="18.0" customHeight="1">
      <c r="A24" s="584" t="s">
        <v>154</v>
      </c>
      <c r="B24" s="598">
        <v>570603.2</v>
      </c>
      <c r="C24" s="599">
        <v>570603.2</v>
      </c>
      <c r="D24" s="599"/>
      <c r="E24" s="599"/>
      <c r="F24" s="583">
        <f t="shared" si="1"/>
        <v>0</v>
      </c>
      <c r="G24" s="608"/>
      <c r="H24" s="379"/>
      <c r="I24" s="379"/>
      <c r="J24" s="379"/>
      <c r="K24" s="379"/>
      <c r="L24" s="379"/>
      <c r="M24" s="379"/>
      <c r="N24" s="379"/>
      <c r="O24" s="379"/>
      <c r="P24" s="379"/>
      <c r="Q24" s="379"/>
      <c r="R24" s="379"/>
      <c r="S24" s="379"/>
      <c r="T24" s="379"/>
      <c r="U24" s="379"/>
      <c r="V24" s="379"/>
      <c r="W24" s="379"/>
      <c r="X24" s="379"/>
      <c r="Y24" s="379"/>
      <c r="Z24" s="379"/>
    </row>
    <row r="25" ht="18.0" customHeight="1">
      <c r="A25" s="584" t="s">
        <v>107</v>
      </c>
      <c r="B25" s="598">
        <v>803071.18</v>
      </c>
      <c r="C25" s="599"/>
      <c r="D25" s="599"/>
      <c r="E25" s="599"/>
      <c r="F25" s="583">
        <f t="shared" si="1"/>
        <v>803071.18</v>
      </c>
      <c r="G25" s="608"/>
      <c r="H25" s="379"/>
      <c r="I25" s="379"/>
      <c r="J25" s="379"/>
      <c r="K25" s="379"/>
      <c r="L25" s="379"/>
      <c r="M25" s="379"/>
      <c r="N25" s="379"/>
      <c r="O25" s="379"/>
      <c r="P25" s="379"/>
      <c r="Q25" s="379"/>
      <c r="R25" s="379"/>
      <c r="S25" s="379"/>
      <c r="T25" s="379"/>
      <c r="U25" s="379"/>
      <c r="V25" s="379"/>
      <c r="W25" s="379"/>
      <c r="X25" s="379"/>
      <c r="Y25" s="379"/>
      <c r="Z25" s="379"/>
    </row>
    <row r="26" ht="18.0" customHeight="1">
      <c r="A26" s="584" t="s">
        <v>235</v>
      </c>
      <c r="B26" s="598">
        <v>9805921.74</v>
      </c>
      <c r="C26" s="599">
        <v>7844737.0</v>
      </c>
      <c r="D26" s="599">
        <v>1961184.74</v>
      </c>
      <c r="E26" s="599"/>
      <c r="F26" s="583">
        <f t="shared" si="1"/>
        <v>0.0000000002328306437</v>
      </c>
      <c r="G26" s="608"/>
      <c r="H26" s="379"/>
      <c r="I26" s="379"/>
      <c r="J26" s="379"/>
      <c r="K26" s="379"/>
      <c r="L26" s="379"/>
      <c r="M26" s="379"/>
      <c r="N26" s="379"/>
      <c r="O26" s="379"/>
      <c r="P26" s="379"/>
      <c r="Q26" s="379"/>
      <c r="R26" s="379"/>
      <c r="S26" s="379"/>
      <c r="T26" s="379"/>
      <c r="U26" s="379"/>
      <c r="V26" s="379"/>
      <c r="W26" s="379"/>
      <c r="X26" s="379"/>
      <c r="Y26" s="379"/>
      <c r="Z26" s="379"/>
    </row>
    <row r="27" ht="18.0" customHeight="1">
      <c r="A27" s="584" t="s">
        <v>155</v>
      </c>
      <c r="B27" s="598">
        <v>3.476E7</v>
      </c>
      <c r="C27" s="599">
        <v>3.0098098E7</v>
      </c>
      <c r="D27" s="599">
        <v>4661902.0</v>
      </c>
      <c r="E27" s="599"/>
      <c r="F27" s="583">
        <f t="shared" si="1"/>
        <v>0</v>
      </c>
      <c r="G27" s="608"/>
      <c r="H27" s="379"/>
      <c r="I27" s="379"/>
      <c r="J27" s="379"/>
      <c r="K27" s="379"/>
      <c r="L27" s="379"/>
      <c r="M27" s="379"/>
      <c r="N27" s="379"/>
      <c r="O27" s="379"/>
      <c r="P27" s="379"/>
      <c r="Q27" s="379"/>
      <c r="R27" s="379"/>
      <c r="S27" s="379"/>
      <c r="T27" s="379"/>
      <c r="U27" s="379"/>
      <c r="V27" s="379"/>
      <c r="W27" s="379"/>
      <c r="X27" s="379"/>
      <c r="Y27" s="379"/>
      <c r="Z27" s="379"/>
    </row>
    <row r="28" ht="12.75" customHeight="1">
      <c r="A28" s="278" t="s">
        <v>110</v>
      </c>
      <c r="B28" s="420">
        <v>0.0</v>
      </c>
      <c r="C28" s="321">
        <v>0.0</v>
      </c>
      <c r="D28" s="405"/>
      <c r="E28" s="405"/>
      <c r="F28" s="583">
        <f t="shared" si="1"/>
        <v>0</v>
      </c>
      <c r="G28" s="379"/>
      <c r="H28" s="216"/>
      <c r="I28" s="216"/>
      <c r="J28" s="379"/>
      <c r="K28" s="379"/>
      <c r="L28" s="379"/>
      <c r="M28" s="379"/>
      <c r="N28" s="379"/>
      <c r="O28" s="379"/>
      <c r="P28" s="379"/>
      <c r="Q28" s="379"/>
      <c r="R28" s="379"/>
      <c r="S28" s="379"/>
      <c r="T28" s="379"/>
      <c r="U28" s="379"/>
      <c r="V28" s="379"/>
      <c r="W28" s="379"/>
      <c r="X28" s="379"/>
      <c r="Y28" s="379"/>
      <c r="Z28" s="379"/>
    </row>
    <row r="29" ht="18.0" customHeight="1">
      <c r="A29" s="584" t="s">
        <v>112</v>
      </c>
      <c r="B29" s="598">
        <v>19212.23</v>
      </c>
      <c r="C29" s="599">
        <v>19212.0</v>
      </c>
      <c r="D29" s="599"/>
      <c r="E29" s="599"/>
      <c r="F29" s="583">
        <f t="shared" si="1"/>
        <v>0.23</v>
      </c>
      <c r="G29" s="608"/>
      <c r="H29" s="379"/>
      <c r="I29" s="379"/>
      <c r="J29" s="379"/>
      <c r="K29" s="379"/>
      <c r="L29" s="379"/>
      <c r="M29" s="379"/>
      <c r="N29" s="379"/>
      <c r="O29" s="379"/>
      <c r="P29" s="379"/>
      <c r="Q29" s="379"/>
      <c r="R29" s="379"/>
      <c r="S29" s="379"/>
      <c r="T29" s="379"/>
      <c r="U29" s="379"/>
      <c r="V29" s="379"/>
      <c r="W29" s="379"/>
      <c r="X29" s="379"/>
      <c r="Y29" s="379"/>
      <c r="Z29" s="379"/>
    </row>
    <row r="30" ht="18.0" customHeight="1">
      <c r="A30" s="584" t="s">
        <v>113</v>
      </c>
      <c r="B30" s="598">
        <v>11527.34</v>
      </c>
      <c r="C30" s="598">
        <v>11527.34</v>
      </c>
      <c r="D30" s="599"/>
      <c r="E30" s="599"/>
      <c r="F30" s="583">
        <f t="shared" si="1"/>
        <v>0</v>
      </c>
      <c r="G30" s="608"/>
      <c r="H30" s="379"/>
      <c r="I30" s="379"/>
      <c r="J30" s="379"/>
      <c r="K30" s="379"/>
      <c r="L30" s="379"/>
      <c r="M30" s="379"/>
      <c r="N30" s="379"/>
      <c r="O30" s="379"/>
      <c r="P30" s="379"/>
      <c r="Q30" s="379"/>
      <c r="R30" s="379"/>
      <c r="S30" s="379"/>
      <c r="T30" s="379"/>
      <c r="U30" s="379"/>
      <c r="V30" s="379"/>
      <c r="W30" s="379"/>
      <c r="X30" s="379"/>
      <c r="Y30" s="379"/>
      <c r="Z30" s="379"/>
    </row>
    <row r="31" ht="18.0" customHeight="1">
      <c r="A31" s="584" t="s">
        <v>114</v>
      </c>
      <c r="B31" s="598">
        <v>32660.79</v>
      </c>
      <c r="C31" s="598"/>
      <c r="D31" s="599"/>
      <c r="E31" s="599"/>
      <c r="F31" s="583">
        <f t="shared" si="1"/>
        <v>32660.79</v>
      </c>
      <c r="G31" s="608"/>
      <c r="H31" s="379"/>
      <c r="I31" s="379"/>
      <c r="J31" s="379"/>
      <c r="K31" s="379"/>
      <c r="L31" s="379"/>
      <c r="M31" s="379"/>
      <c r="N31" s="379"/>
      <c r="O31" s="379"/>
      <c r="P31" s="379"/>
      <c r="Q31" s="379"/>
      <c r="R31" s="379"/>
      <c r="S31" s="379"/>
      <c r="T31" s="379"/>
      <c r="U31" s="379"/>
      <c r="V31" s="379"/>
      <c r="W31" s="379"/>
      <c r="X31" s="379"/>
      <c r="Y31" s="379"/>
      <c r="Z31" s="379"/>
    </row>
    <row r="32" ht="18.0" customHeight="1">
      <c r="A32" s="584" t="s">
        <v>115</v>
      </c>
      <c r="B32" s="598">
        <v>153697.83</v>
      </c>
      <c r="C32" s="598">
        <v>153697.83</v>
      </c>
      <c r="D32" s="599"/>
      <c r="E32" s="599"/>
      <c r="F32" s="583">
        <f t="shared" si="1"/>
        <v>0</v>
      </c>
      <c r="G32" s="608"/>
      <c r="H32" s="379"/>
      <c r="I32" s="379"/>
      <c r="J32" s="379"/>
      <c r="K32" s="379"/>
      <c r="L32" s="379"/>
      <c r="M32" s="379"/>
      <c r="N32" s="379"/>
      <c r="O32" s="379"/>
      <c r="P32" s="379"/>
      <c r="Q32" s="379"/>
      <c r="R32" s="379"/>
      <c r="S32" s="379"/>
      <c r="T32" s="379"/>
      <c r="U32" s="379"/>
      <c r="V32" s="379"/>
      <c r="W32" s="379"/>
      <c r="X32" s="379"/>
      <c r="Y32" s="379"/>
      <c r="Z32" s="379"/>
    </row>
    <row r="33" ht="18.0" customHeight="1">
      <c r="A33" s="584" t="s">
        <v>117</v>
      </c>
      <c r="B33" s="598">
        <v>7684.89</v>
      </c>
      <c r="C33" s="598">
        <v>7684.89</v>
      </c>
      <c r="D33" s="599"/>
      <c r="E33" s="599"/>
      <c r="F33" s="583">
        <f t="shared" si="1"/>
        <v>0</v>
      </c>
      <c r="G33" s="608"/>
      <c r="H33" s="379"/>
      <c r="I33" s="379"/>
      <c r="J33" s="379"/>
      <c r="K33" s="379"/>
      <c r="L33" s="379"/>
      <c r="M33" s="379"/>
      <c r="N33" s="379"/>
      <c r="O33" s="379"/>
      <c r="P33" s="379"/>
      <c r="Q33" s="379"/>
      <c r="R33" s="379"/>
      <c r="S33" s="379"/>
      <c r="T33" s="379"/>
      <c r="U33" s="379"/>
      <c r="V33" s="379"/>
      <c r="W33" s="379"/>
      <c r="X33" s="379"/>
      <c r="Y33" s="379"/>
      <c r="Z33" s="379"/>
    </row>
    <row r="34" ht="18.0" customHeight="1">
      <c r="A34" s="584" t="s">
        <v>118</v>
      </c>
      <c r="B34" s="598">
        <v>3364061.32</v>
      </c>
      <c r="C34" s="599">
        <v>3364061.32</v>
      </c>
      <c r="D34" s="599"/>
      <c r="E34" s="599">
        <f>6728122.64-3364061.32-3364061.32</f>
        <v>0</v>
      </c>
      <c r="F34" s="583">
        <f t="shared" si="1"/>
        <v>0</v>
      </c>
      <c r="G34" s="608"/>
      <c r="H34" s="379"/>
      <c r="I34" s="379"/>
      <c r="J34" s="379"/>
      <c r="K34" s="379"/>
      <c r="L34" s="379"/>
      <c r="M34" s="379"/>
      <c r="N34" s="379"/>
      <c r="O34" s="379"/>
      <c r="P34" s="379"/>
      <c r="Q34" s="379"/>
      <c r="R34" s="379"/>
      <c r="S34" s="379"/>
      <c r="T34" s="379"/>
      <c r="U34" s="379"/>
      <c r="V34" s="379"/>
      <c r="W34" s="379"/>
      <c r="X34" s="379"/>
      <c r="Y34" s="379"/>
      <c r="Z34" s="379"/>
    </row>
    <row r="35" ht="18.0" customHeight="1">
      <c r="A35" s="584" t="s">
        <v>119</v>
      </c>
      <c r="B35" s="598">
        <v>466857.17</v>
      </c>
      <c r="C35" s="598">
        <v>466857.17</v>
      </c>
      <c r="D35" s="599"/>
      <c r="E35" s="599"/>
      <c r="F35" s="583">
        <f t="shared" si="1"/>
        <v>0</v>
      </c>
      <c r="G35" s="608"/>
      <c r="H35" s="379"/>
      <c r="I35" s="379"/>
      <c r="J35" s="379"/>
      <c r="K35" s="379"/>
      <c r="L35" s="379"/>
      <c r="M35" s="379"/>
      <c r="N35" s="379"/>
      <c r="O35" s="379"/>
      <c r="P35" s="379"/>
      <c r="Q35" s="379"/>
      <c r="R35" s="379"/>
      <c r="S35" s="379"/>
      <c r="T35" s="379"/>
      <c r="U35" s="379"/>
      <c r="V35" s="379"/>
      <c r="W35" s="379"/>
      <c r="X35" s="379"/>
      <c r="Y35" s="379"/>
      <c r="Z35" s="379"/>
    </row>
    <row r="36" ht="18.0" customHeight="1">
      <c r="A36" s="584" t="s">
        <v>120</v>
      </c>
      <c r="B36" s="598">
        <v>1252637.34</v>
      </c>
      <c r="C36" s="599">
        <v>1252637.0</v>
      </c>
      <c r="D36" s="599"/>
      <c r="E36" s="599"/>
      <c r="F36" s="583">
        <f t="shared" si="1"/>
        <v>0.3400000001</v>
      </c>
      <c r="G36" s="608"/>
      <c r="H36" s="379"/>
      <c r="I36" s="379"/>
      <c r="J36" s="379"/>
      <c r="K36" s="379"/>
      <c r="L36" s="379"/>
      <c r="M36" s="379"/>
      <c r="N36" s="379"/>
      <c r="O36" s="379"/>
      <c r="P36" s="379"/>
      <c r="Q36" s="379"/>
      <c r="R36" s="379"/>
      <c r="S36" s="379"/>
      <c r="T36" s="379"/>
      <c r="U36" s="379"/>
      <c r="V36" s="379"/>
      <c r="W36" s="379"/>
      <c r="X36" s="379"/>
      <c r="Y36" s="379"/>
      <c r="Z36" s="379"/>
    </row>
    <row r="37" ht="18.0" customHeight="1">
      <c r="A37" s="584" t="s">
        <v>122</v>
      </c>
      <c r="B37" s="598">
        <v>612870.11</v>
      </c>
      <c r="C37" s="599">
        <v>612870.0</v>
      </c>
      <c r="D37" s="599"/>
      <c r="E37" s="599"/>
      <c r="F37" s="583">
        <f t="shared" si="1"/>
        <v>0.11</v>
      </c>
      <c r="G37" s="608"/>
      <c r="H37" s="379"/>
      <c r="I37" s="379"/>
      <c r="J37" s="379"/>
      <c r="K37" s="379"/>
      <c r="L37" s="379"/>
      <c r="M37" s="379"/>
      <c r="N37" s="379"/>
      <c r="O37" s="379"/>
      <c r="P37" s="379"/>
      <c r="Q37" s="379"/>
      <c r="R37" s="379"/>
      <c r="S37" s="379"/>
      <c r="T37" s="379"/>
      <c r="U37" s="379"/>
      <c r="V37" s="379"/>
      <c r="W37" s="379"/>
      <c r="X37" s="379"/>
      <c r="Y37" s="379"/>
      <c r="Z37" s="379"/>
    </row>
    <row r="38" ht="18.0" customHeight="1">
      <c r="A38" s="584" t="s">
        <v>123</v>
      </c>
      <c r="B38" s="598">
        <v>895289.88</v>
      </c>
      <c r="C38" s="599">
        <v>895289.88</v>
      </c>
      <c r="D38" s="599"/>
      <c r="E38" s="599"/>
      <c r="F38" s="583">
        <f t="shared" si="1"/>
        <v>0</v>
      </c>
      <c r="G38" s="608"/>
      <c r="H38" s="379"/>
      <c r="I38" s="379"/>
      <c r="J38" s="379"/>
      <c r="K38" s="379"/>
      <c r="L38" s="379"/>
      <c r="M38" s="379"/>
      <c r="N38" s="379"/>
      <c r="O38" s="379"/>
      <c r="P38" s="379"/>
      <c r="Q38" s="379"/>
      <c r="R38" s="379"/>
      <c r="S38" s="379"/>
      <c r="T38" s="379"/>
      <c r="U38" s="379"/>
      <c r="V38" s="379"/>
      <c r="W38" s="379"/>
      <c r="X38" s="379"/>
      <c r="Y38" s="379"/>
      <c r="Z38" s="379"/>
    </row>
    <row r="39" ht="18.0" customHeight="1">
      <c r="A39" s="584" t="s">
        <v>125</v>
      </c>
      <c r="B39" s="598">
        <v>2305467.49</v>
      </c>
      <c r="C39" s="599">
        <v>0.0</v>
      </c>
      <c r="D39" s="599"/>
      <c r="E39" s="599"/>
      <c r="F39" s="583">
        <f t="shared" si="1"/>
        <v>2305467.49</v>
      </c>
      <c r="G39" s="608"/>
      <c r="H39" s="379"/>
      <c r="I39" s="379"/>
      <c r="J39" s="379"/>
      <c r="K39" s="379"/>
      <c r="L39" s="379"/>
      <c r="M39" s="379"/>
      <c r="N39" s="379"/>
      <c r="O39" s="379"/>
      <c r="P39" s="379"/>
      <c r="Q39" s="379"/>
      <c r="R39" s="379"/>
      <c r="S39" s="379"/>
      <c r="T39" s="379"/>
      <c r="U39" s="379"/>
      <c r="V39" s="379"/>
      <c r="W39" s="379"/>
      <c r="X39" s="379"/>
      <c r="Y39" s="379"/>
      <c r="Z39" s="379"/>
    </row>
    <row r="40" ht="18.0" customHeight="1">
      <c r="A40" s="586" t="s">
        <v>128</v>
      </c>
      <c r="B40" s="598">
        <v>82612.59</v>
      </c>
      <c r="C40" s="598">
        <v>82612.59</v>
      </c>
      <c r="D40" s="599"/>
      <c r="E40" s="599"/>
      <c r="F40" s="583">
        <f t="shared" si="1"/>
        <v>0</v>
      </c>
      <c r="G40" s="608"/>
      <c r="H40" s="379"/>
      <c r="I40" s="379"/>
      <c r="J40" s="379"/>
      <c r="K40" s="379"/>
      <c r="L40" s="379"/>
      <c r="M40" s="379"/>
      <c r="N40" s="379"/>
      <c r="O40" s="379"/>
      <c r="P40" s="379"/>
      <c r="Q40" s="379"/>
      <c r="R40" s="379"/>
      <c r="S40" s="379"/>
      <c r="T40" s="379"/>
      <c r="U40" s="379"/>
      <c r="V40" s="379"/>
      <c r="W40" s="379"/>
      <c r="X40" s="379"/>
      <c r="Y40" s="379"/>
      <c r="Z40" s="379"/>
    </row>
    <row r="41" ht="18.0" customHeight="1">
      <c r="A41" s="584" t="s">
        <v>129</v>
      </c>
      <c r="B41" s="598">
        <v>155619.06</v>
      </c>
      <c r="C41" s="599">
        <v>155619.0</v>
      </c>
      <c r="D41" s="599"/>
      <c r="E41" s="599"/>
      <c r="F41" s="583">
        <f t="shared" si="1"/>
        <v>0.06</v>
      </c>
      <c r="G41" s="608"/>
      <c r="H41" s="379"/>
      <c r="I41" s="379"/>
      <c r="J41" s="379"/>
      <c r="K41" s="379"/>
      <c r="L41" s="379"/>
      <c r="M41" s="379"/>
      <c r="N41" s="379"/>
      <c r="O41" s="379"/>
      <c r="P41" s="379"/>
      <c r="Q41" s="379"/>
      <c r="R41" s="379"/>
      <c r="S41" s="379"/>
      <c r="T41" s="379"/>
      <c r="U41" s="379"/>
      <c r="V41" s="379"/>
      <c r="W41" s="379"/>
      <c r="X41" s="379"/>
      <c r="Y41" s="379"/>
      <c r="Z41" s="379"/>
    </row>
    <row r="42" ht="18.0" customHeight="1">
      <c r="A42" s="584" t="s">
        <v>131</v>
      </c>
      <c r="B42" s="598">
        <v>4877984.97</v>
      </c>
      <c r="C42" s="599">
        <f>3902388+975597-795841+26841</f>
        <v>4108985</v>
      </c>
      <c r="D42" s="599">
        <f>795841-26841</f>
        <v>769000</v>
      </c>
      <c r="E42" s="599"/>
      <c r="F42" s="583">
        <f t="shared" si="1"/>
        <v>-0.03000000026</v>
      </c>
      <c r="G42" s="608"/>
      <c r="H42" s="379"/>
      <c r="I42" s="379"/>
      <c r="J42" s="379"/>
      <c r="K42" s="379"/>
      <c r="L42" s="379"/>
      <c r="M42" s="379"/>
      <c r="N42" s="379"/>
      <c r="O42" s="379"/>
      <c r="P42" s="379"/>
      <c r="Q42" s="379"/>
      <c r="R42" s="379"/>
      <c r="S42" s="379"/>
      <c r="T42" s="379"/>
      <c r="U42" s="379"/>
      <c r="V42" s="379"/>
      <c r="W42" s="379"/>
      <c r="X42" s="379"/>
      <c r="Y42" s="379"/>
      <c r="Z42" s="379"/>
    </row>
    <row r="43" ht="18.0" customHeight="1">
      <c r="A43" s="584" t="s">
        <v>156</v>
      </c>
      <c r="B43" s="598">
        <v>1988466.0</v>
      </c>
      <c r="C43" s="599">
        <f>1590767.76+45966</f>
        <v>1636733.76</v>
      </c>
      <c r="D43" s="599">
        <f>26553+234362+42000-45966-1429</f>
        <v>255520</v>
      </c>
      <c r="E43" s="599"/>
      <c r="F43" s="583">
        <f t="shared" si="1"/>
        <v>96212.24</v>
      </c>
      <c r="G43" s="608"/>
      <c r="H43" s="379"/>
      <c r="I43" s="379"/>
      <c r="J43" s="379"/>
      <c r="K43" s="379"/>
      <c r="L43" s="379"/>
      <c r="M43" s="379"/>
      <c r="N43" s="379"/>
      <c r="O43" s="379"/>
      <c r="P43" s="379"/>
      <c r="Q43" s="379"/>
      <c r="R43" s="379"/>
      <c r="S43" s="379"/>
      <c r="T43" s="379"/>
      <c r="U43" s="379"/>
      <c r="V43" s="379"/>
      <c r="W43" s="379"/>
      <c r="X43" s="379"/>
      <c r="Y43" s="379"/>
      <c r="Z43" s="379"/>
    </row>
    <row r="44" ht="18.0" customHeight="1">
      <c r="A44" s="584" t="s">
        <v>133</v>
      </c>
      <c r="B44" s="598">
        <v>2447637.99</v>
      </c>
      <c r="C44" s="599">
        <f>364691.18+1718255.63-18888.12-305349</f>
        <v>1758709.69</v>
      </c>
      <c r="D44" s="599">
        <f>398913+290015</f>
        <v>688928</v>
      </c>
      <c r="E44" s="599"/>
      <c r="F44" s="583">
        <f t="shared" si="1"/>
        <v>0.3000000005</v>
      </c>
      <c r="G44" s="608"/>
      <c r="H44" s="379"/>
      <c r="I44" s="379"/>
      <c r="J44" s="379"/>
      <c r="K44" s="379"/>
      <c r="L44" s="379"/>
      <c r="M44" s="379"/>
      <c r="N44" s="379"/>
      <c r="O44" s="379"/>
      <c r="P44" s="379"/>
      <c r="Q44" s="379"/>
      <c r="R44" s="379"/>
      <c r="S44" s="379"/>
      <c r="T44" s="379"/>
      <c r="U44" s="379"/>
      <c r="V44" s="379"/>
      <c r="W44" s="379"/>
      <c r="X44" s="379"/>
      <c r="Y44" s="379"/>
      <c r="Z44" s="379"/>
    </row>
    <row r="45" ht="18.0" customHeight="1">
      <c r="A45" s="584" t="s">
        <v>134</v>
      </c>
      <c r="B45" s="598">
        <v>1921.22</v>
      </c>
      <c r="C45" s="599">
        <v>0.0</v>
      </c>
      <c r="D45" s="599"/>
      <c r="E45" s="599"/>
      <c r="F45" s="583">
        <f t="shared" si="1"/>
        <v>1921.22</v>
      </c>
      <c r="G45" s="608"/>
      <c r="H45" s="379"/>
      <c r="I45" s="379"/>
      <c r="J45" s="379"/>
      <c r="K45" s="379"/>
      <c r="L45" s="379"/>
      <c r="M45" s="379"/>
      <c r="N45" s="379"/>
      <c r="O45" s="379"/>
      <c r="P45" s="379"/>
      <c r="Q45" s="379"/>
      <c r="R45" s="379"/>
      <c r="S45" s="379"/>
      <c r="T45" s="379"/>
      <c r="U45" s="379"/>
      <c r="V45" s="379"/>
      <c r="W45" s="379"/>
      <c r="X45" s="379"/>
      <c r="Y45" s="379"/>
      <c r="Z45" s="379"/>
    </row>
    <row r="46" ht="18.0" customHeight="1">
      <c r="A46" s="584" t="s">
        <v>230</v>
      </c>
      <c r="B46" s="598">
        <v>5763.67</v>
      </c>
      <c r="C46" s="598">
        <f>5763.67</f>
        <v>5763.67</v>
      </c>
      <c r="D46" s="599"/>
      <c r="E46" s="599"/>
      <c r="F46" s="583">
        <f t="shared" si="1"/>
        <v>0</v>
      </c>
      <c r="G46" s="608"/>
      <c r="H46" s="379"/>
      <c r="I46" s="379"/>
      <c r="J46" s="379"/>
      <c r="K46" s="379"/>
      <c r="L46" s="379"/>
      <c r="M46" s="379"/>
      <c r="N46" s="379"/>
      <c r="O46" s="379"/>
      <c r="P46" s="379"/>
      <c r="Q46" s="379"/>
      <c r="R46" s="379"/>
      <c r="S46" s="379"/>
      <c r="T46" s="379"/>
      <c r="U46" s="379"/>
      <c r="V46" s="379"/>
      <c r="W46" s="379"/>
      <c r="X46" s="379"/>
      <c r="Y46" s="379"/>
      <c r="Z46" s="379"/>
    </row>
    <row r="47" ht="18.0" customHeight="1">
      <c r="A47" s="584" t="s">
        <v>136</v>
      </c>
      <c r="B47" s="598">
        <v>101824.81</v>
      </c>
      <c r="C47" s="599">
        <v>0.0</v>
      </c>
      <c r="D47" s="599"/>
      <c r="E47" s="599"/>
      <c r="F47" s="583">
        <f t="shared" si="1"/>
        <v>101824.81</v>
      </c>
      <c r="G47" s="608"/>
      <c r="H47" s="379"/>
      <c r="I47" s="379"/>
      <c r="J47" s="379"/>
      <c r="K47" s="379"/>
      <c r="L47" s="379"/>
      <c r="M47" s="379"/>
      <c r="N47" s="379"/>
      <c r="O47" s="379"/>
      <c r="P47" s="379"/>
      <c r="Q47" s="379"/>
      <c r="R47" s="379"/>
      <c r="S47" s="379"/>
      <c r="T47" s="379"/>
      <c r="U47" s="379"/>
      <c r="V47" s="379"/>
      <c r="W47" s="379"/>
      <c r="X47" s="379"/>
      <c r="Y47" s="379"/>
      <c r="Z47" s="379"/>
    </row>
    <row r="48" ht="18.0" customHeight="1">
      <c r="A48" s="584" t="s">
        <v>138</v>
      </c>
      <c r="B48" s="598">
        <v>1.071850263E7</v>
      </c>
      <c r="C48" s="598">
        <v>1.071850263E7</v>
      </c>
      <c r="D48" s="599"/>
      <c r="E48" s="598">
        <f>10718502.63-1786417.11-5359251.32-3572834.2</f>
        <v>0.0000000009313225746</v>
      </c>
      <c r="F48" s="583">
        <f t="shared" si="1"/>
        <v>-0.0000000009313225746</v>
      </c>
      <c r="G48" s="608"/>
      <c r="H48" s="379"/>
      <c r="I48" s="379"/>
      <c r="J48" s="379"/>
      <c r="K48" s="379"/>
      <c r="L48" s="379"/>
      <c r="M48" s="379"/>
      <c r="N48" s="379"/>
      <c r="O48" s="379"/>
      <c r="P48" s="379"/>
      <c r="Q48" s="379"/>
      <c r="R48" s="379"/>
      <c r="S48" s="379"/>
      <c r="T48" s="379"/>
      <c r="U48" s="379"/>
      <c r="V48" s="379"/>
      <c r="W48" s="379"/>
      <c r="X48" s="379"/>
      <c r="Y48" s="379"/>
      <c r="Z48" s="379"/>
    </row>
    <row r="49" ht="18.0" customHeight="1">
      <c r="A49" s="584" t="s">
        <v>139</v>
      </c>
      <c r="B49" s="598">
        <v>3.476E7</v>
      </c>
      <c r="C49" s="599">
        <f>1877367+18000000+2000000+1070895+357038+2000000+2000000+2079700</f>
        <v>29385000</v>
      </c>
      <c r="D49" s="599">
        <f>5375000</f>
        <v>5375000</v>
      </c>
      <c r="E49" s="599">
        <f>4920000-2000000+3159700-2000000-2000000-2079700</f>
        <v>0</v>
      </c>
      <c r="F49" s="583">
        <f t="shared" si="1"/>
        <v>0</v>
      </c>
      <c r="G49" s="608"/>
      <c r="H49" s="379"/>
      <c r="I49" s="379"/>
      <c r="J49" s="379"/>
      <c r="K49" s="379"/>
      <c r="L49" s="379"/>
      <c r="M49" s="379"/>
      <c r="N49" s="379"/>
      <c r="O49" s="379"/>
      <c r="P49" s="379"/>
      <c r="Q49" s="379"/>
      <c r="R49" s="379"/>
      <c r="S49" s="379"/>
      <c r="T49" s="379"/>
      <c r="U49" s="379"/>
      <c r="V49" s="379"/>
      <c r="W49" s="379"/>
      <c r="X49" s="379"/>
      <c r="Y49" s="379"/>
      <c r="Z49" s="379"/>
    </row>
    <row r="50" ht="18.0" customHeight="1">
      <c r="A50" s="587" t="s">
        <v>140</v>
      </c>
      <c r="B50" s="598">
        <v>21133.45</v>
      </c>
      <c r="C50" s="602">
        <v>0.0</v>
      </c>
      <c r="D50" s="603"/>
      <c r="E50" s="604"/>
      <c r="F50" s="583">
        <f t="shared" si="1"/>
        <v>21133.45</v>
      </c>
      <c r="G50" s="608"/>
      <c r="H50" s="379"/>
      <c r="I50" s="379"/>
      <c r="J50" s="379"/>
      <c r="K50" s="379"/>
      <c r="L50" s="379"/>
      <c r="M50" s="379"/>
      <c r="N50" s="379"/>
      <c r="O50" s="379"/>
      <c r="P50" s="379"/>
      <c r="Q50" s="379"/>
      <c r="R50" s="379"/>
      <c r="S50" s="379"/>
      <c r="T50" s="379"/>
      <c r="U50" s="379"/>
      <c r="V50" s="379"/>
      <c r="W50" s="379"/>
      <c r="X50" s="379"/>
      <c r="Y50" s="379"/>
      <c r="Z50" s="379"/>
    </row>
    <row r="51" ht="18.0" customHeight="1">
      <c r="A51" s="588" t="s">
        <v>143</v>
      </c>
      <c r="B51" s="589">
        <f t="shared" ref="B51:F51" si="2">SUM(B8:B50)</f>
        <v>158000000.3</v>
      </c>
      <c r="C51" s="590">
        <f t="shared" si="2"/>
        <v>139723856.2</v>
      </c>
      <c r="D51" s="591">
        <f t="shared" si="2"/>
        <v>18781887.74</v>
      </c>
      <c r="E51" s="592">
        <f t="shared" si="2"/>
        <v>-0.0000000004656612873</v>
      </c>
      <c r="F51" s="592">
        <f t="shared" si="2"/>
        <v>-505743.5984</v>
      </c>
      <c r="G51" s="608"/>
      <c r="H51" s="379"/>
      <c r="I51" s="379"/>
      <c r="J51" s="379"/>
      <c r="K51" s="379"/>
      <c r="L51" s="379"/>
      <c r="M51" s="379"/>
      <c r="N51" s="379"/>
      <c r="O51" s="379"/>
      <c r="P51" s="379"/>
      <c r="Q51" s="379"/>
      <c r="R51" s="379"/>
      <c r="S51" s="379"/>
      <c r="T51" s="379"/>
      <c r="U51" s="379"/>
      <c r="V51" s="379"/>
      <c r="W51" s="379"/>
      <c r="X51" s="379"/>
      <c r="Y51" s="379"/>
      <c r="Z51" s="379"/>
    </row>
    <row r="52" ht="18.0" customHeight="1">
      <c r="A52" s="452" t="s">
        <v>236</v>
      </c>
      <c r="B52" s="336"/>
      <c r="C52" s="336"/>
      <c r="D52" s="336"/>
      <c r="E52" s="336"/>
      <c r="F52" s="336"/>
      <c r="G52" s="608"/>
      <c r="H52" s="379"/>
      <c r="I52" s="379"/>
      <c r="J52" s="379"/>
      <c r="K52" s="379"/>
      <c r="L52" s="379"/>
      <c r="M52" s="379"/>
      <c r="N52" s="379"/>
      <c r="O52" s="379"/>
      <c r="P52" s="379"/>
      <c r="Q52" s="379"/>
      <c r="R52" s="379"/>
      <c r="S52" s="379"/>
      <c r="T52" s="379"/>
      <c r="U52" s="379"/>
      <c r="V52" s="379"/>
      <c r="W52" s="379"/>
      <c r="X52" s="379"/>
      <c r="Y52" s="379"/>
      <c r="Z52" s="379"/>
    </row>
    <row r="53" ht="14.25" customHeight="1">
      <c r="A53" s="452"/>
      <c r="B53" s="336"/>
      <c r="C53" s="336"/>
      <c r="D53" s="336"/>
      <c r="E53" s="336"/>
      <c r="F53" s="336"/>
      <c r="G53" s="608"/>
      <c r="H53" s="379"/>
      <c r="I53" s="379"/>
      <c r="J53" s="379"/>
      <c r="K53" s="379"/>
      <c r="L53" s="379"/>
      <c r="M53" s="379"/>
      <c r="N53" s="379"/>
      <c r="O53" s="379"/>
      <c r="P53" s="379"/>
      <c r="Q53" s="379"/>
      <c r="R53" s="379"/>
      <c r="S53" s="379"/>
      <c r="T53" s="379"/>
      <c r="U53" s="379"/>
      <c r="V53" s="379"/>
      <c r="W53" s="379"/>
      <c r="X53" s="379"/>
      <c r="Y53" s="379"/>
      <c r="Z53" s="379"/>
    </row>
    <row r="54" ht="14.25" customHeight="1">
      <c r="A54" s="452"/>
      <c r="B54" s="336"/>
      <c r="C54" s="336"/>
      <c r="D54" s="336"/>
      <c r="E54" s="336"/>
      <c r="F54" s="336"/>
      <c r="G54" s="608"/>
      <c r="H54" s="379"/>
      <c r="I54" s="379"/>
      <c r="J54" s="379"/>
      <c r="K54" s="379"/>
      <c r="L54" s="379"/>
      <c r="M54" s="379"/>
      <c r="N54" s="379"/>
      <c r="O54" s="379"/>
      <c r="P54" s="379"/>
      <c r="Q54" s="379"/>
      <c r="R54" s="379"/>
      <c r="S54" s="379"/>
      <c r="T54" s="379"/>
      <c r="U54" s="379"/>
      <c r="V54" s="379"/>
      <c r="W54" s="379"/>
      <c r="X54" s="379"/>
      <c r="Y54" s="379"/>
      <c r="Z54" s="379"/>
    </row>
    <row r="55" ht="14.25" customHeight="1">
      <c r="A55" s="379"/>
      <c r="B55" s="379"/>
      <c r="C55" s="379"/>
      <c r="D55" s="379"/>
      <c r="E55" s="379"/>
      <c r="F55" s="379"/>
      <c r="G55" s="379"/>
      <c r="H55" s="379"/>
      <c r="I55" s="379"/>
      <c r="J55" s="379"/>
      <c r="K55" s="379"/>
      <c r="L55" s="379"/>
      <c r="M55" s="379"/>
      <c r="N55" s="379"/>
      <c r="O55" s="379"/>
      <c r="P55" s="379"/>
      <c r="Q55" s="379"/>
      <c r="R55" s="379"/>
      <c r="S55" s="379"/>
      <c r="T55" s="379"/>
      <c r="U55" s="379"/>
      <c r="V55" s="379"/>
      <c r="W55" s="379"/>
      <c r="X55" s="379"/>
      <c r="Y55" s="379"/>
      <c r="Z55" s="379"/>
    </row>
    <row r="56" ht="14.25" customHeight="1">
      <c r="A56" s="336"/>
      <c r="B56" s="336"/>
      <c r="C56" s="336"/>
      <c r="D56" s="336"/>
      <c r="E56" s="336"/>
      <c r="F56" s="336"/>
      <c r="G56" s="608"/>
      <c r="H56" s="379"/>
      <c r="I56" s="379"/>
      <c r="J56" s="379"/>
      <c r="K56" s="379"/>
      <c r="L56" s="379"/>
      <c r="M56" s="379"/>
      <c r="N56" s="379"/>
      <c r="O56" s="379"/>
      <c r="P56" s="379"/>
      <c r="Q56" s="379"/>
      <c r="R56" s="379"/>
      <c r="S56" s="379"/>
      <c r="T56" s="379"/>
      <c r="U56" s="379"/>
      <c r="V56" s="379"/>
      <c r="W56" s="379"/>
      <c r="X56" s="379"/>
      <c r="Y56" s="379"/>
      <c r="Z56" s="379"/>
    </row>
    <row r="57" ht="14.25" customHeight="1">
      <c r="A57" s="337" t="s">
        <v>159</v>
      </c>
      <c r="B57" s="414">
        <f t="shared" ref="B57:E57" si="3">B10+B11+B13+B15+B17+B22+B29+B31+B37+B39+B40+B41+B45+B46+B47+B50</f>
        <v>3990379.992</v>
      </c>
      <c r="C57" s="414">
        <f t="shared" si="3"/>
        <v>1483183.13</v>
      </c>
      <c r="D57" s="414">
        <f t="shared" si="3"/>
        <v>0</v>
      </c>
      <c r="E57" s="414">
        <f t="shared" si="3"/>
        <v>0</v>
      </c>
      <c r="F57" s="415">
        <f>B57-C57-D57-E57</f>
        <v>2507196.862</v>
      </c>
      <c r="G57" s="608"/>
      <c r="H57" s="379"/>
      <c r="I57" s="379"/>
      <c r="J57" s="379"/>
      <c r="K57" s="379"/>
      <c r="L57" s="379"/>
      <c r="M57" s="379"/>
      <c r="N57" s="379"/>
      <c r="O57" s="379"/>
      <c r="P57" s="379"/>
      <c r="Q57" s="379"/>
      <c r="R57" s="379"/>
      <c r="S57" s="379"/>
      <c r="T57" s="379"/>
      <c r="U57" s="379"/>
      <c r="V57" s="379"/>
      <c r="W57" s="379"/>
      <c r="X57" s="379"/>
      <c r="Y57" s="379"/>
      <c r="Z57" s="379"/>
    </row>
    <row r="58" ht="14.25" customHeight="1">
      <c r="A58" s="379"/>
      <c r="B58" s="379"/>
      <c r="C58" s="379"/>
      <c r="D58" s="379"/>
      <c r="E58" s="379"/>
      <c r="F58" s="379"/>
      <c r="G58" s="608"/>
      <c r="H58" s="379"/>
      <c r="I58" s="379"/>
      <c r="J58" s="379"/>
      <c r="K58" s="379"/>
      <c r="L58" s="379"/>
      <c r="M58" s="379"/>
      <c r="N58" s="379"/>
      <c r="O58" s="379"/>
      <c r="P58" s="379"/>
      <c r="Q58" s="379"/>
      <c r="R58" s="379"/>
      <c r="S58" s="379"/>
      <c r="T58" s="379"/>
      <c r="U58" s="379"/>
      <c r="V58" s="379"/>
      <c r="W58" s="379"/>
      <c r="X58" s="379"/>
      <c r="Y58" s="379"/>
      <c r="Z58" s="379"/>
    </row>
    <row r="59" ht="12.75" customHeight="1">
      <c r="A59" s="593"/>
      <c r="B59" s="379"/>
      <c r="C59" s="379"/>
      <c r="D59" s="379"/>
      <c r="E59" s="379"/>
      <c r="F59" s="379"/>
      <c r="G59" s="379"/>
      <c r="H59" s="379"/>
      <c r="I59" s="379"/>
      <c r="J59" s="379"/>
      <c r="K59" s="379"/>
      <c r="L59" s="379"/>
      <c r="M59" s="379"/>
      <c r="N59" s="379"/>
      <c r="O59" s="379"/>
      <c r="P59" s="379"/>
      <c r="Q59" s="379"/>
      <c r="R59" s="379"/>
      <c r="S59" s="379"/>
      <c r="T59" s="379"/>
      <c r="U59" s="379"/>
      <c r="V59" s="379"/>
      <c r="W59" s="379"/>
      <c r="X59" s="379"/>
      <c r="Y59" s="379"/>
      <c r="Z59" s="379"/>
    </row>
    <row r="60" ht="12.75" customHeight="1">
      <c r="A60" s="379"/>
      <c r="B60" s="379"/>
      <c r="C60" s="379"/>
      <c r="D60" s="379"/>
      <c r="E60" s="379"/>
      <c r="F60" s="379"/>
      <c r="G60" s="379"/>
      <c r="H60" s="379"/>
      <c r="I60" s="379"/>
      <c r="J60" s="379"/>
      <c r="K60" s="379"/>
      <c r="L60" s="379"/>
      <c r="M60" s="379"/>
      <c r="N60" s="379"/>
      <c r="O60" s="379"/>
      <c r="P60" s="379"/>
      <c r="Q60" s="379"/>
      <c r="R60" s="379"/>
      <c r="S60" s="379"/>
      <c r="T60" s="379"/>
      <c r="U60" s="379"/>
      <c r="V60" s="379"/>
      <c r="W60" s="379"/>
      <c r="X60" s="379"/>
      <c r="Y60" s="379"/>
      <c r="Z60" s="379"/>
    </row>
    <row r="61" ht="12.75" customHeight="1">
      <c r="A61" s="379"/>
      <c r="B61" s="379"/>
      <c r="C61" s="379"/>
      <c r="D61" s="379"/>
      <c r="E61" s="379"/>
      <c r="F61" s="379"/>
      <c r="G61" s="379"/>
      <c r="H61" s="379"/>
      <c r="I61" s="379"/>
      <c r="J61" s="379"/>
      <c r="K61" s="379"/>
      <c r="L61" s="379"/>
      <c r="M61" s="379"/>
      <c r="N61" s="379"/>
      <c r="O61" s="379"/>
      <c r="P61" s="379"/>
      <c r="Q61" s="379"/>
      <c r="R61" s="379"/>
      <c r="S61" s="379"/>
      <c r="T61" s="379"/>
      <c r="U61" s="379"/>
      <c r="V61" s="379"/>
      <c r="W61" s="379"/>
      <c r="X61" s="379"/>
      <c r="Y61" s="379"/>
      <c r="Z61" s="379"/>
    </row>
    <row r="62" ht="12.75" customHeight="1">
      <c r="A62" s="379"/>
      <c r="B62" s="379"/>
      <c r="C62" s="379"/>
      <c r="D62" s="379"/>
      <c r="E62" s="379"/>
      <c r="F62" s="379"/>
      <c r="G62" s="379"/>
      <c r="H62" s="379"/>
      <c r="I62" s="379"/>
      <c r="J62" s="379"/>
      <c r="K62" s="379"/>
      <c r="L62" s="379"/>
      <c r="M62" s="379"/>
      <c r="N62" s="379"/>
      <c r="O62" s="379"/>
      <c r="P62" s="379"/>
      <c r="Q62" s="379"/>
      <c r="R62" s="379"/>
      <c r="S62" s="379"/>
      <c r="T62" s="379"/>
      <c r="U62" s="379"/>
      <c r="V62" s="379"/>
      <c r="W62" s="379"/>
      <c r="X62" s="379"/>
      <c r="Y62" s="379"/>
      <c r="Z62" s="379"/>
    </row>
    <row r="63" ht="12.75" customHeight="1">
      <c r="A63" s="379"/>
      <c r="B63" s="379"/>
      <c r="C63" s="379"/>
      <c r="D63" s="379"/>
      <c r="E63" s="379"/>
      <c r="F63" s="379"/>
      <c r="G63" s="379"/>
      <c r="H63" s="379"/>
      <c r="I63" s="379"/>
      <c r="J63" s="379"/>
      <c r="K63" s="379"/>
      <c r="L63" s="379"/>
      <c r="M63" s="379"/>
      <c r="N63" s="379"/>
      <c r="O63" s="379"/>
      <c r="P63" s="379"/>
      <c r="Q63" s="379"/>
      <c r="R63" s="379"/>
      <c r="S63" s="379"/>
      <c r="T63" s="379"/>
      <c r="U63" s="379"/>
      <c r="V63" s="379"/>
      <c r="W63" s="379"/>
      <c r="X63" s="379"/>
      <c r="Y63" s="379"/>
      <c r="Z63" s="379"/>
    </row>
    <row r="64" ht="12.75" customHeight="1">
      <c r="A64" s="379"/>
      <c r="B64" s="379"/>
      <c r="C64" s="379"/>
      <c r="D64" s="379"/>
      <c r="E64" s="379"/>
      <c r="F64" s="379"/>
      <c r="G64" s="379"/>
      <c r="H64" s="379"/>
      <c r="I64" s="379"/>
      <c r="J64" s="379"/>
      <c r="K64" s="379"/>
      <c r="L64" s="379"/>
      <c r="M64" s="379"/>
      <c r="N64" s="379"/>
      <c r="O64" s="379"/>
      <c r="P64" s="379"/>
      <c r="Q64" s="379"/>
      <c r="R64" s="379"/>
      <c r="S64" s="379"/>
      <c r="T64" s="379"/>
      <c r="U64" s="379"/>
      <c r="V64" s="379"/>
      <c r="W64" s="379"/>
      <c r="X64" s="379"/>
      <c r="Y64" s="379"/>
      <c r="Z64" s="379"/>
    </row>
    <row r="65" ht="12.75" customHeight="1">
      <c r="A65" s="379"/>
      <c r="B65" s="379"/>
      <c r="C65" s="379"/>
      <c r="D65" s="379"/>
      <c r="E65" s="379"/>
      <c r="F65" s="379"/>
      <c r="G65" s="379"/>
      <c r="H65" s="379"/>
      <c r="I65" s="379"/>
      <c r="J65" s="379"/>
      <c r="K65" s="379"/>
      <c r="L65" s="379"/>
      <c r="M65" s="379"/>
      <c r="N65" s="379"/>
      <c r="O65" s="379"/>
      <c r="P65" s="379"/>
      <c r="Q65" s="379"/>
      <c r="R65" s="379"/>
      <c r="S65" s="379"/>
      <c r="T65" s="379"/>
      <c r="U65" s="379"/>
      <c r="V65" s="379"/>
      <c r="W65" s="379"/>
      <c r="X65" s="379"/>
      <c r="Y65" s="379"/>
      <c r="Z65" s="379"/>
    </row>
    <row r="66" ht="12.75" customHeight="1">
      <c r="A66" s="379"/>
      <c r="B66" s="379"/>
      <c r="C66" s="379"/>
      <c r="D66" s="379"/>
      <c r="E66" s="379"/>
      <c r="F66" s="379"/>
      <c r="G66" s="379"/>
      <c r="H66" s="379"/>
      <c r="I66" s="379"/>
      <c r="J66" s="379"/>
      <c r="K66" s="379"/>
      <c r="L66" s="379"/>
      <c r="M66" s="379"/>
      <c r="N66" s="379"/>
      <c r="O66" s="379"/>
      <c r="P66" s="379"/>
      <c r="Q66" s="379"/>
      <c r="R66" s="379"/>
      <c r="S66" s="379"/>
      <c r="T66" s="379"/>
      <c r="U66" s="379"/>
      <c r="V66" s="379"/>
      <c r="W66" s="379"/>
      <c r="X66" s="379"/>
      <c r="Y66" s="379"/>
      <c r="Z66" s="379"/>
    </row>
    <row r="67" ht="12.75" customHeight="1">
      <c r="A67" s="379"/>
      <c r="B67" s="379"/>
      <c r="C67" s="379"/>
      <c r="D67" s="379"/>
      <c r="E67" s="379"/>
      <c r="F67" s="379"/>
      <c r="G67" s="379"/>
      <c r="H67" s="379"/>
      <c r="I67" s="379"/>
      <c r="J67" s="379"/>
      <c r="K67" s="379"/>
      <c r="L67" s="379"/>
      <c r="M67" s="379"/>
      <c r="N67" s="379"/>
      <c r="O67" s="379"/>
      <c r="P67" s="379"/>
      <c r="Q67" s="379"/>
      <c r="R67" s="379"/>
      <c r="S67" s="379"/>
      <c r="T67" s="379"/>
      <c r="U67" s="379"/>
      <c r="V67" s="379"/>
      <c r="W67" s="379"/>
      <c r="X67" s="379"/>
      <c r="Y67" s="379"/>
      <c r="Z67" s="379"/>
    </row>
    <row r="68" ht="12.75" customHeight="1">
      <c r="A68" s="379"/>
      <c r="B68" s="379"/>
      <c r="C68" s="379"/>
      <c r="D68" s="379"/>
      <c r="E68" s="379"/>
      <c r="F68" s="379"/>
      <c r="G68" s="379"/>
      <c r="H68" s="379"/>
      <c r="I68" s="379"/>
      <c r="J68" s="379"/>
      <c r="K68" s="379"/>
      <c r="L68" s="379"/>
      <c r="M68" s="379"/>
      <c r="N68" s="379"/>
      <c r="O68" s="379"/>
      <c r="P68" s="379"/>
      <c r="Q68" s="379"/>
      <c r="R68" s="379"/>
      <c r="S68" s="379"/>
      <c r="T68" s="379"/>
      <c r="U68" s="379"/>
      <c r="V68" s="379"/>
      <c r="W68" s="379"/>
      <c r="X68" s="379"/>
      <c r="Y68" s="379"/>
      <c r="Z68" s="379"/>
    </row>
    <row r="69" ht="12.75" customHeight="1">
      <c r="A69" s="379"/>
      <c r="B69" s="379"/>
      <c r="C69" s="379"/>
      <c r="D69" s="379"/>
      <c r="E69" s="379"/>
      <c r="F69" s="379"/>
      <c r="G69" s="379"/>
      <c r="H69" s="379"/>
      <c r="I69" s="379"/>
      <c r="J69" s="379"/>
      <c r="K69" s="379"/>
      <c r="L69" s="379"/>
      <c r="M69" s="379"/>
      <c r="N69" s="379"/>
      <c r="O69" s="379"/>
      <c r="P69" s="379"/>
      <c r="Q69" s="379"/>
      <c r="R69" s="379"/>
      <c r="S69" s="379"/>
      <c r="T69" s="379"/>
      <c r="U69" s="379"/>
      <c r="V69" s="379"/>
      <c r="W69" s="379"/>
      <c r="X69" s="379"/>
      <c r="Y69" s="379"/>
      <c r="Z69" s="379"/>
    </row>
    <row r="70" ht="12.75" customHeight="1">
      <c r="A70" s="379"/>
      <c r="B70" s="379"/>
      <c r="C70" s="379"/>
      <c r="D70" s="379"/>
      <c r="E70" s="379"/>
      <c r="F70" s="379"/>
      <c r="G70" s="379"/>
      <c r="H70" s="379"/>
      <c r="I70" s="379"/>
      <c r="J70" s="379"/>
      <c r="K70" s="379"/>
      <c r="L70" s="379"/>
      <c r="M70" s="379"/>
      <c r="N70" s="379"/>
      <c r="O70" s="379"/>
      <c r="P70" s="379"/>
      <c r="Q70" s="379"/>
      <c r="R70" s="379"/>
      <c r="S70" s="379"/>
      <c r="T70" s="379"/>
      <c r="U70" s="379"/>
      <c r="V70" s="379"/>
      <c r="W70" s="379"/>
      <c r="X70" s="379"/>
      <c r="Y70" s="379"/>
      <c r="Z70" s="379"/>
    </row>
    <row r="71" ht="12.75" customHeight="1">
      <c r="A71" s="379"/>
      <c r="B71" s="379"/>
      <c r="C71" s="379"/>
      <c r="D71" s="379"/>
      <c r="E71" s="379"/>
      <c r="F71" s="379"/>
      <c r="G71" s="379"/>
      <c r="H71" s="379"/>
      <c r="I71" s="379"/>
      <c r="J71" s="379"/>
      <c r="K71" s="379"/>
      <c r="L71" s="379"/>
      <c r="M71" s="379"/>
      <c r="N71" s="379"/>
      <c r="O71" s="379"/>
      <c r="P71" s="379"/>
      <c r="Q71" s="379"/>
      <c r="R71" s="379"/>
      <c r="S71" s="379"/>
      <c r="T71" s="379"/>
      <c r="U71" s="379"/>
      <c r="V71" s="379"/>
      <c r="W71" s="379"/>
      <c r="X71" s="379"/>
      <c r="Y71" s="379"/>
      <c r="Z71" s="379"/>
    </row>
    <row r="72" ht="12.75" customHeight="1">
      <c r="A72" s="379"/>
      <c r="B72" s="379"/>
      <c r="C72" s="379"/>
      <c r="D72" s="379"/>
      <c r="E72" s="379"/>
      <c r="F72" s="379"/>
      <c r="G72" s="379"/>
      <c r="H72" s="379"/>
      <c r="I72" s="379"/>
      <c r="J72" s="379"/>
      <c r="K72" s="379"/>
      <c r="L72" s="379"/>
      <c r="M72" s="379"/>
      <c r="N72" s="379"/>
      <c r="O72" s="379"/>
      <c r="P72" s="379"/>
      <c r="Q72" s="379"/>
      <c r="R72" s="379"/>
      <c r="S72" s="379"/>
      <c r="T72" s="379"/>
      <c r="U72" s="379"/>
      <c r="V72" s="379"/>
      <c r="W72" s="379"/>
      <c r="X72" s="379"/>
      <c r="Y72" s="379"/>
      <c r="Z72" s="379"/>
    </row>
    <row r="73" ht="12.75" customHeight="1">
      <c r="A73" s="379"/>
      <c r="B73" s="379"/>
      <c r="C73" s="379"/>
      <c r="D73" s="379"/>
      <c r="E73" s="379"/>
      <c r="F73" s="379"/>
      <c r="G73" s="379"/>
      <c r="H73" s="379"/>
      <c r="I73" s="379"/>
      <c r="J73" s="379"/>
      <c r="K73" s="379"/>
      <c r="L73" s="379"/>
      <c r="M73" s="379"/>
      <c r="N73" s="379"/>
      <c r="O73" s="379"/>
      <c r="P73" s="379"/>
      <c r="Q73" s="379"/>
      <c r="R73" s="379"/>
      <c r="S73" s="379"/>
      <c r="T73" s="379"/>
      <c r="U73" s="379"/>
      <c r="V73" s="379"/>
      <c r="W73" s="379"/>
      <c r="X73" s="379"/>
      <c r="Y73" s="379"/>
      <c r="Z73" s="379"/>
    </row>
    <row r="74" ht="12.75" customHeight="1">
      <c r="A74" s="379"/>
      <c r="B74" s="379"/>
      <c r="C74" s="379"/>
      <c r="D74" s="379"/>
      <c r="E74" s="379"/>
      <c r="F74" s="379"/>
      <c r="G74" s="379"/>
      <c r="H74" s="379"/>
      <c r="I74" s="379"/>
      <c r="J74" s="379"/>
      <c r="K74" s="379"/>
      <c r="L74" s="379"/>
      <c r="M74" s="379"/>
      <c r="N74" s="379"/>
      <c r="O74" s="379"/>
      <c r="P74" s="379"/>
      <c r="Q74" s="379"/>
      <c r="R74" s="379"/>
      <c r="S74" s="379"/>
      <c r="T74" s="379"/>
      <c r="U74" s="379"/>
      <c r="V74" s="379"/>
      <c r="W74" s="379"/>
      <c r="X74" s="379"/>
      <c r="Y74" s="379"/>
      <c r="Z74" s="379"/>
    </row>
    <row r="75" ht="12.75" customHeight="1">
      <c r="A75" s="379"/>
      <c r="B75" s="379"/>
      <c r="C75" s="379"/>
      <c r="D75" s="379"/>
      <c r="E75" s="379"/>
      <c r="F75" s="379"/>
      <c r="G75" s="379"/>
      <c r="H75" s="379"/>
      <c r="I75" s="379"/>
      <c r="J75" s="379"/>
      <c r="K75" s="379"/>
      <c r="L75" s="379"/>
      <c r="M75" s="379"/>
      <c r="N75" s="379"/>
      <c r="O75" s="379"/>
      <c r="P75" s="379"/>
      <c r="Q75" s="379"/>
      <c r="R75" s="379"/>
      <c r="S75" s="379"/>
      <c r="T75" s="379"/>
      <c r="U75" s="379"/>
      <c r="V75" s="379"/>
      <c r="W75" s="379"/>
      <c r="X75" s="379"/>
      <c r="Y75" s="379"/>
      <c r="Z75" s="379"/>
    </row>
    <row r="76" ht="12.75" customHeight="1">
      <c r="A76" s="379"/>
      <c r="B76" s="379"/>
      <c r="C76" s="379"/>
      <c r="D76" s="379"/>
      <c r="E76" s="379"/>
      <c r="F76" s="379"/>
      <c r="G76" s="379"/>
      <c r="H76" s="379"/>
      <c r="I76" s="379"/>
      <c r="J76" s="379"/>
      <c r="K76" s="379"/>
      <c r="L76" s="379"/>
      <c r="M76" s="379"/>
      <c r="N76" s="379"/>
      <c r="O76" s="379"/>
      <c r="P76" s="379"/>
      <c r="Q76" s="379"/>
      <c r="R76" s="379"/>
      <c r="S76" s="379"/>
      <c r="T76" s="379"/>
      <c r="U76" s="379"/>
      <c r="V76" s="379"/>
      <c r="W76" s="379"/>
      <c r="X76" s="379"/>
      <c r="Y76" s="379"/>
      <c r="Z76" s="379"/>
    </row>
    <row r="77" ht="12.75" customHeight="1">
      <c r="A77" s="379"/>
      <c r="B77" s="379"/>
      <c r="C77" s="379"/>
      <c r="D77" s="379"/>
      <c r="E77" s="379"/>
      <c r="F77" s="379"/>
      <c r="G77" s="379"/>
      <c r="H77" s="379"/>
      <c r="I77" s="379"/>
      <c r="J77" s="379"/>
      <c r="K77" s="379"/>
      <c r="L77" s="379"/>
      <c r="M77" s="379"/>
      <c r="N77" s="379"/>
      <c r="O77" s="379"/>
      <c r="P77" s="379"/>
      <c r="Q77" s="379"/>
      <c r="R77" s="379"/>
      <c r="S77" s="379"/>
      <c r="T77" s="379"/>
      <c r="U77" s="379"/>
      <c r="V77" s="379"/>
      <c r="W77" s="379"/>
      <c r="X77" s="379"/>
      <c r="Y77" s="379"/>
      <c r="Z77" s="379"/>
    </row>
    <row r="78" ht="12.75" customHeight="1">
      <c r="A78" s="379"/>
      <c r="B78" s="379"/>
      <c r="C78" s="379"/>
      <c r="D78" s="379"/>
      <c r="E78" s="379"/>
      <c r="F78" s="379"/>
      <c r="G78" s="379"/>
      <c r="H78" s="379"/>
      <c r="I78" s="379"/>
      <c r="J78" s="379"/>
      <c r="K78" s="379"/>
      <c r="L78" s="379"/>
      <c r="M78" s="379"/>
      <c r="N78" s="379"/>
      <c r="O78" s="379"/>
      <c r="P78" s="379"/>
      <c r="Q78" s="379"/>
      <c r="R78" s="379"/>
      <c r="S78" s="379"/>
      <c r="T78" s="379"/>
      <c r="U78" s="379"/>
      <c r="V78" s="379"/>
      <c r="W78" s="379"/>
      <c r="X78" s="379"/>
      <c r="Y78" s="379"/>
      <c r="Z78" s="379"/>
    </row>
    <row r="79" ht="12.75" customHeight="1">
      <c r="A79" s="379"/>
      <c r="B79" s="379"/>
      <c r="C79" s="379"/>
      <c r="D79" s="379"/>
      <c r="E79" s="379"/>
      <c r="F79" s="379"/>
      <c r="G79" s="379"/>
      <c r="H79" s="379"/>
      <c r="I79" s="379"/>
      <c r="J79" s="379"/>
      <c r="K79" s="379"/>
      <c r="L79" s="379"/>
      <c r="M79" s="379"/>
      <c r="N79" s="379"/>
      <c r="O79" s="379"/>
      <c r="P79" s="379"/>
      <c r="Q79" s="379"/>
      <c r="R79" s="379"/>
      <c r="S79" s="379"/>
      <c r="T79" s="379"/>
      <c r="U79" s="379"/>
      <c r="V79" s="379"/>
      <c r="W79" s="379"/>
      <c r="X79" s="379"/>
      <c r="Y79" s="379"/>
      <c r="Z79" s="379"/>
    </row>
    <row r="80" ht="12.75" customHeight="1">
      <c r="A80" s="379"/>
      <c r="B80" s="379"/>
      <c r="C80" s="379"/>
      <c r="D80" s="379"/>
      <c r="E80" s="379"/>
      <c r="F80" s="379"/>
      <c r="G80" s="379"/>
      <c r="H80" s="379"/>
      <c r="I80" s="379"/>
      <c r="J80" s="379"/>
      <c r="K80" s="379"/>
      <c r="L80" s="379"/>
      <c r="M80" s="379"/>
      <c r="N80" s="379"/>
      <c r="O80" s="379"/>
      <c r="P80" s="379"/>
      <c r="Q80" s="379"/>
      <c r="R80" s="379"/>
      <c r="S80" s="379"/>
      <c r="T80" s="379"/>
      <c r="U80" s="379"/>
      <c r="V80" s="379"/>
      <c r="W80" s="379"/>
      <c r="X80" s="379"/>
      <c r="Y80" s="379"/>
      <c r="Z80" s="379"/>
    </row>
    <row r="81" ht="12.75" customHeight="1">
      <c r="A81" s="379"/>
      <c r="B81" s="379"/>
      <c r="C81" s="379"/>
      <c r="D81" s="379"/>
      <c r="E81" s="379"/>
      <c r="F81" s="379"/>
      <c r="G81" s="379"/>
      <c r="H81" s="379"/>
      <c r="I81" s="379"/>
      <c r="J81" s="379"/>
      <c r="K81" s="379"/>
      <c r="L81" s="379"/>
      <c r="M81" s="379"/>
      <c r="N81" s="379"/>
      <c r="O81" s="379"/>
      <c r="P81" s="379"/>
      <c r="Q81" s="379"/>
      <c r="R81" s="379"/>
      <c r="S81" s="379"/>
      <c r="T81" s="379"/>
      <c r="U81" s="379"/>
      <c r="V81" s="379"/>
      <c r="W81" s="379"/>
      <c r="X81" s="379"/>
      <c r="Y81" s="379"/>
      <c r="Z81" s="379"/>
    </row>
    <row r="82" ht="12.75" customHeight="1">
      <c r="A82" s="379"/>
      <c r="B82" s="379"/>
      <c r="C82" s="379"/>
      <c r="D82" s="379"/>
      <c r="E82" s="379"/>
      <c r="F82" s="379"/>
      <c r="G82" s="379"/>
      <c r="H82" s="379"/>
      <c r="I82" s="379"/>
      <c r="J82" s="379"/>
      <c r="K82" s="379"/>
      <c r="L82" s="379"/>
      <c r="M82" s="379"/>
      <c r="N82" s="379"/>
      <c r="O82" s="379"/>
      <c r="P82" s="379"/>
      <c r="Q82" s="379"/>
      <c r="R82" s="379"/>
      <c r="S82" s="379"/>
      <c r="T82" s="379"/>
      <c r="U82" s="379"/>
      <c r="V82" s="379"/>
      <c r="W82" s="379"/>
      <c r="X82" s="379"/>
      <c r="Y82" s="379"/>
      <c r="Z82" s="379"/>
    </row>
    <row r="83" ht="12.75" customHeight="1">
      <c r="A83" s="379"/>
      <c r="B83" s="379"/>
      <c r="C83" s="379"/>
      <c r="D83" s="379"/>
      <c r="E83" s="379"/>
      <c r="F83" s="379"/>
      <c r="G83" s="379"/>
      <c r="H83" s="379"/>
      <c r="I83" s="379"/>
      <c r="J83" s="379"/>
      <c r="K83" s="379"/>
      <c r="L83" s="379"/>
      <c r="M83" s="379"/>
      <c r="N83" s="379"/>
      <c r="O83" s="379"/>
      <c r="P83" s="379"/>
      <c r="Q83" s="379"/>
      <c r="R83" s="379"/>
      <c r="S83" s="379"/>
      <c r="T83" s="379"/>
      <c r="U83" s="379"/>
      <c r="V83" s="379"/>
      <c r="W83" s="379"/>
      <c r="X83" s="379"/>
      <c r="Y83" s="379"/>
      <c r="Z83" s="379"/>
    </row>
    <row r="84" ht="12.75" customHeight="1">
      <c r="A84" s="379"/>
      <c r="B84" s="379"/>
      <c r="C84" s="379"/>
      <c r="D84" s="379"/>
      <c r="E84" s="379"/>
      <c r="F84" s="379"/>
      <c r="G84" s="379"/>
      <c r="H84" s="379"/>
      <c r="I84" s="379"/>
      <c r="J84" s="379"/>
      <c r="K84" s="379"/>
      <c r="L84" s="379"/>
      <c r="M84" s="379"/>
      <c r="N84" s="379"/>
      <c r="O84" s="379"/>
      <c r="P84" s="379"/>
      <c r="Q84" s="379"/>
      <c r="R84" s="379"/>
      <c r="S84" s="379"/>
      <c r="T84" s="379"/>
      <c r="U84" s="379"/>
      <c r="V84" s="379"/>
      <c r="W84" s="379"/>
      <c r="X84" s="379"/>
      <c r="Y84" s="379"/>
      <c r="Z84" s="379"/>
    </row>
    <row r="85" ht="12.75" customHeight="1">
      <c r="A85" s="379"/>
      <c r="B85" s="379"/>
      <c r="C85" s="379"/>
      <c r="D85" s="379"/>
      <c r="E85" s="379"/>
      <c r="F85" s="379"/>
      <c r="G85" s="379"/>
      <c r="H85" s="379"/>
      <c r="I85" s="379"/>
      <c r="J85" s="379"/>
      <c r="K85" s="379"/>
      <c r="L85" s="379"/>
      <c r="M85" s="379"/>
      <c r="N85" s="379"/>
      <c r="O85" s="379"/>
      <c r="P85" s="379"/>
      <c r="Q85" s="379"/>
      <c r="R85" s="379"/>
      <c r="S85" s="379"/>
      <c r="T85" s="379"/>
      <c r="U85" s="379"/>
      <c r="V85" s="379"/>
      <c r="W85" s="379"/>
      <c r="X85" s="379"/>
      <c r="Y85" s="379"/>
      <c r="Z85" s="379"/>
    </row>
    <row r="86" ht="12.75" customHeight="1">
      <c r="A86" s="379"/>
      <c r="B86" s="379"/>
      <c r="C86" s="379"/>
      <c r="D86" s="379"/>
      <c r="E86" s="379"/>
      <c r="F86" s="379"/>
      <c r="G86" s="379"/>
      <c r="H86" s="379"/>
      <c r="I86" s="379"/>
      <c r="J86" s="379"/>
      <c r="K86" s="379"/>
      <c r="L86" s="379"/>
      <c r="M86" s="379"/>
      <c r="N86" s="379"/>
      <c r="O86" s="379"/>
      <c r="P86" s="379"/>
      <c r="Q86" s="379"/>
      <c r="R86" s="379"/>
      <c r="S86" s="379"/>
      <c r="T86" s="379"/>
      <c r="U86" s="379"/>
      <c r="V86" s="379"/>
      <c r="W86" s="379"/>
      <c r="X86" s="379"/>
      <c r="Y86" s="379"/>
      <c r="Z86" s="379"/>
    </row>
    <row r="87" ht="12.75" customHeight="1">
      <c r="A87" s="379"/>
      <c r="B87" s="379"/>
      <c r="C87" s="379"/>
      <c r="D87" s="379"/>
      <c r="E87" s="379"/>
      <c r="F87" s="379"/>
      <c r="G87" s="379"/>
      <c r="H87" s="379"/>
      <c r="I87" s="379"/>
      <c r="J87" s="379"/>
      <c r="K87" s="379"/>
      <c r="L87" s="379"/>
      <c r="M87" s="379"/>
      <c r="N87" s="379"/>
      <c r="O87" s="379"/>
      <c r="P87" s="379"/>
      <c r="Q87" s="379"/>
      <c r="R87" s="379"/>
      <c r="S87" s="379"/>
      <c r="T87" s="379"/>
      <c r="U87" s="379"/>
      <c r="V87" s="379"/>
      <c r="W87" s="379"/>
      <c r="X87" s="379"/>
      <c r="Y87" s="379"/>
      <c r="Z87" s="379"/>
    </row>
    <row r="88" ht="12.75" customHeight="1">
      <c r="A88" s="379"/>
      <c r="B88" s="379"/>
      <c r="C88" s="379"/>
      <c r="D88" s="379"/>
      <c r="E88" s="379"/>
      <c r="F88" s="379"/>
      <c r="G88" s="379"/>
      <c r="H88" s="379"/>
      <c r="I88" s="379"/>
      <c r="J88" s="379"/>
      <c r="K88" s="379"/>
      <c r="L88" s="379"/>
      <c r="M88" s="379"/>
      <c r="N88" s="379"/>
      <c r="O88" s="379"/>
      <c r="P88" s="379"/>
      <c r="Q88" s="379"/>
      <c r="R88" s="379"/>
      <c r="S88" s="379"/>
      <c r="T88" s="379"/>
      <c r="U88" s="379"/>
      <c r="V88" s="379"/>
      <c r="W88" s="379"/>
      <c r="X88" s="379"/>
      <c r="Y88" s="379"/>
      <c r="Z88" s="379"/>
    </row>
    <row r="89" ht="12.75" customHeight="1">
      <c r="A89" s="379"/>
      <c r="B89" s="379"/>
      <c r="C89" s="379"/>
      <c r="D89" s="379"/>
      <c r="E89" s="379"/>
      <c r="F89" s="379"/>
      <c r="G89" s="379"/>
      <c r="H89" s="379"/>
      <c r="I89" s="379"/>
      <c r="J89" s="379"/>
      <c r="K89" s="379"/>
      <c r="L89" s="379"/>
      <c r="M89" s="379"/>
      <c r="N89" s="379"/>
      <c r="O89" s="379"/>
      <c r="P89" s="379"/>
      <c r="Q89" s="379"/>
      <c r="R89" s="379"/>
      <c r="S89" s="379"/>
      <c r="T89" s="379"/>
      <c r="U89" s="379"/>
      <c r="V89" s="379"/>
      <c r="W89" s="379"/>
      <c r="X89" s="379"/>
      <c r="Y89" s="379"/>
      <c r="Z89" s="379"/>
    </row>
    <row r="90" ht="12.75" customHeight="1">
      <c r="A90" s="379"/>
      <c r="B90" s="379"/>
      <c r="C90" s="379"/>
      <c r="D90" s="379"/>
      <c r="E90" s="379"/>
      <c r="F90" s="379"/>
      <c r="G90" s="379"/>
      <c r="H90" s="379"/>
      <c r="I90" s="379"/>
      <c r="J90" s="379"/>
      <c r="K90" s="379"/>
      <c r="L90" s="379"/>
      <c r="M90" s="379"/>
      <c r="N90" s="379"/>
      <c r="O90" s="379"/>
      <c r="P90" s="379"/>
      <c r="Q90" s="379"/>
      <c r="R90" s="379"/>
      <c r="S90" s="379"/>
      <c r="T90" s="379"/>
      <c r="U90" s="379"/>
      <c r="V90" s="379"/>
      <c r="W90" s="379"/>
      <c r="X90" s="379"/>
      <c r="Y90" s="379"/>
      <c r="Z90" s="379"/>
    </row>
    <row r="91" ht="12.75" customHeight="1">
      <c r="A91" s="379"/>
      <c r="B91" s="379"/>
      <c r="C91" s="379"/>
      <c r="D91" s="379"/>
      <c r="E91" s="379"/>
      <c r="F91" s="379"/>
      <c r="G91" s="379"/>
      <c r="H91" s="379"/>
      <c r="I91" s="379"/>
      <c r="J91" s="379"/>
      <c r="K91" s="379"/>
      <c r="L91" s="379"/>
      <c r="M91" s="379"/>
      <c r="N91" s="379"/>
      <c r="O91" s="379"/>
      <c r="P91" s="379"/>
      <c r="Q91" s="379"/>
      <c r="R91" s="379"/>
      <c r="S91" s="379"/>
      <c r="T91" s="379"/>
      <c r="U91" s="379"/>
      <c r="V91" s="379"/>
      <c r="W91" s="379"/>
      <c r="X91" s="379"/>
      <c r="Y91" s="379"/>
      <c r="Z91" s="379"/>
    </row>
    <row r="92" ht="12.75" customHeight="1">
      <c r="A92" s="379"/>
      <c r="B92" s="379"/>
      <c r="C92" s="379"/>
      <c r="D92" s="379"/>
      <c r="E92" s="379"/>
      <c r="F92" s="379"/>
      <c r="G92" s="379"/>
      <c r="H92" s="379"/>
      <c r="I92" s="379"/>
      <c r="J92" s="379"/>
      <c r="K92" s="379"/>
      <c r="L92" s="379"/>
      <c r="M92" s="379"/>
      <c r="N92" s="379"/>
      <c r="O92" s="379"/>
      <c r="P92" s="379"/>
      <c r="Q92" s="379"/>
      <c r="R92" s="379"/>
      <c r="S92" s="379"/>
      <c r="T92" s="379"/>
      <c r="U92" s="379"/>
      <c r="V92" s="379"/>
      <c r="W92" s="379"/>
      <c r="X92" s="379"/>
      <c r="Y92" s="379"/>
      <c r="Z92" s="379"/>
    </row>
    <row r="93" ht="12.75" customHeight="1">
      <c r="A93" s="379"/>
      <c r="B93" s="379"/>
      <c r="C93" s="379"/>
      <c r="D93" s="379"/>
      <c r="E93" s="379"/>
      <c r="F93" s="379"/>
      <c r="G93" s="379"/>
      <c r="H93" s="379"/>
      <c r="I93" s="379"/>
      <c r="J93" s="379"/>
      <c r="K93" s="379"/>
      <c r="L93" s="379"/>
      <c r="M93" s="379"/>
      <c r="N93" s="379"/>
      <c r="O93" s="379"/>
      <c r="P93" s="379"/>
      <c r="Q93" s="379"/>
      <c r="R93" s="379"/>
      <c r="S93" s="379"/>
      <c r="T93" s="379"/>
      <c r="U93" s="379"/>
      <c r="V93" s="379"/>
      <c r="W93" s="379"/>
      <c r="X93" s="379"/>
      <c r="Y93" s="379"/>
      <c r="Z93" s="379"/>
    </row>
    <row r="94" ht="12.75" customHeight="1">
      <c r="A94" s="379"/>
      <c r="B94" s="379"/>
      <c r="C94" s="379"/>
      <c r="D94" s="379"/>
      <c r="E94" s="379"/>
      <c r="F94" s="379"/>
      <c r="G94" s="379"/>
      <c r="H94" s="379"/>
      <c r="I94" s="379"/>
      <c r="J94" s="379"/>
      <c r="K94" s="379"/>
      <c r="L94" s="379"/>
      <c r="M94" s="379"/>
      <c r="N94" s="379"/>
      <c r="O94" s="379"/>
      <c r="P94" s="379"/>
      <c r="Q94" s="379"/>
      <c r="R94" s="379"/>
      <c r="S94" s="379"/>
      <c r="T94" s="379"/>
      <c r="U94" s="379"/>
      <c r="V94" s="379"/>
      <c r="W94" s="379"/>
      <c r="X94" s="379"/>
      <c r="Y94" s="379"/>
      <c r="Z94" s="379"/>
    </row>
    <row r="95" ht="12.75" customHeight="1">
      <c r="A95" s="379"/>
      <c r="B95" s="379"/>
      <c r="C95" s="379"/>
      <c r="D95" s="379"/>
      <c r="E95" s="379"/>
      <c r="F95" s="379"/>
      <c r="G95" s="379"/>
      <c r="H95" s="379"/>
      <c r="I95" s="379"/>
      <c r="J95" s="379"/>
      <c r="K95" s="379"/>
      <c r="L95" s="379"/>
      <c r="M95" s="379"/>
      <c r="N95" s="379"/>
      <c r="O95" s="379"/>
      <c r="P95" s="379"/>
      <c r="Q95" s="379"/>
      <c r="R95" s="379"/>
      <c r="S95" s="379"/>
      <c r="T95" s="379"/>
      <c r="U95" s="379"/>
      <c r="V95" s="379"/>
      <c r="W95" s="379"/>
      <c r="X95" s="379"/>
      <c r="Y95" s="379"/>
      <c r="Z95" s="379"/>
    </row>
    <row r="96" ht="12.75" customHeight="1">
      <c r="A96" s="379"/>
      <c r="B96" s="379"/>
      <c r="C96" s="379"/>
      <c r="D96" s="379"/>
      <c r="E96" s="379"/>
      <c r="F96" s="379"/>
      <c r="G96" s="379"/>
      <c r="H96" s="379"/>
      <c r="I96" s="379"/>
      <c r="J96" s="379"/>
      <c r="K96" s="379"/>
      <c r="L96" s="379"/>
      <c r="M96" s="379"/>
      <c r="N96" s="379"/>
      <c r="O96" s="379"/>
      <c r="P96" s="379"/>
      <c r="Q96" s="379"/>
      <c r="R96" s="379"/>
      <c r="S96" s="379"/>
      <c r="T96" s="379"/>
      <c r="U96" s="379"/>
      <c r="V96" s="379"/>
      <c r="W96" s="379"/>
      <c r="X96" s="379"/>
      <c r="Y96" s="379"/>
      <c r="Z96" s="379"/>
    </row>
    <row r="97" ht="12.75" customHeight="1">
      <c r="A97" s="379"/>
      <c r="B97" s="379"/>
      <c r="C97" s="379"/>
      <c r="D97" s="379"/>
      <c r="E97" s="379"/>
      <c r="F97" s="379"/>
      <c r="G97" s="379"/>
      <c r="H97" s="379"/>
      <c r="I97" s="379"/>
      <c r="J97" s="379"/>
      <c r="K97" s="379"/>
      <c r="L97" s="379"/>
      <c r="M97" s="379"/>
      <c r="N97" s="379"/>
      <c r="O97" s="379"/>
      <c r="P97" s="379"/>
      <c r="Q97" s="379"/>
      <c r="R97" s="379"/>
      <c r="S97" s="379"/>
      <c r="T97" s="379"/>
      <c r="U97" s="379"/>
      <c r="V97" s="379"/>
      <c r="W97" s="379"/>
      <c r="X97" s="379"/>
      <c r="Y97" s="379"/>
      <c r="Z97" s="379"/>
    </row>
    <row r="98" ht="12.75" customHeight="1">
      <c r="A98" s="379"/>
      <c r="B98" s="379"/>
      <c r="C98" s="379"/>
      <c r="D98" s="379"/>
      <c r="E98" s="379"/>
      <c r="F98" s="379"/>
      <c r="G98" s="379"/>
      <c r="H98" s="379"/>
      <c r="I98" s="379"/>
      <c r="J98" s="379"/>
      <c r="K98" s="379"/>
      <c r="L98" s="379"/>
      <c r="M98" s="379"/>
      <c r="N98" s="379"/>
      <c r="O98" s="379"/>
      <c r="P98" s="379"/>
      <c r="Q98" s="379"/>
      <c r="R98" s="379"/>
      <c r="S98" s="379"/>
      <c r="T98" s="379"/>
      <c r="U98" s="379"/>
      <c r="V98" s="379"/>
      <c r="W98" s="379"/>
      <c r="X98" s="379"/>
      <c r="Y98" s="379"/>
      <c r="Z98" s="379"/>
    </row>
    <row r="99" ht="12.75" customHeight="1">
      <c r="A99" s="379"/>
      <c r="B99" s="379"/>
      <c r="C99" s="379"/>
      <c r="D99" s="379"/>
      <c r="E99" s="379"/>
      <c r="F99" s="379"/>
      <c r="G99" s="379"/>
      <c r="H99" s="379"/>
      <c r="I99" s="379"/>
      <c r="J99" s="379"/>
      <c r="K99" s="379"/>
      <c r="L99" s="379"/>
      <c r="M99" s="379"/>
      <c r="N99" s="379"/>
      <c r="O99" s="379"/>
      <c r="P99" s="379"/>
      <c r="Q99" s="379"/>
      <c r="R99" s="379"/>
      <c r="S99" s="379"/>
      <c r="T99" s="379"/>
      <c r="U99" s="379"/>
      <c r="V99" s="379"/>
      <c r="W99" s="379"/>
      <c r="X99" s="379"/>
      <c r="Y99" s="379"/>
      <c r="Z99" s="379"/>
    </row>
    <row r="100" ht="12.75" customHeight="1">
      <c r="A100" s="379"/>
      <c r="B100" s="379"/>
      <c r="C100" s="379"/>
      <c r="D100" s="379"/>
      <c r="E100" s="379"/>
      <c r="F100" s="379"/>
      <c r="G100" s="379"/>
      <c r="H100" s="379"/>
      <c r="I100" s="379"/>
      <c r="J100" s="379"/>
      <c r="K100" s="379"/>
      <c r="L100" s="379"/>
      <c r="M100" s="379"/>
      <c r="N100" s="379"/>
      <c r="O100" s="379"/>
      <c r="P100" s="379"/>
      <c r="Q100" s="379"/>
      <c r="R100" s="379"/>
      <c r="S100" s="379"/>
      <c r="T100" s="379"/>
      <c r="U100" s="379"/>
      <c r="V100" s="379"/>
      <c r="W100" s="379"/>
      <c r="X100" s="379"/>
      <c r="Y100" s="379"/>
      <c r="Z100" s="379"/>
    </row>
    <row r="101" ht="12.75" customHeight="1">
      <c r="A101" s="379"/>
      <c r="B101" s="379"/>
      <c r="C101" s="379"/>
      <c r="D101" s="379"/>
      <c r="E101" s="379"/>
      <c r="F101" s="379"/>
      <c r="G101" s="379"/>
      <c r="H101" s="379"/>
      <c r="I101" s="379"/>
      <c r="J101" s="379"/>
      <c r="K101" s="379"/>
      <c r="L101" s="379"/>
      <c r="M101" s="379"/>
      <c r="N101" s="379"/>
      <c r="O101" s="379"/>
      <c r="P101" s="379"/>
      <c r="Q101" s="379"/>
      <c r="R101" s="379"/>
      <c r="S101" s="379"/>
      <c r="T101" s="379"/>
      <c r="U101" s="379"/>
      <c r="V101" s="379"/>
      <c r="W101" s="379"/>
      <c r="X101" s="379"/>
      <c r="Y101" s="379"/>
      <c r="Z101" s="379"/>
    </row>
    <row r="102" ht="12.75" customHeight="1">
      <c r="A102" s="379"/>
      <c r="B102" s="379"/>
      <c r="C102" s="379"/>
      <c r="D102" s="379"/>
      <c r="E102" s="379"/>
      <c r="F102" s="379"/>
      <c r="G102" s="379"/>
      <c r="H102" s="379"/>
      <c r="I102" s="379"/>
      <c r="J102" s="379"/>
      <c r="K102" s="379"/>
      <c r="L102" s="379"/>
      <c r="M102" s="379"/>
      <c r="N102" s="379"/>
      <c r="O102" s="379"/>
      <c r="P102" s="379"/>
      <c r="Q102" s="379"/>
      <c r="R102" s="379"/>
      <c r="S102" s="379"/>
      <c r="T102" s="379"/>
      <c r="U102" s="379"/>
      <c r="V102" s="379"/>
      <c r="W102" s="379"/>
      <c r="X102" s="379"/>
      <c r="Y102" s="379"/>
      <c r="Z102" s="379"/>
    </row>
    <row r="103" ht="12.75" customHeight="1">
      <c r="A103" s="379"/>
      <c r="B103" s="379"/>
      <c r="C103" s="379"/>
      <c r="D103" s="379"/>
      <c r="E103" s="379"/>
      <c r="F103" s="379"/>
      <c r="G103" s="379"/>
      <c r="H103" s="379"/>
      <c r="I103" s="379"/>
      <c r="J103" s="379"/>
      <c r="K103" s="379"/>
      <c r="L103" s="379"/>
      <c r="M103" s="379"/>
      <c r="N103" s="379"/>
      <c r="O103" s="379"/>
      <c r="P103" s="379"/>
      <c r="Q103" s="379"/>
      <c r="R103" s="379"/>
      <c r="S103" s="379"/>
      <c r="T103" s="379"/>
      <c r="U103" s="379"/>
      <c r="V103" s="379"/>
      <c r="W103" s="379"/>
      <c r="X103" s="379"/>
      <c r="Y103" s="379"/>
      <c r="Z103" s="379"/>
    </row>
    <row r="104" ht="12.75" customHeight="1">
      <c r="A104" s="379"/>
      <c r="B104" s="379"/>
      <c r="C104" s="379"/>
      <c r="D104" s="379"/>
      <c r="E104" s="379"/>
      <c r="F104" s="379"/>
      <c r="G104" s="379"/>
      <c r="H104" s="379"/>
      <c r="I104" s="379"/>
      <c r="J104" s="379"/>
      <c r="K104" s="379"/>
      <c r="L104" s="379"/>
      <c r="M104" s="379"/>
      <c r="N104" s="379"/>
      <c r="O104" s="379"/>
      <c r="P104" s="379"/>
      <c r="Q104" s="379"/>
      <c r="R104" s="379"/>
      <c r="S104" s="379"/>
      <c r="T104" s="379"/>
      <c r="U104" s="379"/>
      <c r="V104" s="379"/>
      <c r="W104" s="379"/>
      <c r="X104" s="379"/>
      <c r="Y104" s="379"/>
      <c r="Z104" s="379"/>
    </row>
    <row r="105" ht="12.75" customHeight="1">
      <c r="A105" s="379"/>
      <c r="B105" s="379"/>
      <c r="C105" s="379"/>
      <c r="D105" s="379"/>
      <c r="E105" s="379"/>
      <c r="F105" s="379"/>
      <c r="G105" s="379"/>
      <c r="H105" s="379"/>
      <c r="I105" s="379"/>
      <c r="J105" s="379"/>
      <c r="K105" s="379"/>
      <c r="L105" s="379"/>
      <c r="M105" s="379"/>
      <c r="N105" s="379"/>
      <c r="O105" s="379"/>
      <c r="P105" s="379"/>
      <c r="Q105" s="379"/>
      <c r="R105" s="379"/>
      <c r="S105" s="379"/>
      <c r="T105" s="379"/>
      <c r="U105" s="379"/>
      <c r="V105" s="379"/>
      <c r="W105" s="379"/>
      <c r="X105" s="379"/>
      <c r="Y105" s="379"/>
      <c r="Z105" s="379"/>
    </row>
    <row r="106" ht="12.75" customHeight="1">
      <c r="A106" s="379"/>
      <c r="B106" s="379"/>
      <c r="C106" s="379"/>
      <c r="D106" s="379"/>
      <c r="E106" s="379"/>
      <c r="F106" s="379"/>
      <c r="G106" s="379"/>
      <c r="H106" s="379"/>
      <c r="I106" s="379"/>
      <c r="J106" s="379"/>
      <c r="K106" s="379"/>
      <c r="L106" s="379"/>
      <c r="M106" s="379"/>
      <c r="N106" s="379"/>
      <c r="O106" s="379"/>
      <c r="P106" s="379"/>
      <c r="Q106" s="379"/>
      <c r="R106" s="379"/>
      <c r="S106" s="379"/>
      <c r="T106" s="379"/>
      <c r="U106" s="379"/>
      <c r="V106" s="379"/>
      <c r="W106" s="379"/>
      <c r="X106" s="379"/>
      <c r="Y106" s="379"/>
      <c r="Z106" s="379"/>
    </row>
    <row r="107" ht="12.75" customHeight="1">
      <c r="A107" s="379"/>
      <c r="B107" s="379"/>
      <c r="C107" s="379"/>
      <c r="D107" s="379"/>
      <c r="E107" s="379"/>
      <c r="F107" s="379"/>
      <c r="G107" s="379"/>
      <c r="H107" s="379"/>
      <c r="I107" s="379"/>
      <c r="J107" s="379"/>
      <c r="K107" s="379"/>
      <c r="L107" s="379"/>
      <c r="M107" s="379"/>
      <c r="N107" s="379"/>
      <c r="O107" s="379"/>
      <c r="P107" s="379"/>
      <c r="Q107" s="379"/>
      <c r="R107" s="379"/>
      <c r="S107" s="379"/>
      <c r="T107" s="379"/>
      <c r="U107" s="379"/>
      <c r="V107" s="379"/>
      <c r="W107" s="379"/>
      <c r="X107" s="379"/>
      <c r="Y107" s="379"/>
      <c r="Z107" s="379"/>
    </row>
    <row r="108" ht="12.75" customHeight="1">
      <c r="A108" s="379"/>
      <c r="B108" s="379"/>
      <c r="C108" s="379"/>
      <c r="D108" s="379"/>
      <c r="E108" s="379"/>
      <c r="F108" s="379"/>
      <c r="G108" s="379"/>
      <c r="H108" s="379"/>
      <c r="I108" s="379"/>
      <c r="J108" s="379"/>
      <c r="K108" s="379"/>
      <c r="L108" s="379"/>
      <c r="M108" s="379"/>
      <c r="N108" s="379"/>
      <c r="O108" s="379"/>
      <c r="P108" s="379"/>
      <c r="Q108" s="379"/>
      <c r="R108" s="379"/>
      <c r="S108" s="379"/>
      <c r="T108" s="379"/>
      <c r="U108" s="379"/>
      <c r="V108" s="379"/>
      <c r="W108" s="379"/>
      <c r="X108" s="379"/>
      <c r="Y108" s="379"/>
      <c r="Z108" s="379"/>
    </row>
    <row r="109" ht="12.75" customHeight="1">
      <c r="A109" s="379"/>
      <c r="B109" s="379"/>
      <c r="C109" s="379"/>
      <c r="D109" s="379"/>
      <c r="E109" s="379"/>
      <c r="F109" s="379"/>
      <c r="G109" s="379"/>
      <c r="H109" s="379"/>
      <c r="I109" s="379"/>
      <c r="J109" s="379"/>
      <c r="K109" s="379"/>
      <c r="L109" s="379"/>
      <c r="M109" s="379"/>
      <c r="N109" s="379"/>
      <c r="O109" s="379"/>
      <c r="P109" s="379"/>
      <c r="Q109" s="379"/>
      <c r="R109" s="379"/>
      <c r="S109" s="379"/>
      <c r="T109" s="379"/>
      <c r="U109" s="379"/>
      <c r="V109" s="379"/>
      <c r="W109" s="379"/>
      <c r="X109" s="379"/>
      <c r="Y109" s="379"/>
      <c r="Z109" s="379"/>
    </row>
    <row r="110" ht="12.75" customHeight="1">
      <c r="A110" s="379"/>
      <c r="B110" s="379"/>
      <c r="C110" s="379"/>
      <c r="D110" s="379"/>
      <c r="E110" s="379"/>
      <c r="F110" s="379"/>
      <c r="G110" s="379"/>
      <c r="H110" s="379"/>
      <c r="I110" s="379"/>
      <c r="J110" s="379"/>
      <c r="K110" s="379"/>
      <c r="L110" s="379"/>
      <c r="M110" s="379"/>
      <c r="N110" s="379"/>
      <c r="O110" s="379"/>
      <c r="P110" s="379"/>
      <c r="Q110" s="379"/>
      <c r="R110" s="379"/>
      <c r="S110" s="379"/>
      <c r="T110" s="379"/>
      <c r="U110" s="379"/>
      <c r="V110" s="379"/>
      <c r="W110" s="379"/>
      <c r="X110" s="379"/>
      <c r="Y110" s="379"/>
      <c r="Z110" s="379"/>
    </row>
    <row r="111" ht="12.75" customHeight="1">
      <c r="A111" s="379"/>
      <c r="B111" s="379"/>
      <c r="C111" s="379"/>
      <c r="D111" s="379"/>
      <c r="E111" s="379"/>
      <c r="F111" s="379"/>
      <c r="G111" s="379"/>
      <c r="H111" s="379"/>
      <c r="I111" s="379"/>
      <c r="J111" s="379"/>
      <c r="K111" s="379"/>
      <c r="L111" s="379"/>
      <c r="M111" s="379"/>
      <c r="N111" s="379"/>
      <c r="O111" s="379"/>
      <c r="P111" s="379"/>
      <c r="Q111" s="379"/>
      <c r="R111" s="379"/>
      <c r="S111" s="379"/>
      <c r="T111" s="379"/>
      <c r="U111" s="379"/>
      <c r="V111" s="379"/>
      <c r="W111" s="379"/>
      <c r="X111" s="379"/>
      <c r="Y111" s="379"/>
      <c r="Z111" s="379"/>
    </row>
    <row r="112" ht="12.75" customHeight="1">
      <c r="A112" s="379"/>
      <c r="B112" s="379"/>
      <c r="C112" s="379"/>
      <c r="D112" s="379"/>
      <c r="E112" s="379"/>
      <c r="F112" s="379"/>
      <c r="G112" s="379"/>
      <c r="H112" s="379"/>
      <c r="I112" s="379"/>
      <c r="J112" s="379"/>
      <c r="K112" s="379"/>
      <c r="L112" s="379"/>
      <c r="M112" s="379"/>
      <c r="N112" s="379"/>
      <c r="O112" s="379"/>
      <c r="P112" s="379"/>
      <c r="Q112" s="379"/>
      <c r="R112" s="379"/>
      <c r="S112" s="379"/>
      <c r="T112" s="379"/>
      <c r="U112" s="379"/>
      <c r="V112" s="379"/>
      <c r="W112" s="379"/>
      <c r="X112" s="379"/>
      <c r="Y112" s="379"/>
      <c r="Z112" s="379"/>
    </row>
    <row r="113" ht="12.75" customHeight="1">
      <c r="A113" s="379"/>
      <c r="B113" s="379"/>
      <c r="C113" s="379"/>
      <c r="D113" s="379"/>
      <c r="E113" s="379"/>
      <c r="F113" s="379"/>
      <c r="G113" s="379"/>
      <c r="H113" s="379"/>
      <c r="I113" s="379"/>
      <c r="J113" s="379"/>
      <c r="K113" s="379"/>
      <c r="L113" s="379"/>
      <c r="M113" s="379"/>
      <c r="N113" s="379"/>
      <c r="O113" s="379"/>
      <c r="P113" s="379"/>
      <c r="Q113" s="379"/>
      <c r="R113" s="379"/>
      <c r="S113" s="379"/>
      <c r="T113" s="379"/>
      <c r="U113" s="379"/>
      <c r="V113" s="379"/>
      <c r="W113" s="379"/>
      <c r="X113" s="379"/>
      <c r="Y113" s="379"/>
      <c r="Z113" s="379"/>
    </row>
    <row r="114" ht="12.75" customHeight="1">
      <c r="A114" s="379"/>
      <c r="B114" s="379"/>
      <c r="C114" s="379"/>
      <c r="D114" s="379"/>
      <c r="E114" s="379"/>
      <c r="F114" s="379"/>
      <c r="G114" s="379"/>
      <c r="H114" s="379"/>
      <c r="I114" s="379"/>
      <c r="J114" s="379"/>
      <c r="K114" s="379"/>
      <c r="L114" s="379"/>
      <c r="M114" s="379"/>
      <c r="N114" s="379"/>
      <c r="O114" s="379"/>
      <c r="P114" s="379"/>
      <c r="Q114" s="379"/>
      <c r="R114" s="379"/>
      <c r="S114" s="379"/>
      <c r="T114" s="379"/>
      <c r="U114" s="379"/>
      <c r="V114" s="379"/>
      <c r="W114" s="379"/>
      <c r="X114" s="379"/>
      <c r="Y114" s="379"/>
      <c r="Z114" s="379"/>
    </row>
    <row r="115" ht="12.75" customHeight="1">
      <c r="A115" s="379"/>
      <c r="B115" s="379"/>
      <c r="C115" s="379"/>
      <c r="D115" s="379"/>
      <c r="E115" s="379"/>
      <c r="F115" s="379"/>
      <c r="G115" s="379"/>
      <c r="H115" s="379"/>
      <c r="I115" s="379"/>
      <c r="J115" s="379"/>
      <c r="K115" s="379"/>
      <c r="L115" s="379"/>
      <c r="M115" s="379"/>
      <c r="N115" s="379"/>
      <c r="O115" s="379"/>
      <c r="P115" s="379"/>
      <c r="Q115" s="379"/>
      <c r="R115" s="379"/>
      <c r="S115" s="379"/>
      <c r="T115" s="379"/>
      <c r="U115" s="379"/>
      <c r="V115" s="379"/>
      <c r="W115" s="379"/>
      <c r="X115" s="379"/>
      <c r="Y115" s="379"/>
      <c r="Z115" s="379"/>
    </row>
    <row r="116" ht="12.75" customHeight="1">
      <c r="A116" s="379"/>
      <c r="B116" s="379"/>
      <c r="C116" s="379"/>
      <c r="D116" s="379"/>
      <c r="E116" s="379"/>
      <c r="F116" s="379"/>
      <c r="G116" s="379"/>
      <c r="H116" s="379"/>
      <c r="I116" s="379"/>
      <c r="J116" s="379"/>
      <c r="K116" s="379"/>
      <c r="L116" s="379"/>
      <c r="M116" s="379"/>
      <c r="N116" s="379"/>
      <c r="O116" s="379"/>
      <c r="P116" s="379"/>
      <c r="Q116" s="379"/>
      <c r="R116" s="379"/>
      <c r="S116" s="379"/>
      <c r="T116" s="379"/>
      <c r="U116" s="379"/>
      <c r="V116" s="379"/>
      <c r="W116" s="379"/>
      <c r="X116" s="379"/>
      <c r="Y116" s="379"/>
      <c r="Z116" s="379"/>
    </row>
    <row r="117" ht="12.75" customHeight="1">
      <c r="A117" s="379"/>
      <c r="B117" s="379"/>
      <c r="C117" s="379"/>
      <c r="D117" s="379"/>
      <c r="E117" s="379"/>
      <c r="F117" s="379"/>
      <c r="G117" s="379"/>
      <c r="H117" s="379"/>
      <c r="I117" s="379"/>
      <c r="J117" s="379"/>
      <c r="K117" s="379"/>
      <c r="L117" s="379"/>
      <c r="M117" s="379"/>
      <c r="N117" s="379"/>
      <c r="O117" s="379"/>
      <c r="P117" s="379"/>
      <c r="Q117" s="379"/>
      <c r="R117" s="379"/>
      <c r="S117" s="379"/>
      <c r="T117" s="379"/>
      <c r="U117" s="379"/>
      <c r="V117" s="379"/>
      <c r="W117" s="379"/>
      <c r="X117" s="379"/>
      <c r="Y117" s="379"/>
      <c r="Z117" s="379"/>
    </row>
    <row r="118" ht="12.75" customHeight="1">
      <c r="A118" s="379"/>
      <c r="B118" s="379"/>
      <c r="C118" s="379"/>
      <c r="D118" s="379"/>
      <c r="E118" s="379"/>
      <c r="F118" s="379"/>
      <c r="G118" s="379"/>
      <c r="H118" s="379"/>
      <c r="I118" s="379"/>
      <c r="J118" s="379"/>
      <c r="K118" s="379"/>
      <c r="L118" s="379"/>
      <c r="M118" s="379"/>
      <c r="N118" s="379"/>
      <c r="O118" s="379"/>
      <c r="P118" s="379"/>
      <c r="Q118" s="379"/>
      <c r="R118" s="379"/>
      <c r="S118" s="379"/>
      <c r="T118" s="379"/>
      <c r="U118" s="379"/>
      <c r="V118" s="379"/>
      <c r="W118" s="379"/>
      <c r="X118" s="379"/>
      <c r="Y118" s="379"/>
      <c r="Z118" s="379"/>
    </row>
    <row r="119" ht="12.75" customHeight="1">
      <c r="A119" s="379"/>
      <c r="B119" s="379"/>
      <c r="C119" s="379"/>
      <c r="D119" s="379"/>
      <c r="E119" s="379"/>
      <c r="F119" s="379"/>
      <c r="G119" s="379"/>
      <c r="H119" s="379"/>
      <c r="I119" s="379"/>
      <c r="J119" s="379"/>
      <c r="K119" s="379"/>
      <c r="L119" s="379"/>
      <c r="M119" s="379"/>
      <c r="N119" s="379"/>
      <c r="O119" s="379"/>
      <c r="P119" s="379"/>
      <c r="Q119" s="379"/>
      <c r="R119" s="379"/>
      <c r="S119" s="379"/>
      <c r="T119" s="379"/>
      <c r="U119" s="379"/>
      <c r="V119" s="379"/>
      <c r="W119" s="379"/>
      <c r="X119" s="379"/>
      <c r="Y119" s="379"/>
      <c r="Z119" s="379"/>
    </row>
    <row r="120" ht="12.75" customHeight="1">
      <c r="A120" s="379"/>
      <c r="B120" s="379"/>
      <c r="C120" s="379"/>
      <c r="D120" s="379"/>
      <c r="E120" s="379"/>
      <c r="F120" s="379"/>
      <c r="G120" s="379"/>
      <c r="H120" s="379"/>
      <c r="I120" s="379"/>
      <c r="J120" s="379"/>
      <c r="K120" s="379"/>
      <c r="L120" s="379"/>
      <c r="M120" s="379"/>
      <c r="N120" s="379"/>
      <c r="O120" s="379"/>
      <c r="P120" s="379"/>
      <c r="Q120" s="379"/>
      <c r="R120" s="379"/>
      <c r="S120" s="379"/>
      <c r="T120" s="379"/>
      <c r="U120" s="379"/>
      <c r="V120" s="379"/>
      <c r="W120" s="379"/>
      <c r="X120" s="379"/>
      <c r="Y120" s="379"/>
      <c r="Z120" s="379"/>
    </row>
    <row r="121" ht="12.75" customHeight="1">
      <c r="A121" s="379"/>
      <c r="B121" s="379"/>
      <c r="C121" s="379"/>
      <c r="D121" s="379"/>
      <c r="E121" s="379"/>
      <c r="F121" s="379"/>
      <c r="G121" s="379"/>
      <c r="H121" s="379"/>
      <c r="I121" s="379"/>
      <c r="J121" s="379"/>
      <c r="K121" s="379"/>
      <c r="L121" s="379"/>
      <c r="M121" s="379"/>
      <c r="N121" s="379"/>
      <c r="O121" s="379"/>
      <c r="P121" s="379"/>
      <c r="Q121" s="379"/>
      <c r="R121" s="379"/>
      <c r="S121" s="379"/>
      <c r="T121" s="379"/>
      <c r="U121" s="379"/>
      <c r="V121" s="379"/>
      <c r="W121" s="379"/>
      <c r="X121" s="379"/>
      <c r="Y121" s="379"/>
      <c r="Z121" s="379"/>
    </row>
    <row r="122" ht="12.75" customHeight="1">
      <c r="A122" s="379"/>
      <c r="B122" s="379"/>
      <c r="C122" s="379"/>
      <c r="D122" s="379"/>
      <c r="E122" s="379"/>
      <c r="F122" s="379"/>
      <c r="G122" s="379"/>
      <c r="H122" s="379"/>
      <c r="I122" s="379"/>
      <c r="J122" s="379"/>
      <c r="K122" s="379"/>
      <c r="L122" s="379"/>
      <c r="M122" s="379"/>
      <c r="N122" s="379"/>
      <c r="O122" s="379"/>
      <c r="P122" s="379"/>
      <c r="Q122" s="379"/>
      <c r="R122" s="379"/>
      <c r="S122" s="379"/>
      <c r="T122" s="379"/>
      <c r="U122" s="379"/>
      <c r="V122" s="379"/>
      <c r="W122" s="379"/>
      <c r="X122" s="379"/>
      <c r="Y122" s="379"/>
      <c r="Z122" s="379"/>
    </row>
    <row r="123" ht="12.75" customHeight="1">
      <c r="A123" s="379"/>
      <c r="B123" s="379"/>
      <c r="C123" s="379"/>
      <c r="D123" s="379"/>
      <c r="E123" s="379"/>
      <c r="F123" s="379"/>
      <c r="G123" s="379"/>
      <c r="H123" s="379"/>
      <c r="I123" s="379"/>
      <c r="J123" s="379"/>
      <c r="K123" s="379"/>
      <c r="L123" s="379"/>
      <c r="M123" s="379"/>
      <c r="N123" s="379"/>
      <c r="O123" s="379"/>
      <c r="P123" s="379"/>
      <c r="Q123" s="379"/>
      <c r="R123" s="379"/>
      <c r="S123" s="379"/>
      <c r="T123" s="379"/>
      <c r="U123" s="379"/>
      <c r="V123" s="379"/>
      <c r="W123" s="379"/>
      <c r="X123" s="379"/>
      <c r="Y123" s="379"/>
      <c r="Z123" s="379"/>
    </row>
    <row r="124" ht="12.75" customHeight="1">
      <c r="A124" s="379"/>
      <c r="B124" s="379"/>
      <c r="C124" s="379"/>
      <c r="D124" s="379"/>
      <c r="E124" s="379"/>
      <c r="F124" s="379"/>
      <c r="G124" s="379"/>
      <c r="H124" s="379"/>
      <c r="I124" s="379"/>
      <c r="J124" s="379"/>
      <c r="K124" s="379"/>
      <c r="L124" s="379"/>
      <c r="M124" s="379"/>
      <c r="N124" s="379"/>
      <c r="O124" s="379"/>
      <c r="P124" s="379"/>
      <c r="Q124" s="379"/>
      <c r="R124" s="379"/>
      <c r="S124" s="379"/>
      <c r="T124" s="379"/>
      <c r="U124" s="379"/>
      <c r="V124" s="379"/>
      <c r="W124" s="379"/>
      <c r="X124" s="379"/>
      <c r="Y124" s="379"/>
      <c r="Z124" s="379"/>
    </row>
    <row r="125" ht="12.75" customHeight="1">
      <c r="A125" s="379"/>
      <c r="B125" s="379"/>
      <c r="C125" s="379"/>
      <c r="D125" s="379"/>
      <c r="E125" s="379"/>
      <c r="F125" s="379"/>
      <c r="G125" s="379"/>
      <c r="H125" s="379"/>
      <c r="I125" s="379"/>
      <c r="J125" s="379"/>
      <c r="K125" s="379"/>
      <c r="L125" s="379"/>
      <c r="M125" s="379"/>
      <c r="N125" s="379"/>
      <c r="O125" s="379"/>
      <c r="P125" s="379"/>
      <c r="Q125" s="379"/>
      <c r="R125" s="379"/>
      <c r="S125" s="379"/>
      <c r="T125" s="379"/>
      <c r="U125" s="379"/>
      <c r="V125" s="379"/>
      <c r="W125" s="379"/>
      <c r="X125" s="379"/>
      <c r="Y125" s="379"/>
      <c r="Z125" s="379"/>
    </row>
    <row r="126" ht="12.75" customHeight="1">
      <c r="A126" s="379"/>
      <c r="B126" s="379"/>
      <c r="C126" s="379"/>
      <c r="D126" s="379"/>
      <c r="E126" s="379"/>
      <c r="F126" s="379"/>
      <c r="G126" s="379"/>
      <c r="H126" s="379"/>
      <c r="I126" s="379"/>
      <c r="J126" s="379"/>
      <c r="K126" s="379"/>
      <c r="L126" s="379"/>
      <c r="M126" s="379"/>
      <c r="N126" s="379"/>
      <c r="O126" s="379"/>
      <c r="P126" s="379"/>
      <c r="Q126" s="379"/>
      <c r="R126" s="379"/>
      <c r="S126" s="379"/>
      <c r="T126" s="379"/>
      <c r="U126" s="379"/>
      <c r="V126" s="379"/>
      <c r="W126" s="379"/>
      <c r="X126" s="379"/>
      <c r="Y126" s="379"/>
      <c r="Z126" s="379"/>
    </row>
    <row r="127" ht="12.75" customHeight="1">
      <c r="A127" s="379"/>
      <c r="B127" s="379"/>
      <c r="C127" s="379"/>
      <c r="D127" s="379"/>
      <c r="E127" s="379"/>
      <c r="F127" s="379"/>
      <c r="G127" s="379"/>
      <c r="H127" s="379"/>
      <c r="I127" s="379"/>
      <c r="J127" s="379"/>
      <c r="K127" s="379"/>
      <c r="L127" s="379"/>
      <c r="M127" s="379"/>
      <c r="N127" s="379"/>
      <c r="O127" s="379"/>
      <c r="P127" s="379"/>
      <c r="Q127" s="379"/>
      <c r="R127" s="379"/>
      <c r="S127" s="379"/>
      <c r="T127" s="379"/>
      <c r="U127" s="379"/>
      <c r="V127" s="379"/>
      <c r="W127" s="379"/>
      <c r="X127" s="379"/>
      <c r="Y127" s="379"/>
      <c r="Z127" s="379"/>
    </row>
    <row r="128" ht="12.75" customHeight="1">
      <c r="A128" s="379"/>
      <c r="B128" s="379"/>
      <c r="C128" s="379"/>
      <c r="D128" s="379"/>
      <c r="E128" s="379"/>
      <c r="F128" s="379"/>
      <c r="G128" s="379"/>
      <c r="H128" s="379"/>
      <c r="I128" s="379"/>
      <c r="J128" s="379"/>
      <c r="K128" s="379"/>
      <c r="L128" s="379"/>
      <c r="M128" s="379"/>
      <c r="N128" s="379"/>
      <c r="O128" s="379"/>
      <c r="P128" s="379"/>
      <c r="Q128" s="379"/>
      <c r="R128" s="379"/>
      <c r="S128" s="379"/>
      <c r="T128" s="379"/>
      <c r="U128" s="379"/>
      <c r="V128" s="379"/>
      <c r="W128" s="379"/>
      <c r="X128" s="379"/>
      <c r="Y128" s="379"/>
      <c r="Z128" s="379"/>
    </row>
    <row r="129" ht="12.75" customHeight="1">
      <c r="A129" s="379"/>
      <c r="B129" s="379"/>
      <c r="C129" s="379"/>
      <c r="D129" s="379"/>
      <c r="E129" s="379"/>
      <c r="F129" s="379"/>
      <c r="G129" s="379"/>
      <c r="H129" s="379"/>
      <c r="I129" s="379"/>
      <c r="J129" s="379"/>
      <c r="K129" s="379"/>
      <c r="L129" s="379"/>
      <c r="M129" s="379"/>
      <c r="N129" s="379"/>
      <c r="O129" s="379"/>
      <c r="P129" s="379"/>
      <c r="Q129" s="379"/>
      <c r="R129" s="379"/>
      <c r="S129" s="379"/>
      <c r="T129" s="379"/>
      <c r="U129" s="379"/>
      <c r="V129" s="379"/>
      <c r="W129" s="379"/>
      <c r="X129" s="379"/>
      <c r="Y129" s="379"/>
      <c r="Z129" s="379"/>
    </row>
    <row r="130" ht="12.75" customHeight="1">
      <c r="A130" s="379"/>
      <c r="B130" s="379"/>
      <c r="C130" s="379"/>
      <c r="D130" s="379"/>
      <c r="E130" s="379"/>
      <c r="F130" s="379"/>
      <c r="G130" s="379"/>
      <c r="H130" s="379"/>
      <c r="I130" s="379"/>
      <c r="J130" s="379"/>
      <c r="K130" s="379"/>
      <c r="L130" s="379"/>
      <c r="M130" s="379"/>
      <c r="N130" s="379"/>
      <c r="O130" s="379"/>
      <c r="P130" s="379"/>
      <c r="Q130" s="379"/>
      <c r="R130" s="379"/>
      <c r="S130" s="379"/>
      <c r="T130" s="379"/>
      <c r="U130" s="379"/>
      <c r="V130" s="379"/>
      <c r="W130" s="379"/>
      <c r="X130" s="379"/>
      <c r="Y130" s="379"/>
      <c r="Z130" s="379"/>
    </row>
    <row r="131" ht="12.75" customHeight="1">
      <c r="A131" s="379"/>
      <c r="B131" s="379"/>
      <c r="C131" s="379"/>
      <c r="D131" s="379"/>
      <c r="E131" s="379"/>
      <c r="F131" s="379"/>
      <c r="G131" s="379"/>
      <c r="H131" s="379"/>
      <c r="I131" s="379"/>
      <c r="J131" s="379"/>
      <c r="K131" s="379"/>
      <c r="L131" s="379"/>
      <c r="M131" s="379"/>
      <c r="N131" s="379"/>
      <c r="O131" s="379"/>
      <c r="P131" s="379"/>
      <c r="Q131" s="379"/>
      <c r="R131" s="379"/>
      <c r="S131" s="379"/>
      <c r="T131" s="379"/>
      <c r="U131" s="379"/>
      <c r="V131" s="379"/>
      <c r="W131" s="379"/>
      <c r="X131" s="379"/>
      <c r="Y131" s="379"/>
      <c r="Z131" s="379"/>
    </row>
    <row r="132" ht="12.75" customHeight="1">
      <c r="A132" s="379"/>
      <c r="B132" s="379"/>
      <c r="C132" s="379"/>
      <c r="D132" s="379"/>
      <c r="E132" s="379"/>
      <c r="F132" s="379"/>
      <c r="G132" s="379"/>
      <c r="H132" s="379"/>
      <c r="I132" s="379"/>
      <c r="J132" s="379"/>
      <c r="K132" s="379"/>
      <c r="L132" s="379"/>
      <c r="M132" s="379"/>
      <c r="N132" s="379"/>
      <c r="O132" s="379"/>
      <c r="P132" s="379"/>
      <c r="Q132" s="379"/>
      <c r="R132" s="379"/>
      <c r="S132" s="379"/>
      <c r="T132" s="379"/>
      <c r="U132" s="379"/>
      <c r="V132" s="379"/>
      <c r="W132" s="379"/>
      <c r="X132" s="379"/>
      <c r="Y132" s="379"/>
      <c r="Z132" s="379"/>
    </row>
    <row r="133" ht="12.75" customHeight="1">
      <c r="A133" s="379"/>
      <c r="B133" s="379"/>
      <c r="C133" s="379"/>
      <c r="D133" s="379"/>
      <c r="E133" s="379"/>
      <c r="F133" s="379"/>
      <c r="G133" s="379"/>
      <c r="H133" s="379"/>
      <c r="I133" s="379"/>
      <c r="J133" s="379"/>
      <c r="K133" s="379"/>
      <c r="L133" s="379"/>
      <c r="M133" s="379"/>
      <c r="N133" s="379"/>
      <c r="O133" s="379"/>
      <c r="P133" s="379"/>
      <c r="Q133" s="379"/>
      <c r="R133" s="379"/>
      <c r="S133" s="379"/>
      <c r="T133" s="379"/>
      <c r="U133" s="379"/>
      <c r="V133" s="379"/>
      <c r="W133" s="379"/>
      <c r="X133" s="379"/>
      <c r="Y133" s="379"/>
      <c r="Z133" s="379"/>
    </row>
    <row r="134" ht="12.75" customHeight="1">
      <c r="A134" s="379"/>
      <c r="B134" s="379"/>
      <c r="C134" s="379"/>
      <c r="D134" s="379"/>
      <c r="E134" s="379"/>
      <c r="F134" s="379"/>
      <c r="G134" s="379"/>
      <c r="H134" s="379"/>
      <c r="I134" s="379"/>
      <c r="J134" s="379"/>
      <c r="K134" s="379"/>
      <c r="L134" s="379"/>
      <c r="M134" s="379"/>
      <c r="N134" s="379"/>
      <c r="O134" s="379"/>
      <c r="P134" s="379"/>
      <c r="Q134" s="379"/>
      <c r="R134" s="379"/>
      <c r="S134" s="379"/>
      <c r="T134" s="379"/>
      <c r="U134" s="379"/>
      <c r="V134" s="379"/>
      <c r="W134" s="379"/>
      <c r="X134" s="379"/>
      <c r="Y134" s="379"/>
      <c r="Z134" s="379"/>
    </row>
    <row r="135" ht="12.75" customHeight="1">
      <c r="A135" s="379"/>
      <c r="B135" s="379"/>
      <c r="C135" s="379"/>
      <c r="D135" s="379"/>
      <c r="E135" s="379"/>
      <c r="F135" s="379"/>
      <c r="G135" s="379"/>
      <c r="H135" s="379"/>
      <c r="I135" s="379"/>
      <c r="J135" s="379"/>
      <c r="K135" s="379"/>
      <c r="L135" s="379"/>
      <c r="M135" s="379"/>
      <c r="N135" s="379"/>
      <c r="O135" s="379"/>
      <c r="P135" s="379"/>
      <c r="Q135" s="379"/>
      <c r="R135" s="379"/>
      <c r="S135" s="379"/>
      <c r="T135" s="379"/>
      <c r="U135" s="379"/>
      <c r="V135" s="379"/>
      <c r="W135" s="379"/>
      <c r="X135" s="379"/>
      <c r="Y135" s="379"/>
      <c r="Z135" s="379"/>
    </row>
    <row r="136" ht="12.75" customHeight="1">
      <c r="A136" s="379"/>
      <c r="B136" s="379"/>
      <c r="C136" s="379"/>
      <c r="D136" s="379"/>
      <c r="E136" s="379"/>
      <c r="F136" s="379"/>
      <c r="G136" s="379"/>
      <c r="H136" s="379"/>
      <c r="I136" s="379"/>
      <c r="J136" s="379"/>
      <c r="K136" s="379"/>
      <c r="L136" s="379"/>
      <c r="M136" s="379"/>
      <c r="N136" s="379"/>
      <c r="O136" s="379"/>
      <c r="P136" s="379"/>
      <c r="Q136" s="379"/>
      <c r="R136" s="379"/>
      <c r="S136" s="379"/>
      <c r="T136" s="379"/>
      <c r="U136" s="379"/>
      <c r="V136" s="379"/>
      <c r="W136" s="379"/>
      <c r="X136" s="379"/>
      <c r="Y136" s="379"/>
      <c r="Z136" s="379"/>
    </row>
    <row r="137" ht="12.75" customHeight="1">
      <c r="A137" s="379"/>
      <c r="B137" s="379"/>
      <c r="C137" s="379"/>
      <c r="D137" s="379"/>
      <c r="E137" s="379"/>
      <c r="F137" s="379"/>
      <c r="G137" s="379"/>
      <c r="H137" s="379"/>
      <c r="I137" s="379"/>
      <c r="J137" s="379"/>
      <c r="K137" s="379"/>
      <c r="L137" s="379"/>
      <c r="M137" s="379"/>
      <c r="N137" s="379"/>
      <c r="O137" s="379"/>
      <c r="P137" s="379"/>
      <c r="Q137" s="379"/>
      <c r="R137" s="379"/>
      <c r="S137" s="379"/>
      <c r="T137" s="379"/>
      <c r="U137" s="379"/>
      <c r="V137" s="379"/>
      <c r="W137" s="379"/>
      <c r="X137" s="379"/>
      <c r="Y137" s="379"/>
      <c r="Z137" s="379"/>
    </row>
    <row r="138" ht="12.75" customHeight="1">
      <c r="A138" s="379"/>
      <c r="B138" s="379"/>
      <c r="C138" s="379"/>
      <c r="D138" s="379"/>
      <c r="E138" s="379"/>
      <c r="F138" s="379"/>
      <c r="G138" s="379"/>
      <c r="H138" s="379"/>
      <c r="I138" s="379"/>
      <c r="J138" s="379"/>
      <c r="K138" s="379"/>
      <c r="L138" s="379"/>
      <c r="M138" s="379"/>
      <c r="N138" s="379"/>
      <c r="O138" s="379"/>
      <c r="P138" s="379"/>
      <c r="Q138" s="379"/>
      <c r="R138" s="379"/>
      <c r="S138" s="379"/>
      <c r="T138" s="379"/>
      <c r="U138" s="379"/>
      <c r="V138" s="379"/>
      <c r="W138" s="379"/>
      <c r="X138" s="379"/>
      <c r="Y138" s="379"/>
      <c r="Z138" s="379"/>
    </row>
    <row r="139" ht="12.75" customHeight="1">
      <c r="A139" s="379"/>
      <c r="B139" s="379"/>
      <c r="C139" s="379"/>
      <c r="D139" s="379"/>
      <c r="E139" s="379"/>
      <c r="F139" s="379"/>
      <c r="G139" s="379"/>
      <c r="H139" s="379"/>
      <c r="I139" s="379"/>
      <c r="J139" s="379"/>
      <c r="K139" s="379"/>
      <c r="L139" s="379"/>
      <c r="M139" s="379"/>
      <c r="N139" s="379"/>
      <c r="O139" s="379"/>
      <c r="P139" s="379"/>
      <c r="Q139" s="379"/>
      <c r="R139" s="379"/>
      <c r="S139" s="379"/>
      <c r="T139" s="379"/>
      <c r="U139" s="379"/>
      <c r="V139" s="379"/>
      <c r="W139" s="379"/>
      <c r="X139" s="379"/>
      <c r="Y139" s="379"/>
      <c r="Z139" s="379"/>
    </row>
    <row r="140" ht="12.75" customHeight="1">
      <c r="A140" s="379"/>
      <c r="B140" s="379"/>
      <c r="C140" s="379"/>
      <c r="D140" s="379"/>
      <c r="E140" s="379"/>
      <c r="F140" s="379"/>
      <c r="G140" s="379"/>
      <c r="H140" s="379"/>
      <c r="I140" s="379"/>
      <c r="J140" s="379"/>
      <c r="K140" s="379"/>
      <c r="L140" s="379"/>
      <c r="M140" s="379"/>
      <c r="N140" s="379"/>
      <c r="O140" s="379"/>
      <c r="P140" s="379"/>
      <c r="Q140" s="379"/>
      <c r="R140" s="379"/>
      <c r="S140" s="379"/>
      <c r="T140" s="379"/>
      <c r="U140" s="379"/>
      <c r="V140" s="379"/>
      <c r="W140" s="379"/>
      <c r="X140" s="379"/>
      <c r="Y140" s="379"/>
      <c r="Z140" s="379"/>
    </row>
    <row r="141" ht="12.75" customHeight="1">
      <c r="A141" s="379"/>
      <c r="B141" s="379"/>
      <c r="C141" s="379"/>
      <c r="D141" s="379"/>
      <c r="E141" s="379"/>
      <c r="F141" s="379"/>
      <c r="G141" s="379"/>
      <c r="H141" s="379"/>
      <c r="I141" s="379"/>
      <c r="J141" s="379"/>
      <c r="K141" s="379"/>
      <c r="L141" s="379"/>
      <c r="M141" s="379"/>
      <c r="N141" s="379"/>
      <c r="O141" s="379"/>
      <c r="P141" s="379"/>
      <c r="Q141" s="379"/>
      <c r="R141" s="379"/>
      <c r="S141" s="379"/>
      <c r="T141" s="379"/>
      <c r="U141" s="379"/>
      <c r="V141" s="379"/>
      <c r="W141" s="379"/>
      <c r="X141" s="379"/>
      <c r="Y141" s="379"/>
      <c r="Z141" s="379"/>
    </row>
    <row r="142" ht="12.75" customHeight="1">
      <c r="A142" s="379"/>
      <c r="B142" s="379"/>
      <c r="C142" s="379"/>
      <c r="D142" s="379"/>
      <c r="E142" s="379"/>
      <c r="F142" s="379"/>
      <c r="G142" s="379"/>
      <c r="H142" s="379"/>
      <c r="I142" s="379"/>
      <c r="J142" s="379"/>
      <c r="K142" s="379"/>
      <c r="L142" s="379"/>
      <c r="M142" s="379"/>
      <c r="N142" s="379"/>
      <c r="O142" s="379"/>
      <c r="P142" s="379"/>
      <c r="Q142" s="379"/>
      <c r="R142" s="379"/>
      <c r="S142" s="379"/>
      <c r="T142" s="379"/>
      <c r="U142" s="379"/>
      <c r="V142" s="379"/>
      <c r="W142" s="379"/>
      <c r="X142" s="379"/>
      <c r="Y142" s="379"/>
      <c r="Z142" s="379"/>
    </row>
    <row r="143" ht="12.75" customHeight="1">
      <c r="A143" s="379"/>
      <c r="B143" s="379"/>
      <c r="C143" s="379"/>
      <c r="D143" s="379"/>
      <c r="E143" s="379"/>
      <c r="F143" s="379"/>
      <c r="G143" s="379"/>
      <c r="H143" s="379"/>
      <c r="I143" s="379"/>
      <c r="J143" s="379"/>
      <c r="K143" s="379"/>
      <c r="L143" s="379"/>
      <c r="M143" s="379"/>
      <c r="N143" s="379"/>
      <c r="O143" s="379"/>
      <c r="P143" s="379"/>
      <c r="Q143" s="379"/>
      <c r="R143" s="379"/>
      <c r="S143" s="379"/>
      <c r="T143" s="379"/>
      <c r="U143" s="379"/>
      <c r="V143" s="379"/>
      <c r="W143" s="379"/>
      <c r="X143" s="379"/>
      <c r="Y143" s="379"/>
      <c r="Z143" s="379"/>
    </row>
    <row r="144" ht="12.75" customHeight="1">
      <c r="A144" s="379"/>
      <c r="B144" s="379"/>
      <c r="C144" s="379"/>
      <c r="D144" s="379"/>
      <c r="E144" s="379"/>
      <c r="F144" s="379"/>
      <c r="G144" s="379"/>
      <c r="H144" s="379"/>
      <c r="I144" s="379"/>
      <c r="J144" s="379"/>
      <c r="K144" s="379"/>
      <c r="L144" s="379"/>
      <c r="M144" s="379"/>
      <c r="N144" s="379"/>
      <c r="O144" s="379"/>
      <c r="P144" s="379"/>
      <c r="Q144" s="379"/>
      <c r="R144" s="379"/>
      <c r="S144" s="379"/>
      <c r="T144" s="379"/>
      <c r="U144" s="379"/>
      <c r="V144" s="379"/>
      <c r="W144" s="379"/>
      <c r="X144" s="379"/>
      <c r="Y144" s="379"/>
      <c r="Z144" s="379"/>
    </row>
    <row r="145" ht="12.75" customHeight="1">
      <c r="A145" s="379"/>
      <c r="B145" s="379"/>
      <c r="C145" s="379"/>
      <c r="D145" s="379"/>
      <c r="E145" s="379"/>
      <c r="F145" s="379"/>
      <c r="G145" s="379"/>
      <c r="H145" s="379"/>
      <c r="I145" s="379"/>
      <c r="J145" s="379"/>
      <c r="K145" s="379"/>
      <c r="L145" s="379"/>
      <c r="M145" s="379"/>
      <c r="N145" s="379"/>
      <c r="O145" s="379"/>
      <c r="P145" s="379"/>
      <c r="Q145" s="379"/>
      <c r="R145" s="379"/>
      <c r="S145" s="379"/>
      <c r="T145" s="379"/>
      <c r="U145" s="379"/>
      <c r="V145" s="379"/>
      <c r="W145" s="379"/>
      <c r="X145" s="379"/>
      <c r="Y145" s="379"/>
      <c r="Z145" s="379"/>
    </row>
    <row r="146" ht="12.75" customHeight="1">
      <c r="A146" s="379"/>
      <c r="B146" s="379"/>
      <c r="C146" s="379"/>
      <c r="D146" s="379"/>
      <c r="E146" s="379"/>
      <c r="F146" s="379"/>
      <c r="G146" s="379"/>
      <c r="H146" s="379"/>
      <c r="I146" s="379"/>
      <c r="J146" s="379"/>
      <c r="K146" s="379"/>
      <c r="L146" s="379"/>
      <c r="M146" s="379"/>
      <c r="N146" s="379"/>
      <c r="O146" s="379"/>
      <c r="P146" s="379"/>
      <c r="Q146" s="379"/>
      <c r="R146" s="379"/>
      <c r="S146" s="379"/>
      <c r="T146" s="379"/>
      <c r="U146" s="379"/>
      <c r="V146" s="379"/>
      <c r="W146" s="379"/>
      <c r="X146" s="379"/>
      <c r="Y146" s="379"/>
      <c r="Z146" s="379"/>
    </row>
    <row r="147" ht="12.75" customHeight="1">
      <c r="A147" s="379"/>
      <c r="B147" s="379"/>
      <c r="C147" s="379"/>
      <c r="D147" s="379"/>
      <c r="E147" s="379"/>
      <c r="F147" s="379"/>
      <c r="G147" s="379"/>
      <c r="H147" s="379"/>
      <c r="I147" s="379"/>
      <c r="J147" s="379"/>
      <c r="K147" s="379"/>
      <c r="L147" s="379"/>
      <c r="M147" s="379"/>
      <c r="N147" s="379"/>
      <c r="O147" s="379"/>
      <c r="P147" s="379"/>
      <c r="Q147" s="379"/>
      <c r="R147" s="379"/>
      <c r="S147" s="379"/>
      <c r="T147" s="379"/>
      <c r="U147" s="379"/>
      <c r="V147" s="379"/>
      <c r="W147" s="379"/>
      <c r="X147" s="379"/>
      <c r="Y147" s="379"/>
      <c r="Z147" s="379"/>
    </row>
    <row r="148" ht="12.75" customHeight="1">
      <c r="A148" s="379"/>
      <c r="B148" s="379"/>
      <c r="C148" s="379"/>
      <c r="D148" s="379"/>
      <c r="E148" s="379"/>
      <c r="F148" s="379"/>
      <c r="G148" s="379"/>
      <c r="H148" s="379"/>
      <c r="I148" s="379"/>
      <c r="J148" s="379"/>
      <c r="K148" s="379"/>
      <c r="L148" s="379"/>
      <c r="M148" s="379"/>
      <c r="N148" s="379"/>
      <c r="O148" s="379"/>
      <c r="P148" s="379"/>
      <c r="Q148" s="379"/>
      <c r="R148" s="379"/>
      <c r="S148" s="379"/>
      <c r="T148" s="379"/>
      <c r="U148" s="379"/>
      <c r="V148" s="379"/>
      <c r="W148" s="379"/>
      <c r="X148" s="379"/>
      <c r="Y148" s="379"/>
      <c r="Z148" s="379"/>
    </row>
    <row r="149" ht="12.75" customHeight="1">
      <c r="A149" s="379"/>
      <c r="B149" s="379"/>
      <c r="C149" s="379"/>
      <c r="D149" s="379"/>
      <c r="E149" s="379"/>
      <c r="F149" s="379"/>
      <c r="G149" s="379"/>
      <c r="H149" s="379"/>
      <c r="I149" s="379"/>
      <c r="J149" s="379"/>
      <c r="K149" s="379"/>
      <c r="L149" s="379"/>
      <c r="M149" s="379"/>
      <c r="N149" s="379"/>
      <c r="O149" s="379"/>
      <c r="P149" s="379"/>
      <c r="Q149" s="379"/>
      <c r="R149" s="379"/>
      <c r="S149" s="379"/>
      <c r="T149" s="379"/>
      <c r="U149" s="379"/>
      <c r="V149" s="379"/>
      <c r="W149" s="379"/>
      <c r="X149" s="379"/>
      <c r="Y149" s="379"/>
      <c r="Z149" s="379"/>
    </row>
    <row r="150" ht="12.75" customHeight="1">
      <c r="A150" s="379"/>
      <c r="B150" s="379"/>
      <c r="C150" s="379"/>
      <c r="D150" s="379"/>
      <c r="E150" s="379"/>
      <c r="F150" s="379"/>
      <c r="G150" s="379"/>
      <c r="H150" s="379"/>
      <c r="I150" s="379"/>
      <c r="J150" s="379"/>
      <c r="K150" s="379"/>
      <c r="L150" s="379"/>
      <c r="M150" s="379"/>
      <c r="N150" s="379"/>
      <c r="O150" s="379"/>
      <c r="P150" s="379"/>
      <c r="Q150" s="379"/>
      <c r="R150" s="379"/>
      <c r="S150" s="379"/>
      <c r="T150" s="379"/>
      <c r="U150" s="379"/>
      <c r="V150" s="379"/>
      <c r="W150" s="379"/>
      <c r="X150" s="379"/>
      <c r="Y150" s="379"/>
      <c r="Z150" s="379"/>
    </row>
    <row r="151" ht="12.75" customHeight="1">
      <c r="A151" s="379"/>
      <c r="B151" s="379"/>
      <c r="C151" s="379"/>
      <c r="D151" s="379"/>
      <c r="E151" s="379"/>
      <c r="F151" s="379"/>
      <c r="G151" s="379"/>
      <c r="H151" s="379"/>
      <c r="I151" s="379"/>
      <c r="J151" s="379"/>
      <c r="K151" s="379"/>
      <c r="L151" s="379"/>
      <c r="M151" s="379"/>
      <c r="N151" s="379"/>
      <c r="O151" s="379"/>
      <c r="P151" s="379"/>
      <c r="Q151" s="379"/>
      <c r="R151" s="379"/>
      <c r="S151" s="379"/>
      <c r="T151" s="379"/>
      <c r="U151" s="379"/>
      <c r="V151" s="379"/>
      <c r="W151" s="379"/>
      <c r="X151" s="379"/>
      <c r="Y151" s="379"/>
      <c r="Z151" s="379"/>
    </row>
    <row r="152" ht="12.75" customHeight="1">
      <c r="A152" s="379"/>
      <c r="B152" s="379"/>
      <c r="C152" s="379"/>
      <c r="D152" s="379"/>
      <c r="E152" s="379"/>
      <c r="F152" s="379"/>
      <c r="G152" s="379"/>
      <c r="H152" s="379"/>
      <c r="I152" s="379"/>
      <c r="J152" s="379"/>
      <c r="K152" s="379"/>
      <c r="L152" s="379"/>
      <c r="M152" s="379"/>
      <c r="N152" s="379"/>
      <c r="O152" s="379"/>
      <c r="P152" s="379"/>
      <c r="Q152" s="379"/>
      <c r="R152" s="379"/>
      <c r="S152" s="379"/>
      <c r="T152" s="379"/>
      <c r="U152" s="379"/>
      <c r="V152" s="379"/>
      <c r="W152" s="379"/>
      <c r="X152" s="379"/>
      <c r="Y152" s="379"/>
      <c r="Z152" s="379"/>
    </row>
    <row r="153" ht="12.75" customHeight="1">
      <c r="A153" s="379"/>
      <c r="B153" s="379"/>
      <c r="C153" s="379"/>
      <c r="D153" s="379"/>
      <c r="E153" s="379"/>
      <c r="F153" s="379"/>
      <c r="G153" s="379"/>
      <c r="H153" s="379"/>
      <c r="I153" s="379"/>
      <c r="J153" s="379"/>
      <c r="K153" s="379"/>
      <c r="L153" s="379"/>
      <c r="M153" s="379"/>
      <c r="N153" s="379"/>
      <c r="O153" s="379"/>
      <c r="P153" s="379"/>
      <c r="Q153" s="379"/>
      <c r="R153" s="379"/>
      <c r="S153" s="379"/>
      <c r="T153" s="379"/>
      <c r="U153" s="379"/>
      <c r="V153" s="379"/>
      <c r="W153" s="379"/>
      <c r="X153" s="379"/>
      <c r="Y153" s="379"/>
      <c r="Z153" s="379"/>
    </row>
    <row r="154" ht="12.75" customHeight="1">
      <c r="A154" s="379"/>
      <c r="B154" s="379"/>
      <c r="C154" s="379"/>
      <c r="D154" s="379"/>
      <c r="E154" s="379"/>
      <c r="F154" s="379"/>
      <c r="G154" s="379"/>
      <c r="H154" s="379"/>
      <c r="I154" s="379"/>
      <c r="J154" s="379"/>
      <c r="K154" s="379"/>
      <c r="L154" s="379"/>
      <c r="M154" s="379"/>
      <c r="N154" s="379"/>
      <c r="O154" s="379"/>
      <c r="P154" s="379"/>
      <c r="Q154" s="379"/>
      <c r="R154" s="379"/>
      <c r="S154" s="379"/>
      <c r="T154" s="379"/>
      <c r="U154" s="379"/>
      <c r="V154" s="379"/>
      <c r="W154" s="379"/>
      <c r="X154" s="379"/>
      <c r="Y154" s="379"/>
      <c r="Z154" s="379"/>
    </row>
    <row r="155" ht="12.75" customHeight="1">
      <c r="A155" s="379"/>
      <c r="B155" s="379"/>
      <c r="C155" s="379"/>
      <c r="D155" s="379"/>
      <c r="E155" s="379"/>
      <c r="F155" s="379"/>
      <c r="G155" s="379"/>
      <c r="H155" s="379"/>
      <c r="I155" s="379"/>
      <c r="J155" s="379"/>
      <c r="K155" s="379"/>
      <c r="L155" s="379"/>
      <c r="M155" s="379"/>
      <c r="N155" s="379"/>
      <c r="O155" s="379"/>
      <c r="P155" s="379"/>
      <c r="Q155" s="379"/>
      <c r="R155" s="379"/>
      <c r="S155" s="379"/>
      <c r="T155" s="379"/>
      <c r="U155" s="379"/>
      <c r="V155" s="379"/>
      <c r="W155" s="379"/>
      <c r="X155" s="379"/>
      <c r="Y155" s="379"/>
      <c r="Z155" s="379"/>
    </row>
    <row r="156" ht="12.75" customHeight="1">
      <c r="A156" s="379"/>
      <c r="B156" s="379"/>
      <c r="C156" s="379"/>
      <c r="D156" s="379"/>
      <c r="E156" s="379"/>
      <c r="F156" s="379"/>
      <c r="G156" s="379"/>
      <c r="H156" s="379"/>
      <c r="I156" s="379"/>
      <c r="J156" s="379"/>
      <c r="K156" s="379"/>
      <c r="L156" s="379"/>
      <c r="M156" s="379"/>
      <c r="N156" s="379"/>
      <c r="O156" s="379"/>
      <c r="P156" s="379"/>
      <c r="Q156" s="379"/>
      <c r="R156" s="379"/>
      <c r="S156" s="379"/>
      <c r="T156" s="379"/>
      <c r="U156" s="379"/>
      <c r="V156" s="379"/>
      <c r="W156" s="379"/>
      <c r="X156" s="379"/>
      <c r="Y156" s="379"/>
      <c r="Z156" s="379"/>
    </row>
    <row r="157" ht="12.75" customHeight="1">
      <c r="A157" s="379"/>
      <c r="B157" s="379"/>
      <c r="C157" s="379"/>
      <c r="D157" s="379"/>
      <c r="E157" s="379"/>
      <c r="F157" s="379"/>
      <c r="G157" s="379"/>
      <c r="H157" s="379"/>
      <c r="I157" s="379"/>
      <c r="J157" s="379"/>
      <c r="K157" s="379"/>
      <c r="L157" s="379"/>
      <c r="M157" s="379"/>
      <c r="N157" s="379"/>
      <c r="O157" s="379"/>
      <c r="P157" s="379"/>
      <c r="Q157" s="379"/>
      <c r="R157" s="379"/>
      <c r="S157" s="379"/>
      <c r="T157" s="379"/>
      <c r="U157" s="379"/>
      <c r="V157" s="379"/>
      <c r="W157" s="379"/>
      <c r="X157" s="379"/>
      <c r="Y157" s="379"/>
      <c r="Z157" s="379"/>
    </row>
    <row r="158" ht="12.75" customHeight="1">
      <c r="A158" s="379"/>
      <c r="B158" s="379"/>
      <c r="C158" s="379"/>
      <c r="D158" s="379"/>
      <c r="E158" s="379"/>
      <c r="F158" s="379"/>
      <c r="G158" s="379"/>
      <c r="H158" s="379"/>
      <c r="I158" s="379"/>
      <c r="J158" s="379"/>
      <c r="K158" s="379"/>
      <c r="L158" s="379"/>
      <c r="M158" s="379"/>
      <c r="N158" s="379"/>
      <c r="O158" s="379"/>
      <c r="P158" s="379"/>
      <c r="Q158" s="379"/>
      <c r="R158" s="379"/>
      <c r="S158" s="379"/>
      <c r="T158" s="379"/>
      <c r="U158" s="379"/>
      <c r="V158" s="379"/>
      <c r="W158" s="379"/>
      <c r="X158" s="379"/>
      <c r="Y158" s="379"/>
      <c r="Z158" s="379"/>
    </row>
    <row r="159" ht="12.75" customHeight="1">
      <c r="A159" s="379"/>
      <c r="B159" s="379"/>
      <c r="C159" s="379"/>
      <c r="D159" s="379"/>
      <c r="E159" s="379"/>
      <c r="F159" s="379"/>
      <c r="G159" s="379"/>
      <c r="H159" s="379"/>
      <c r="I159" s="379"/>
      <c r="J159" s="379"/>
      <c r="K159" s="379"/>
      <c r="L159" s="379"/>
      <c r="M159" s="379"/>
      <c r="N159" s="379"/>
      <c r="O159" s="379"/>
      <c r="P159" s="379"/>
      <c r="Q159" s="379"/>
      <c r="R159" s="379"/>
      <c r="S159" s="379"/>
      <c r="T159" s="379"/>
      <c r="U159" s="379"/>
      <c r="V159" s="379"/>
      <c r="W159" s="379"/>
      <c r="X159" s="379"/>
      <c r="Y159" s="379"/>
      <c r="Z159" s="379"/>
    </row>
    <row r="160" ht="12.75" customHeight="1">
      <c r="A160" s="379"/>
      <c r="B160" s="379"/>
      <c r="C160" s="379"/>
      <c r="D160" s="379"/>
      <c r="E160" s="379"/>
      <c r="F160" s="379"/>
      <c r="G160" s="379"/>
      <c r="H160" s="379"/>
      <c r="I160" s="379"/>
      <c r="J160" s="379"/>
      <c r="K160" s="379"/>
      <c r="L160" s="379"/>
      <c r="M160" s="379"/>
      <c r="N160" s="379"/>
      <c r="O160" s="379"/>
      <c r="P160" s="379"/>
      <c r="Q160" s="379"/>
      <c r="R160" s="379"/>
      <c r="S160" s="379"/>
      <c r="T160" s="379"/>
      <c r="U160" s="379"/>
      <c r="V160" s="379"/>
      <c r="W160" s="379"/>
      <c r="X160" s="379"/>
      <c r="Y160" s="379"/>
      <c r="Z160" s="379"/>
    </row>
    <row r="161" ht="12.75" customHeight="1">
      <c r="A161" s="379"/>
      <c r="B161" s="379"/>
      <c r="C161" s="379"/>
      <c r="D161" s="379"/>
      <c r="E161" s="379"/>
      <c r="F161" s="379"/>
      <c r="G161" s="379"/>
      <c r="H161" s="379"/>
      <c r="I161" s="379"/>
      <c r="J161" s="379"/>
      <c r="K161" s="379"/>
      <c r="L161" s="379"/>
      <c r="M161" s="379"/>
      <c r="N161" s="379"/>
      <c r="O161" s="379"/>
      <c r="P161" s="379"/>
      <c r="Q161" s="379"/>
      <c r="R161" s="379"/>
      <c r="S161" s="379"/>
      <c r="T161" s="379"/>
      <c r="U161" s="379"/>
      <c r="V161" s="379"/>
      <c r="W161" s="379"/>
      <c r="X161" s="379"/>
      <c r="Y161" s="379"/>
      <c r="Z161" s="379"/>
    </row>
    <row r="162" ht="12.75" customHeight="1">
      <c r="A162" s="379"/>
      <c r="B162" s="379"/>
      <c r="C162" s="379"/>
      <c r="D162" s="379"/>
      <c r="E162" s="379"/>
      <c r="F162" s="379"/>
      <c r="G162" s="379"/>
      <c r="H162" s="379"/>
      <c r="I162" s="379"/>
      <c r="J162" s="379"/>
      <c r="K162" s="379"/>
      <c r="L162" s="379"/>
      <c r="M162" s="379"/>
      <c r="N162" s="379"/>
      <c r="O162" s="379"/>
      <c r="P162" s="379"/>
      <c r="Q162" s="379"/>
      <c r="R162" s="379"/>
      <c r="S162" s="379"/>
      <c r="T162" s="379"/>
      <c r="U162" s="379"/>
      <c r="V162" s="379"/>
      <c r="W162" s="379"/>
      <c r="X162" s="379"/>
      <c r="Y162" s="379"/>
      <c r="Z162" s="379"/>
    </row>
    <row r="163" ht="12.75" customHeight="1">
      <c r="A163" s="379"/>
      <c r="B163" s="379"/>
      <c r="C163" s="379"/>
      <c r="D163" s="379"/>
      <c r="E163" s="379"/>
      <c r="F163" s="379"/>
      <c r="G163" s="379"/>
      <c r="H163" s="379"/>
      <c r="I163" s="379"/>
      <c r="J163" s="379"/>
      <c r="K163" s="379"/>
      <c r="L163" s="379"/>
      <c r="M163" s="379"/>
      <c r="N163" s="379"/>
      <c r="O163" s="379"/>
      <c r="P163" s="379"/>
      <c r="Q163" s="379"/>
      <c r="R163" s="379"/>
      <c r="S163" s="379"/>
      <c r="T163" s="379"/>
      <c r="U163" s="379"/>
      <c r="V163" s="379"/>
      <c r="W163" s="379"/>
      <c r="X163" s="379"/>
      <c r="Y163" s="379"/>
      <c r="Z163" s="379"/>
    </row>
    <row r="164" ht="12.75" customHeight="1">
      <c r="A164" s="379"/>
      <c r="B164" s="379"/>
      <c r="C164" s="379"/>
      <c r="D164" s="379"/>
      <c r="E164" s="379"/>
      <c r="F164" s="379"/>
      <c r="G164" s="379"/>
      <c r="H164" s="379"/>
      <c r="I164" s="379"/>
      <c r="J164" s="379"/>
      <c r="K164" s="379"/>
      <c r="L164" s="379"/>
      <c r="M164" s="379"/>
      <c r="N164" s="379"/>
      <c r="O164" s="379"/>
      <c r="P164" s="379"/>
      <c r="Q164" s="379"/>
      <c r="R164" s="379"/>
      <c r="S164" s="379"/>
      <c r="T164" s="379"/>
      <c r="U164" s="379"/>
      <c r="V164" s="379"/>
      <c r="W164" s="379"/>
      <c r="X164" s="379"/>
      <c r="Y164" s="379"/>
      <c r="Z164" s="379"/>
    </row>
    <row r="165" ht="12.75" customHeight="1">
      <c r="A165" s="379"/>
      <c r="B165" s="379"/>
      <c r="C165" s="379"/>
      <c r="D165" s="379"/>
      <c r="E165" s="379"/>
      <c r="F165" s="379"/>
      <c r="G165" s="379"/>
      <c r="H165" s="379"/>
      <c r="I165" s="379"/>
      <c r="J165" s="379"/>
      <c r="K165" s="379"/>
      <c r="L165" s="379"/>
      <c r="M165" s="379"/>
      <c r="N165" s="379"/>
      <c r="O165" s="379"/>
      <c r="P165" s="379"/>
      <c r="Q165" s="379"/>
      <c r="R165" s="379"/>
      <c r="S165" s="379"/>
      <c r="T165" s="379"/>
      <c r="U165" s="379"/>
      <c r="V165" s="379"/>
      <c r="W165" s="379"/>
      <c r="X165" s="379"/>
      <c r="Y165" s="379"/>
      <c r="Z165" s="379"/>
    </row>
    <row r="166" ht="12.75" customHeight="1">
      <c r="A166" s="379"/>
      <c r="B166" s="379"/>
      <c r="C166" s="379"/>
      <c r="D166" s="379"/>
      <c r="E166" s="379"/>
      <c r="F166" s="379"/>
      <c r="G166" s="379"/>
      <c r="H166" s="379"/>
      <c r="I166" s="379"/>
      <c r="J166" s="379"/>
      <c r="K166" s="379"/>
      <c r="L166" s="379"/>
      <c r="M166" s="379"/>
      <c r="N166" s="379"/>
      <c r="O166" s="379"/>
      <c r="P166" s="379"/>
      <c r="Q166" s="379"/>
      <c r="R166" s="379"/>
      <c r="S166" s="379"/>
      <c r="T166" s="379"/>
      <c r="U166" s="379"/>
      <c r="V166" s="379"/>
      <c r="W166" s="379"/>
      <c r="X166" s="379"/>
      <c r="Y166" s="379"/>
      <c r="Z166" s="379"/>
    </row>
    <row r="167" ht="12.75" customHeight="1">
      <c r="A167" s="379"/>
      <c r="B167" s="379"/>
      <c r="C167" s="379"/>
      <c r="D167" s="379"/>
      <c r="E167" s="379"/>
      <c r="F167" s="379"/>
      <c r="G167" s="379"/>
      <c r="H167" s="379"/>
      <c r="I167" s="379"/>
      <c r="J167" s="379"/>
      <c r="K167" s="379"/>
      <c r="L167" s="379"/>
      <c r="M167" s="379"/>
      <c r="N167" s="379"/>
      <c r="O167" s="379"/>
      <c r="P167" s="379"/>
      <c r="Q167" s="379"/>
      <c r="R167" s="379"/>
      <c r="S167" s="379"/>
      <c r="T167" s="379"/>
      <c r="U167" s="379"/>
      <c r="V167" s="379"/>
      <c r="W167" s="379"/>
      <c r="X167" s="379"/>
      <c r="Y167" s="379"/>
      <c r="Z167" s="379"/>
    </row>
    <row r="168" ht="12.75" customHeight="1">
      <c r="A168" s="379"/>
      <c r="B168" s="379"/>
      <c r="C168" s="379"/>
      <c r="D168" s="379"/>
      <c r="E168" s="379"/>
      <c r="F168" s="379"/>
      <c r="G168" s="379"/>
      <c r="H168" s="379"/>
      <c r="I168" s="379"/>
      <c r="J168" s="379"/>
      <c r="K168" s="379"/>
      <c r="L168" s="379"/>
      <c r="M168" s="379"/>
      <c r="N168" s="379"/>
      <c r="O168" s="379"/>
      <c r="P168" s="379"/>
      <c r="Q168" s="379"/>
      <c r="R168" s="379"/>
      <c r="S168" s="379"/>
      <c r="T168" s="379"/>
      <c r="U168" s="379"/>
      <c r="V168" s="379"/>
      <c r="W168" s="379"/>
      <c r="X168" s="379"/>
      <c r="Y168" s="379"/>
      <c r="Z168" s="379"/>
    </row>
    <row r="169" ht="12.75" customHeight="1">
      <c r="A169" s="379"/>
      <c r="B169" s="379"/>
      <c r="C169" s="379"/>
      <c r="D169" s="379"/>
      <c r="E169" s="379"/>
      <c r="F169" s="379"/>
      <c r="G169" s="379"/>
      <c r="H169" s="379"/>
      <c r="I169" s="379"/>
      <c r="J169" s="379"/>
      <c r="K169" s="379"/>
      <c r="L169" s="379"/>
      <c r="M169" s="379"/>
      <c r="N169" s="379"/>
      <c r="O169" s="379"/>
      <c r="P169" s="379"/>
      <c r="Q169" s="379"/>
      <c r="R169" s="379"/>
      <c r="S169" s="379"/>
      <c r="T169" s="379"/>
      <c r="U169" s="379"/>
      <c r="V169" s="379"/>
      <c r="W169" s="379"/>
      <c r="X169" s="379"/>
      <c r="Y169" s="379"/>
      <c r="Z169" s="379"/>
    </row>
    <row r="170" ht="12.75" customHeight="1">
      <c r="A170" s="379"/>
      <c r="B170" s="379"/>
      <c r="C170" s="379"/>
      <c r="D170" s="379"/>
      <c r="E170" s="379"/>
      <c r="F170" s="379"/>
      <c r="G170" s="379"/>
      <c r="H170" s="379"/>
      <c r="I170" s="379"/>
      <c r="J170" s="379"/>
      <c r="K170" s="379"/>
      <c r="L170" s="379"/>
      <c r="M170" s="379"/>
      <c r="N170" s="379"/>
      <c r="O170" s="379"/>
      <c r="P170" s="379"/>
      <c r="Q170" s="379"/>
      <c r="R170" s="379"/>
      <c r="S170" s="379"/>
      <c r="T170" s="379"/>
      <c r="U170" s="379"/>
      <c r="V170" s="379"/>
      <c r="W170" s="379"/>
      <c r="X170" s="379"/>
      <c r="Y170" s="379"/>
      <c r="Z170" s="379"/>
    </row>
    <row r="171" ht="12.75" customHeight="1">
      <c r="A171" s="379"/>
      <c r="B171" s="379"/>
      <c r="C171" s="379"/>
      <c r="D171" s="379"/>
      <c r="E171" s="379"/>
      <c r="F171" s="379"/>
      <c r="G171" s="379"/>
      <c r="H171" s="379"/>
      <c r="I171" s="379"/>
      <c r="J171" s="379"/>
      <c r="K171" s="379"/>
      <c r="L171" s="379"/>
      <c r="M171" s="379"/>
      <c r="N171" s="379"/>
      <c r="O171" s="379"/>
      <c r="P171" s="379"/>
      <c r="Q171" s="379"/>
      <c r="R171" s="379"/>
      <c r="S171" s="379"/>
      <c r="T171" s="379"/>
      <c r="U171" s="379"/>
      <c r="V171" s="379"/>
      <c r="W171" s="379"/>
      <c r="X171" s="379"/>
      <c r="Y171" s="379"/>
      <c r="Z171" s="379"/>
    </row>
    <row r="172" ht="12.75" customHeight="1">
      <c r="A172" s="379"/>
      <c r="B172" s="379"/>
      <c r="C172" s="379"/>
      <c r="D172" s="379"/>
      <c r="E172" s="379"/>
      <c r="F172" s="379"/>
      <c r="G172" s="379"/>
      <c r="H172" s="379"/>
      <c r="I172" s="379"/>
      <c r="J172" s="379"/>
      <c r="K172" s="379"/>
      <c r="L172" s="379"/>
      <c r="M172" s="379"/>
      <c r="N172" s="379"/>
      <c r="O172" s="379"/>
      <c r="P172" s="379"/>
      <c r="Q172" s="379"/>
      <c r="R172" s="379"/>
      <c r="S172" s="379"/>
      <c r="T172" s="379"/>
      <c r="U172" s="379"/>
      <c r="V172" s="379"/>
      <c r="W172" s="379"/>
      <c r="X172" s="379"/>
      <c r="Y172" s="379"/>
      <c r="Z172" s="379"/>
    </row>
    <row r="173" ht="12.75" customHeight="1">
      <c r="A173" s="379"/>
      <c r="B173" s="379"/>
      <c r="C173" s="379"/>
      <c r="D173" s="379"/>
      <c r="E173" s="379"/>
      <c r="F173" s="379"/>
      <c r="G173" s="379"/>
      <c r="H173" s="379"/>
      <c r="I173" s="379"/>
      <c r="J173" s="379"/>
      <c r="K173" s="379"/>
      <c r="L173" s="379"/>
      <c r="M173" s="379"/>
      <c r="N173" s="379"/>
      <c r="O173" s="379"/>
      <c r="P173" s="379"/>
      <c r="Q173" s="379"/>
      <c r="R173" s="379"/>
      <c r="S173" s="379"/>
      <c r="T173" s="379"/>
      <c r="U173" s="379"/>
      <c r="V173" s="379"/>
      <c r="W173" s="379"/>
      <c r="X173" s="379"/>
      <c r="Y173" s="379"/>
      <c r="Z173" s="379"/>
    </row>
    <row r="174" ht="12.75" customHeight="1">
      <c r="A174" s="379"/>
      <c r="B174" s="379"/>
      <c r="C174" s="379"/>
      <c r="D174" s="379"/>
      <c r="E174" s="379"/>
      <c r="F174" s="379"/>
      <c r="G174" s="379"/>
      <c r="H174" s="379"/>
      <c r="I174" s="379"/>
      <c r="J174" s="379"/>
      <c r="K174" s="379"/>
      <c r="L174" s="379"/>
      <c r="M174" s="379"/>
      <c r="N174" s="379"/>
      <c r="O174" s="379"/>
      <c r="P174" s="379"/>
      <c r="Q174" s="379"/>
      <c r="R174" s="379"/>
      <c r="S174" s="379"/>
      <c r="T174" s="379"/>
      <c r="U174" s="379"/>
      <c r="V174" s="379"/>
      <c r="W174" s="379"/>
      <c r="X174" s="379"/>
      <c r="Y174" s="379"/>
      <c r="Z174" s="379"/>
    </row>
    <row r="175" ht="12.75" customHeight="1">
      <c r="A175" s="379"/>
      <c r="B175" s="379"/>
      <c r="C175" s="379"/>
      <c r="D175" s="379"/>
      <c r="E175" s="379"/>
      <c r="F175" s="379"/>
      <c r="G175" s="379"/>
      <c r="H175" s="379"/>
      <c r="I175" s="379"/>
      <c r="J175" s="379"/>
      <c r="K175" s="379"/>
      <c r="L175" s="379"/>
      <c r="M175" s="379"/>
      <c r="N175" s="379"/>
      <c r="O175" s="379"/>
      <c r="P175" s="379"/>
      <c r="Q175" s="379"/>
      <c r="R175" s="379"/>
      <c r="S175" s="379"/>
      <c r="T175" s="379"/>
      <c r="U175" s="379"/>
      <c r="V175" s="379"/>
      <c r="W175" s="379"/>
      <c r="X175" s="379"/>
      <c r="Y175" s="379"/>
      <c r="Z175" s="379"/>
    </row>
    <row r="176" ht="12.75" customHeight="1">
      <c r="A176" s="379"/>
      <c r="B176" s="379"/>
      <c r="C176" s="379"/>
      <c r="D176" s="379"/>
      <c r="E176" s="379"/>
      <c r="F176" s="379"/>
      <c r="G176" s="379"/>
      <c r="H176" s="379"/>
      <c r="I176" s="379"/>
      <c r="J176" s="379"/>
      <c r="K176" s="379"/>
      <c r="L176" s="379"/>
      <c r="M176" s="379"/>
      <c r="N176" s="379"/>
      <c r="O176" s="379"/>
      <c r="P176" s="379"/>
      <c r="Q176" s="379"/>
      <c r="R176" s="379"/>
      <c r="S176" s="379"/>
      <c r="T176" s="379"/>
      <c r="U176" s="379"/>
      <c r="V176" s="379"/>
      <c r="W176" s="379"/>
      <c r="X176" s="379"/>
      <c r="Y176" s="379"/>
      <c r="Z176" s="379"/>
    </row>
    <row r="177" ht="12.75" customHeight="1">
      <c r="A177" s="379"/>
      <c r="B177" s="379"/>
      <c r="C177" s="379"/>
      <c r="D177" s="379"/>
      <c r="E177" s="379"/>
      <c r="F177" s="379"/>
      <c r="G177" s="379"/>
      <c r="H177" s="379"/>
      <c r="I177" s="379"/>
      <c r="J177" s="379"/>
      <c r="K177" s="379"/>
      <c r="L177" s="379"/>
      <c r="M177" s="379"/>
      <c r="N177" s="379"/>
      <c r="O177" s="379"/>
      <c r="P177" s="379"/>
      <c r="Q177" s="379"/>
      <c r="R177" s="379"/>
      <c r="S177" s="379"/>
      <c r="T177" s="379"/>
      <c r="U177" s="379"/>
      <c r="V177" s="379"/>
      <c r="W177" s="379"/>
      <c r="X177" s="379"/>
      <c r="Y177" s="379"/>
      <c r="Z177" s="379"/>
    </row>
    <row r="178" ht="12.75" customHeight="1">
      <c r="A178" s="379"/>
      <c r="B178" s="379"/>
      <c r="C178" s="379"/>
      <c r="D178" s="379"/>
      <c r="E178" s="379"/>
      <c r="F178" s="379"/>
      <c r="G178" s="379"/>
      <c r="H178" s="379"/>
      <c r="I178" s="379"/>
      <c r="J178" s="379"/>
      <c r="K178" s="379"/>
      <c r="L178" s="379"/>
      <c r="M178" s="379"/>
      <c r="N178" s="379"/>
      <c r="O178" s="379"/>
      <c r="P178" s="379"/>
      <c r="Q178" s="379"/>
      <c r="R178" s="379"/>
      <c r="S178" s="379"/>
      <c r="T178" s="379"/>
      <c r="U178" s="379"/>
      <c r="V178" s="379"/>
      <c r="W178" s="379"/>
      <c r="X178" s="379"/>
      <c r="Y178" s="379"/>
      <c r="Z178" s="379"/>
    </row>
    <row r="179" ht="12.75" customHeight="1">
      <c r="A179" s="379"/>
      <c r="B179" s="379"/>
      <c r="C179" s="379"/>
      <c r="D179" s="379"/>
      <c r="E179" s="379"/>
      <c r="F179" s="379"/>
      <c r="G179" s="379"/>
      <c r="H179" s="379"/>
      <c r="I179" s="379"/>
      <c r="J179" s="379"/>
      <c r="K179" s="379"/>
      <c r="L179" s="379"/>
      <c r="M179" s="379"/>
      <c r="N179" s="379"/>
      <c r="O179" s="379"/>
      <c r="P179" s="379"/>
      <c r="Q179" s="379"/>
      <c r="R179" s="379"/>
      <c r="S179" s="379"/>
      <c r="T179" s="379"/>
      <c r="U179" s="379"/>
      <c r="V179" s="379"/>
      <c r="W179" s="379"/>
      <c r="X179" s="379"/>
      <c r="Y179" s="379"/>
      <c r="Z179" s="379"/>
    </row>
    <row r="180" ht="12.75" customHeight="1">
      <c r="A180" s="379"/>
      <c r="B180" s="379"/>
      <c r="C180" s="379"/>
      <c r="D180" s="379"/>
      <c r="E180" s="379"/>
      <c r="F180" s="379"/>
      <c r="G180" s="379"/>
      <c r="H180" s="379"/>
      <c r="I180" s="379"/>
      <c r="J180" s="379"/>
      <c r="K180" s="379"/>
      <c r="L180" s="379"/>
      <c r="M180" s="379"/>
      <c r="N180" s="379"/>
      <c r="O180" s="379"/>
      <c r="P180" s="379"/>
      <c r="Q180" s="379"/>
      <c r="R180" s="379"/>
      <c r="S180" s="379"/>
      <c r="T180" s="379"/>
      <c r="U180" s="379"/>
      <c r="V180" s="379"/>
      <c r="W180" s="379"/>
      <c r="X180" s="379"/>
      <c r="Y180" s="379"/>
      <c r="Z180" s="379"/>
    </row>
    <row r="181" ht="12.75" customHeight="1">
      <c r="A181" s="379"/>
      <c r="B181" s="379"/>
      <c r="C181" s="379"/>
      <c r="D181" s="379"/>
      <c r="E181" s="379"/>
      <c r="F181" s="379"/>
      <c r="G181" s="379"/>
      <c r="H181" s="379"/>
      <c r="I181" s="379"/>
      <c r="J181" s="379"/>
      <c r="K181" s="379"/>
      <c r="L181" s="379"/>
      <c r="M181" s="379"/>
      <c r="N181" s="379"/>
      <c r="O181" s="379"/>
      <c r="P181" s="379"/>
      <c r="Q181" s="379"/>
      <c r="R181" s="379"/>
      <c r="S181" s="379"/>
      <c r="T181" s="379"/>
      <c r="U181" s="379"/>
      <c r="V181" s="379"/>
      <c r="W181" s="379"/>
      <c r="X181" s="379"/>
      <c r="Y181" s="379"/>
      <c r="Z181" s="379"/>
    </row>
    <row r="182" ht="12.75" customHeight="1">
      <c r="A182" s="379"/>
      <c r="B182" s="379"/>
      <c r="C182" s="379"/>
      <c r="D182" s="379"/>
      <c r="E182" s="379"/>
      <c r="F182" s="379"/>
      <c r="G182" s="379"/>
      <c r="H182" s="379"/>
      <c r="I182" s="379"/>
      <c r="J182" s="379"/>
      <c r="K182" s="379"/>
      <c r="L182" s="379"/>
      <c r="M182" s="379"/>
      <c r="N182" s="379"/>
      <c r="O182" s="379"/>
      <c r="P182" s="379"/>
      <c r="Q182" s="379"/>
      <c r="R182" s="379"/>
      <c r="S182" s="379"/>
      <c r="T182" s="379"/>
      <c r="U182" s="379"/>
      <c r="V182" s="379"/>
      <c r="W182" s="379"/>
      <c r="X182" s="379"/>
      <c r="Y182" s="379"/>
      <c r="Z182" s="379"/>
    </row>
    <row r="183" ht="12.75" customHeight="1">
      <c r="A183" s="379"/>
      <c r="B183" s="379"/>
      <c r="C183" s="379"/>
      <c r="D183" s="379"/>
      <c r="E183" s="379"/>
      <c r="F183" s="379"/>
      <c r="G183" s="379"/>
      <c r="H183" s="379"/>
      <c r="I183" s="379"/>
      <c r="J183" s="379"/>
      <c r="K183" s="379"/>
      <c r="L183" s="379"/>
      <c r="M183" s="379"/>
      <c r="N183" s="379"/>
      <c r="O183" s="379"/>
      <c r="P183" s="379"/>
      <c r="Q183" s="379"/>
      <c r="R183" s="379"/>
      <c r="S183" s="379"/>
      <c r="T183" s="379"/>
      <c r="U183" s="379"/>
      <c r="V183" s="379"/>
      <c r="W183" s="379"/>
      <c r="X183" s="379"/>
      <c r="Y183" s="379"/>
      <c r="Z183" s="379"/>
    </row>
    <row r="184" ht="12.75" customHeight="1">
      <c r="A184" s="379"/>
      <c r="B184" s="379"/>
      <c r="C184" s="379"/>
      <c r="D184" s="379"/>
      <c r="E184" s="379"/>
      <c r="F184" s="379"/>
      <c r="G184" s="379"/>
      <c r="H184" s="379"/>
      <c r="I184" s="379"/>
      <c r="J184" s="379"/>
      <c r="K184" s="379"/>
      <c r="L184" s="379"/>
      <c r="M184" s="379"/>
      <c r="N184" s="379"/>
      <c r="O184" s="379"/>
      <c r="P184" s="379"/>
      <c r="Q184" s="379"/>
      <c r="R184" s="379"/>
      <c r="S184" s="379"/>
      <c r="T184" s="379"/>
      <c r="U184" s="379"/>
      <c r="V184" s="379"/>
      <c r="W184" s="379"/>
      <c r="X184" s="379"/>
      <c r="Y184" s="379"/>
      <c r="Z184" s="379"/>
    </row>
    <row r="185" ht="12.75" customHeight="1">
      <c r="A185" s="379"/>
      <c r="B185" s="379"/>
      <c r="C185" s="379"/>
      <c r="D185" s="379"/>
      <c r="E185" s="379"/>
      <c r="F185" s="379"/>
      <c r="G185" s="379"/>
      <c r="H185" s="379"/>
      <c r="I185" s="379"/>
      <c r="J185" s="379"/>
      <c r="K185" s="379"/>
      <c r="L185" s="379"/>
      <c r="M185" s="379"/>
      <c r="N185" s="379"/>
      <c r="O185" s="379"/>
      <c r="P185" s="379"/>
      <c r="Q185" s="379"/>
      <c r="R185" s="379"/>
      <c r="S185" s="379"/>
      <c r="T185" s="379"/>
      <c r="U185" s="379"/>
      <c r="V185" s="379"/>
      <c r="W185" s="379"/>
      <c r="X185" s="379"/>
      <c r="Y185" s="379"/>
      <c r="Z185" s="379"/>
    </row>
    <row r="186" ht="12.75" customHeight="1">
      <c r="A186" s="379"/>
      <c r="B186" s="379"/>
      <c r="C186" s="379"/>
      <c r="D186" s="379"/>
      <c r="E186" s="379"/>
      <c r="F186" s="379"/>
      <c r="G186" s="379"/>
      <c r="H186" s="379"/>
      <c r="I186" s="379"/>
      <c r="J186" s="379"/>
      <c r="K186" s="379"/>
      <c r="L186" s="379"/>
      <c r="M186" s="379"/>
      <c r="N186" s="379"/>
      <c r="O186" s="379"/>
      <c r="P186" s="379"/>
      <c r="Q186" s="379"/>
      <c r="R186" s="379"/>
      <c r="S186" s="379"/>
      <c r="T186" s="379"/>
      <c r="U186" s="379"/>
      <c r="V186" s="379"/>
      <c r="W186" s="379"/>
      <c r="X186" s="379"/>
      <c r="Y186" s="379"/>
      <c r="Z186" s="379"/>
    </row>
    <row r="187" ht="12.75" customHeight="1">
      <c r="A187" s="379"/>
      <c r="B187" s="379"/>
      <c r="C187" s="379"/>
      <c r="D187" s="379"/>
      <c r="E187" s="379"/>
      <c r="F187" s="379"/>
      <c r="G187" s="379"/>
      <c r="H187" s="379"/>
      <c r="I187" s="379"/>
      <c r="J187" s="379"/>
      <c r="K187" s="379"/>
      <c r="L187" s="379"/>
      <c r="M187" s="379"/>
      <c r="N187" s="379"/>
      <c r="O187" s="379"/>
      <c r="P187" s="379"/>
      <c r="Q187" s="379"/>
      <c r="R187" s="379"/>
      <c r="S187" s="379"/>
      <c r="T187" s="379"/>
      <c r="U187" s="379"/>
      <c r="V187" s="379"/>
      <c r="W187" s="379"/>
      <c r="X187" s="379"/>
      <c r="Y187" s="379"/>
      <c r="Z187" s="379"/>
    </row>
    <row r="188" ht="12.75" customHeight="1">
      <c r="A188" s="379"/>
      <c r="B188" s="379"/>
      <c r="C188" s="379"/>
      <c r="D188" s="379"/>
      <c r="E188" s="379"/>
      <c r="F188" s="379"/>
      <c r="G188" s="379"/>
      <c r="H188" s="379"/>
      <c r="I188" s="379"/>
      <c r="J188" s="379"/>
      <c r="K188" s="379"/>
      <c r="L188" s="379"/>
      <c r="M188" s="379"/>
      <c r="N188" s="379"/>
      <c r="O188" s="379"/>
      <c r="P188" s="379"/>
      <c r="Q188" s="379"/>
      <c r="R188" s="379"/>
      <c r="S188" s="379"/>
      <c r="T188" s="379"/>
      <c r="U188" s="379"/>
      <c r="V188" s="379"/>
      <c r="W188" s="379"/>
      <c r="X188" s="379"/>
      <c r="Y188" s="379"/>
      <c r="Z188" s="379"/>
    </row>
    <row r="189" ht="12.75" customHeight="1">
      <c r="A189" s="379"/>
      <c r="B189" s="379"/>
      <c r="C189" s="379"/>
      <c r="D189" s="379"/>
      <c r="E189" s="379"/>
      <c r="F189" s="379"/>
      <c r="G189" s="379"/>
      <c r="H189" s="379"/>
      <c r="I189" s="379"/>
      <c r="J189" s="379"/>
      <c r="K189" s="379"/>
      <c r="L189" s="379"/>
      <c r="M189" s="379"/>
      <c r="N189" s="379"/>
      <c r="O189" s="379"/>
      <c r="P189" s="379"/>
      <c r="Q189" s="379"/>
      <c r="R189" s="379"/>
      <c r="S189" s="379"/>
      <c r="T189" s="379"/>
      <c r="U189" s="379"/>
      <c r="V189" s="379"/>
      <c r="W189" s="379"/>
      <c r="X189" s="379"/>
      <c r="Y189" s="379"/>
      <c r="Z189" s="379"/>
    </row>
    <row r="190" ht="12.75" customHeight="1">
      <c r="A190" s="379"/>
      <c r="B190" s="379"/>
      <c r="C190" s="379"/>
      <c r="D190" s="379"/>
      <c r="E190" s="379"/>
      <c r="F190" s="379"/>
      <c r="G190" s="379"/>
      <c r="H190" s="379"/>
      <c r="I190" s="379"/>
      <c r="J190" s="379"/>
      <c r="K190" s="379"/>
      <c r="L190" s="379"/>
      <c r="M190" s="379"/>
      <c r="N190" s="379"/>
      <c r="O190" s="379"/>
      <c r="P190" s="379"/>
      <c r="Q190" s="379"/>
      <c r="R190" s="379"/>
      <c r="S190" s="379"/>
      <c r="T190" s="379"/>
      <c r="U190" s="379"/>
      <c r="V190" s="379"/>
      <c r="W190" s="379"/>
      <c r="X190" s="379"/>
      <c r="Y190" s="379"/>
      <c r="Z190" s="379"/>
    </row>
    <row r="191" ht="12.75" customHeight="1">
      <c r="A191" s="379"/>
      <c r="B191" s="379"/>
      <c r="C191" s="379"/>
      <c r="D191" s="379"/>
      <c r="E191" s="379"/>
      <c r="F191" s="379"/>
      <c r="G191" s="379"/>
      <c r="H191" s="379"/>
      <c r="I191" s="379"/>
      <c r="J191" s="379"/>
      <c r="K191" s="379"/>
      <c r="L191" s="379"/>
      <c r="M191" s="379"/>
      <c r="N191" s="379"/>
      <c r="O191" s="379"/>
      <c r="P191" s="379"/>
      <c r="Q191" s="379"/>
      <c r="R191" s="379"/>
      <c r="S191" s="379"/>
      <c r="T191" s="379"/>
      <c r="U191" s="379"/>
      <c r="V191" s="379"/>
      <c r="W191" s="379"/>
      <c r="X191" s="379"/>
      <c r="Y191" s="379"/>
      <c r="Z191" s="379"/>
    </row>
    <row r="192" ht="12.75" customHeight="1">
      <c r="A192" s="379"/>
      <c r="B192" s="379"/>
      <c r="C192" s="379"/>
      <c r="D192" s="379"/>
      <c r="E192" s="379"/>
      <c r="F192" s="379"/>
      <c r="G192" s="379"/>
      <c r="H192" s="379"/>
      <c r="I192" s="379"/>
      <c r="J192" s="379"/>
      <c r="K192" s="379"/>
      <c r="L192" s="379"/>
      <c r="M192" s="379"/>
      <c r="N192" s="379"/>
      <c r="O192" s="379"/>
      <c r="P192" s="379"/>
      <c r="Q192" s="379"/>
      <c r="R192" s="379"/>
      <c r="S192" s="379"/>
      <c r="T192" s="379"/>
      <c r="U192" s="379"/>
      <c r="V192" s="379"/>
      <c r="W192" s="379"/>
      <c r="X192" s="379"/>
      <c r="Y192" s="379"/>
      <c r="Z192" s="379"/>
    </row>
    <row r="193" ht="12.75" customHeight="1">
      <c r="A193" s="379"/>
      <c r="B193" s="379"/>
      <c r="C193" s="379"/>
      <c r="D193" s="379"/>
      <c r="E193" s="379"/>
      <c r="F193" s="379"/>
      <c r="G193" s="379"/>
      <c r="H193" s="379"/>
      <c r="I193" s="379"/>
      <c r="J193" s="379"/>
      <c r="K193" s="379"/>
      <c r="L193" s="379"/>
      <c r="M193" s="379"/>
      <c r="N193" s="379"/>
      <c r="O193" s="379"/>
      <c r="P193" s="379"/>
      <c r="Q193" s="379"/>
      <c r="R193" s="379"/>
      <c r="S193" s="379"/>
      <c r="T193" s="379"/>
      <c r="U193" s="379"/>
      <c r="V193" s="379"/>
      <c r="W193" s="379"/>
      <c r="X193" s="379"/>
      <c r="Y193" s="379"/>
      <c r="Z193" s="379"/>
    </row>
    <row r="194" ht="12.75" customHeight="1">
      <c r="A194" s="379"/>
      <c r="B194" s="379"/>
      <c r="C194" s="379"/>
      <c r="D194" s="379"/>
      <c r="E194" s="379"/>
      <c r="F194" s="379"/>
      <c r="G194" s="379"/>
      <c r="H194" s="379"/>
      <c r="I194" s="379"/>
      <c r="J194" s="379"/>
      <c r="K194" s="379"/>
      <c r="L194" s="379"/>
      <c r="M194" s="379"/>
      <c r="N194" s="379"/>
      <c r="O194" s="379"/>
      <c r="P194" s="379"/>
      <c r="Q194" s="379"/>
      <c r="R194" s="379"/>
      <c r="S194" s="379"/>
      <c r="T194" s="379"/>
      <c r="U194" s="379"/>
      <c r="V194" s="379"/>
      <c r="W194" s="379"/>
      <c r="X194" s="379"/>
      <c r="Y194" s="379"/>
      <c r="Z194" s="379"/>
    </row>
    <row r="195" ht="12.75" customHeight="1">
      <c r="A195" s="379"/>
      <c r="B195" s="379"/>
      <c r="C195" s="379"/>
      <c r="D195" s="379"/>
      <c r="E195" s="379"/>
      <c r="F195" s="379"/>
      <c r="G195" s="379"/>
      <c r="H195" s="379"/>
      <c r="I195" s="379"/>
      <c r="J195" s="379"/>
      <c r="K195" s="379"/>
      <c r="L195" s="379"/>
      <c r="M195" s="379"/>
      <c r="N195" s="379"/>
      <c r="O195" s="379"/>
      <c r="P195" s="379"/>
      <c r="Q195" s="379"/>
      <c r="R195" s="379"/>
      <c r="S195" s="379"/>
      <c r="T195" s="379"/>
      <c r="U195" s="379"/>
      <c r="V195" s="379"/>
      <c r="W195" s="379"/>
      <c r="X195" s="379"/>
      <c r="Y195" s="379"/>
      <c r="Z195" s="379"/>
    </row>
    <row r="196" ht="12.75" customHeight="1">
      <c r="A196" s="379"/>
      <c r="B196" s="379"/>
      <c r="C196" s="379"/>
      <c r="D196" s="379"/>
      <c r="E196" s="379"/>
      <c r="F196" s="379"/>
      <c r="G196" s="379"/>
      <c r="H196" s="379"/>
      <c r="I196" s="379"/>
      <c r="J196" s="379"/>
      <c r="K196" s="379"/>
      <c r="L196" s="379"/>
      <c r="M196" s="379"/>
      <c r="N196" s="379"/>
      <c r="O196" s="379"/>
      <c r="P196" s="379"/>
      <c r="Q196" s="379"/>
      <c r="R196" s="379"/>
      <c r="S196" s="379"/>
      <c r="T196" s="379"/>
      <c r="U196" s="379"/>
      <c r="V196" s="379"/>
      <c r="W196" s="379"/>
      <c r="X196" s="379"/>
      <c r="Y196" s="379"/>
      <c r="Z196" s="379"/>
    </row>
    <row r="197" ht="12.75" customHeight="1">
      <c r="A197" s="379"/>
      <c r="B197" s="379"/>
      <c r="C197" s="379"/>
      <c r="D197" s="379"/>
      <c r="E197" s="379"/>
      <c r="F197" s="379"/>
      <c r="G197" s="379"/>
      <c r="H197" s="379"/>
      <c r="I197" s="379"/>
      <c r="J197" s="379"/>
      <c r="K197" s="379"/>
      <c r="L197" s="379"/>
      <c r="M197" s="379"/>
      <c r="N197" s="379"/>
      <c r="O197" s="379"/>
      <c r="P197" s="379"/>
      <c r="Q197" s="379"/>
      <c r="R197" s="379"/>
      <c r="S197" s="379"/>
      <c r="T197" s="379"/>
      <c r="U197" s="379"/>
      <c r="V197" s="379"/>
      <c r="W197" s="379"/>
      <c r="X197" s="379"/>
      <c r="Y197" s="379"/>
      <c r="Z197" s="379"/>
    </row>
    <row r="198" ht="12.75" customHeight="1">
      <c r="A198" s="379"/>
      <c r="B198" s="379"/>
      <c r="C198" s="379"/>
      <c r="D198" s="379"/>
      <c r="E198" s="379"/>
      <c r="F198" s="379"/>
      <c r="G198" s="379"/>
      <c r="H198" s="379"/>
      <c r="I198" s="379"/>
      <c r="J198" s="379"/>
      <c r="K198" s="379"/>
      <c r="L198" s="379"/>
      <c r="M198" s="379"/>
      <c r="N198" s="379"/>
      <c r="O198" s="379"/>
      <c r="P198" s="379"/>
      <c r="Q198" s="379"/>
      <c r="R198" s="379"/>
      <c r="S198" s="379"/>
      <c r="T198" s="379"/>
      <c r="U198" s="379"/>
      <c r="V198" s="379"/>
      <c r="W198" s="379"/>
      <c r="X198" s="379"/>
      <c r="Y198" s="379"/>
      <c r="Z198" s="379"/>
    </row>
    <row r="199" ht="12.75" customHeight="1">
      <c r="A199" s="379"/>
      <c r="B199" s="379"/>
      <c r="C199" s="379"/>
      <c r="D199" s="379"/>
      <c r="E199" s="379"/>
      <c r="F199" s="379"/>
      <c r="G199" s="379"/>
      <c r="H199" s="379"/>
      <c r="I199" s="379"/>
      <c r="J199" s="379"/>
      <c r="K199" s="379"/>
      <c r="L199" s="379"/>
      <c r="M199" s="379"/>
      <c r="N199" s="379"/>
      <c r="O199" s="379"/>
      <c r="P199" s="379"/>
      <c r="Q199" s="379"/>
      <c r="R199" s="379"/>
      <c r="S199" s="379"/>
      <c r="T199" s="379"/>
      <c r="U199" s="379"/>
      <c r="V199" s="379"/>
      <c r="W199" s="379"/>
      <c r="X199" s="379"/>
      <c r="Y199" s="379"/>
      <c r="Z199" s="379"/>
    </row>
    <row r="200" ht="12.75" customHeight="1">
      <c r="A200" s="379"/>
      <c r="B200" s="379"/>
      <c r="C200" s="379"/>
      <c r="D200" s="379"/>
      <c r="E200" s="379"/>
      <c r="F200" s="379"/>
      <c r="G200" s="379"/>
      <c r="H200" s="379"/>
      <c r="I200" s="379"/>
      <c r="J200" s="379"/>
      <c r="K200" s="379"/>
      <c r="L200" s="379"/>
      <c r="M200" s="379"/>
      <c r="N200" s="379"/>
      <c r="O200" s="379"/>
      <c r="P200" s="379"/>
      <c r="Q200" s="379"/>
      <c r="R200" s="379"/>
      <c r="S200" s="379"/>
      <c r="T200" s="379"/>
      <c r="U200" s="379"/>
      <c r="V200" s="379"/>
      <c r="W200" s="379"/>
      <c r="X200" s="379"/>
      <c r="Y200" s="379"/>
      <c r="Z200" s="379"/>
    </row>
    <row r="201" ht="12.75" customHeight="1">
      <c r="A201" s="379"/>
      <c r="B201" s="379"/>
      <c r="C201" s="379"/>
      <c r="D201" s="379"/>
      <c r="E201" s="379"/>
      <c r="F201" s="379"/>
      <c r="G201" s="379"/>
      <c r="H201" s="379"/>
      <c r="I201" s="379"/>
      <c r="J201" s="379"/>
      <c r="K201" s="379"/>
      <c r="L201" s="379"/>
      <c r="M201" s="379"/>
      <c r="N201" s="379"/>
      <c r="O201" s="379"/>
      <c r="P201" s="379"/>
      <c r="Q201" s="379"/>
      <c r="R201" s="379"/>
      <c r="S201" s="379"/>
      <c r="T201" s="379"/>
      <c r="U201" s="379"/>
      <c r="V201" s="379"/>
      <c r="W201" s="379"/>
      <c r="X201" s="379"/>
      <c r="Y201" s="379"/>
      <c r="Z201" s="379"/>
    </row>
    <row r="202" ht="12.75" customHeight="1">
      <c r="A202" s="379"/>
      <c r="B202" s="379"/>
      <c r="C202" s="379"/>
      <c r="D202" s="379"/>
      <c r="E202" s="379"/>
      <c r="F202" s="379"/>
      <c r="G202" s="379"/>
      <c r="H202" s="379"/>
      <c r="I202" s="379"/>
      <c r="J202" s="379"/>
      <c r="K202" s="379"/>
      <c r="L202" s="379"/>
      <c r="M202" s="379"/>
      <c r="N202" s="379"/>
      <c r="O202" s="379"/>
      <c r="P202" s="379"/>
      <c r="Q202" s="379"/>
      <c r="R202" s="379"/>
      <c r="S202" s="379"/>
      <c r="T202" s="379"/>
      <c r="U202" s="379"/>
      <c r="V202" s="379"/>
      <c r="W202" s="379"/>
      <c r="X202" s="379"/>
      <c r="Y202" s="379"/>
      <c r="Z202" s="379"/>
    </row>
    <row r="203" ht="12.75" customHeight="1">
      <c r="A203" s="379"/>
      <c r="B203" s="379"/>
      <c r="C203" s="379"/>
      <c r="D203" s="379"/>
      <c r="E203" s="379"/>
      <c r="F203" s="379"/>
      <c r="G203" s="379"/>
      <c r="H203" s="379"/>
      <c r="I203" s="379"/>
      <c r="J203" s="379"/>
      <c r="K203" s="379"/>
      <c r="L203" s="379"/>
      <c r="M203" s="379"/>
      <c r="N203" s="379"/>
      <c r="O203" s="379"/>
      <c r="P203" s="379"/>
      <c r="Q203" s="379"/>
      <c r="R203" s="379"/>
      <c r="S203" s="379"/>
      <c r="T203" s="379"/>
      <c r="U203" s="379"/>
      <c r="V203" s="379"/>
      <c r="W203" s="379"/>
      <c r="X203" s="379"/>
      <c r="Y203" s="379"/>
      <c r="Z203" s="379"/>
    </row>
    <row r="204" ht="12.75" customHeight="1">
      <c r="A204" s="379"/>
      <c r="B204" s="379"/>
      <c r="C204" s="379"/>
      <c r="D204" s="379"/>
      <c r="E204" s="379"/>
      <c r="F204" s="379"/>
      <c r="G204" s="379"/>
      <c r="H204" s="379"/>
      <c r="I204" s="379"/>
      <c r="J204" s="379"/>
      <c r="K204" s="379"/>
      <c r="L204" s="379"/>
      <c r="M204" s="379"/>
      <c r="N204" s="379"/>
      <c r="O204" s="379"/>
      <c r="P204" s="379"/>
      <c r="Q204" s="379"/>
      <c r="R204" s="379"/>
      <c r="S204" s="379"/>
      <c r="T204" s="379"/>
      <c r="U204" s="379"/>
      <c r="V204" s="379"/>
      <c r="W204" s="379"/>
      <c r="X204" s="379"/>
      <c r="Y204" s="379"/>
      <c r="Z204" s="379"/>
    </row>
    <row r="205" ht="12.75" customHeight="1">
      <c r="A205" s="379"/>
      <c r="B205" s="379"/>
      <c r="C205" s="379"/>
      <c r="D205" s="379"/>
      <c r="E205" s="379"/>
      <c r="F205" s="379"/>
      <c r="G205" s="379"/>
      <c r="H205" s="379"/>
      <c r="I205" s="379"/>
      <c r="J205" s="379"/>
      <c r="K205" s="379"/>
      <c r="L205" s="379"/>
      <c r="M205" s="379"/>
      <c r="N205" s="379"/>
      <c r="O205" s="379"/>
      <c r="P205" s="379"/>
      <c r="Q205" s="379"/>
      <c r="R205" s="379"/>
      <c r="S205" s="379"/>
      <c r="T205" s="379"/>
      <c r="U205" s="379"/>
      <c r="V205" s="379"/>
      <c r="W205" s="379"/>
      <c r="X205" s="379"/>
      <c r="Y205" s="379"/>
      <c r="Z205" s="379"/>
    </row>
    <row r="206" ht="12.75" customHeight="1">
      <c r="A206" s="379"/>
      <c r="B206" s="379"/>
      <c r="C206" s="379"/>
      <c r="D206" s="379"/>
      <c r="E206" s="379"/>
      <c r="F206" s="379"/>
      <c r="G206" s="379"/>
      <c r="H206" s="379"/>
      <c r="I206" s="379"/>
      <c r="J206" s="379"/>
      <c r="K206" s="379"/>
      <c r="L206" s="379"/>
      <c r="M206" s="379"/>
      <c r="N206" s="379"/>
      <c r="O206" s="379"/>
      <c r="P206" s="379"/>
      <c r="Q206" s="379"/>
      <c r="R206" s="379"/>
      <c r="S206" s="379"/>
      <c r="T206" s="379"/>
      <c r="U206" s="379"/>
      <c r="V206" s="379"/>
      <c r="W206" s="379"/>
      <c r="X206" s="379"/>
      <c r="Y206" s="379"/>
      <c r="Z206" s="379"/>
    </row>
    <row r="207" ht="12.75" customHeight="1">
      <c r="A207" s="379"/>
      <c r="B207" s="379"/>
      <c r="C207" s="379"/>
      <c r="D207" s="379"/>
      <c r="E207" s="379"/>
      <c r="F207" s="379"/>
      <c r="G207" s="379"/>
      <c r="H207" s="379"/>
      <c r="I207" s="379"/>
      <c r="J207" s="379"/>
      <c r="K207" s="379"/>
      <c r="L207" s="379"/>
      <c r="M207" s="379"/>
      <c r="N207" s="379"/>
      <c r="O207" s="379"/>
      <c r="P207" s="379"/>
      <c r="Q207" s="379"/>
      <c r="R207" s="379"/>
      <c r="S207" s="379"/>
      <c r="T207" s="379"/>
      <c r="U207" s="379"/>
      <c r="V207" s="379"/>
      <c r="W207" s="379"/>
      <c r="X207" s="379"/>
      <c r="Y207" s="379"/>
      <c r="Z207" s="379"/>
    </row>
    <row r="208" ht="12.75" customHeight="1">
      <c r="A208" s="379"/>
      <c r="B208" s="379"/>
      <c r="C208" s="379"/>
      <c r="D208" s="379"/>
      <c r="E208" s="379"/>
      <c r="F208" s="379"/>
      <c r="G208" s="379"/>
      <c r="H208" s="379"/>
      <c r="I208" s="379"/>
      <c r="J208" s="379"/>
      <c r="K208" s="379"/>
      <c r="L208" s="379"/>
      <c r="M208" s="379"/>
      <c r="N208" s="379"/>
      <c r="O208" s="379"/>
      <c r="P208" s="379"/>
      <c r="Q208" s="379"/>
      <c r="R208" s="379"/>
      <c r="S208" s="379"/>
      <c r="T208" s="379"/>
      <c r="U208" s="379"/>
      <c r="V208" s="379"/>
      <c r="W208" s="379"/>
      <c r="X208" s="379"/>
      <c r="Y208" s="379"/>
      <c r="Z208" s="379"/>
    </row>
    <row r="209" ht="12.75" customHeight="1">
      <c r="A209" s="379"/>
      <c r="B209" s="379"/>
      <c r="C209" s="379"/>
      <c r="D209" s="379"/>
      <c r="E209" s="379"/>
      <c r="F209" s="379"/>
      <c r="G209" s="379"/>
      <c r="H209" s="379"/>
      <c r="I209" s="379"/>
      <c r="J209" s="379"/>
      <c r="K209" s="379"/>
      <c r="L209" s="379"/>
      <c r="M209" s="379"/>
      <c r="N209" s="379"/>
      <c r="O209" s="379"/>
      <c r="P209" s="379"/>
      <c r="Q209" s="379"/>
      <c r="R209" s="379"/>
      <c r="S209" s="379"/>
      <c r="T209" s="379"/>
      <c r="U209" s="379"/>
      <c r="V209" s="379"/>
      <c r="W209" s="379"/>
      <c r="X209" s="379"/>
      <c r="Y209" s="379"/>
      <c r="Z209" s="379"/>
    </row>
    <row r="210" ht="12.75" customHeight="1">
      <c r="A210" s="379"/>
      <c r="B210" s="379"/>
      <c r="C210" s="379"/>
      <c r="D210" s="379"/>
      <c r="E210" s="379"/>
      <c r="F210" s="379"/>
      <c r="G210" s="379"/>
      <c r="H210" s="379"/>
      <c r="I210" s="379"/>
      <c r="J210" s="379"/>
      <c r="K210" s="379"/>
      <c r="L210" s="379"/>
      <c r="M210" s="379"/>
      <c r="N210" s="379"/>
      <c r="O210" s="379"/>
      <c r="P210" s="379"/>
      <c r="Q210" s="379"/>
      <c r="R210" s="379"/>
      <c r="S210" s="379"/>
      <c r="T210" s="379"/>
      <c r="U210" s="379"/>
      <c r="V210" s="379"/>
      <c r="W210" s="379"/>
      <c r="X210" s="379"/>
      <c r="Y210" s="379"/>
      <c r="Z210" s="379"/>
    </row>
    <row r="211" ht="12.75" customHeight="1">
      <c r="A211" s="379"/>
      <c r="B211" s="379"/>
      <c r="C211" s="379"/>
      <c r="D211" s="379"/>
      <c r="E211" s="379"/>
      <c r="F211" s="379"/>
      <c r="G211" s="379"/>
      <c r="H211" s="379"/>
      <c r="I211" s="379"/>
      <c r="J211" s="379"/>
      <c r="K211" s="379"/>
      <c r="L211" s="379"/>
      <c r="M211" s="379"/>
      <c r="N211" s="379"/>
      <c r="O211" s="379"/>
      <c r="P211" s="379"/>
      <c r="Q211" s="379"/>
      <c r="R211" s="379"/>
      <c r="S211" s="379"/>
      <c r="T211" s="379"/>
      <c r="U211" s="379"/>
      <c r="V211" s="379"/>
      <c r="W211" s="379"/>
      <c r="X211" s="379"/>
      <c r="Y211" s="379"/>
      <c r="Z211" s="379"/>
    </row>
    <row r="212" ht="12.75" customHeight="1">
      <c r="A212" s="379"/>
      <c r="B212" s="379"/>
      <c r="C212" s="379"/>
      <c r="D212" s="379"/>
      <c r="E212" s="379"/>
      <c r="F212" s="379"/>
      <c r="G212" s="379"/>
      <c r="H212" s="379"/>
      <c r="I212" s="379"/>
      <c r="J212" s="379"/>
      <c r="K212" s="379"/>
      <c r="L212" s="379"/>
      <c r="M212" s="379"/>
      <c r="N212" s="379"/>
      <c r="O212" s="379"/>
      <c r="P212" s="379"/>
      <c r="Q212" s="379"/>
      <c r="R212" s="379"/>
      <c r="S212" s="379"/>
      <c r="T212" s="379"/>
      <c r="U212" s="379"/>
      <c r="V212" s="379"/>
      <c r="W212" s="379"/>
      <c r="X212" s="379"/>
      <c r="Y212" s="379"/>
      <c r="Z212" s="379"/>
    </row>
    <row r="213" ht="12.75" customHeight="1">
      <c r="A213" s="379"/>
      <c r="B213" s="379"/>
      <c r="C213" s="379"/>
      <c r="D213" s="379"/>
      <c r="E213" s="379"/>
      <c r="F213" s="379"/>
      <c r="G213" s="379"/>
      <c r="H213" s="379"/>
      <c r="I213" s="379"/>
      <c r="J213" s="379"/>
      <c r="K213" s="379"/>
      <c r="L213" s="379"/>
      <c r="M213" s="379"/>
      <c r="N213" s="379"/>
      <c r="O213" s="379"/>
      <c r="P213" s="379"/>
      <c r="Q213" s="379"/>
      <c r="R213" s="379"/>
      <c r="S213" s="379"/>
      <c r="T213" s="379"/>
      <c r="U213" s="379"/>
      <c r="V213" s="379"/>
      <c r="W213" s="379"/>
      <c r="X213" s="379"/>
      <c r="Y213" s="379"/>
      <c r="Z213" s="379"/>
    </row>
    <row r="214" ht="12.75" customHeight="1">
      <c r="A214" s="379"/>
      <c r="B214" s="379"/>
      <c r="C214" s="379"/>
      <c r="D214" s="379"/>
      <c r="E214" s="379"/>
      <c r="F214" s="379"/>
      <c r="G214" s="379"/>
      <c r="H214" s="379"/>
      <c r="I214" s="379"/>
      <c r="J214" s="379"/>
      <c r="K214" s="379"/>
      <c r="L214" s="379"/>
      <c r="M214" s="379"/>
      <c r="N214" s="379"/>
      <c r="O214" s="379"/>
      <c r="P214" s="379"/>
      <c r="Q214" s="379"/>
      <c r="R214" s="379"/>
      <c r="S214" s="379"/>
      <c r="T214" s="379"/>
      <c r="U214" s="379"/>
      <c r="V214" s="379"/>
      <c r="W214" s="379"/>
      <c r="X214" s="379"/>
      <c r="Y214" s="379"/>
      <c r="Z214" s="379"/>
    </row>
    <row r="215" ht="12.75" customHeight="1">
      <c r="A215" s="379"/>
      <c r="B215" s="379"/>
      <c r="C215" s="379"/>
      <c r="D215" s="379"/>
      <c r="E215" s="379"/>
      <c r="F215" s="379"/>
      <c r="G215" s="379"/>
      <c r="H215" s="379"/>
      <c r="I215" s="379"/>
      <c r="J215" s="379"/>
      <c r="K215" s="379"/>
      <c r="L215" s="379"/>
      <c r="M215" s="379"/>
      <c r="N215" s="379"/>
      <c r="O215" s="379"/>
      <c r="P215" s="379"/>
      <c r="Q215" s="379"/>
      <c r="R215" s="379"/>
      <c r="S215" s="379"/>
      <c r="T215" s="379"/>
      <c r="U215" s="379"/>
      <c r="V215" s="379"/>
      <c r="W215" s="379"/>
      <c r="X215" s="379"/>
      <c r="Y215" s="379"/>
      <c r="Z215" s="379"/>
    </row>
    <row r="216" ht="12.75" customHeight="1">
      <c r="A216" s="379"/>
      <c r="B216" s="379"/>
      <c r="C216" s="379"/>
      <c r="D216" s="379"/>
      <c r="E216" s="379"/>
      <c r="F216" s="379"/>
      <c r="G216" s="379"/>
      <c r="H216" s="379"/>
      <c r="I216" s="379"/>
      <c r="J216" s="379"/>
      <c r="K216" s="379"/>
      <c r="L216" s="379"/>
      <c r="M216" s="379"/>
      <c r="N216" s="379"/>
      <c r="O216" s="379"/>
      <c r="P216" s="379"/>
      <c r="Q216" s="379"/>
      <c r="R216" s="379"/>
      <c r="S216" s="379"/>
      <c r="T216" s="379"/>
      <c r="U216" s="379"/>
      <c r="V216" s="379"/>
      <c r="W216" s="379"/>
      <c r="X216" s="379"/>
      <c r="Y216" s="379"/>
      <c r="Z216" s="379"/>
    </row>
    <row r="217" ht="12.75" customHeight="1">
      <c r="A217" s="379"/>
      <c r="B217" s="379"/>
      <c r="C217" s="379"/>
      <c r="D217" s="379"/>
      <c r="E217" s="379"/>
      <c r="F217" s="379"/>
      <c r="G217" s="379"/>
      <c r="H217" s="379"/>
      <c r="I217" s="379"/>
      <c r="J217" s="379"/>
      <c r="K217" s="379"/>
      <c r="L217" s="379"/>
      <c r="M217" s="379"/>
      <c r="N217" s="379"/>
      <c r="O217" s="379"/>
      <c r="P217" s="379"/>
      <c r="Q217" s="379"/>
      <c r="R217" s="379"/>
      <c r="S217" s="379"/>
      <c r="T217" s="379"/>
      <c r="U217" s="379"/>
      <c r="V217" s="379"/>
      <c r="W217" s="379"/>
      <c r="X217" s="379"/>
      <c r="Y217" s="379"/>
      <c r="Z217" s="379"/>
    </row>
    <row r="218" ht="12.75" customHeight="1">
      <c r="A218" s="379"/>
      <c r="B218" s="379"/>
      <c r="C218" s="379"/>
      <c r="D218" s="379"/>
      <c r="E218" s="379"/>
      <c r="F218" s="379"/>
      <c r="G218" s="379"/>
      <c r="H218" s="379"/>
      <c r="I218" s="379"/>
      <c r="J218" s="379"/>
      <c r="K218" s="379"/>
      <c r="L218" s="379"/>
      <c r="M218" s="379"/>
      <c r="N218" s="379"/>
      <c r="O218" s="379"/>
      <c r="P218" s="379"/>
      <c r="Q218" s="379"/>
      <c r="R218" s="379"/>
      <c r="S218" s="379"/>
      <c r="T218" s="379"/>
      <c r="U218" s="379"/>
      <c r="V218" s="379"/>
      <c r="W218" s="379"/>
      <c r="X218" s="379"/>
      <c r="Y218" s="379"/>
      <c r="Z218" s="379"/>
    </row>
    <row r="219" ht="12.75" customHeight="1">
      <c r="A219" s="379"/>
      <c r="B219" s="379"/>
      <c r="C219" s="379"/>
      <c r="D219" s="379"/>
      <c r="E219" s="379"/>
      <c r="F219" s="379"/>
      <c r="G219" s="379"/>
      <c r="H219" s="379"/>
      <c r="I219" s="379"/>
      <c r="J219" s="379"/>
      <c r="K219" s="379"/>
      <c r="L219" s="379"/>
      <c r="M219" s="379"/>
      <c r="N219" s="379"/>
      <c r="O219" s="379"/>
      <c r="P219" s="379"/>
      <c r="Q219" s="379"/>
      <c r="R219" s="379"/>
      <c r="S219" s="379"/>
      <c r="T219" s="379"/>
      <c r="U219" s="379"/>
      <c r="V219" s="379"/>
      <c r="W219" s="379"/>
      <c r="X219" s="379"/>
      <c r="Y219" s="379"/>
      <c r="Z219" s="379"/>
    </row>
    <row r="220" ht="12.75" customHeight="1">
      <c r="A220" s="379"/>
      <c r="B220" s="379"/>
      <c r="C220" s="379"/>
      <c r="D220" s="379"/>
      <c r="E220" s="379"/>
      <c r="F220" s="379"/>
      <c r="G220" s="379"/>
      <c r="H220" s="379"/>
      <c r="I220" s="379"/>
      <c r="J220" s="379"/>
      <c r="K220" s="379"/>
      <c r="L220" s="379"/>
      <c r="M220" s="379"/>
      <c r="N220" s="379"/>
      <c r="O220" s="379"/>
      <c r="P220" s="379"/>
      <c r="Q220" s="379"/>
      <c r="R220" s="379"/>
      <c r="S220" s="379"/>
      <c r="T220" s="379"/>
      <c r="U220" s="379"/>
      <c r="V220" s="379"/>
      <c r="W220" s="379"/>
      <c r="X220" s="379"/>
      <c r="Y220" s="379"/>
      <c r="Z220" s="379"/>
    </row>
    <row r="221" ht="12.75" customHeight="1">
      <c r="A221" s="379"/>
      <c r="B221" s="379"/>
      <c r="C221" s="379"/>
      <c r="D221" s="379"/>
      <c r="E221" s="379"/>
      <c r="F221" s="379"/>
      <c r="G221" s="379"/>
      <c r="H221" s="379"/>
      <c r="I221" s="379"/>
      <c r="J221" s="379"/>
      <c r="K221" s="379"/>
      <c r="L221" s="379"/>
      <c r="M221" s="379"/>
      <c r="N221" s="379"/>
      <c r="O221" s="379"/>
      <c r="P221" s="379"/>
      <c r="Q221" s="379"/>
      <c r="R221" s="379"/>
      <c r="S221" s="379"/>
      <c r="T221" s="379"/>
      <c r="U221" s="379"/>
      <c r="V221" s="379"/>
      <c r="W221" s="379"/>
      <c r="X221" s="379"/>
      <c r="Y221" s="379"/>
      <c r="Z221" s="379"/>
    </row>
    <row r="222" ht="12.75" customHeight="1">
      <c r="A222" s="379"/>
      <c r="B222" s="379"/>
      <c r="C222" s="379"/>
      <c r="D222" s="379"/>
      <c r="E222" s="379"/>
      <c r="F222" s="379"/>
      <c r="G222" s="379"/>
      <c r="H222" s="379"/>
      <c r="I222" s="379"/>
      <c r="J222" s="379"/>
      <c r="K222" s="379"/>
      <c r="L222" s="379"/>
      <c r="M222" s="379"/>
      <c r="N222" s="379"/>
      <c r="O222" s="379"/>
      <c r="P222" s="379"/>
      <c r="Q222" s="379"/>
      <c r="R222" s="379"/>
      <c r="S222" s="379"/>
      <c r="T222" s="379"/>
      <c r="U222" s="379"/>
      <c r="V222" s="379"/>
      <c r="W222" s="379"/>
      <c r="X222" s="379"/>
      <c r="Y222" s="379"/>
      <c r="Z222" s="379"/>
    </row>
    <row r="223" ht="12.75" customHeight="1">
      <c r="A223" s="379"/>
      <c r="B223" s="379"/>
      <c r="C223" s="379"/>
      <c r="D223" s="379"/>
      <c r="E223" s="379"/>
      <c r="F223" s="379"/>
      <c r="G223" s="379"/>
      <c r="H223" s="379"/>
      <c r="I223" s="379"/>
      <c r="J223" s="379"/>
      <c r="K223" s="379"/>
      <c r="L223" s="379"/>
      <c r="M223" s="379"/>
      <c r="N223" s="379"/>
      <c r="O223" s="379"/>
      <c r="P223" s="379"/>
      <c r="Q223" s="379"/>
      <c r="R223" s="379"/>
      <c r="S223" s="379"/>
      <c r="T223" s="379"/>
      <c r="U223" s="379"/>
      <c r="V223" s="379"/>
      <c r="W223" s="379"/>
      <c r="X223" s="379"/>
      <c r="Y223" s="379"/>
      <c r="Z223" s="379"/>
    </row>
    <row r="224" ht="12.75" customHeight="1">
      <c r="A224" s="379"/>
      <c r="B224" s="379"/>
      <c r="C224" s="379"/>
      <c r="D224" s="379"/>
      <c r="E224" s="379"/>
      <c r="F224" s="379"/>
      <c r="G224" s="379"/>
      <c r="H224" s="379"/>
      <c r="I224" s="379"/>
      <c r="J224" s="379"/>
      <c r="K224" s="379"/>
      <c r="L224" s="379"/>
      <c r="M224" s="379"/>
      <c r="N224" s="379"/>
      <c r="O224" s="379"/>
      <c r="P224" s="379"/>
      <c r="Q224" s="379"/>
      <c r="R224" s="379"/>
      <c r="S224" s="379"/>
      <c r="T224" s="379"/>
      <c r="U224" s="379"/>
      <c r="V224" s="379"/>
      <c r="W224" s="379"/>
      <c r="X224" s="379"/>
      <c r="Y224" s="379"/>
      <c r="Z224" s="379"/>
    </row>
    <row r="225" ht="12.75" customHeight="1">
      <c r="A225" s="379"/>
      <c r="B225" s="379"/>
      <c r="C225" s="379"/>
      <c r="D225" s="379"/>
      <c r="E225" s="379"/>
      <c r="F225" s="379"/>
      <c r="G225" s="379"/>
      <c r="H225" s="379"/>
      <c r="I225" s="379"/>
      <c r="J225" s="379"/>
      <c r="K225" s="379"/>
      <c r="L225" s="379"/>
      <c r="M225" s="379"/>
      <c r="N225" s="379"/>
      <c r="O225" s="379"/>
      <c r="P225" s="379"/>
      <c r="Q225" s="379"/>
      <c r="R225" s="379"/>
      <c r="S225" s="379"/>
      <c r="T225" s="379"/>
      <c r="U225" s="379"/>
      <c r="V225" s="379"/>
      <c r="W225" s="379"/>
      <c r="X225" s="379"/>
      <c r="Y225" s="379"/>
      <c r="Z225" s="379"/>
    </row>
    <row r="226" ht="12.75" customHeight="1">
      <c r="A226" s="379"/>
      <c r="B226" s="379"/>
      <c r="C226" s="379"/>
      <c r="D226" s="379"/>
      <c r="E226" s="379"/>
      <c r="F226" s="379"/>
      <c r="G226" s="379"/>
      <c r="H226" s="379"/>
      <c r="I226" s="379"/>
      <c r="J226" s="379"/>
      <c r="K226" s="379"/>
      <c r="L226" s="379"/>
      <c r="M226" s="379"/>
      <c r="N226" s="379"/>
      <c r="O226" s="379"/>
      <c r="P226" s="379"/>
      <c r="Q226" s="379"/>
      <c r="R226" s="379"/>
      <c r="S226" s="379"/>
      <c r="T226" s="379"/>
      <c r="U226" s="379"/>
      <c r="V226" s="379"/>
      <c r="W226" s="379"/>
      <c r="X226" s="379"/>
      <c r="Y226" s="379"/>
      <c r="Z226" s="379"/>
    </row>
    <row r="227" ht="12.75" customHeight="1">
      <c r="A227" s="379"/>
      <c r="B227" s="379"/>
      <c r="C227" s="379"/>
      <c r="D227" s="379"/>
      <c r="E227" s="379"/>
      <c r="F227" s="379"/>
      <c r="G227" s="379"/>
      <c r="H227" s="379"/>
      <c r="I227" s="379"/>
      <c r="J227" s="379"/>
      <c r="K227" s="379"/>
      <c r="L227" s="379"/>
      <c r="M227" s="379"/>
      <c r="N227" s="379"/>
      <c r="O227" s="379"/>
      <c r="P227" s="379"/>
      <c r="Q227" s="379"/>
      <c r="R227" s="379"/>
      <c r="S227" s="379"/>
      <c r="T227" s="379"/>
      <c r="U227" s="379"/>
      <c r="V227" s="379"/>
      <c r="W227" s="379"/>
      <c r="X227" s="379"/>
      <c r="Y227" s="379"/>
      <c r="Z227" s="379"/>
    </row>
    <row r="228" ht="12.75" customHeight="1">
      <c r="A228" s="379"/>
      <c r="B228" s="379"/>
      <c r="C228" s="379"/>
      <c r="D228" s="379"/>
      <c r="E228" s="379"/>
      <c r="F228" s="379"/>
      <c r="G228" s="379"/>
      <c r="H228" s="379"/>
      <c r="I228" s="379"/>
      <c r="J228" s="379"/>
      <c r="K228" s="379"/>
      <c r="L228" s="379"/>
      <c r="M228" s="379"/>
      <c r="N228" s="379"/>
      <c r="O228" s="379"/>
      <c r="P228" s="379"/>
      <c r="Q228" s="379"/>
      <c r="R228" s="379"/>
      <c r="S228" s="379"/>
      <c r="T228" s="379"/>
      <c r="U228" s="379"/>
      <c r="V228" s="379"/>
      <c r="W228" s="379"/>
      <c r="X228" s="379"/>
      <c r="Y228" s="379"/>
      <c r="Z228" s="379"/>
    </row>
    <row r="229" ht="12.75" customHeight="1">
      <c r="A229" s="379"/>
      <c r="B229" s="379"/>
      <c r="C229" s="379"/>
      <c r="D229" s="379"/>
      <c r="E229" s="379"/>
      <c r="F229" s="379"/>
      <c r="G229" s="379"/>
      <c r="H229" s="379"/>
      <c r="I229" s="379"/>
      <c r="J229" s="379"/>
      <c r="K229" s="379"/>
      <c r="L229" s="379"/>
      <c r="M229" s="379"/>
      <c r="N229" s="379"/>
      <c r="O229" s="379"/>
      <c r="P229" s="379"/>
      <c r="Q229" s="379"/>
      <c r="R229" s="379"/>
      <c r="S229" s="379"/>
      <c r="T229" s="379"/>
      <c r="U229" s="379"/>
      <c r="V229" s="379"/>
      <c r="W229" s="379"/>
      <c r="X229" s="379"/>
      <c r="Y229" s="379"/>
      <c r="Z229" s="379"/>
    </row>
    <row r="230" ht="12.75" customHeight="1">
      <c r="A230" s="379"/>
      <c r="B230" s="379"/>
      <c r="C230" s="379"/>
      <c r="D230" s="379"/>
      <c r="E230" s="379"/>
      <c r="F230" s="379"/>
      <c r="G230" s="379"/>
      <c r="H230" s="379"/>
      <c r="I230" s="379"/>
      <c r="J230" s="379"/>
      <c r="K230" s="379"/>
      <c r="L230" s="379"/>
      <c r="M230" s="379"/>
      <c r="N230" s="379"/>
      <c r="O230" s="379"/>
      <c r="P230" s="379"/>
      <c r="Q230" s="379"/>
      <c r="R230" s="379"/>
      <c r="S230" s="379"/>
      <c r="T230" s="379"/>
      <c r="U230" s="379"/>
      <c r="V230" s="379"/>
      <c r="W230" s="379"/>
      <c r="X230" s="379"/>
      <c r="Y230" s="379"/>
      <c r="Z230" s="379"/>
    </row>
    <row r="231" ht="12.75" customHeight="1">
      <c r="A231" s="379"/>
      <c r="B231" s="379"/>
      <c r="C231" s="379"/>
      <c r="D231" s="379"/>
      <c r="E231" s="379"/>
      <c r="F231" s="379"/>
      <c r="G231" s="379"/>
      <c r="H231" s="379"/>
      <c r="I231" s="379"/>
      <c r="J231" s="379"/>
      <c r="K231" s="379"/>
      <c r="L231" s="379"/>
      <c r="M231" s="379"/>
      <c r="N231" s="379"/>
      <c r="O231" s="379"/>
      <c r="P231" s="379"/>
      <c r="Q231" s="379"/>
      <c r="R231" s="379"/>
      <c r="S231" s="379"/>
      <c r="T231" s="379"/>
      <c r="U231" s="379"/>
      <c r="V231" s="379"/>
      <c r="W231" s="379"/>
      <c r="X231" s="379"/>
      <c r="Y231" s="379"/>
      <c r="Z231" s="379"/>
    </row>
    <row r="232" ht="12.75" customHeight="1">
      <c r="A232" s="379"/>
      <c r="B232" s="379"/>
      <c r="C232" s="379"/>
      <c r="D232" s="379"/>
      <c r="E232" s="379"/>
      <c r="F232" s="379"/>
      <c r="G232" s="379"/>
      <c r="H232" s="379"/>
      <c r="I232" s="379"/>
      <c r="J232" s="379"/>
      <c r="K232" s="379"/>
      <c r="L232" s="379"/>
      <c r="M232" s="379"/>
      <c r="N232" s="379"/>
      <c r="O232" s="379"/>
      <c r="P232" s="379"/>
      <c r="Q232" s="379"/>
      <c r="R232" s="379"/>
      <c r="S232" s="379"/>
      <c r="T232" s="379"/>
      <c r="U232" s="379"/>
      <c r="V232" s="379"/>
      <c r="W232" s="379"/>
      <c r="X232" s="379"/>
      <c r="Y232" s="379"/>
      <c r="Z232" s="379"/>
    </row>
    <row r="233" ht="12.75" customHeight="1">
      <c r="A233" s="379"/>
      <c r="B233" s="379"/>
      <c r="C233" s="379"/>
      <c r="D233" s="379"/>
      <c r="E233" s="379"/>
      <c r="F233" s="379"/>
      <c r="G233" s="379"/>
      <c r="H233" s="379"/>
      <c r="I233" s="379"/>
      <c r="J233" s="379"/>
      <c r="K233" s="379"/>
      <c r="L233" s="379"/>
      <c r="M233" s="379"/>
      <c r="N233" s="379"/>
      <c r="O233" s="379"/>
      <c r="P233" s="379"/>
      <c r="Q233" s="379"/>
      <c r="R233" s="379"/>
      <c r="S233" s="379"/>
      <c r="T233" s="379"/>
      <c r="U233" s="379"/>
      <c r="V233" s="379"/>
      <c r="W233" s="379"/>
      <c r="X233" s="379"/>
      <c r="Y233" s="379"/>
      <c r="Z233" s="379"/>
    </row>
    <row r="234" ht="12.75" customHeight="1">
      <c r="A234" s="379"/>
      <c r="B234" s="379"/>
      <c r="C234" s="379"/>
      <c r="D234" s="379"/>
      <c r="E234" s="379"/>
      <c r="F234" s="379"/>
      <c r="G234" s="379"/>
      <c r="H234" s="379"/>
      <c r="I234" s="379"/>
      <c r="J234" s="379"/>
      <c r="K234" s="379"/>
      <c r="L234" s="379"/>
      <c r="M234" s="379"/>
      <c r="N234" s="379"/>
      <c r="O234" s="379"/>
      <c r="P234" s="379"/>
      <c r="Q234" s="379"/>
      <c r="R234" s="379"/>
      <c r="S234" s="379"/>
      <c r="T234" s="379"/>
      <c r="U234" s="379"/>
      <c r="V234" s="379"/>
      <c r="W234" s="379"/>
      <c r="X234" s="379"/>
      <c r="Y234" s="379"/>
      <c r="Z234" s="379"/>
    </row>
    <row r="235" ht="12.75" customHeight="1">
      <c r="A235" s="379"/>
      <c r="B235" s="379"/>
      <c r="C235" s="379"/>
      <c r="D235" s="379"/>
      <c r="E235" s="379"/>
      <c r="F235" s="379"/>
      <c r="G235" s="379"/>
      <c r="H235" s="379"/>
      <c r="I235" s="379"/>
      <c r="J235" s="379"/>
      <c r="K235" s="379"/>
      <c r="L235" s="379"/>
      <c r="M235" s="379"/>
      <c r="N235" s="379"/>
      <c r="O235" s="379"/>
      <c r="P235" s="379"/>
      <c r="Q235" s="379"/>
      <c r="R235" s="379"/>
      <c r="S235" s="379"/>
      <c r="T235" s="379"/>
      <c r="U235" s="379"/>
      <c r="V235" s="379"/>
      <c r="W235" s="379"/>
      <c r="X235" s="379"/>
      <c r="Y235" s="379"/>
      <c r="Z235" s="379"/>
    </row>
    <row r="236" ht="12.75" customHeight="1">
      <c r="A236" s="379"/>
      <c r="B236" s="379"/>
      <c r="C236" s="379"/>
      <c r="D236" s="379"/>
      <c r="E236" s="379"/>
      <c r="F236" s="379"/>
      <c r="G236" s="379"/>
      <c r="H236" s="379"/>
      <c r="I236" s="379"/>
      <c r="J236" s="379"/>
      <c r="K236" s="379"/>
      <c r="L236" s="379"/>
      <c r="M236" s="379"/>
      <c r="N236" s="379"/>
      <c r="O236" s="379"/>
      <c r="P236" s="379"/>
      <c r="Q236" s="379"/>
      <c r="R236" s="379"/>
      <c r="S236" s="379"/>
      <c r="T236" s="379"/>
      <c r="U236" s="379"/>
      <c r="V236" s="379"/>
      <c r="W236" s="379"/>
      <c r="X236" s="379"/>
      <c r="Y236" s="379"/>
      <c r="Z236" s="379"/>
    </row>
    <row r="237" ht="12.75" customHeight="1">
      <c r="A237" s="379"/>
      <c r="B237" s="379"/>
      <c r="C237" s="379"/>
      <c r="D237" s="379"/>
      <c r="E237" s="379"/>
      <c r="F237" s="379"/>
      <c r="G237" s="379"/>
      <c r="H237" s="379"/>
      <c r="I237" s="379"/>
      <c r="J237" s="379"/>
      <c r="K237" s="379"/>
      <c r="L237" s="379"/>
      <c r="M237" s="379"/>
      <c r="N237" s="379"/>
      <c r="O237" s="379"/>
      <c r="P237" s="379"/>
      <c r="Q237" s="379"/>
      <c r="R237" s="379"/>
      <c r="S237" s="379"/>
      <c r="T237" s="379"/>
      <c r="U237" s="379"/>
      <c r="V237" s="379"/>
      <c r="W237" s="379"/>
      <c r="X237" s="379"/>
      <c r="Y237" s="379"/>
      <c r="Z237" s="379"/>
    </row>
    <row r="238" ht="12.75" customHeight="1">
      <c r="A238" s="379"/>
      <c r="B238" s="379"/>
      <c r="C238" s="379"/>
      <c r="D238" s="379"/>
      <c r="E238" s="379"/>
      <c r="F238" s="379"/>
      <c r="G238" s="379"/>
      <c r="H238" s="379"/>
      <c r="I238" s="379"/>
      <c r="J238" s="379"/>
      <c r="K238" s="379"/>
      <c r="L238" s="379"/>
      <c r="M238" s="379"/>
      <c r="N238" s="379"/>
      <c r="O238" s="379"/>
      <c r="P238" s="379"/>
      <c r="Q238" s="379"/>
      <c r="R238" s="379"/>
      <c r="S238" s="379"/>
      <c r="T238" s="379"/>
      <c r="U238" s="379"/>
      <c r="V238" s="379"/>
      <c r="W238" s="379"/>
      <c r="X238" s="379"/>
      <c r="Y238" s="379"/>
      <c r="Z238" s="379"/>
    </row>
    <row r="239" ht="12.75" customHeight="1">
      <c r="A239" s="379"/>
      <c r="B239" s="379"/>
      <c r="C239" s="379"/>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row>
    <row r="240" ht="12.75" customHeight="1">
      <c r="A240" s="379"/>
      <c r="B240" s="379"/>
      <c r="C240" s="379"/>
      <c r="D240" s="379"/>
      <c r="E240" s="379"/>
      <c r="F240" s="379"/>
      <c r="G240" s="379"/>
      <c r="H240" s="379"/>
      <c r="I240" s="379"/>
      <c r="J240" s="379"/>
      <c r="K240" s="379"/>
      <c r="L240" s="379"/>
      <c r="M240" s="379"/>
      <c r="N240" s="379"/>
      <c r="O240" s="379"/>
      <c r="P240" s="379"/>
      <c r="Q240" s="379"/>
      <c r="R240" s="379"/>
      <c r="S240" s="379"/>
      <c r="T240" s="379"/>
      <c r="U240" s="379"/>
      <c r="V240" s="379"/>
      <c r="W240" s="379"/>
      <c r="X240" s="379"/>
      <c r="Y240" s="379"/>
      <c r="Z240" s="379"/>
    </row>
    <row r="241" ht="12.75" customHeight="1">
      <c r="A241" s="379"/>
      <c r="B241" s="379"/>
      <c r="C241" s="379"/>
      <c r="D241" s="379"/>
      <c r="E241" s="379"/>
      <c r="F241" s="379"/>
      <c r="G241" s="379"/>
      <c r="H241" s="379"/>
      <c r="I241" s="379"/>
      <c r="J241" s="379"/>
      <c r="K241" s="379"/>
      <c r="L241" s="379"/>
      <c r="M241" s="379"/>
      <c r="N241" s="379"/>
      <c r="O241" s="379"/>
      <c r="P241" s="379"/>
      <c r="Q241" s="379"/>
      <c r="R241" s="379"/>
      <c r="S241" s="379"/>
      <c r="T241" s="379"/>
      <c r="U241" s="379"/>
      <c r="V241" s="379"/>
      <c r="W241" s="379"/>
      <c r="X241" s="379"/>
      <c r="Y241" s="379"/>
      <c r="Z241" s="379"/>
    </row>
    <row r="242" ht="12.75" customHeight="1">
      <c r="A242" s="379"/>
      <c r="B242" s="379"/>
      <c r="C242" s="379"/>
      <c r="D242" s="379"/>
      <c r="E242" s="379"/>
      <c r="F242" s="379"/>
      <c r="G242" s="379"/>
      <c r="H242" s="379"/>
      <c r="I242" s="379"/>
      <c r="J242" s="379"/>
      <c r="K242" s="379"/>
      <c r="L242" s="379"/>
      <c r="M242" s="379"/>
      <c r="N242" s="379"/>
      <c r="O242" s="379"/>
      <c r="P242" s="379"/>
      <c r="Q242" s="379"/>
      <c r="R242" s="379"/>
      <c r="S242" s="379"/>
      <c r="T242" s="379"/>
      <c r="U242" s="379"/>
      <c r="V242" s="379"/>
      <c r="W242" s="379"/>
      <c r="X242" s="379"/>
      <c r="Y242" s="379"/>
      <c r="Z242" s="379"/>
    </row>
    <row r="243" ht="12.75" customHeight="1">
      <c r="A243" s="379"/>
      <c r="B243" s="379"/>
      <c r="C243" s="379"/>
      <c r="D243" s="379"/>
      <c r="E243" s="379"/>
      <c r="F243" s="379"/>
      <c r="G243" s="379"/>
      <c r="H243" s="379"/>
      <c r="I243" s="379"/>
      <c r="J243" s="379"/>
      <c r="K243" s="379"/>
      <c r="L243" s="379"/>
      <c r="M243" s="379"/>
      <c r="N243" s="379"/>
      <c r="O243" s="379"/>
      <c r="P243" s="379"/>
      <c r="Q243" s="379"/>
      <c r="R243" s="379"/>
      <c r="S243" s="379"/>
      <c r="T243" s="379"/>
      <c r="U243" s="379"/>
      <c r="V243" s="379"/>
      <c r="W243" s="379"/>
      <c r="X243" s="379"/>
      <c r="Y243" s="379"/>
      <c r="Z243" s="379"/>
    </row>
    <row r="244" ht="12.75" customHeight="1">
      <c r="A244" s="379"/>
      <c r="B244" s="379"/>
      <c r="C244" s="379"/>
      <c r="D244" s="379"/>
      <c r="E244" s="379"/>
      <c r="F244" s="379"/>
      <c r="G244" s="379"/>
      <c r="H244" s="379"/>
      <c r="I244" s="379"/>
      <c r="J244" s="379"/>
      <c r="K244" s="379"/>
      <c r="L244" s="379"/>
      <c r="M244" s="379"/>
      <c r="N244" s="379"/>
      <c r="O244" s="379"/>
      <c r="P244" s="379"/>
      <c r="Q244" s="379"/>
      <c r="R244" s="379"/>
      <c r="S244" s="379"/>
      <c r="T244" s="379"/>
      <c r="U244" s="379"/>
      <c r="V244" s="379"/>
      <c r="W244" s="379"/>
      <c r="X244" s="379"/>
      <c r="Y244" s="379"/>
      <c r="Z244" s="379"/>
    </row>
    <row r="245" ht="12.75" customHeight="1">
      <c r="A245" s="379"/>
      <c r="B245" s="379"/>
      <c r="C245" s="379"/>
      <c r="D245" s="379"/>
      <c r="E245" s="379"/>
      <c r="F245" s="379"/>
      <c r="G245" s="379"/>
      <c r="H245" s="379"/>
      <c r="I245" s="379"/>
      <c r="J245" s="379"/>
      <c r="K245" s="379"/>
      <c r="L245" s="379"/>
      <c r="M245" s="379"/>
      <c r="N245" s="379"/>
      <c r="O245" s="379"/>
      <c r="P245" s="379"/>
      <c r="Q245" s="379"/>
      <c r="R245" s="379"/>
      <c r="S245" s="379"/>
      <c r="T245" s="379"/>
      <c r="U245" s="379"/>
      <c r="V245" s="379"/>
      <c r="W245" s="379"/>
      <c r="X245" s="379"/>
      <c r="Y245" s="379"/>
      <c r="Z245" s="379"/>
    </row>
    <row r="246" ht="12.75" customHeight="1">
      <c r="A246" s="379"/>
      <c r="B246" s="379"/>
      <c r="C246" s="379"/>
      <c r="D246" s="379"/>
      <c r="E246" s="379"/>
      <c r="F246" s="379"/>
      <c r="G246" s="379"/>
      <c r="H246" s="379"/>
      <c r="I246" s="379"/>
      <c r="J246" s="379"/>
      <c r="K246" s="379"/>
      <c r="L246" s="379"/>
      <c r="M246" s="379"/>
      <c r="N246" s="379"/>
      <c r="O246" s="379"/>
      <c r="P246" s="379"/>
      <c r="Q246" s="379"/>
      <c r="R246" s="379"/>
      <c r="S246" s="379"/>
      <c r="T246" s="379"/>
      <c r="U246" s="379"/>
      <c r="V246" s="379"/>
      <c r="W246" s="379"/>
      <c r="X246" s="379"/>
      <c r="Y246" s="379"/>
      <c r="Z246" s="379"/>
    </row>
    <row r="247" ht="12.75" customHeight="1">
      <c r="A247" s="379"/>
      <c r="B247" s="379"/>
      <c r="C247" s="379"/>
      <c r="D247" s="379"/>
      <c r="E247" s="379"/>
      <c r="F247" s="379"/>
      <c r="G247" s="379"/>
      <c r="H247" s="379"/>
      <c r="I247" s="379"/>
      <c r="J247" s="379"/>
      <c r="K247" s="379"/>
      <c r="L247" s="379"/>
      <c r="M247" s="379"/>
      <c r="N247" s="379"/>
      <c r="O247" s="379"/>
      <c r="P247" s="379"/>
      <c r="Q247" s="379"/>
      <c r="R247" s="379"/>
      <c r="S247" s="379"/>
      <c r="T247" s="379"/>
      <c r="U247" s="379"/>
      <c r="V247" s="379"/>
      <c r="W247" s="379"/>
      <c r="X247" s="379"/>
      <c r="Y247" s="379"/>
      <c r="Z247" s="379"/>
    </row>
    <row r="248" ht="12.75" customHeight="1">
      <c r="A248" s="379"/>
      <c r="B248" s="379"/>
      <c r="C248" s="379"/>
      <c r="D248" s="379"/>
      <c r="E248" s="379"/>
      <c r="F248" s="379"/>
      <c r="G248" s="379"/>
      <c r="H248" s="379"/>
      <c r="I248" s="379"/>
      <c r="J248" s="379"/>
      <c r="K248" s="379"/>
      <c r="L248" s="379"/>
      <c r="M248" s="379"/>
      <c r="N248" s="379"/>
      <c r="O248" s="379"/>
      <c r="P248" s="379"/>
      <c r="Q248" s="379"/>
      <c r="R248" s="379"/>
      <c r="S248" s="379"/>
      <c r="T248" s="379"/>
      <c r="U248" s="379"/>
      <c r="V248" s="379"/>
      <c r="W248" s="379"/>
      <c r="X248" s="379"/>
      <c r="Y248" s="379"/>
      <c r="Z248" s="379"/>
    </row>
    <row r="249" ht="12.75" customHeight="1">
      <c r="A249" s="379"/>
      <c r="B249" s="379"/>
      <c r="C249" s="379"/>
      <c r="D249" s="379"/>
      <c r="E249" s="379"/>
      <c r="F249" s="379"/>
      <c r="G249" s="379"/>
      <c r="H249" s="379"/>
      <c r="I249" s="379"/>
      <c r="J249" s="379"/>
      <c r="K249" s="379"/>
      <c r="L249" s="379"/>
      <c r="M249" s="379"/>
      <c r="N249" s="379"/>
      <c r="O249" s="379"/>
      <c r="P249" s="379"/>
      <c r="Q249" s="379"/>
      <c r="R249" s="379"/>
      <c r="S249" s="379"/>
      <c r="T249" s="379"/>
      <c r="U249" s="379"/>
      <c r="V249" s="379"/>
      <c r="W249" s="379"/>
      <c r="X249" s="379"/>
      <c r="Y249" s="379"/>
      <c r="Z249" s="379"/>
    </row>
    <row r="250" ht="12.75" customHeight="1">
      <c r="A250" s="379"/>
      <c r="B250" s="379"/>
      <c r="C250" s="379"/>
      <c r="D250" s="379"/>
      <c r="E250" s="379"/>
      <c r="F250" s="379"/>
      <c r="G250" s="379"/>
      <c r="H250" s="379"/>
      <c r="I250" s="379"/>
      <c r="J250" s="379"/>
      <c r="K250" s="379"/>
      <c r="L250" s="379"/>
      <c r="M250" s="379"/>
      <c r="N250" s="379"/>
      <c r="O250" s="379"/>
      <c r="P250" s="379"/>
      <c r="Q250" s="379"/>
      <c r="R250" s="379"/>
      <c r="S250" s="379"/>
      <c r="T250" s="379"/>
      <c r="U250" s="379"/>
      <c r="V250" s="379"/>
      <c r="W250" s="379"/>
      <c r="X250" s="379"/>
      <c r="Y250" s="379"/>
      <c r="Z250" s="379"/>
    </row>
    <row r="251" ht="12.75" customHeight="1">
      <c r="A251" s="379"/>
      <c r="B251" s="379"/>
      <c r="C251" s="379"/>
      <c r="D251" s="379"/>
      <c r="E251" s="379"/>
      <c r="F251" s="379"/>
      <c r="G251" s="379"/>
      <c r="H251" s="379"/>
      <c r="I251" s="379"/>
      <c r="J251" s="379"/>
      <c r="K251" s="379"/>
      <c r="L251" s="379"/>
      <c r="M251" s="379"/>
      <c r="N251" s="379"/>
      <c r="O251" s="379"/>
      <c r="P251" s="379"/>
      <c r="Q251" s="379"/>
      <c r="R251" s="379"/>
      <c r="S251" s="379"/>
      <c r="T251" s="379"/>
      <c r="U251" s="379"/>
      <c r="V251" s="379"/>
      <c r="W251" s="379"/>
      <c r="X251" s="379"/>
      <c r="Y251" s="379"/>
      <c r="Z251" s="379"/>
    </row>
    <row r="252" ht="12.75" customHeight="1">
      <c r="A252" s="379"/>
      <c r="B252" s="379"/>
      <c r="C252" s="379"/>
      <c r="D252" s="379"/>
      <c r="E252" s="379"/>
      <c r="F252" s="379"/>
      <c r="G252" s="379"/>
      <c r="H252" s="379"/>
      <c r="I252" s="379"/>
      <c r="J252" s="379"/>
      <c r="K252" s="379"/>
      <c r="L252" s="379"/>
      <c r="M252" s="379"/>
      <c r="N252" s="379"/>
      <c r="O252" s="379"/>
      <c r="P252" s="379"/>
      <c r="Q252" s="379"/>
      <c r="R252" s="379"/>
      <c r="S252" s="379"/>
      <c r="T252" s="379"/>
      <c r="U252" s="379"/>
      <c r="V252" s="379"/>
      <c r="W252" s="379"/>
      <c r="X252" s="379"/>
      <c r="Y252" s="379"/>
      <c r="Z252" s="379"/>
    </row>
    <row r="253" ht="12.75" customHeight="1">
      <c r="A253" s="379"/>
      <c r="B253" s="379"/>
      <c r="C253" s="379"/>
      <c r="D253" s="379"/>
      <c r="E253" s="379"/>
      <c r="F253" s="379"/>
      <c r="G253" s="379"/>
      <c r="H253" s="379"/>
      <c r="I253" s="379"/>
      <c r="J253" s="379"/>
      <c r="K253" s="379"/>
      <c r="L253" s="379"/>
      <c r="M253" s="379"/>
      <c r="N253" s="379"/>
      <c r="O253" s="379"/>
      <c r="P253" s="379"/>
      <c r="Q253" s="379"/>
      <c r="R253" s="379"/>
      <c r="S253" s="379"/>
      <c r="T253" s="379"/>
      <c r="U253" s="379"/>
      <c r="V253" s="379"/>
      <c r="W253" s="379"/>
      <c r="X253" s="379"/>
      <c r="Y253" s="379"/>
      <c r="Z253" s="379"/>
    </row>
    <row r="254" ht="12.75" customHeight="1">
      <c r="A254" s="379"/>
      <c r="B254" s="379"/>
      <c r="C254" s="379"/>
      <c r="D254" s="379"/>
      <c r="E254" s="379"/>
      <c r="F254" s="379"/>
      <c r="G254" s="379"/>
      <c r="H254" s="379"/>
      <c r="I254" s="379"/>
      <c r="J254" s="379"/>
      <c r="K254" s="379"/>
      <c r="L254" s="379"/>
      <c r="M254" s="379"/>
      <c r="N254" s="379"/>
      <c r="O254" s="379"/>
      <c r="P254" s="379"/>
      <c r="Q254" s="379"/>
      <c r="R254" s="379"/>
      <c r="S254" s="379"/>
      <c r="T254" s="379"/>
      <c r="U254" s="379"/>
      <c r="V254" s="379"/>
      <c r="W254" s="379"/>
      <c r="X254" s="379"/>
      <c r="Y254" s="379"/>
      <c r="Z254" s="379"/>
    </row>
    <row r="255" ht="12.75" customHeight="1">
      <c r="A255" s="379"/>
      <c r="B255" s="379"/>
      <c r="C255" s="379"/>
      <c r="D255" s="379"/>
      <c r="E255" s="379"/>
      <c r="F255" s="379"/>
      <c r="G255" s="379"/>
      <c r="H255" s="379"/>
      <c r="I255" s="379"/>
      <c r="J255" s="379"/>
      <c r="K255" s="379"/>
      <c r="L255" s="379"/>
      <c r="M255" s="379"/>
      <c r="N255" s="379"/>
      <c r="O255" s="379"/>
      <c r="P255" s="379"/>
      <c r="Q255" s="379"/>
      <c r="R255" s="379"/>
      <c r="S255" s="379"/>
      <c r="T255" s="379"/>
      <c r="U255" s="379"/>
      <c r="V255" s="379"/>
      <c r="W255" s="379"/>
      <c r="X255" s="379"/>
      <c r="Y255" s="379"/>
      <c r="Z255" s="379"/>
    </row>
    <row r="256" ht="12.75" customHeight="1">
      <c r="A256" s="379"/>
      <c r="B256" s="379"/>
      <c r="C256" s="379"/>
      <c r="D256" s="379"/>
      <c r="E256" s="379"/>
      <c r="F256" s="379"/>
      <c r="G256" s="379"/>
      <c r="H256" s="379"/>
      <c r="I256" s="379"/>
      <c r="J256" s="379"/>
      <c r="K256" s="379"/>
      <c r="L256" s="379"/>
      <c r="M256" s="379"/>
      <c r="N256" s="379"/>
      <c r="O256" s="379"/>
      <c r="P256" s="379"/>
      <c r="Q256" s="379"/>
      <c r="R256" s="379"/>
      <c r="S256" s="379"/>
      <c r="T256" s="379"/>
      <c r="U256" s="379"/>
      <c r="V256" s="379"/>
      <c r="W256" s="379"/>
      <c r="X256" s="379"/>
      <c r="Y256" s="379"/>
      <c r="Z256" s="379"/>
    </row>
    <row r="257" ht="12.75" customHeight="1">
      <c r="A257" s="379"/>
      <c r="B257" s="379"/>
      <c r="C257" s="379"/>
      <c r="D257" s="379"/>
      <c r="E257" s="379"/>
      <c r="F257" s="379"/>
      <c r="G257" s="379"/>
      <c r="H257" s="379"/>
      <c r="I257" s="379"/>
      <c r="J257" s="379"/>
      <c r="K257" s="379"/>
      <c r="L257" s="379"/>
      <c r="M257" s="379"/>
      <c r="N257" s="379"/>
      <c r="O257" s="379"/>
      <c r="P257" s="379"/>
      <c r="Q257" s="379"/>
      <c r="R257" s="379"/>
      <c r="S257" s="379"/>
      <c r="T257" s="379"/>
      <c r="U257" s="379"/>
      <c r="V257" s="379"/>
      <c r="W257" s="379"/>
      <c r="X257" s="379"/>
      <c r="Y257" s="379"/>
      <c r="Z257" s="379"/>
    </row>
    <row r="258" ht="12.75" customHeight="1">
      <c r="A258" s="379"/>
      <c r="B258" s="379"/>
      <c r="C258" s="379"/>
      <c r="D258" s="379"/>
      <c r="E258" s="379"/>
      <c r="F258" s="379"/>
      <c r="G258" s="379"/>
      <c r="H258" s="379"/>
      <c r="I258" s="379"/>
      <c r="J258" s="379"/>
      <c r="K258" s="379"/>
      <c r="L258" s="379"/>
      <c r="M258" s="379"/>
      <c r="N258" s="379"/>
      <c r="O258" s="379"/>
      <c r="P258" s="379"/>
      <c r="Q258" s="379"/>
      <c r="R258" s="379"/>
      <c r="S258" s="379"/>
      <c r="T258" s="379"/>
      <c r="U258" s="379"/>
      <c r="V258" s="379"/>
      <c r="W258" s="379"/>
      <c r="X258" s="379"/>
      <c r="Y258" s="379"/>
      <c r="Z258" s="379"/>
    </row>
    <row r="259" ht="12.75" customHeight="1">
      <c r="A259" s="379"/>
      <c r="B259" s="379"/>
      <c r="C259" s="379"/>
      <c r="D259" s="379"/>
      <c r="E259" s="379"/>
      <c r="F259" s="379"/>
      <c r="G259" s="379"/>
      <c r="H259" s="379"/>
      <c r="I259" s="379"/>
      <c r="J259" s="379"/>
      <c r="K259" s="379"/>
      <c r="L259" s="379"/>
      <c r="M259" s="379"/>
      <c r="N259" s="379"/>
      <c r="O259" s="379"/>
      <c r="P259" s="379"/>
      <c r="Q259" s="379"/>
      <c r="R259" s="379"/>
      <c r="S259" s="379"/>
      <c r="T259" s="379"/>
      <c r="U259" s="379"/>
      <c r="V259" s="379"/>
      <c r="W259" s="379"/>
      <c r="X259" s="379"/>
      <c r="Y259" s="379"/>
      <c r="Z259" s="379"/>
    </row>
    <row r="260" ht="12.75" customHeight="1">
      <c r="A260" s="379"/>
      <c r="B260" s="379"/>
      <c r="C260" s="379"/>
      <c r="D260" s="379"/>
      <c r="E260" s="379"/>
      <c r="F260" s="379"/>
      <c r="G260" s="379"/>
      <c r="H260" s="379"/>
      <c r="I260" s="379"/>
      <c r="J260" s="379"/>
      <c r="K260" s="379"/>
      <c r="L260" s="379"/>
      <c r="M260" s="379"/>
      <c r="N260" s="379"/>
      <c r="O260" s="379"/>
      <c r="P260" s="379"/>
      <c r="Q260" s="379"/>
      <c r="R260" s="379"/>
      <c r="S260" s="379"/>
      <c r="T260" s="379"/>
      <c r="U260" s="379"/>
      <c r="V260" s="379"/>
      <c r="W260" s="379"/>
      <c r="X260" s="379"/>
      <c r="Y260" s="379"/>
      <c r="Z260" s="379"/>
    </row>
    <row r="261" ht="12.75" customHeight="1">
      <c r="A261" s="379"/>
      <c r="B261" s="379"/>
      <c r="C261" s="379"/>
      <c r="D261" s="379"/>
      <c r="E261" s="379"/>
      <c r="F261" s="379"/>
      <c r="G261" s="379"/>
      <c r="H261" s="379"/>
      <c r="I261" s="379"/>
      <c r="J261" s="379"/>
      <c r="K261" s="379"/>
      <c r="L261" s="379"/>
      <c r="M261" s="379"/>
      <c r="N261" s="379"/>
      <c r="O261" s="379"/>
      <c r="P261" s="379"/>
      <c r="Q261" s="379"/>
      <c r="R261" s="379"/>
      <c r="S261" s="379"/>
      <c r="T261" s="379"/>
      <c r="U261" s="379"/>
      <c r="V261" s="379"/>
      <c r="W261" s="379"/>
      <c r="X261" s="379"/>
      <c r="Y261" s="379"/>
      <c r="Z261" s="379"/>
    </row>
    <row r="262" ht="12.75" customHeight="1">
      <c r="A262" s="379"/>
      <c r="B262" s="379"/>
      <c r="C262" s="379"/>
      <c r="D262" s="379"/>
      <c r="E262" s="379"/>
      <c r="F262" s="379"/>
      <c r="G262" s="379"/>
      <c r="H262" s="379"/>
      <c r="I262" s="379"/>
      <c r="J262" s="379"/>
      <c r="K262" s="379"/>
      <c r="L262" s="379"/>
      <c r="M262" s="379"/>
      <c r="N262" s="379"/>
      <c r="O262" s="379"/>
      <c r="P262" s="379"/>
      <c r="Q262" s="379"/>
      <c r="R262" s="379"/>
      <c r="S262" s="379"/>
      <c r="T262" s="379"/>
      <c r="U262" s="379"/>
      <c r="V262" s="379"/>
      <c r="W262" s="379"/>
      <c r="X262" s="379"/>
      <c r="Y262" s="379"/>
      <c r="Z262" s="379"/>
    </row>
    <row r="263" ht="12.75" customHeight="1">
      <c r="A263" s="379"/>
      <c r="B263" s="379"/>
      <c r="C263" s="379"/>
      <c r="D263" s="379"/>
      <c r="E263" s="379"/>
      <c r="F263" s="379"/>
      <c r="G263" s="379"/>
      <c r="H263" s="379"/>
      <c r="I263" s="379"/>
      <c r="J263" s="379"/>
      <c r="K263" s="379"/>
      <c r="L263" s="379"/>
      <c r="M263" s="379"/>
      <c r="N263" s="379"/>
      <c r="O263" s="379"/>
      <c r="P263" s="379"/>
      <c r="Q263" s="379"/>
      <c r="R263" s="379"/>
      <c r="S263" s="379"/>
      <c r="T263" s="379"/>
      <c r="U263" s="379"/>
      <c r="V263" s="379"/>
      <c r="W263" s="379"/>
      <c r="X263" s="379"/>
      <c r="Y263" s="379"/>
      <c r="Z263" s="379"/>
    </row>
    <row r="264" ht="12.75" customHeight="1">
      <c r="A264" s="379"/>
      <c r="B264" s="379"/>
      <c r="C264" s="379"/>
      <c r="D264" s="379"/>
      <c r="E264" s="379"/>
      <c r="F264" s="379"/>
      <c r="G264" s="379"/>
      <c r="H264" s="379"/>
      <c r="I264" s="379"/>
      <c r="J264" s="379"/>
      <c r="K264" s="379"/>
      <c r="L264" s="379"/>
      <c r="M264" s="379"/>
      <c r="N264" s="379"/>
      <c r="O264" s="379"/>
      <c r="P264" s="379"/>
      <c r="Q264" s="379"/>
      <c r="R264" s="379"/>
      <c r="S264" s="379"/>
      <c r="T264" s="379"/>
      <c r="U264" s="379"/>
      <c r="V264" s="379"/>
      <c r="W264" s="379"/>
      <c r="X264" s="379"/>
      <c r="Y264" s="379"/>
      <c r="Z264" s="379"/>
    </row>
    <row r="265" ht="12.75" customHeight="1">
      <c r="A265" s="379"/>
      <c r="B265" s="379"/>
      <c r="C265" s="379"/>
      <c r="D265" s="379"/>
      <c r="E265" s="379"/>
      <c r="F265" s="379"/>
      <c r="G265" s="379"/>
      <c r="H265" s="379"/>
      <c r="I265" s="379"/>
      <c r="J265" s="379"/>
      <c r="K265" s="379"/>
      <c r="L265" s="379"/>
      <c r="M265" s="379"/>
      <c r="N265" s="379"/>
      <c r="O265" s="379"/>
      <c r="P265" s="379"/>
      <c r="Q265" s="379"/>
      <c r="R265" s="379"/>
      <c r="S265" s="379"/>
      <c r="T265" s="379"/>
      <c r="U265" s="379"/>
      <c r="V265" s="379"/>
      <c r="W265" s="379"/>
      <c r="X265" s="379"/>
      <c r="Y265" s="379"/>
      <c r="Z265" s="379"/>
    </row>
    <row r="266" ht="12.75" customHeight="1">
      <c r="A266" s="379"/>
      <c r="B266" s="379"/>
      <c r="C266" s="379"/>
      <c r="D266" s="379"/>
      <c r="E266" s="379"/>
      <c r="F266" s="379"/>
      <c r="G266" s="379"/>
      <c r="H266" s="379"/>
      <c r="I266" s="379"/>
      <c r="J266" s="379"/>
      <c r="K266" s="379"/>
      <c r="L266" s="379"/>
      <c r="M266" s="379"/>
      <c r="N266" s="379"/>
      <c r="O266" s="379"/>
      <c r="P266" s="379"/>
      <c r="Q266" s="379"/>
      <c r="R266" s="379"/>
      <c r="S266" s="379"/>
      <c r="T266" s="379"/>
      <c r="U266" s="379"/>
      <c r="V266" s="379"/>
      <c r="W266" s="379"/>
      <c r="X266" s="379"/>
      <c r="Y266" s="379"/>
      <c r="Z266" s="379"/>
    </row>
    <row r="267" ht="12.75" customHeight="1">
      <c r="A267" s="379"/>
      <c r="B267" s="379"/>
      <c r="C267" s="379"/>
      <c r="D267" s="379"/>
      <c r="E267" s="379"/>
      <c r="F267" s="379"/>
      <c r="G267" s="379"/>
      <c r="H267" s="379"/>
      <c r="I267" s="379"/>
      <c r="J267" s="379"/>
      <c r="K267" s="379"/>
      <c r="L267" s="379"/>
      <c r="M267" s="379"/>
      <c r="N267" s="379"/>
      <c r="O267" s="379"/>
      <c r="P267" s="379"/>
      <c r="Q267" s="379"/>
      <c r="R267" s="379"/>
      <c r="S267" s="379"/>
      <c r="T267" s="379"/>
      <c r="U267" s="379"/>
      <c r="V267" s="379"/>
      <c r="W267" s="379"/>
      <c r="X267" s="379"/>
      <c r="Y267" s="379"/>
      <c r="Z267" s="379"/>
    </row>
    <row r="268" ht="12.75" customHeight="1">
      <c r="A268" s="379"/>
      <c r="B268" s="379"/>
      <c r="C268" s="379"/>
      <c r="D268" s="379"/>
      <c r="E268" s="379"/>
      <c r="F268" s="379"/>
      <c r="G268" s="379"/>
      <c r="H268" s="379"/>
      <c r="I268" s="379"/>
      <c r="J268" s="379"/>
      <c r="K268" s="379"/>
      <c r="L268" s="379"/>
      <c r="M268" s="379"/>
      <c r="N268" s="379"/>
      <c r="O268" s="379"/>
      <c r="P268" s="379"/>
      <c r="Q268" s="379"/>
      <c r="R268" s="379"/>
      <c r="S268" s="379"/>
      <c r="T268" s="379"/>
      <c r="U268" s="379"/>
      <c r="V268" s="379"/>
      <c r="W268" s="379"/>
      <c r="X268" s="379"/>
      <c r="Y268" s="379"/>
      <c r="Z268" s="379"/>
    </row>
    <row r="269" ht="12.75" customHeight="1">
      <c r="A269" s="379"/>
      <c r="B269" s="379"/>
      <c r="C269" s="379"/>
      <c r="D269" s="379"/>
      <c r="E269" s="379"/>
      <c r="F269" s="379"/>
      <c r="G269" s="379"/>
      <c r="H269" s="379"/>
      <c r="I269" s="379"/>
      <c r="J269" s="379"/>
      <c r="K269" s="379"/>
      <c r="L269" s="379"/>
      <c r="M269" s="379"/>
      <c r="N269" s="379"/>
      <c r="O269" s="379"/>
      <c r="P269" s="379"/>
      <c r="Q269" s="379"/>
      <c r="R269" s="379"/>
      <c r="S269" s="379"/>
      <c r="T269" s="379"/>
      <c r="U269" s="379"/>
      <c r="V269" s="379"/>
      <c r="W269" s="379"/>
      <c r="X269" s="379"/>
      <c r="Y269" s="379"/>
      <c r="Z269" s="379"/>
    </row>
    <row r="270" ht="12.75" customHeight="1">
      <c r="A270" s="379"/>
      <c r="B270" s="379"/>
      <c r="C270" s="379"/>
      <c r="D270" s="379"/>
      <c r="E270" s="379"/>
      <c r="F270" s="379"/>
      <c r="G270" s="379"/>
      <c r="H270" s="379"/>
      <c r="I270" s="379"/>
      <c r="J270" s="379"/>
      <c r="K270" s="379"/>
      <c r="L270" s="379"/>
      <c r="M270" s="379"/>
      <c r="N270" s="379"/>
      <c r="O270" s="379"/>
      <c r="P270" s="379"/>
      <c r="Q270" s="379"/>
      <c r="R270" s="379"/>
      <c r="S270" s="379"/>
      <c r="T270" s="379"/>
      <c r="U270" s="379"/>
      <c r="V270" s="379"/>
      <c r="W270" s="379"/>
      <c r="X270" s="379"/>
      <c r="Y270" s="379"/>
      <c r="Z270" s="379"/>
    </row>
    <row r="271" ht="12.75" customHeight="1">
      <c r="A271" s="379"/>
      <c r="B271" s="379"/>
      <c r="C271" s="379"/>
      <c r="D271" s="379"/>
      <c r="E271" s="379"/>
      <c r="F271" s="379"/>
      <c r="G271" s="379"/>
      <c r="H271" s="379"/>
      <c r="I271" s="379"/>
      <c r="J271" s="379"/>
      <c r="K271" s="379"/>
      <c r="L271" s="379"/>
      <c r="M271" s="379"/>
      <c r="N271" s="379"/>
      <c r="O271" s="379"/>
      <c r="P271" s="379"/>
      <c r="Q271" s="379"/>
      <c r="R271" s="379"/>
      <c r="S271" s="379"/>
      <c r="T271" s="379"/>
      <c r="U271" s="379"/>
      <c r="V271" s="379"/>
      <c r="W271" s="379"/>
      <c r="X271" s="379"/>
      <c r="Y271" s="379"/>
      <c r="Z271" s="379"/>
    </row>
    <row r="272" ht="12.75" customHeight="1">
      <c r="A272" s="379"/>
      <c r="B272" s="379"/>
      <c r="C272" s="379"/>
      <c r="D272" s="379"/>
      <c r="E272" s="379"/>
      <c r="F272" s="379"/>
      <c r="G272" s="379"/>
      <c r="H272" s="379"/>
      <c r="I272" s="379"/>
      <c r="J272" s="379"/>
      <c r="K272" s="379"/>
      <c r="L272" s="379"/>
      <c r="M272" s="379"/>
      <c r="N272" s="379"/>
      <c r="O272" s="379"/>
      <c r="P272" s="379"/>
      <c r="Q272" s="379"/>
      <c r="R272" s="379"/>
      <c r="S272" s="379"/>
      <c r="T272" s="379"/>
      <c r="U272" s="379"/>
      <c r="V272" s="379"/>
      <c r="W272" s="379"/>
      <c r="X272" s="379"/>
      <c r="Y272" s="379"/>
      <c r="Z272" s="379"/>
    </row>
    <row r="273" ht="12.75" customHeight="1">
      <c r="A273" s="379"/>
      <c r="B273" s="379"/>
      <c r="C273" s="379"/>
      <c r="D273" s="379"/>
      <c r="E273" s="379"/>
      <c r="F273" s="379"/>
      <c r="G273" s="379"/>
      <c r="H273" s="379"/>
      <c r="I273" s="379"/>
      <c r="J273" s="379"/>
      <c r="K273" s="379"/>
      <c r="L273" s="379"/>
      <c r="M273" s="379"/>
      <c r="N273" s="379"/>
      <c r="O273" s="379"/>
      <c r="P273" s="379"/>
      <c r="Q273" s="379"/>
      <c r="R273" s="379"/>
      <c r="S273" s="379"/>
      <c r="T273" s="379"/>
      <c r="U273" s="379"/>
      <c r="V273" s="379"/>
      <c r="W273" s="379"/>
      <c r="X273" s="379"/>
      <c r="Y273" s="379"/>
      <c r="Z273" s="379"/>
    </row>
    <row r="274" ht="12.75" customHeight="1">
      <c r="A274" s="379"/>
      <c r="B274" s="379"/>
      <c r="C274" s="379"/>
      <c r="D274" s="379"/>
      <c r="E274" s="379"/>
      <c r="F274" s="379"/>
      <c r="G274" s="379"/>
      <c r="H274" s="379"/>
      <c r="I274" s="379"/>
      <c r="J274" s="379"/>
      <c r="K274" s="379"/>
      <c r="L274" s="379"/>
      <c r="M274" s="379"/>
      <c r="N274" s="379"/>
      <c r="O274" s="379"/>
      <c r="P274" s="379"/>
      <c r="Q274" s="379"/>
      <c r="R274" s="379"/>
      <c r="S274" s="379"/>
      <c r="T274" s="379"/>
      <c r="U274" s="379"/>
      <c r="V274" s="379"/>
      <c r="W274" s="379"/>
      <c r="X274" s="379"/>
      <c r="Y274" s="379"/>
      <c r="Z274" s="379"/>
    </row>
    <row r="275" ht="12.75" customHeight="1">
      <c r="A275" s="379"/>
      <c r="B275" s="379"/>
      <c r="C275" s="379"/>
      <c r="D275" s="379"/>
      <c r="E275" s="379"/>
      <c r="F275" s="379"/>
      <c r="G275" s="379"/>
      <c r="H275" s="379"/>
      <c r="I275" s="379"/>
      <c r="J275" s="379"/>
      <c r="K275" s="379"/>
      <c r="L275" s="379"/>
      <c r="M275" s="379"/>
      <c r="N275" s="379"/>
      <c r="O275" s="379"/>
      <c r="P275" s="379"/>
      <c r="Q275" s="379"/>
      <c r="R275" s="379"/>
      <c r="S275" s="379"/>
      <c r="T275" s="379"/>
      <c r="U275" s="379"/>
      <c r="V275" s="379"/>
      <c r="W275" s="379"/>
      <c r="X275" s="379"/>
      <c r="Y275" s="379"/>
      <c r="Z275" s="379"/>
    </row>
    <row r="276" ht="12.75" customHeight="1">
      <c r="A276" s="379"/>
      <c r="B276" s="379"/>
      <c r="C276" s="379"/>
      <c r="D276" s="379"/>
      <c r="E276" s="379"/>
      <c r="F276" s="379"/>
      <c r="G276" s="379"/>
      <c r="H276" s="379"/>
      <c r="I276" s="379"/>
      <c r="J276" s="379"/>
      <c r="K276" s="379"/>
      <c r="L276" s="379"/>
      <c r="M276" s="379"/>
      <c r="N276" s="379"/>
      <c r="O276" s="379"/>
      <c r="P276" s="379"/>
      <c r="Q276" s="379"/>
      <c r="R276" s="379"/>
      <c r="S276" s="379"/>
      <c r="T276" s="379"/>
      <c r="U276" s="379"/>
      <c r="V276" s="379"/>
      <c r="W276" s="379"/>
      <c r="X276" s="379"/>
      <c r="Y276" s="379"/>
      <c r="Z276" s="379"/>
    </row>
    <row r="277" ht="12.75" customHeight="1">
      <c r="A277" s="379"/>
      <c r="B277" s="379"/>
      <c r="C277" s="379"/>
      <c r="D277" s="379"/>
      <c r="E277" s="379"/>
      <c r="F277" s="379"/>
      <c r="G277" s="379"/>
      <c r="H277" s="379"/>
      <c r="I277" s="379"/>
      <c r="J277" s="379"/>
      <c r="K277" s="379"/>
      <c r="L277" s="379"/>
      <c r="M277" s="379"/>
      <c r="N277" s="379"/>
      <c r="O277" s="379"/>
      <c r="P277" s="379"/>
      <c r="Q277" s="379"/>
      <c r="R277" s="379"/>
      <c r="S277" s="379"/>
      <c r="T277" s="379"/>
      <c r="U277" s="379"/>
      <c r="V277" s="379"/>
      <c r="W277" s="379"/>
      <c r="X277" s="379"/>
      <c r="Y277" s="379"/>
      <c r="Z277" s="379"/>
    </row>
    <row r="278" ht="12.75" customHeight="1">
      <c r="A278" s="379"/>
      <c r="B278" s="379"/>
      <c r="C278" s="379"/>
      <c r="D278" s="379"/>
      <c r="E278" s="379"/>
      <c r="F278" s="379"/>
      <c r="G278" s="379"/>
      <c r="H278" s="379"/>
      <c r="I278" s="379"/>
      <c r="J278" s="379"/>
      <c r="K278" s="379"/>
      <c r="L278" s="379"/>
      <c r="M278" s="379"/>
      <c r="N278" s="379"/>
      <c r="O278" s="379"/>
      <c r="P278" s="379"/>
      <c r="Q278" s="379"/>
      <c r="R278" s="379"/>
      <c r="S278" s="379"/>
      <c r="T278" s="379"/>
      <c r="U278" s="379"/>
      <c r="V278" s="379"/>
      <c r="W278" s="379"/>
      <c r="X278" s="379"/>
      <c r="Y278" s="379"/>
      <c r="Z278" s="379"/>
    </row>
    <row r="279" ht="12.75" customHeight="1">
      <c r="A279" s="379"/>
      <c r="B279" s="379"/>
      <c r="C279" s="379"/>
      <c r="D279" s="379"/>
      <c r="E279" s="379"/>
      <c r="F279" s="379"/>
      <c r="G279" s="379"/>
      <c r="H279" s="379"/>
      <c r="I279" s="379"/>
      <c r="J279" s="379"/>
      <c r="K279" s="379"/>
      <c r="L279" s="379"/>
      <c r="M279" s="379"/>
      <c r="N279" s="379"/>
      <c r="O279" s="379"/>
      <c r="P279" s="379"/>
      <c r="Q279" s="379"/>
      <c r="R279" s="379"/>
      <c r="S279" s="379"/>
      <c r="T279" s="379"/>
      <c r="U279" s="379"/>
      <c r="V279" s="379"/>
      <c r="W279" s="379"/>
      <c r="X279" s="379"/>
      <c r="Y279" s="379"/>
      <c r="Z279" s="379"/>
    </row>
    <row r="280" ht="12.75" customHeight="1">
      <c r="A280" s="379"/>
      <c r="B280" s="379"/>
      <c r="C280" s="379"/>
      <c r="D280" s="379"/>
      <c r="E280" s="379"/>
      <c r="F280" s="379"/>
      <c r="G280" s="379"/>
      <c r="H280" s="379"/>
      <c r="I280" s="379"/>
      <c r="J280" s="379"/>
      <c r="K280" s="379"/>
      <c r="L280" s="379"/>
      <c r="M280" s="379"/>
      <c r="N280" s="379"/>
      <c r="O280" s="379"/>
      <c r="P280" s="379"/>
      <c r="Q280" s="379"/>
      <c r="R280" s="379"/>
      <c r="S280" s="379"/>
      <c r="T280" s="379"/>
      <c r="U280" s="379"/>
      <c r="V280" s="379"/>
      <c r="W280" s="379"/>
      <c r="X280" s="379"/>
      <c r="Y280" s="379"/>
      <c r="Z280" s="379"/>
    </row>
    <row r="281" ht="12.75" customHeight="1">
      <c r="A281" s="379"/>
      <c r="B281" s="379"/>
      <c r="C281" s="379"/>
      <c r="D281" s="379"/>
      <c r="E281" s="379"/>
      <c r="F281" s="379"/>
      <c r="G281" s="379"/>
      <c r="H281" s="379"/>
      <c r="I281" s="379"/>
      <c r="J281" s="379"/>
      <c r="K281" s="379"/>
      <c r="L281" s="379"/>
      <c r="M281" s="379"/>
      <c r="N281" s="379"/>
      <c r="O281" s="379"/>
      <c r="P281" s="379"/>
      <c r="Q281" s="379"/>
      <c r="R281" s="379"/>
      <c r="S281" s="379"/>
      <c r="T281" s="379"/>
      <c r="U281" s="379"/>
      <c r="V281" s="379"/>
      <c r="W281" s="379"/>
      <c r="X281" s="379"/>
      <c r="Y281" s="379"/>
      <c r="Z281" s="379"/>
    </row>
    <row r="282" ht="12.75" customHeight="1">
      <c r="A282" s="379"/>
      <c r="B282" s="379"/>
      <c r="C282" s="379"/>
      <c r="D282" s="379"/>
      <c r="E282" s="379"/>
      <c r="F282" s="379"/>
      <c r="G282" s="379"/>
      <c r="H282" s="379"/>
      <c r="I282" s="379"/>
      <c r="J282" s="379"/>
      <c r="K282" s="379"/>
      <c r="L282" s="379"/>
      <c r="M282" s="379"/>
      <c r="N282" s="379"/>
      <c r="O282" s="379"/>
      <c r="P282" s="379"/>
      <c r="Q282" s="379"/>
      <c r="R282" s="379"/>
      <c r="S282" s="379"/>
      <c r="T282" s="379"/>
      <c r="U282" s="379"/>
      <c r="V282" s="379"/>
      <c r="W282" s="379"/>
      <c r="X282" s="379"/>
      <c r="Y282" s="379"/>
      <c r="Z282" s="379"/>
    </row>
    <row r="283" ht="12.75" customHeight="1">
      <c r="A283" s="379"/>
      <c r="B283" s="379"/>
      <c r="C283" s="379"/>
      <c r="D283" s="379"/>
      <c r="E283" s="379"/>
      <c r="F283" s="379"/>
      <c r="G283" s="379"/>
      <c r="H283" s="379"/>
      <c r="I283" s="379"/>
      <c r="J283" s="379"/>
      <c r="K283" s="379"/>
      <c r="L283" s="379"/>
      <c r="M283" s="379"/>
      <c r="N283" s="379"/>
      <c r="O283" s="379"/>
      <c r="P283" s="379"/>
      <c r="Q283" s="379"/>
      <c r="R283" s="379"/>
      <c r="S283" s="379"/>
      <c r="T283" s="379"/>
      <c r="U283" s="379"/>
      <c r="V283" s="379"/>
      <c r="W283" s="379"/>
      <c r="X283" s="379"/>
      <c r="Y283" s="379"/>
      <c r="Z283" s="379"/>
    </row>
    <row r="284" ht="12.75" customHeight="1">
      <c r="A284" s="379"/>
      <c r="B284" s="379"/>
      <c r="C284" s="379"/>
      <c r="D284" s="379"/>
      <c r="E284" s="379"/>
      <c r="F284" s="379"/>
      <c r="G284" s="379"/>
      <c r="H284" s="379"/>
      <c r="I284" s="379"/>
      <c r="J284" s="379"/>
      <c r="K284" s="379"/>
      <c r="L284" s="379"/>
      <c r="M284" s="379"/>
      <c r="N284" s="379"/>
      <c r="O284" s="379"/>
      <c r="P284" s="379"/>
      <c r="Q284" s="379"/>
      <c r="R284" s="379"/>
      <c r="S284" s="379"/>
      <c r="T284" s="379"/>
      <c r="U284" s="379"/>
      <c r="V284" s="379"/>
      <c r="W284" s="379"/>
      <c r="X284" s="379"/>
      <c r="Y284" s="379"/>
      <c r="Z284" s="379"/>
    </row>
    <row r="285" ht="12.75" customHeight="1">
      <c r="A285" s="379"/>
      <c r="B285" s="379"/>
      <c r="C285" s="379"/>
      <c r="D285" s="379"/>
      <c r="E285" s="379"/>
      <c r="F285" s="379"/>
      <c r="G285" s="379"/>
      <c r="H285" s="379"/>
      <c r="I285" s="379"/>
      <c r="J285" s="379"/>
      <c r="K285" s="379"/>
      <c r="L285" s="379"/>
      <c r="M285" s="379"/>
      <c r="N285" s="379"/>
      <c r="O285" s="379"/>
      <c r="P285" s="379"/>
      <c r="Q285" s="379"/>
      <c r="R285" s="379"/>
      <c r="S285" s="379"/>
      <c r="T285" s="379"/>
      <c r="U285" s="379"/>
      <c r="V285" s="379"/>
      <c r="W285" s="379"/>
      <c r="X285" s="379"/>
      <c r="Y285" s="379"/>
      <c r="Z285" s="379"/>
    </row>
    <row r="286" ht="12.75" customHeight="1">
      <c r="A286" s="379"/>
      <c r="B286" s="379"/>
      <c r="C286" s="379"/>
      <c r="D286" s="379"/>
      <c r="E286" s="379"/>
      <c r="F286" s="379"/>
      <c r="G286" s="379"/>
      <c r="H286" s="379"/>
      <c r="I286" s="379"/>
      <c r="J286" s="379"/>
      <c r="K286" s="379"/>
      <c r="L286" s="379"/>
      <c r="M286" s="379"/>
      <c r="N286" s="379"/>
      <c r="O286" s="379"/>
      <c r="P286" s="379"/>
      <c r="Q286" s="379"/>
      <c r="R286" s="379"/>
      <c r="S286" s="379"/>
      <c r="T286" s="379"/>
      <c r="U286" s="379"/>
      <c r="V286" s="379"/>
      <c r="W286" s="379"/>
      <c r="X286" s="379"/>
      <c r="Y286" s="379"/>
      <c r="Z286" s="379"/>
    </row>
    <row r="287" ht="12.75" customHeight="1">
      <c r="A287" s="379"/>
      <c r="B287" s="379"/>
      <c r="C287" s="379"/>
      <c r="D287" s="379"/>
      <c r="E287" s="379"/>
      <c r="F287" s="379"/>
      <c r="G287" s="379"/>
      <c r="H287" s="379"/>
      <c r="I287" s="379"/>
      <c r="J287" s="379"/>
      <c r="K287" s="379"/>
      <c r="L287" s="379"/>
      <c r="M287" s="379"/>
      <c r="N287" s="379"/>
      <c r="O287" s="379"/>
      <c r="P287" s="379"/>
      <c r="Q287" s="379"/>
      <c r="R287" s="379"/>
      <c r="S287" s="379"/>
      <c r="T287" s="379"/>
      <c r="U287" s="379"/>
      <c r="V287" s="379"/>
      <c r="W287" s="379"/>
      <c r="X287" s="379"/>
      <c r="Y287" s="379"/>
      <c r="Z287" s="379"/>
    </row>
    <row r="288" ht="12.75" customHeight="1">
      <c r="A288" s="379"/>
      <c r="B288" s="379"/>
      <c r="C288" s="379"/>
      <c r="D288" s="379"/>
      <c r="E288" s="379"/>
      <c r="F288" s="379"/>
      <c r="G288" s="379"/>
      <c r="H288" s="379"/>
      <c r="I288" s="379"/>
      <c r="J288" s="379"/>
      <c r="K288" s="379"/>
      <c r="L288" s="379"/>
      <c r="M288" s="379"/>
      <c r="N288" s="379"/>
      <c r="O288" s="379"/>
      <c r="P288" s="379"/>
      <c r="Q288" s="379"/>
      <c r="R288" s="379"/>
      <c r="S288" s="379"/>
      <c r="T288" s="379"/>
      <c r="U288" s="379"/>
      <c r="V288" s="379"/>
      <c r="W288" s="379"/>
      <c r="X288" s="379"/>
      <c r="Y288" s="379"/>
      <c r="Z288" s="379"/>
    </row>
    <row r="289" ht="12.75" customHeight="1">
      <c r="A289" s="379"/>
      <c r="B289" s="379"/>
      <c r="C289" s="379"/>
      <c r="D289" s="379"/>
      <c r="E289" s="379"/>
      <c r="F289" s="379"/>
      <c r="G289" s="379"/>
      <c r="H289" s="379"/>
      <c r="I289" s="379"/>
      <c r="J289" s="379"/>
      <c r="K289" s="379"/>
      <c r="L289" s="379"/>
      <c r="M289" s="379"/>
      <c r="N289" s="379"/>
      <c r="O289" s="379"/>
      <c r="P289" s="379"/>
      <c r="Q289" s="379"/>
      <c r="R289" s="379"/>
      <c r="S289" s="379"/>
      <c r="T289" s="379"/>
      <c r="U289" s="379"/>
      <c r="V289" s="379"/>
      <c r="W289" s="379"/>
      <c r="X289" s="379"/>
      <c r="Y289" s="379"/>
      <c r="Z289" s="379"/>
    </row>
    <row r="290" ht="12.75" customHeight="1">
      <c r="A290" s="379"/>
      <c r="B290" s="379"/>
      <c r="C290" s="379"/>
      <c r="D290" s="379"/>
      <c r="E290" s="379"/>
      <c r="F290" s="379"/>
      <c r="G290" s="379"/>
      <c r="H290" s="379"/>
      <c r="I290" s="379"/>
      <c r="J290" s="379"/>
      <c r="K290" s="379"/>
      <c r="L290" s="379"/>
      <c r="M290" s="379"/>
      <c r="N290" s="379"/>
      <c r="O290" s="379"/>
      <c r="P290" s="379"/>
      <c r="Q290" s="379"/>
      <c r="R290" s="379"/>
      <c r="S290" s="379"/>
      <c r="T290" s="379"/>
      <c r="U290" s="379"/>
      <c r="V290" s="379"/>
      <c r="W290" s="379"/>
      <c r="X290" s="379"/>
      <c r="Y290" s="379"/>
      <c r="Z290" s="379"/>
    </row>
    <row r="291" ht="12.75" customHeight="1">
      <c r="A291" s="379"/>
      <c r="B291" s="379"/>
      <c r="C291" s="379"/>
      <c r="D291" s="379"/>
      <c r="E291" s="379"/>
      <c r="F291" s="379"/>
      <c r="G291" s="379"/>
      <c r="H291" s="379"/>
      <c r="I291" s="379"/>
      <c r="J291" s="379"/>
      <c r="K291" s="379"/>
      <c r="L291" s="379"/>
      <c r="M291" s="379"/>
      <c r="N291" s="379"/>
      <c r="O291" s="379"/>
      <c r="P291" s="379"/>
      <c r="Q291" s="379"/>
      <c r="R291" s="379"/>
      <c r="S291" s="379"/>
      <c r="T291" s="379"/>
      <c r="U291" s="379"/>
      <c r="V291" s="379"/>
      <c r="W291" s="379"/>
      <c r="X291" s="379"/>
      <c r="Y291" s="379"/>
      <c r="Z291" s="379"/>
    </row>
    <row r="292" ht="12.75" customHeight="1">
      <c r="A292" s="379"/>
      <c r="B292" s="379"/>
      <c r="C292" s="379"/>
      <c r="D292" s="379"/>
      <c r="E292" s="379"/>
      <c r="F292" s="379"/>
      <c r="G292" s="379"/>
      <c r="H292" s="379"/>
      <c r="I292" s="379"/>
      <c r="J292" s="379"/>
      <c r="K292" s="379"/>
      <c r="L292" s="379"/>
      <c r="M292" s="379"/>
      <c r="N292" s="379"/>
      <c r="O292" s="379"/>
      <c r="P292" s="379"/>
      <c r="Q292" s="379"/>
      <c r="R292" s="379"/>
      <c r="S292" s="379"/>
      <c r="T292" s="379"/>
      <c r="U292" s="379"/>
      <c r="V292" s="379"/>
      <c r="W292" s="379"/>
      <c r="X292" s="379"/>
      <c r="Y292" s="379"/>
      <c r="Z292" s="379"/>
    </row>
    <row r="293" ht="12.75" customHeight="1">
      <c r="A293" s="379"/>
      <c r="B293" s="379"/>
      <c r="C293" s="379"/>
      <c r="D293" s="379"/>
      <c r="E293" s="379"/>
      <c r="F293" s="379"/>
      <c r="G293" s="379"/>
      <c r="H293" s="379"/>
      <c r="I293" s="379"/>
      <c r="J293" s="379"/>
      <c r="K293" s="379"/>
      <c r="L293" s="379"/>
      <c r="M293" s="379"/>
      <c r="N293" s="379"/>
      <c r="O293" s="379"/>
      <c r="P293" s="379"/>
      <c r="Q293" s="379"/>
      <c r="R293" s="379"/>
      <c r="S293" s="379"/>
      <c r="T293" s="379"/>
      <c r="U293" s="379"/>
      <c r="V293" s="379"/>
      <c r="W293" s="379"/>
      <c r="X293" s="379"/>
      <c r="Y293" s="379"/>
      <c r="Z293" s="379"/>
    </row>
    <row r="294" ht="12.75" customHeight="1">
      <c r="A294" s="379"/>
      <c r="B294" s="379"/>
      <c r="C294" s="379"/>
      <c r="D294" s="379"/>
      <c r="E294" s="379"/>
      <c r="F294" s="379"/>
      <c r="G294" s="379"/>
      <c r="H294" s="379"/>
      <c r="I294" s="379"/>
      <c r="J294" s="379"/>
      <c r="K294" s="379"/>
      <c r="L294" s="379"/>
      <c r="M294" s="379"/>
      <c r="N294" s="379"/>
      <c r="O294" s="379"/>
      <c r="P294" s="379"/>
      <c r="Q294" s="379"/>
      <c r="R294" s="379"/>
      <c r="S294" s="379"/>
      <c r="T294" s="379"/>
      <c r="U294" s="379"/>
      <c r="V294" s="379"/>
      <c r="W294" s="379"/>
      <c r="X294" s="379"/>
      <c r="Y294" s="379"/>
      <c r="Z294" s="379"/>
    </row>
    <row r="295" ht="12.75" customHeight="1">
      <c r="A295" s="379"/>
      <c r="B295" s="379"/>
      <c r="C295" s="379"/>
      <c r="D295" s="379"/>
      <c r="E295" s="379"/>
      <c r="F295" s="379"/>
      <c r="G295" s="379"/>
      <c r="H295" s="379"/>
      <c r="I295" s="379"/>
      <c r="J295" s="379"/>
      <c r="K295" s="379"/>
      <c r="L295" s="379"/>
      <c r="M295" s="379"/>
      <c r="N295" s="379"/>
      <c r="O295" s="379"/>
      <c r="P295" s="379"/>
      <c r="Q295" s="379"/>
      <c r="R295" s="379"/>
      <c r="S295" s="379"/>
      <c r="T295" s="379"/>
      <c r="U295" s="379"/>
      <c r="V295" s="379"/>
      <c r="W295" s="379"/>
      <c r="X295" s="379"/>
      <c r="Y295" s="379"/>
      <c r="Z295" s="379"/>
    </row>
    <row r="296" ht="12.75" customHeight="1">
      <c r="A296" s="379"/>
      <c r="B296" s="379"/>
      <c r="C296" s="379"/>
      <c r="D296" s="379"/>
      <c r="E296" s="379"/>
      <c r="F296" s="379"/>
      <c r="G296" s="379"/>
      <c r="H296" s="379"/>
      <c r="I296" s="379"/>
      <c r="J296" s="379"/>
      <c r="K296" s="379"/>
      <c r="L296" s="379"/>
      <c r="M296" s="379"/>
      <c r="N296" s="379"/>
      <c r="O296" s="379"/>
      <c r="P296" s="379"/>
      <c r="Q296" s="379"/>
      <c r="R296" s="379"/>
      <c r="S296" s="379"/>
      <c r="T296" s="379"/>
      <c r="U296" s="379"/>
      <c r="V296" s="379"/>
      <c r="W296" s="379"/>
      <c r="X296" s="379"/>
      <c r="Y296" s="379"/>
      <c r="Z296" s="379"/>
    </row>
    <row r="297" ht="12.75" customHeight="1">
      <c r="A297" s="379"/>
      <c r="B297" s="379"/>
      <c r="C297" s="379"/>
      <c r="D297" s="379"/>
      <c r="E297" s="379"/>
      <c r="F297" s="379"/>
      <c r="G297" s="379"/>
      <c r="H297" s="379"/>
      <c r="I297" s="379"/>
      <c r="J297" s="379"/>
      <c r="K297" s="379"/>
      <c r="L297" s="379"/>
      <c r="M297" s="379"/>
      <c r="N297" s="379"/>
      <c r="O297" s="379"/>
      <c r="P297" s="379"/>
      <c r="Q297" s="379"/>
      <c r="R297" s="379"/>
      <c r="S297" s="379"/>
      <c r="T297" s="379"/>
      <c r="U297" s="379"/>
      <c r="V297" s="379"/>
      <c r="W297" s="379"/>
      <c r="X297" s="379"/>
      <c r="Y297" s="379"/>
      <c r="Z297" s="379"/>
    </row>
    <row r="298" ht="12.75" customHeight="1">
      <c r="A298" s="379"/>
      <c r="B298" s="379"/>
      <c r="C298" s="379"/>
      <c r="D298" s="379"/>
      <c r="E298" s="379"/>
      <c r="F298" s="379"/>
      <c r="G298" s="379"/>
      <c r="H298" s="379"/>
      <c r="I298" s="379"/>
      <c r="J298" s="379"/>
      <c r="K298" s="379"/>
      <c r="L298" s="379"/>
      <c r="M298" s="379"/>
      <c r="N298" s="379"/>
      <c r="O298" s="379"/>
      <c r="P298" s="379"/>
      <c r="Q298" s="379"/>
      <c r="R298" s="379"/>
      <c r="S298" s="379"/>
      <c r="T298" s="379"/>
      <c r="U298" s="379"/>
      <c r="V298" s="379"/>
      <c r="W298" s="379"/>
      <c r="X298" s="379"/>
      <c r="Y298" s="379"/>
      <c r="Z298" s="379"/>
    </row>
    <row r="299" ht="12.75" customHeight="1">
      <c r="A299" s="379"/>
      <c r="B299" s="379"/>
      <c r="C299" s="379"/>
      <c r="D299" s="379"/>
      <c r="E299" s="379"/>
      <c r="F299" s="379"/>
      <c r="G299" s="379"/>
      <c r="H299" s="379"/>
      <c r="I299" s="379"/>
      <c r="J299" s="379"/>
      <c r="K299" s="379"/>
      <c r="L299" s="379"/>
      <c r="M299" s="379"/>
      <c r="N299" s="379"/>
      <c r="O299" s="379"/>
      <c r="P299" s="379"/>
      <c r="Q299" s="379"/>
      <c r="R299" s="379"/>
      <c r="S299" s="379"/>
      <c r="T299" s="379"/>
      <c r="U299" s="379"/>
      <c r="V299" s="379"/>
      <c r="W299" s="379"/>
      <c r="X299" s="379"/>
      <c r="Y299" s="379"/>
      <c r="Z299" s="379"/>
    </row>
    <row r="300" ht="12.75" customHeight="1">
      <c r="A300" s="379"/>
      <c r="B300" s="379"/>
      <c r="C300" s="379"/>
      <c r="D300" s="379"/>
      <c r="E300" s="379"/>
      <c r="F300" s="379"/>
      <c r="G300" s="379"/>
      <c r="H300" s="379"/>
      <c r="I300" s="379"/>
      <c r="J300" s="379"/>
      <c r="K300" s="379"/>
      <c r="L300" s="379"/>
      <c r="M300" s="379"/>
      <c r="N300" s="379"/>
      <c r="O300" s="379"/>
      <c r="P300" s="379"/>
      <c r="Q300" s="379"/>
      <c r="R300" s="379"/>
      <c r="S300" s="379"/>
      <c r="T300" s="379"/>
      <c r="U300" s="379"/>
      <c r="V300" s="379"/>
      <c r="W300" s="379"/>
      <c r="X300" s="379"/>
      <c r="Y300" s="379"/>
      <c r="Z300" s="379"/>
    </row>
    <row r="301" ht="12.75" customHeight="1">
      <c r="A301" s="379"/>
      <c r="B301" s="379"/>
      <c r="C301" s="379"/>
      <c r="D301" s="379"/>
      <c r="E301" s="379"/>
      <c r="F301" s="379"/>
      <c r="G301" s="379"/>
      <c r="H301" s="379"/>
      <c r="I301" s="379"/>
      <c r="J301" s="379"/>
      <c r="K301" s="379"/>
      <c r="L301" s="379"/>
      <c r="M301" s="379"/>
      <c r="N301" s="379"/>
      <c r="O301" s="379"/>
      <c r="P301" s="379"/>
      <c r="Q301" s="379"/>
      <c r="R301" s="379"/>
      <c r="S301" s="379"/>
      <c r="T301" s="379"/>
      <c r="U301" s="379"/>
      <c r="V301" s="379"/>
      <c r="W301" s="379"/>
      <c r="X301" s="379"/>
      <c r="Y301" s="379"/>
      <c r="Z301" s="379"/>
    </row>
    <row r="302" ht="12.75" customHeight="1">
      <c r="A302" s="379"/>
      <c r="B302" s="379"/>
      <c r="C302" s="379"/>
      <c r="D302" s="379"/>
      <c r="E302" s="379"/>
      <c r="F302" s="379"/>
      <c r="G302" s="379"/>
      <c r="H302" s="379"/>
      <c r="I302" s="379"/>
      <c r="J302" s="379"/>
      <c r="K302" s="379"/>
      <c r="L302" s="379"/>
      <c r="M302" s="379"/>
      <c r="N302" s="379"/>
      <c r="O302" s="379"/>
      <c r="P302" s="379"/>
      <c r="Q302" s="379"/>
      <c r="R302" s="379"/>
      <c r="S302" s="379"/>
      <c r="T302" s="379"/>
      <c r="U302" s="379"/>
      <c r="V302" s="379"/>
      <c r="W302" s="379"/>
      <c r="X302" s="379"/>
      <c r="Y302" s="379"/>
      <c r="Z302" s="379"/>
    </row>
    <row r="303" ht="12.75" customHeight="1">
      <c r="A303" s="379"/>
      <c r="B303" s="379"/>
      <c r="C303" s="379"/>
      <c r="D303" s="379"/>
      <c r="E303" s="379"/>
      <c r="F303" s="379"/>
      <c r="G303" s="379"/>
      <c r="H303" s="379"/>
      <c r="I303" s="379"/>
      <c r="J303" s="379"/>
      <c r="K303" s="379"/>
      <c r="L303" s="379"/>
      <c r="M303" s="379"/>
      <c r="N303" s="379"/>
      <c r="O303" s="379"/>
      <c r="P303" s="379"/>
      <c r="Q303" s="379"/>
      <c r="R303" s="379"/>
      <c r="S303" s="379"/>
      <c r="T303" s="379"/>
      <c r="U303" s="379"/>
      <c r="V303" s="379"/>
      <c r="W303" s="379"/>
      <c r="X303" s="379"/>
      <c r="Y303" s="379"/>
      <c r="Z303" s="379"/>
    </row>
    <row r="304" ht="12.75" customHeight="1">
      <c r="A304" s="379"/>
      <c r="B304" s="379"/>
      <c r="C304" s="379"/>
      <c r="D304" s="379"/>
      <c r="E304" s="379"/>
      <c r="F304" s="379"/>
      <c r="G304" s="379"/>
      <c r="H304" s="379"/>
      <c r="I304" s="379"/>
      <c r="J304" s="379"/>
      <c r="K304" s="379"/>
      <c r="L304" s="379"/>
      <c r="M304" s="379"/>
      <c r="N304" s="379"/>
      <c r="O304" s="379"/>
      <c r="P304" s="379"/>
      <c r="Q304" s="379"/>
      <c r="R304" s="379"/>
      <c r="S304" s="379"/>
      <c r="T304" s="379"/>
      <c r="U304" s="379"/>
      <c r="V304" s="379"/>
      <c r="W304" s="379"/>
      <c r="X304" s="379"/>
      <c r="Y304" s="379"/>
      <c r="Z304" s="379"/>
    </row>
    <row r="305" ht="12.75" customHeight="1">
      <c r="A305" s="379"/>
      <c r="B305" s="379"/>
      <c r="C305" s="379"/>
      <c r="D305" s="379"/>
      <c r="E305" s="379"/>
      <c r="F305" s="379"/>
      <c r="G305" s="379"/>
      <c r="H305" s="379"/>
      <c r="I305" s="379"/>
      <c r="J305" s="379"/>
      <c r="K305" s="379"/>
      <c r="L305" s="379"/>
      <c r="M305" s="379"/>
      <c r="N305" s="379"/>
      <c r="O305" s="379"/>
      <c r="P305" s="379"/>
      <c r="Q305" s="379"/>
      <c r="R305" s="379"/>
      <c r="S305" s="379"/>
      <c r="T305" s="379"/>
      <c r="U305" s="379"/>
      <c r="V305" s="379"/>
      <c r="W305" s="379"/>
      <c r="X305" s="379"/>
      <c r="Y305" s="379"/>
      <c r="Z305" s="379"/>
    </row>
    <row r="306" ht="12.75" customHeight="1">
      <c r="A306" s="379"/>
      <c r="B306" s="379"/>
      <c r="C306" s="379"/>
      <c r="D306" s="379"/>
      <c r="E306" s="379"/>
      <c r="F306" s="379"/>
      <c r="G306" s="379"/>
      <c r="H306" s="379"/>
      <c r="I306" s="379"/>
      <c r="J306" s="379"/>
      <c r="K306" s="379"/>
      <c r="L306" s="379"/>
      <c r="M306" s="379"/>
      <c r="N306" s="379"/>
      <c r="O306" s="379"/>
      <c r="P306" s="379"/>
      <c r="Q306" s="379"/>
      <c r="R306" s="379"/>
      <c r="S306" s="379"/>
      <c r="T306" s="379"/>
      <c r="U306" s="379"/>
      <c r="V306" s="379"/>
      <c r="W306" s="379"/>
      <c r="X306" s="379"/>
      <c r="Y306" s="379"/>
      <c r="Z306" s="379"/>
    </row>
    <row r="307" ht="12.75" customHeight="1">
      <c r="A307" s="379"/>
      <c r="B307" s="379"/>
      <c r="C307" s="379"/>
      <c r="D307" s="379"/>
      <c r="E307" s="379"/>
      <c r="F307" s="379"/>
      <c r="G307" s="379"/>
      <c r="H307" s="379"/>
      <c r="I307" s="379"/>
      <c r="J307" s="379"/>
      <c r="K307" s="379"/>
      <c r="L307" s="379"/>
      <c r="M307" s="379"/>
      <c r="N307" s="379"/>
      <c r="O307" s="379"/>
      <c r="P307" s="379"/>
      <c r="Q307" s="379"/>
      <c r="R307" s="379"/>
      <c r="S307" s="379"/>
      <c r="T307" s="379"/>
      <c r="U307" s="379"/>
      <c r="V307" s="379"/>
      <c r="W307" s="379"/>
      <c r="X307" s="379"/>
      <c r="Y307" s="379"/>
      <c r="Z307" s="379"/>
    </row>
    <row r="308" ht="12.75" customHeight="1">
      <c r="A308" s="379"/>
      <c r="B308" s="379"/>
      <c r="C308" s="379"/>
      <c r="D308" s="379"/>
      <c r="E308" s="379"/>
      <c r="F308" s="379"/>
      <c r="G308" s="379"/>
      <c r="H308" s="379"/>
      <c r="I308" s="379"/>
      <c r="J308" s="379"/>
      <c r="K308" s="379"/>
      <c r="L308" s="379"/>
      <c r="M308" s="379"/>
      <c r="N308" s="379"/>
      <c r="O308" s="379"/>
      <c r="P308" s="379"/>
      <c r="Q308" s="379"/>
      <c r="R308" s="379"/>
      <c r="S308" s="379"/>
      <c r="T308" s="379"/>
      <c r="U308" s="379"/>
      <c r="V308" s="379"/>
      <c r="W308" s="379"/>
      <c r="X308" s="379"/>
      <c r="Y308" s="379"/>
      <c r="Z308" s="379"/>
    </row>
    <row r="309" ht="12.75" customHeight="1">
      <c r="A309" s="379"/>
      <c r="B309" s="379"/>
      <c r="C309" s="379"/>
      <c r="D309" s="379"/>
      <c r="E309" s="379"/>
      <c r="F309" s="379"/>
      <c r="G309" s="379"/>
      <c r="H309" s="379"/>
      <c r="I309" s="379"/>
      <c r="J309" s="379"/>
      <c r="K309" s="379"/>
      <c r="L309" s="379"/>
      <c r="M309" s="379"/>
      <c r="N309" s="379"/>
      <c r="O309" s="379"/>
      <c r="P309" s="379"/>
      <c r="Q309" s="379"/>
      <c r="R309" s="379"/>
      <c r="S309" s="379"/>
      <c r="T309" s="379"/>
      <c r="U309" s="379"/>
      <c r="V309" s="379"/>
      <c r="W309" s="379"/>
      <c r="X309" s="379"/>
      <c r="Y309" s="379"/>
      <c r="Z309" s="379"/>
    </row>
    <row r="310" ht="12.75" customHeight="1">
      <c r="A310" s="379"/>
      <c r="B310" s="379"/>
      <c r="C310" s="379"/>
      <c r="D310" s="379"/>
      <c r="E310" s="379"/>
      <c r="F310" s="379"/>
      <c r="G310" s="379"/>
      <c r="H310" s="379"/>
      <c r="I310" s="379"/>
      <c r="J310" s="379"/>
      <c r="K310" s="379"/>
      <c r="L310" s="379"/>
      <c r="M310" s="379"/>
      <c r="N310" s="379"/>
      <c r="O310" s="379"/>
      <c r="P310" s="379"/>
      <c r="Q310" s="379"/>
      <c r="R310" s="379"/>
      <c r="S310" s="379"/>
      <c r="T310" s="379"/>
      <c r="U310" s="379"/>
      <c r="V310" s="379"/>
      <c r="W310" s="379"/>
      <c r="X310" s="379"/>
      <c r="Y310" s="379"/>
      <c r="Z310" s="379"/>
    </row>
    <row r="311" ht="12.75" customHeight="1">
      <c r="A311" s="379"/>
      <c r="B311" s="379"/>
      <c r="C311" s="379"/>
      <c r="D311" s="379"/>
      <c r="E311" s="379"/>
      <c r="F311" s="379"/>
      <c r="G311" s="379"/>
      <c r="H311" s="379"/>
      <c r="I311" s="379"/>
      <c r="J311" s="379"/>
      <c r="K311" s="379"/>
      <c r="L311" s="379"/>
      <c r="M311" s="379"/>
      <c r="N311" s="379"/>
      <c r="O311" s="379"/>
      <c r="P311" s="379"/>
      <c r="Q311" s="379"/>
      <c r="R311" s="379"/>
      <c r="S311" s="379"/>
      <c r="T311" s="379"/>
      <c r="U311" s="379"/>
      <c r="V311" s="379"/>
      <c r="W311" s="379"/>
      <c r="X311" s="379"/>
      <c r="Y311" s="379"/>
      <c r="Z311" s="379"/>
    </row>
    <row r="312" ht="12.75" customHeight="1">
      <c r="A312" s="379"/>
      <c r="B312" s="379"/>
      <c r="C312" s="379"/>
      <c r="D312" s="379"/>
      <c r="E312" s="379"/>
      <c r="F312" s="379"/>
      <c r="G312" s="379"/>
      <c r="H312" s="379"/>
      <c r="I312" s="379"/>
      <c r="J312" s="379"/>
      <c r="K312" s="379"/>
      <c r="L312" s="379"/>
      <c r="M312" s="379"/>
      <c r="N312" s="379"/>
      <c r="O312" s="379"/>
      <c r="P312" s="379"/>
      <c r="Q312" s="379"/>
      <c r="R312" s="379"/>
      <c r="S312" s="379"/>
      <c r="T312" s="379"/>
      <c r="U312" s="379"/>
      <c r="V312" s="379"/>
      <c r="W312" s="379"/>
      <c r="X312" s="379"/>
      <c r="Y312" s="379"/>
      <c r="Z312" s="379"/>
    </row>
    <row r="313" ht="12.75" customHeight="1">
      <c r="A313" s="379"/>
      <c r="B313" s="379"/>
      <c r="C313" s="379"/>
      <c r="D313" s="379"/>
      <c r="E313" s="379"/>
      <c r="F313" s="379"/>
      <c r="G313" s="379"/>
      <c r="H313" s="379"/>
      <c r="I313" s="379"/>
      <c r="J313" s="379"/>
      <c r="K313" s="379"/>
      <c r="L313" s="379"/>
      <c r="M313" s="379"/>
      <c r="N313" s="379"/>
      <c r="O313" s="379"/>
      <c r="P313" s="379"/>
      <c r="Q313" s="379"/>
      <c r="R313" s="379"/>
      <c r="S313" s="379"/>
      <c r="T313" s="379"/>
      <c r="U313" s="379"/>
      <c r="V313" s="379"/>
      <c r="W313" s="379"/>
      <c r="X313" s="379"/>
      <c r="Y313" s="379"/>
      <c r="Z313" s="379"/>
    </row>
    <row r="314" ht="12.75" customHeight="1">
      <c r="A314" s="379"/>
      <c r="B314" s="379"/>
      <c r="C314" s="379"/>
      <c r="D314" s="379"/>
      <c r="E314" s="379"/>
      <c r="F314" s="379"/>
      <c r="G314" s="379"/>
      <c r="H314" s="379"/>
      <c r="I314" s="379"/>
      <c r="J314" s="379"/>
      <c r="K314" s="379"/>
      <c r="L314" s="379"/>
      <c r="M314" s="379"/>
      <c r="N314" s="379"/>
      <c r="O314" s="379"/>
      <c r="P314" s="379"/>
      <c r="Q314" s="379"/>
      <c r="R314" s="379"/>
      <c r="S314" s="379"/>
      <c r="T314" s="379"/>
      <c r="U314" s="379"/>
      <c r="V314" s="379"/>
      <c r="W314" s="379"/>
      <c r="X314" s="379"/>
      <c r="Y314" s="379"/>
      <c r="Z314" s="379"/>
    </row>
    <row r="315" ht="12.75" customHeight="1">
      <c r="A315" s="379"/>
      <c r="B315" s="379"/>
      <c r="C315" s="379"/>
      <c r="D315" s="379"/>
      <c r="E315" s="379"/>
      <c r="F315" s="379"/>
      <c r="G315" s="379"/>
      <c r="H315" s="379"/>
      <c r="I315" s="379"/>
      <c r="J315" s="379"/>
      <c r="K315" s="379"/>
      <c r="L315" s="379"/>
      <c r="M315" s="379"/>
      <c r="N315" s="379"/>
      <c r="O315" s="379"/>
      <c r="P315" s="379"/>
      <c r="Q315" s="379"/>
      <c r="R315" s="379"/>
      <c r="S315" s="379"/>
      <c r="T315" s="379"/>
      <c r="U315" s="379"/>
      <c r="V315" s="379"/>
      <c r="W315" s="379"/>
      <c r="X315" s="379"/>
      <c r="Y315" s="379"/>
      <c r="Z315" s="379"/>
    </row>
    <row r="316" ht="12.75" customHeight="1">
      <c r="A316" s="379"/>
      <c r="B316" s="379"/>
      <c r="C316" s="379"/>
      <c r="D316" s="379"/>
      <c r="E316" s="379"/>
      <c r="F316" s="379"/>
      <c r="G316" s="379"/>
      <c r="H316" s="379"/>
      <c r="I316" s="379"/>
      <c r="J316" s="379"/>
      <c r="K316" s="379"/>
      <c r="L316" s="379"/>
      <c r="M316" s="379"/>
      <c r="N316" s="379"/>
      <c r="O316" s="379"/>
      <c r="P316" s="379"/>
      <c r="Q316" s="379"/>
      <c r="R316" s="379"/>
      <c r="S316" s="379"/>
      <c r="T316" s="379"/>
      <c r="U316" s="379"/>
      <c r="V316" s="379"/>
      <c r="W316" s="379"/>
      <c r="X316" s="379"/>
      <c r="Y316" s="379"/>
      <c r="Z316" s="379"/>
    </row>
    <row r="317" ht="12.75" customHeight="1">
      <c r="A317" s="379"/>
      <c r="B317" s="379"/>
      <c r="C317" s="379"/>
      <c r="D317" s="379"/>
      <c r="E317" s="379"/>
      <c r="F317" s="379"/>
      <c r="G317" s="379"/>
      <c r="H317" s="379"/>
      <c r="I317" s="379"/>
      <c r="J317" s="379"/>
      <c r="K317" s="379"/>
      <c r="L317" s="379"/>
      <c r="M317" s="379"/>
      <c r="N317" s="379"/>
      <c r="O317" s="379"/>
      <c r="P317" s="379"/>
      <c r="Q317" s="379"/>
      <c r="R317" s="379"/>
      <c r="S317" s="379"/>
      <c r="T317" s="379"/>
      <c r="U317" s="379"/>
      <c r="V317" s="379"/>
      <c r="W317" s="379"/>
      <c r="X317" s="379"/>
      <c r="Y317" s="379"/>
      <c r="Z317" s="379"/>
    </row>
    <row r="318" ht="12.75" customHeight="1">
      <c r="A318" s="379"/>
      <c r="B318" s="379"/>
      <c r="C318" s="379"/>
      <c r="D318" s="379"/>
      <c r="E318" s="379"/>
      <c r="F318" s="379"/>
      <c r="G318" s="379"/>
      <c r="H318" s="379"/>
      <c r="I318" s="379"/>
      <c r="J318" s="379"/>
      <c r="K318" s="379"/>
      <c r="L318" s="379"/>
      <c r="M318" s="379"/>
      <c r="N318" s="379"/>
      <c r="O318" s="379"/>
      <c r="P318" s="379"/>
      <c r="Q318" s="379"/>
      <c r="R318" s="379"/>
      <c r="S318" s="379"/>
      <c r="T318" s="379"/>
      <c r="U318" s="379"/>
      <c r="V318" s="379"/>
      <c r="W318" s="379"/>
      <c r="X318" s="379"/>
      <c r="Y318" s="379"/>
      <c r="Z318" s="379"/>
    </row>
    <row r="319" ht="12.75" customHeight="1">
      <c r="A319" s="379"/>
      <c r="B319" s="379"/>
      <c r="C319" s="379"/>
      <c r="D319" s="379"/>
      <c r="E319" s="379"/>
      <c r="F319" s="379"/>
      <c r="G319" s="379"/>
      <c r="H319" s="379"/>
      <c r="I319" s="379"/>
      <c r="J319" s="379"/>
      <c r="K319" s="379"/>
      <c r="L319" s="379"/>
      <c r="M319" s="379"/>
      <c r="N319" s="379"/>
      <c r="O319" s="379"/>
      <c r="P319" s="379"/>
      <c r="Q319" s="379"/>
      <c r="R319" s="379"/>
      <c r="S319" s="379"/>
      <c r="T319" s="379"/>
      <c r="U319" s="379"/>
      <c r="V319" s="379"/>
      <c r="W319" s="379"/>
      <c r="X319" s="379"/>
      <c r="Y319" s="379"/>
      <c r="Z319" s="379"/>
    </row>
    <row r="320" ht="12.75" customHeight="1">
      <c r="A320" s="379"/>
      <c r="B320" s="379"/>
      <c r="C320" s="379"/>
      <c r="D320" s="379"/>
      <c r="E320" s="379"/>
      <c r="F320" s="379"/>
      <c r="G320" s="379"/>
      <c r="H320" s="379"/>
      <c r="I320" s="379"/>
      <c r="J320" s="379"/>
      <c r="K320" s="379"/>
      <c r="L320" s="379"/>
      <c r="M320" s="379"/>
      <c r="N320" s="379"/>
      <c r="O320" s="379"/>
      <c r="P320" s="379"/>
      <c r="Q320" s="379"/>
      <c r="R320" s="379"/>
      <c r="S320" s="379"/>
      <c r="T320" s="379"/>
      <c r="U320" s="379"/>
      <c r="V320" s="379"/>
      <c r="W320" s="379"/>
      <c r="X320" s="379"/>
      <c r="Y320" s="379"/>
      <c r="Z320" s="379"/>
    </row>
    <row r="321" ht="12.75" customHeight="1">
      <c r="A321" s="379"/>
      <c r="B321" s="379"/>
      <c r="C321" s="379"/>
      <c r="D321" s="379"/>
      <c r="E321" s="379"/>
      <c r="F321" s="379"/>
      <c r="G321" s="379"/>
      <c r="H321" s="379"/>
      <c r="I321" s="379"/>
      <c r="J321" s="379"/>
      <c r="K321" s="379"/>
      <c r="L321" s="379"/>
      <c r="M321" s="379"/>
      <c r="N321" s="379"/>
      <c r="O321" s="379"/>
      <c r="P321" s="379"/>
      <c r="Q321" s="379"/>
      <c r="R321" s="379"/>
      <c r="S321" s="379"/>
      <c r="T321" s="379"/>
      <c r="U321" s="379"/>
      <c r="V321" s="379"/>
      <c r="W321" s="379"/>
      <c r="X321" s="379"/>
      <c r="Y321" s="379"/>
      <c r="Z321" s="379"/>
    </row>
    <row r="322" ht="12.75" customHeight="1">
      <c r="A322" s="379"/>
      <c r="B322" s="379"/>
      <c r="C322" s="379"/>
      <c r="D322" s="379"/>
      <c r="E322" s="379"/>
      <c r="F322" s="379"/>
      <c r="G322" s="379"/>
      <c r="H322" s="379"/>
      <c r="I322" s="379"/>
      <c r="J322" s="379"/>
      <c r="K322" s="379"/>
      <c r="L322" s="379"/>
      <c r="M322" s="379"/>
      <c r="N322" s="379"/>
      <c r="O322" s="379"/>
      <c r="P322" s="379"/>
      <c r="Q322" s="379"/>
      <c r="R322" s="379"/>
      <c r="S322" s="379"/>
      <c r="T322" s="379"/>
      <c r="U322" s="379"/>
      <c r="V322" s="379"/>
      <c r="W322" s="379"/>
      <c r="X322" s="379"/>
      <c r="Y322" s="379"/>
      <c r="Z322" s="379"/>
    </row>
    <row r="323" ht="12.75" customHeight="1">
      <c r="A323" s="379"/>
      <c r="B323" s="379"/>
      <c r="C323" s="379"/>
      <c r="D323" s="379"/>
      <c r="E323" s="379"/>
      <c r="F323" s="379"/>
      <c r="G323" s="379"/>
      <c r="H323" s="379"/>
      <c r="I323" s="379"/>
      <c r="J323" s="379"/>
      <c r="K323" s="379"/>
      <c r="L323" s="379"/>
      <c r="M323" s="379"/>
      <c r="N323" s="379"/>
      <c r="O323" s="379"/>
      <c r="P323" s="379"/>
      <c r="Q323" s="379"/>
      <c r="R323" s="379"/>
      <c r="S323" s="379"/>
      <c r="T323" s="379"/>
      <c r="U323" s="379"/>
      <c r="V323" s="379"/>
      <c r="W323" s="379"/>
      <c r="X323" s="379"/>
      <c r="Y323" s="379"/>
      <c r="Z323" s="379"/>
    </row>
    <row r="324" ht="12.75" customHeight="1">
      <c r="A324" s="379"/>
      <c r="B324" s="379"/>
      <c r="C324" s="379"/>
      <c r="D324" s="379"/>
      <c r="E324" s="379"/>
      <c r="F324" s="379"/>
      <c r="G324" s="379"/>
      <c r="H324" s="379"/>
      <c r="I324" s="379"/>
      <c r="J324" s="379"/>
      <c r="K324" s="379"/>
      <c r="L324" s="379"/>
      <c r="M324" s="379"/>
      <c r="N324" s="379"/>
      <c r="O324" s="379"/>
      <c r="P324" s="379"/>
      <c r="Q324" s="379"/>
      <c r="R324" s="379"/>
      <c r="S324" s="379"/>
      <c r="T324" s="379"/>
      <c r="U324" s="379"/>
      <c r="V324" s="379"/>
      <c r="W324" s="379"/>
      <c r="X324" s="379"/>
      <c r="Y324" s="379"/>
      <c r="Z324" s="379"/>
    </row>
    <row r="325" ht="12.75" customHeight="1">
      <c r="A325" s="379"/>
      <c r="B325" s="379"/>
      <c r="C325" s="379"/>
      <c r="D325" s="379"/>
      <c r="E325" s="379"/>
      <c r="F325" s="379"/>
      <c r="G325" s="379"/>
      <c r="H325" s="379"/>
      <c r="I325" s="379"/>
      <c r="J325" s="379"/>
      <c r="K325" s="379"/>
      <c r="L325" s="379"/>
      <c r="M325" s="379"/>
      <c r="N325" s="379"/>
      <c r="O325" s="379"/>
      <c r="P325" s="379"/>
      <c r="Q325" s="379"/>
      <c r="R325" s="379"/>
      <c r="S325" s="379"/>
      <c r="T325" s="379"/>
      <c r="U325" s="379"/>
      <c r="V325" s="379"/>
      <c r="W325" s="379"/>
      <c r="X325" s="379"/>
      <c r="Y325" s="379"/>
      <c r="Z325" s="379"/>
    </row>
    <row r="326" ht="12.75" customHeight="1">
      <c r="A326" s="379"/>
      <c r="B326" s="379"/>
      <c r="C326" s="379"/>
      <c r="D326" s="379"/>
      <c r="E326" s="379"/>
      <c r="F326" s="379"/>
      <c r="G326" s="379"/>
      <c r="H326" s="379"/>
      <c r="I326" s="379"/>
      <c r="J326" s="379"/>
      <c r="K326" s="379"/>
      <c r="L326" s="379"/>
      <c r="M326" s="379"/>
      <c r="N326" s="379"/>
      <c r="O326" s="379"/>
      <c r="P326" s="379"/>
      <c r="Q326" s="379"/>
      <c r="R326" s="379"/>
      <c r="S326" s="379"/>
      <c r="T326" s="379"/>
      <c r="U326" s="379"/>
      <c r="V326" s="379"/>
      <c r="W326" s="379"/>
      <c r="X326" s="379"/>
      <c r="Y326" s="379"/>
      <c r="Z326" s="379"/>
    </row>
    <row r="327" ht="12.75" customHeight="1">
      <c r="A327" s="379"/>
      <c r="B327" s="379"/>
      <c r="C327" s="379"/>
      <c r="D327" s="379"/>
      <c r="E327" s="379"/>
      <c r="F327" s="379"/>
      <c r="G327" s="379"/>
      <c r="H327" s="379"/>
      <c r="I327" s="379"/>
      <c r="J327" s="379"/>
      <c r="K327" s="379"/>
      <c r="L327" s="379"/>
      <c r="M327" s="379"/>
      <c r="N327" s="379"/>
      <c r="O327" s="379"/>
      <c r="P327" s="379"/>
      <c r="Q327" s="379"/>
      <c r="R327" s="379"/>
      <c r="S327" s="379"/>
      <c r="T327" s="379"/>
      <c r="U327" s="379"/>
      <c r="V327" s="379"/>
      <c r="W327" s="379"/>
      <c r="X327" s="379"/>
      <c r="Y327" s="379"/>
      <c r="Z327" s="379"/>
    </row>
    <row r="328" ht="12.75" customHeight="1">
      <c r="A328" s="379"/>
      <c r="B328" s="379"/>
      <c r="C328" s="379"/>
      <c r="D328" s="379"/>
      <c r="E328" s="379"/>
      <c r="F328" s="379"/>
      <c r="G328" s="379"/>
      <c r="H328" s="379"/>
      <c r="I328" s="379"/>
      <c r="J328" s="379"/>
      <c r="K328" s="379"/>
      <c r="L328" s="379"/>
      <c r="M328" s="379"/>
      <c r="N328" s="379"/>
      <c r="O328" s="379"/>
      <c r="P328" s="379"/>
      <c r="Q328" s="379"/>
      <c r="R328" s="379"/>
      <c r="S328" s="379"/>
      <c r="T328" s="379"/>
      <c r="U328" s="379"/>
      <c r="V328" s="379"/>
      <c r="W328" s="379"/>
      <c r="X328" s="379"/>
      <c r="Y328" s="379"/>
      <c r="Z328" s="379"/>
    </row>
    <row r="329" ht="12.75" customHeight="1">
      <c r="A329" s="379"/>
      <c r="B329" s="379"/>
      <c r="C329" s="379"/>
      <c r="D329" s="379"/>
      <c r="E329" s="379"/>
      <c r="F329" s="379"/>
      <c r="G329" s="379"/>
      <c r="H329" s="379"/>
      <c r="I329" s="379"/>
      <c r="J329" s="379"/>
      <c r="K329" s="379"/>
      <c r="L329" s="379"/>
      <c r="M329" s="379"/>
      <c r="N329" s="379"/>
      <c r="O329" s="379"/>
      <c r="P329" s="379"/>
      <c r="Q329" s="379"/>
      <c r="R329" s="379"/>
      <c r="S329" s="379"/>
      <c r="T329" s="379"/>
      <c r="U329" s="379"/>
      <c r="V329" s="379"/>
      <c r="W329" s="379"/>
      <c r="X329" s="379"/>
      <c r="Y329" s="379"/>
      <c r="Z329" s="379"/>
    </row>
    <row r="330" ht="12.75" customHeight="1">
      <c r="A330" s="379"/>
      <c r="B330" s="379"/>
      <c r="C330" s="379"/>
      <c r="D330" s="379"/>
      <c r="E330" s="379"/>
      <c r="F330" s="379"/>
      <c r="G330" s="379"/>
      <c r="H330" s="379"/>
      <c r="I330" s="379"/>
      <c r="J330" s="379"/>
      <c r="K330" s="379"/>
      <c r="L330" s="379"/>
      <c r="M330" s="379"/>
      <c r="N330" s="379"/>
      <c r="O330" s="379"/>
      <c r="P330" s="379"/>
      <c r="Q330" s="379"/>
      <c r="R330" s="379"/>
      <c r="S330" s="379"/>
      <c r="T330" s="379"/>
      <c r="U330" s="379"/>
      <c r="V330" s="379"/>
      <c r="W330" s="379"/>
      <c r="X330" s="379"/>
      <c r="Y330" s="379"/>
      <c r="Z330" s="379"/>
    </row>
    <row r="331" ht="12.75" customHeight="1">
      <c r="A331" s="379"/>
      <c r="B331" s="379"/>
      <c r="C331" s="379"/>
      <c r="D331" s="379"/>
      <c r="E331" s="379"/>
      <c r="F331" s="379"/>
      <c r="G331" s="379"/>
      <c r="H331" s="379"/>
      <c r="I331" s="379"/>
      <c r="J331" s="379"/>
      <c r="K331" s="379"/>
      <c r="L331" s="379"/>
      <c r="M331" s="379"/>
      <c r="N331" s="379"/>
      <c r="O331" s="379"/>
      <c r="P331" s="379"/>
      <c r="Q331" s="379"/>
      <c r="R331" s="379"/>
      <c r="S331" s="379"/>
      <c r="T331" s="379"/>
      <c r="U331" s="379"/>
      <c r="V331" s="379"/>
      <c r="W331" s="379"/>
      <c r="X331" s="379"/>
      <c r="Y331" s="379"/>
      <c r="Z331" s="379"/>
    </row>
    <row r="332" ht="12.75" customHeight="1">
      <c r="A332" s="379"/>
      <c r="B332" s="379"/>
      <c r="C332" s="379"/>
      <c r="D332" s="379"/>
      <c r="E332" s="379"/>
      <c r="F332" s="379"/>
      <c r="G332" s="379"/>
      <c r="H332" s="379"/>
      <c r="I332" s="379"/>
      <c r="J332" s="379"/>
      <c r="K332" s="379"/>
      <c r="L332" s="379"/>
      <c r="M332" s="379"/>
      <c r="N332" s="379"/>
      <c r="O332" s="379"/>
      <c r="P332" s="379"/>
      <c r="Q332" s="379"/>
      <c r="R332" s="379"/>
      <c r="S332" s="379"/>
      <c r="T332" s="379"/>
      <c r="U332" s="379"/>
      <c r="V332" s="379"/>
      <c r="W332" s="379"/>
      <c r="X332" s="379"/>
      <c r="Y332" s="379"/>
      <c r="Z332" s="379"/>
    </row>
    <row r="333" ht="12.75" customHeight="1">
      <c r="A333" s="379"/>
      <c r="B333" s="379"/>
      <c r="C333" s="379"/>
      <c r="D333" s="379"/>
      <c r="E333" s="379"/>
      <c r="F333" s="379"/>
      <c r="G333" s="379"/>
      <c r="H333" s="379"/>
      <c r="I333" s="379"/>
      <c r="J333" s="379"/>
      <c r="K333" s="379"/>
      <c r="L333" s="379"/>
      <c r="M333" s="379"/>
      <c r="N333" s="379"/>
      <c r="O333" s="379"/>
      <c r="P333" s="379"/>
      <c r="Q333" s="379"/>
      <c r="R333" s="379"/>
      <c r="S333" s="379"/>
      <c r="T333" s="379"/>
      <c r="U333" s="379"/>
      <c r="V333" s="379"/>
      <c r="W333" s="379"/>
      <c r="X333" s="379"/>
      <c r="Y333" s="379"/>
      <c r="Z333" s="379"/>
    </row>
    <row r="334" ht="12.75" customHeight="1">
      <c r="A334" s="379"/>
      <c r="B334" s="379"/>
      <c r="C334" s="379"/>
      <c r="D334" s="379"/>
      <c r="E334" s="379"/>
      <c r="F334" s="379"/>
      <c r="G334" s="379"/>
      <c r="H334" s="379"/>
      <c r="I334" s="379"/>
      <c r="J334" s="379"/>
      <c r="K334" s="379"/>
      <c r="L334" s="379"/>
      <c r="M334" s="379"/>
      <c r="N334" s="379"/>
      <c r="O334" s="379"/>
      <c r="P334" s="379"/>
      <c r="Q334" s="379"/>
      <c r="R334" s="379"/>
      <c r="S334" s="379"/>
      <c r="T334" s="379"/>
      <c r="U334" s="379"/>
      <c r="V334" s="379"/>
      <c r="W334" s="379"/>
      <c r="X334" s="379"/>
      <c r="Y334" s="379"/>
      <c r="Z334" s="379"/>
    </row>
    <row r="335" ht="12.75" customHeight="1">
      <c r="A335" s="379"/>
      <c r="B335" s="379"/>
      <c r="C335" s="379"/>
      <c r="D335" s="379"/>
      <c r="E335" s="379"/>
      <c r="F335" s="379"/>
      <c r="G335" s="379"/>
      <c r="H335" s="379"/>
      <c r="I335" s="379"/>
      <c r="J335" s="379"/>
      <c r="K335" s="379"/>
      <c r="L335" s="379"/>
      <c r="M335" s="379"/>
      <c r="N335" s="379"/>
      <c r="O335" s="379"/>
      <c r="P335" s="379"/>
      <c r="Q335" s="379"/>
      <c r="R335" s="379"/>
      <c r="S335" s="379"/>
      <c r="T335" s="379"/>
      <c r="U335" s="379"/>
      <c r="V335" s="379"/>
      <c r="W335" s="379"/>
      <c r="X335" s="379"/>
      <c r="Y335" s="379"/>
      <c r="Z335" s="379"/>
    </row>
    <row r="336" ht="12.75" customHeight="1">
      <c r="A336" s="379"/>
      <c r="B336" s="379"/>
      <c r="C336" s="379"/>
      <c r="D336" s="379"/>
      <c r="E336" s="379"/>
      <c r="F336" s="379"/>
      <c r="G336" s="379"/>
      <c r="H336" s="379"/>
      <c r="I336" s="379"/>
      <c r="J336" s="379"/>
      <c r="K336" s="379"/>
      <c r="L336" s="379"/>
      <c r="M336" s="379"/>
      <c r="N336" s="379"/>
      <c r="O336" s="379"/>
      <c r="P336" s="379"/>
      <c r="Q336" s="379"/>
      <c r="R336" s="379"/>
      <c r="S336" s="379"/>
      <c r="T336" s="379"/>
      <c r="U336" s="379"/>
      <c r="V336" s="379"/>
      <c r="W336" s="379"/>
      <c r="X336" s="379"/>
      <c r="Y336" s="379"/>
      <c r="Z336" s="379"/>
    </row>
    <row r="337" ht="12.75" customHeight="1">
      <c r="A337" s="379"/>
      <c r="B337" s="379"/>
      <c r="C337" s="379"/>
      <c r="D337" s="379"/>
      <c r="E337" s="379"/>
      <c r="F337" s="379"/>
      <c r="G337" s="379"/>
      <c r="H337" s="379"/>
      <c r="I337" s="379"/>
      <c r="J337" s="379"/>
      <c r="K337" s="379"/>
      <c r="L337" s="379"/>
      <c r="M337" s="379"/>
      <c r="N337" s="379"/>
      <c r="O337" s="379"/>
      <c r="P337" s="379"/>
      <c r="Q337" s="379"/>
      <c r="R337" s="379"/>
      <c r="S337" s="379"/>
      <c r="T337" s="379"/>
      <c r="U337" s="379"/>
      <c r="V337" s="379"/>
      <c r="W337" s="379"/>
      <c r="X337" s="379"/>
      <c r="Y337" s="379"/>
      <c r="Z337" s="379"/>
    </row>
    <row r="338" ht="12.75" customHeight="1">
      <c r="A338" s="379"/>
      <c r="B338" s="379"/>
      <c r="C338" s="379"/>
      <c r="D338" s="379"/>
      <c r="E338" s="379"/>
      <c r="F338" s="379"/>
      <c r="G338" s="379"/>
      <c r="H338" s="379"/>
      <c r="I338" s="379"/>
      <c r="J338" s="379"/>
      <c r="K338" s="379"/>
      <c r="L338" s="379"/>
      <c r="M338" s="379"/>
      <c r="N338" s="379"/>
      <c r="O338" s="379"/>
      <c r="P338" s="379"/>
      <c r="Q338" s="379"/>
      <c r="R338" s="379"/>
      <c r="S338" s="379"/>
      <c r="T338" s="379"/>
      <c r="U338" s="379"/>
      <c r="V338" s="379"/>
      <c r="W338" s="379"/>
      <c r="X338" s="379"/>
      <c r="Y338" s="379"/>
      <c r="Z338" s="379"/>
    </row>
    <row r="339" ht="12.75" customHeight="1">
      <c r="A339" s="379"/>
      <c r="B339" s="379"/>
      <c r="C339" s="379"/>
      <c r="D339" s="379"/>
      <c r="E339" s="379"/>
      <c r="F339" s="379"/>
      <c r="G339" s="379"/>
      <c r="H339" s="379"/>
      <c r="I339" s="379"/>
      <c r="J339" s="379"/>
      <c r="K339" s="379"/>
      <c r="L339" s="379"/>
      <c r="M339" s="379"/>
      <c r="N339" s="379"/>
      <c r="O339" s="379"/>
      <c r="P339" s="379"/>
      <c r="Q339" s="379"/>
      <c r="R339" s="379"/>
      <c r="S339" s="379"/>
      <c r="T339" s="379"/>
      <c r="U339" s="379"/>
      <c r="V339" s="379"/>
      <c r="W339" s="379"/>
      <c r="X339" s="379"/>
      <c r="Y339" s="379"/>
      <c r="Z339" s="379"/>
    </row>
    <row r="340" ht="12.75" customHeight="1">
      <c r="A340" s="379"/>
      <c r="B340" s="379"/>
      <c r="C340" s="379"/>
      <c r="D340" s="379"/>
      <c r="E340" s="379"/>
      <c r="F340" s="379"/>
      <c r="G340" s="379"/>
      <c r="H340" s="379"/>
      <c r="I340" s="379"/>
      <c r="J340" s="379"/>
      <c r="K340" s="379"/>
      <c r="L340" s="379"/>
      <c r="M340" s="379"/>
      <c r="N340" s="379"/>
      <c r="O340" s="379"/>
      <c r="P340" s="379"/>
      <c r="Q340" s="379"/>
      <c r="R340" s="379"/>
      <c r="S340" s="379"/>
      <c r="T340" s="379"/>
      <c r="U340" s="379"/>
      <c r="V340" s="379"/>
      <c r="W340" s="379"/>
      <c r="X340" s="379"/>
      <c r="Y340" s="379"/>
      <c r="Z340" s="379"/>
    </row>
    <row r="341" ht="12.75" customHeight="1">
      <c r="A341" s="379"/>
      <c r="B341" s="379"/>
      <c r="C341" s="379"/>
      <c r="D341" s="379"/>
      <c r="E341" s="379"/>
      <c r="F341" s="379"/>
      <c r="G341" s="379"/>
      <c r="H341" s="379"/>
      <c r="I341" s="379"/>
      <c r="J341" s="379"/>
      <c r="K341" s="379"/>
      <c r="L341" s="379"/>
      <c r="M341" s="379"/>
      <c r="N341" s="379"/>
      <c r="O341" s="379"/>
      <c r="P341" s="379"/>
      <c r="Q341" s="379"/>
      <c r="R341" s="379"/>
      <c r="S341" s="379"/>
      <c r="T341" s="379"/>
      <c r="U341" s="379"/>
      <c r="V341" s="379"/>
      <c r="W341" s="379"/>
      <c r="X341" s="379"/>
      <c r="Y341" s="379"/>
      <c r="Z341" s="379"/>
    </row>
    <row r="342" ht="12.75" customHeight="1">
      <c r="A342" s="379"/>
      <c r="B342" s="379"/>
      <c r="C342" s="379"/>
      <c r="D342" s="379"/>
      <c r="E342" s="379"/>
      <c r="F342" s="379"/>
      <c r="G342" s="379"/>
      <c r="H342" s="379"/>
      <c r="I342" s="379"/>
      <c r="J342" s="379"/>
      <c r="K342" s="379"/>
      <c r="L342" s="379"/>
      <c r="M342" s="379"/>
      <c r="N342" s="379"/>
      <c r="O342" s="379"/>
      <c r="P342" s="379"/>
      <c r="Q342" s="379"/>
      <c r="R342" s="379"/>
      <c r="S342" s="379"/>
      <c r="T342" s="379"/>
      <c r="U342" s="379"/>
      <c r="V342" s="379"/>
      <c r="W342" s="379"/>
      <c r="X342" s="379"/>
      <c r="Y342" s="379"/>
      <c r="Z342" s="379"/>
    </row>
    <row r="343" ht="12.75" customHeight="1">
      <c r="A343" s="379"/>
      <c r="B343" s="379"/>
      <c r="C343" s="379"/>
      <c r="D343" s="379"/>
      <c r="E343" s="379"/>
      <c r="F343" s="379"/>
      <c r="G343" s="379"/>
      <c r="H343" s="379"/>
      <c r="I343" s="379"/>
      <c r="J343" s="379"/>
      <c r="K343" s="379"/>
      <c r="L343" s="379"/>
      <c r="M343" s="379"/>
      <c r="N343" s="379"/>
      <c r="O343" s="379"/>
      <c r="P343" s="379"/>
      <c r="Q343" s="379"/>
      <c r="R343" s="379"/>
      <c r="S343" s="379"/>
      <c r="T343" s="379"/>
      <c r="U343" s="379"/>
      <c r="V343" s="379"/>
      <c r="W343" s="379"/>
      <c r="X343" s="379"/>
      <c r="Y343" s="379"/>
      <c r="Z343" s="379"/>
    </row>
    <row r="344" ht="12.75" customHeight="1">
      <c r="A344" s="379"/>
      <c r="B344" s="379"/>
      <c r="C344" s="379"/>
      <c r="D344" s="379"/>
      <c r="E344" s="379"/>
      <c r="F344" s="379"/>
      <c r="G344" s="379"/>
      <c r="H344" s="379"/>
      <c r="I344" s="379"/>
      <c r="J344" s="379"/>
      <c r="K344" s="379"/>
      <c r="L344" s="379"/>
      <c r="M344" s="379"/>
      <c r="N344" s="379"/>
      <c r="O344" s="379"/>
      <c r="P344" s="379"/>
      <c r="Q344" s="379"/>
      <c r="R344" s="379"/>
      <c r="S344" s="379"/>
      <c r="T344" s="379"/>
      <c r="U344" s="379"/>
      <c r="V344" s="379"/>
      <c r="W344" s="379"/>
      <c r="X344" s="379"/>
      <c r="Y344" s="379"/>
      <c r="Z344" s="379"/>
    </row>
    <row r="345" ht="12.75" customHeight="1">
      <c r="A345" s="379"/>
      <c r="B345" s="379"/>
      <c r="C345" s="379"/>
      <c r="D345" s="379"/>
      <c r="E345" s="379"/>
      <c r="F345" s="379"/>
      <c r="G345" s="379"/>
      <c r="H345" s="379"/>
      <c r="I345" s="379"/>
      <c r="J345" s="379"/>
      <c r="K345" s="379"/>
      <c r="L345" s="379"/>
      <c r="M345" s="379"/>
      <c r="N345" s="379"/>
      <c r="O345" s="379"/>
      <c r="P345" s="379"/>
      <c r="Q345" s="379"/>
      <c r="R345" s="379"/>
      <c r="S345" s="379"/>
      <c r="T345" s="379"/>
      <c r="U345" s="379"/>
      <c r="V345" s="379"/>
      <c r="W345" s="379"/>
      <c r="X345" s="379"/>
      <c r="Y345" s="379"/>
      <c r="Z345" s="379"/>
    </row>
    <row r="346" ht="12.75" customHeight="1">
      <c r="A346" s="379"/>
      <c r="B346" s="379"/>
      <c r="C346" s="379"/>
      <c r="D346" s="379"/>
      <c r="E346" s="379"/>
      <c r="F346" s="379"/>
      <c r="G346" s="379"/>
      <c r="H346" s="379"/>
      <c r="I346" s="379"/>
      <c r="J346" s="379"/>
      <c r="K346" s="379"/>
      <c r="L346" s="379"/>
      <c r="M346" s="379"/>
      <c r="N346" s="379"/>
      <c r="O346" s="379"/>
      <c r="P346" s="379"/>
      <c r="Q346" s="379"/>
      <c r="R346" s="379"/>
      <c r="S346" s="379"/>
      <c r="T346" s="379"/>
      <c r="U346" s="379"/>
      <c r="V346" s="379"/>
      <c r="W346" s="379"/>
      <c r="X346" s="379"/>
      <c r="Y346" s="379"/>
      <c r="Z346" s="379"/>
    </row>
    <row r="347" ht="12.75" customHeight="1">
      <c r="A347" s="379"/>
      <c r="B347" s="379"/>
      <c r="C347" s="379"/>
      <c r="D347" s="379"/>
      <c r="E347" s="379"/>
      <c r="F347" s="379"/>
      <c r="G347" s="379"/>
      <c r="H347" s="379"/>
      <c r="I347" s="379"/>
      <c r="J347" s="379"/>
      <c r="K347" s="379"/>
      <c r="L347" s="379"/>
      <c r="M347" s="379"/>
      <c r="N347" s="379"/>
      <c r="O347" s="379"/>
      <c r="P347" s="379"/>
      <c r="Q347" s="379"/>
      <c r="R347" s="379"/>
      <c r="S347" s="379"/>
      <c r="T347" s="379"/>
      <c r="U347" s="379"/>
      <c r="V347" s="379"/>
      <c r="W347" s="379"/>
      <c r="X347" s="379"/>
      <c r="Y347" s="379"/>
      <c r="Z347" s="379"/>
    </row>
    <row r="348" ht="12.75" customHeight="1">
      <c r="A348" s="379"/>
      <c r="B348" s="379"/>
      <c r="C348" s="379"/>
      <c r="D348" s="379"/>
      <c r="E348" s="379"/>
      <c r="F348" s="379"/>
      <c r="G348" s="379"/>
      <c r="H348" s="379"/>
      <c r="I348" s="379"/>
      <c r="J348" s="379"/>
      <c r="K348" s="379"/>
      <c r="L348" s="379"/>
      <c r="M348" s="379"/>
      <c r="N348" s="379"/>
      <c r="O348" s="379"/>
      <c r="P348" s="379"/>
      <c r="Q348" s="379"/>
      <c r="R348" s="379"/>
      <c r="S348" s="379"/>
      <c r="T348" s="379"/>
      <c r="U348" s="379"/>
      <c r="V348" s="379"/>
      <c r="W348" s="379"/>
      <c r="X348" s="379"/>
      <c r="Y348" s="379"/>
      <c r="Z348" s="379"/>
    </row>
    <row r="349" ht="12.75" customHeight="1">
      <c r="A349" s="379"/>
      <c r="B349" s="379"/>
      <c r="C349" s="379"/>
      <c r="D349" s="379"/>
      <c r="E349" s="379"/>
      <c r="F349" s="379"/>
      <c r="G349" s="379"/>
      <c r="H349" s="379"/>
      <c r="I349" s="379"/>
      <c r="J349" s="379"/>
      <c r="K349" s="379"/>
      <c r="L349" s="379"/>
      <c r="M349" s="379"/>
      <c r="N349" s="379"/>
      <c r="O349" s="379"/>
      <c r="P349" s="379"/>
      <c r="Q349" s="379"/>
      <c r="R349" s="379"/>
      <c r="S349" s="379"/>
      <c r="T349" s="379"/>
      <c r="U349" s="379"/>
      <c r="V349" s="379"/>
      <c r="W349" s="379"/>
      <c r="X349" s="379"/>
      <c r="Y349" s="379"/>
      <c r="Z349" s="379"/>
    </row>
    <row r="350" ht="12.75" customHeight="1">
      <c r="A350" s="379"/>
      <c r="B350" s="379"/>
      <c r="C350" s="379"/>
      <c r="D350" s="379"/>
      <c r="E350" s="379"/>
      <c r="F350" s="379"/>
      <c r="G350" s="379"/>
      <c r="H350" s="379"/>
      <c r="I350" s="379"/>
      <c r="J350" s="379"/>
      <c r="K350" s="379"/>
      <c r="L350" s="379"/>
      <c r="M350" s="379"/>
      <c r="N350" s="379"/>
      <c r="O350" s="379"/>
      <c r="P350" s="379"/>
      <c r="Q350" s="379"/>
      <c r="R350" s="379"/>
      <c r="S350" s="379"/>
      <c r="T350" s="379"/>
      <c r="U350" s="379"/>
      <c r="V350" s="379"/>
      <c r="W350" s="379"/>
      <c r="X350" s="379"/>
      <c r="Y350" s="379"/>
      <c r="Z350" s="379"/>
    </row>
    <row r="351" ht="12.75" customHeight="1">
      <c r="A351" s="379"/>
      <c r="B351" s="379"/>
      <c r="C351" s="379"/>
      <c r="D351" s="379"/>
      <c r="E351" s="379"/>
      <c r="F351" s="379"/>
      <c r="G351" s="379"/>
      <c r="H351" s="379"/>
      <c r="I351" s="379"/>
      <c r="J351" s="379"/>
      <c r="K351" s="379"/>
      <c r="L351" s="379"/>
      <c r="M351" s="379"/>
      <c r="N351" s="379"/>
      <c r="O351" s="379"/>
      <c r="P351" s="379"/>
      <c r="Q351" s="379"/>
      <c r="R351" s="379"/>
      <c r="S351" s="379"/>
      <c r="T351" s="379"/>
      <c r="U351" s="379"/>
      <c r="V351" s="379"/>
      <c r="W351" s="379"/>
      <c r="X351" s="379"/>
      <c r="Y351" s="379"/>
      <c r="Z351" s="379"/>
    </row>
    <row r="352" ht="12.75" customHeight="1">
      <c r="A352" s="379"/>
      <c r="B352" s="379"/>
      <c r="C352" s="379"/>
      <c r="D352" s="379"/>
      <c r="E352" s="379"/>
      <c r="F352" s="379"/>
      <c r="G352" s="379"/>
      <c r="H352" s="379"/>
      <c r="I352" s="379"/>
      <c r="J352" s="379"/>
      <c r="K352" s="379"/>
      <c r="L352" s="379"/>
      <c r="M352" s="379"/>
      <c r="N352" s="379"/>
      <c r="O352" s="379"/>
      <c r="P352" s="379"/>
      <c r="Q352" s="379"/>
      <c r="R352" s="379"/>
      <c r="S352" s="379"/>
      <c r="T352" s="379"/>
      <c r="U352" s="379"/>
      <c r="V352" s="379"/>
      <c r="W352" s="379"/>
      <c r="X352" s="379"/>
      <c r="Y352" s="379"/>
      <c r="Z352" s="379"/>
    </row>
    <row r="353" ht="12.75" customHeight="1">
      <c r="A353" s="379"/>
      <c r="B353" s="379"/>
      <c r="C353" s="379"/>
      <c r="D353" s="379"/>
      <c r="E353" s="379"/>
      <c r="F353" s="379"/>
      <c r="G353" s="379"/>
      <c r="H353" s="379"/>
      <c r="I353" s="379"/>
      <c r="J353" s="379"/>
      <c r="K353" s="379"/>
      <c r="L353" s="379"/>
      <c r="M353" s="379"/>
      <c r="N353" s="379"/>
      <c r="O353" s="379"/>
      <c r="P353" s="379"/>
      <c r="Q353" s="379"/>
      <c r="R353" s="379"/>
      <c r="S353" s="379"/>
      <c r="T353" s="379"/>
      <c r="U353" s="379"/>
      <c r="V353" s="379"/>
      <c r="W353" s="379"/>
      <c r="X353" s="379"/>
      <c r="Y353" s="379"/>
      <c r="Z353" s="379"/>
    </row>
    <row r="354" ht="12.75" customHeight="1">
      <c r="A354" s="379"/>
      <c r="B354" s="379"/>
      <c r="C354" s="379"/>
      <c r="D354" s="379"/>
      <c r="E354" s="379"/>
      <c r="F354" s="379"/>
      <c r="G354" s="379"/>
      <c r="H354" s="379"/>
      <c r="I354" s="379"/>
      <c r="J354" s="379"/>
      <c r="K354" s="379"/>
      <c r="L354" s="379"/>
      <c r="M354" s="379"/>
      <c r="N354" s="379"/>
      <c r="O354" s="379"/>
      <c r="P354" s="379"/>
      <c r="Q354" s="379"/>
      <c r="R354" s="379"/>
      <c r="S354" s="379"/>
      <c r="T354" s="379"/>
      <c r="U354" s="379"/>
      <c r="V354" s="379"/>
      <c r="W354" s="379"/>
      <c r="X354" s="379"/>
      <c r="Y354" s="379"/>
      <c r="Z354" s="379"/>
    </row>
    <row r="355" ht="12.75" customHeight="1">
      <c r="A355" s="379"/>
      <c r="B355" s="379"/>
      <c r="C355" s="379"/>
      <c r="D355" s="379"/>
      <c r="E355" s="379"/>
      <c r="F355" s="379"/>
      <c r="G355" s="379"/>
      <c r="H355" s="379"/>
      <c r="I355" s="379"/>
      <c r="J355" s="379"/>
      <c r="K355" s="379"/>
      <c r="L355" s="379"/>
      <c r="M355" s="379"/>
      <c r="N355" s="379"/>
      <c r="O355" s="379"/>
      <c r="P355" s="379"/>
      <c r="Q355" s="379"/>
      <c r="R355" s="379"/>
      <c r="S355" s="379"/>
      <c r="T355" s="379"/>
      <c r="U355" s="379"/>
      <c r="V355" s="379"/>
      <c r="W355" s="379"/>
      <c r="X355" s="379"/>
      <c r="Y355" s="379"/>
      <c r="Z355" s="379"/>
    </row>
    <row r="356" ht="12.75" customHeight="1">
      <c r="A356" s="379"/>
      <c r="B356" s="379"/>
      <c r="C356" s="379"/>
      <c r="D356" s="379"/>
      <c r="E356" s="379"/>
      <c r="F356" s="379"/>
      <c r="G356" s="379"/>
      <c r="H356" s="379"/>
      <c r="I356" s="379"/>
      <c r="J356" s="379"/>
      <c r="K356" s="379"/>
      <c r="L356" s="379"/>
      <c r="M356" s="379"/>
      <c r="N356" s="379"/>
      <c r="O356" s="379"/>
      <c r="P356" s="379"/>
      <c r="Q356" s="379"/>
      <c r="R356" s="379"/>
      <c r="S356" s="379"/>
      <c r="T356" s="379"/>
      <c r="U356" s="379"/>
      <c r="V356" s="379"/>
      <c r="W356" s="379"/>
      <c r="X356" s="379"/>
      <c r="Y356" s="379"/>
      <c r="Z356" s="379"/>
    </row>
    <row r="357" ht="12.75" customHeight="1">
      <c r="A357" s="379"/>
      <c r="B357" s="379"/>
      <c r="C357" s="379"/>
      <c r="D357" s="379"/>
      <c r="E357" s="379"/>
      <c r="F357" s="379"/>
      <c r="G357" s="379"/>
      <c r="H357" s="379"/>
      <c r="I357" s="379"/>
      <c r="J357" s="379"/>
      <c r="K357" s="379"/>
      <c r="L357" s="379"/>
      <c r="M357" s="379"/>
      <c r="N357" s="379"/>
      <c r="O357" s="379"/>
      <c r="P357" s="379"/>
      <c r="Q357" s="379"/>
      <c r="R357" s="379"/>
      <c r="S357" s="379"/>
      <c r="T357" s="379"/>
      <c r="U357" s="379"/>
      <c r="V357" s="379"/>
      <c r="W357" s="379"/>
      <c r="X357" s="379"/>
      <c r="Y357" s="379"/>
      <c r="Z357" s="379"/>
    </row>
    <row r="358" ht="12.75" customHeight="1">
      <c r="A358" s="379"/>
      <c r="B358" s="379"/>
      <c r="C358" s="379"/>
      <c r="D358" s="379"/>
      <c r="E358" s="379"/>
      <c r="F358" s="379"/>
      <c r="G358" s="379"/>
      <c r="H358" s="379"/>
      <c r="I358" s="379"/>
      <c r="J358" s="379"/>
      <c r="K358" s="379"/>
      <c r="L358" s="379"/>
      <c r="M358" s="379"/>
      <c r="N358" s="379"/>
      <c r="O358" s="379"/>
      <c r="P358" s="379"/>
      <c r="Q358" s="379"/>
      <c r="R358" s="379"/>
      <c r="S358" s="379"/>
      <c r="T358" s="379"/>
      <c r="U358" s="379"/>
      <c r="V358" s="379"/>
      <c r="W358" s="379"/>
      <c r="X358" s="379"/>
      <c r="Y358" s="379"/>
      <c r="Z358" s="379"/>
    </row>
    <row r="359" ht="12.75" customHeight="1">
      <c r="A359" s="379"/>
      <c r="B359" s="379"/>
      <c r="C359" s="379"/>
      <c r="D359" s="379"/>
      <c r="E359" s="379"/>
      <c r="F359" s="379"/>
      <c r="G359" s="379"/>
      <c r="H359" s="379"/>
      <c r="I359" s="379"/>
      <c r="J359" s="379"/>
      <c r="K359" s="379"/>
      <c r="L359" s="379"/>
      <c r="M359" s="379"/>
      <c r="N359" s="379"/>
      <c r="O359" s="379"/>
      <c r="P359" s="379"/>
      <c r="Q359" s="379"/>
      <c r="R359" s="379"/>
      <c r="S359" s="379"/>
      <c r="T359" s="379"/>
      <c r="U359" s="379"/>
      <c r="V359" s="379"/>
      <c r="W359" s="379"/>
      <c r="X359" s="379"/>
      <c r="Y359" s="379"/>
      <c r="Z359" s="379"/>
    </row>
    <row r="360" ht="12.75" customHeight="1">
      <c r="A360" s="379"/>
      <c r="B360" s="379"/>
      <c r="C360" s="379"/>
      <c r="D360" s="379"/>
      <c r="E360" s="379"/>
      <c r="F360" s="379"/>
      <c r="G360" s="379"/>
      <c r="H360" s="379"/>
      <c r="I360" s="379"/>
      <c r="J360" s="379"/>
      <c r="K360" s="379"/>
      <c r="L360" s="379"/>
      <c r="M360" s="379"/>
      <c r="N360" s="379"/>
      <c r="O360" s="379"/>
      <c r="P360" s="379"/>
      <c r="Q360" s="379"/>
      <c r="R360" s="379"/>
      <c r="S360" s="379"/>
      <c r="T360" s="379"/>
      <c r="U360" s="379"/>
      <c r="V360" s="379"/>
      <c r="W360" s="379"/>
      <c r="X360" s="379"/>
      <c r="Y360" s="379"/>
      <c r="Z360" s="379"/>
    </row>
    <row r="361" ht="12.75" customHeight="1">
      <c r="A361" s="379"/>
      <c r="B361" s="379"/>
      <c r="C361" s="379"/>
      <c r="D361" s="379"/>
      <c r="E361" s="379"/>
      <c r="F361" s="379"/>
      <c r="G361" s="379"/>
      <c r="H361" s="379"/>
      <c r="I361" s="379"/>
      <c r="J361" s="379"/>
      <c r="K361" s="379"/>
      <c r="L361" s="379"/>
      <c r="M361" s="379"/>
      <c r="N361" s="379"/>
      <c r="O361" s="379"/>
      <c r="P361" s="379"/>
      <c r="Q361" s="379"/>
      <c r="R361" s="379"/>
      <c r="S361" s="379"/>
      <c r="T361" s="379"/>
      <c r="U361" s="379"/>
      <c r="V361" s="379"/>
      <c r="W361" s="379"/>
      <c r="X361" s="379"/>
      <c r="Y361" s="379"/>
      <c r="Z361" s="379"/>
    </row>
    <row r="362" ht="12.75" customHeight="1">
      <c r="A362" s="379"/>
      <c r="B362" s="379"/>
      <c r="C362" s="379"/>
      <c r="D362" s="379"/>
      <c r="E362" s="379"/>
      <c r="F362" s="379"/>
      <c r="G362" s="379"/>
      <c r="H362" s="379"/>
      <c r="I362" s="379"/>
      <c r="J362" s="379"/>
      <c r="K362" s="379"/>
      <c r="L362" s="379"/>
      <c r="M362" s="379"/>
      <c r="N362" s="379"/>
      <c r="O362" s="379"/>
      <c r="P362" s="379"/>
      <c r="Q362" s="379"/>
      <c r="R362" s="379"/>
      <c r="S362" s="379"/>
      <c r="T362" s="379"/>
      <c r="U362" s="379"/>
      <c r="V362" s="379"/>
      <c r="W362" s="379"/>
      <c r="X362" s="379"/>
      <c r="Y362" s="379"/>
      <c r="Z362" s="379"/>
    </row>
    <row r="363" ht="12.75" customHeight="1">
      <c r="A363" s="379"/>
      <c r="B363" s="379"/>
      <c r="C363" s="379"/>
      <c r="D363" s="379"/>
      <c r="E363" s="379"/>
      <c r="F363" s="379"/>
      <c r="G363" s="379"/>
      <c r="H363" s="379"/>
      <c r="I363" s="379"/>
      <c r="J363" s="379"/>
      <c r="K363" s="379"/>
      <c r="L363" s="379"/>
      <c r="M363" s="379"/>
      <c r="N363" s="379"/>
      <c r="O363" s="379"/>
      <c r="P363" s="379"/>
      <c r="Q363" s="379"/>
      <c r="R363" s="379"/>
      <c r="S363" s="379"/>
      <c r="T363" s="379"/>
      <c r="U363" s="379"/>
      <c r="V363" s="379"/>
      <c r="W363" s="379"/>
      <c r="X363" s="379"/>
      <c r="Y363" s="379"/>
      <c r="Z363" s="379"/>
    </row>
    <row r="364" ht="12.75" customHeight="1">
      <c r="A364" s="379"/>
      <c r="B364" s="379"/>
      <c r="C364" s="379"/>
      <c r="D364" s="379"/>
      <c r="E364" s="379"/>
      <c r="F364" s="379"/>
      <c r="G364" s="379"/>
      <c r="H364" s="379"/>
      <c r="I364" s="379"/>
      <c r="J364" s="379"/>
      <c r="K364" s="379"/>
      <c r="L364" s="379"/>
      <c r="M364" s="379"/>
      <c r="N364" s="379"/>
      <c r="O364" s="379"/>
      <c r="P364" s="379"/>
      <c r="Q364" s="379"/>
      <c r="R364" s="379"/>
      <c r="S364" s="379"/>
      <c r="T364" s="379"/>
      <c r="U364" s="379"/>
      <c r="V364" s="379"/>
      <c r="W364" s="379"/>
      <c r="X364" s="379"/>
      <c r="Y364" s="379"/>
      <c r="Z364" s="379"/>
    </row>
    <row r="365" ht="12.75" customHeight="1">
      <c r="A365" s="379"/>
      <c r="B365" s="379"/>
      <c r="C365" s="379"/>
      <c r="D365" s="379"/>
      <c r="E365" s="379"/>
      <c r="F365" s="379"/>
      <c r="G365" s="379"/>
      <c r="H365" s="379"/>
      <c r="I365" s="379"/>
      <c r="J365" s="379"/>
      <c r="K365" s="379"/>
      <c r="L365" s="379"/>
      <c r="M365" s="379"/>
      <c r="N365" s="379"/>
      <c r="O365" s="379"/>
      <c r="P365" s="379"/>
      <c r="Q365" s="379"/>
      <c r="R365" s="379"/>
      <c r="S365" s="379"/>
      <c r="T365" s="379"/>
      <c r="U365" s="379"/>
      <c r="V365" s="379"/>
      <c r="W365" s="379"/>
      <c r="X365" s="379"/>
      <c r="Y365" s="379"/>
      <c r="Z365" s="379"/>
    </row>
    <row r="366" ht="12.75" customHeight="1">
      <c r="A366" s="379"/>
      <c r="B366" s="379"/>
      <c r="C366" s="379"/>
      <c r="D366" s="379"/>
      <c r="E366" s="379"/>
      <c r="F366" s="379"/>
      <c r="G366" s="379"/>
      <c r="H366" s="379"/>
      <c r="I366" s="379"/>
      <c r="J366" s="379"/>
      <c r="K366" s="379"/>
      <c r="L366" s="379"/>
      <c r="M366" s="379"/>
      <c r="N366" s="379"/>
      <c r="O366" s="379"/>
      <c r="P366" s="379"/>
      <c r="Q366" s="379"/>
      <c r="R366" s="379"/>
      <c r="S366" s="379"/>
      <c r="T366" s="379"/>
      <c r="U366" s="379"/>
      <c r="V366" s="379"/>
      <c r="W366" s="379"/>
      <c r="X366" s="379"/>
      <c r="Y366" s="379"/>
      <c r="Z366" s="379"/>
    </row>
    <row r="367" ht="12.75" customHeight="1">
      <c r="A367" s="379"/>
      <c r="B367" s="379"/>
      <c r="C367" s="379"/>
      <c r="D367" s="379"/>
      <c r="E367" s="379"/>
      <c r="F367" s="379"/>
      <c r="G367" s="379"/>
      <c r="H367" s="379"/>
      <c r="I367" s="379"/>
      <c r="J367" s="379"/>
      <c r="K367" s="379"/>
      <c r="L367" s="379"/>
      <c r="M367" s="379"/>
      <c r="N367" s="379"/>
      <c r="O367" s="379"/>
      <c r="P367" s="379"/>
      <c r="Q367" s="379"/>
      <c r="R367" s="379"/>
      <c r="S367" s="379"/>
      <c r="T367" s="379"/>
      <c r="U367" s="379"/>
      <c r="V367" s="379"/>
      <c r="W367" s="379"/>
      <c r="X367" s="379"/>
      <c r="Y367" s="379"/>
      <c r="Z367" s="379"/>
    </row>
    <row r="368" ht="12.75" customHeight="1">
      <c r="A368" s="379"/>
      <c r="B368" s="379"/>
      <c r="C368" s="379"/>
      <c r="D368" s="379"/>
      <c r="E368" s="379"/>
      <c r="F368" s="379"/>
      <c r="G368" s="379"/>
      <c r="H368" s="379"/>
      <c r="I368" s="379"/>
      <c r="J368" s="379"/>
      <c r="K368" s="379"/>
      <c r="L368" s="379"/>
      <c r="M368" s="379"/>
      <c r="N368" s="379"/>
      <c r="O368" s="379"/>
      <c r="P368" s="379"/>
      <c r="Q368" s="379"/>
      <c r="R368" s="379"/>
      <c r="S368" s="379"/>
      <c r="T368" s="379"/>
      <c r="U368" s="379"/>
      <c r="V368" s="379"/>
      <c r="W368" s="379"/>
      <c r="X368" s="379"/>
      <c r="Y368" s="379"/>
      <c r="Z368" s="379"/>
    </row>
    <row r="369" ht="12.75" customHeight="1">
      <c r="A369" s="379"/>
      <c r="B369" s="379"/>
      <c r="C369" s="379"/>
      <c r="D369" s="379"/>
      <c r="E369" s="379"/>
      <c r="F369" s="379"/>
      <c r="G369" s="379"/>
      <c r="H369" s="379"/>
      <c r="I369" s="379"/>
      <c r="J369" s="379"/>
      <c r="K369" s="379"/>
      <c r="L369" s="379"/>
      <c r="M369" s="379"/>
      <c r="N369" s="379"/>
      <c r="O369" s="379"/>
      <c r="P369" s="379"/>
      <c r="Q369" s="379"/>
      <c r="R369" s="379"/>
      <c r="S369" s="379"/>
      <c r="T369" s="379"/>
      <c r="U369" s="379"/>
      <c r="V369" s="379"/>
      <c r="W369" s="379"/>
      <c r="X369" s="379"/>
      <c r="Y369" s="379"/>
      <c r="Z369" s="379"/>
    </row>
    <row r="370" ht="12.75" customHeight="1">
      <c r="A370" s="379"/>
      <c r="B370" s="379"/>
      <c r="C370" s="379"/>
      <c r="D370" s="379"/>
      <c r="E370" s="379"/>
      <c r="F370" s="379"/>
      <c r="G370" s="379"/>
      <c r="H370" s="379"/>
      <c r="I370" s="379"/>
      <c r="J370" s="379"/>
      <c r="K370" s="379"/>
      <c r="L370" s="379"/>
      <c r="M370" s="379"/>
      <c r="N370" s="379"/>
      <c r="O370" s="379"/>
      <c r="P370" s="379"/>
      <c r="Q370" s="379"/>
      <c r="R370" s="379"/>
      <c r="S370" s="379"/>
      <c r="T370" s="379"/>
      <c r="U370" s="379"/>
      <c r="V370" s="379"/>
      <c r="W370" s="379"/>
      <c r="X370" s="379"/>
      <c r="Y370" s="379"/>
      <c r="Z370" s="379"/>
    </row>
    <row r="371" ht="12.75" customHeight="1">
      <c r="A371" s="379"/>
      <c r="B371" s="379"/>
      <c r="C371" s="379"/>
      <c r="D371" s="379"/>
      <c r="E371" s="379"/>
      <c r="F371" s="379"/>
      <c r="G371" s="379"/>
      <c r="H371" s="379"/>
      <c r="I371" s="379"/>
      <c r="J371" s="379"/>
      <c r="K371" s="379"/>
      <c r="L371" s="379"/>
      <c r="M371" s="379"/>
      <c r="N371" s="379"/>
      <c r="O371" s="379"/>
      <c r="P371" s="379"/>
      <c r="Q371" s="379"/>
      <c r="R371" s="379"/>
      <c r="S371" s="379"/>
      <c r="T371" s="379"/>
      <c r="U371" s="379"/>
      <c r="V371" s="379"/>
      <c r="W371" s="379"/>
      <c r="X371" s="379"/>
      <c r="Y371" s="379"/>
      <c r="Z371" s="379"/>
    </row>
    <row r="372" ht="12.75" customHeight="1">
      <c r="A372" s="379"/>
      <c r="B372" s="379"/>
      <c r="C372" s="379"/>
      <c r="D372" s="379"/>
      <c r="E372" s="379"/>
      <c r="F372" s="379"/>
      <c r="G372" s="379"/>
      <c r="H372" s="379"/>
      <c r="I372" s="379"/>
      <c r="J372" s="379"/>
      <c r="K372" s="379"/>
      <c r="L372" s="379"/>
      <c r="M372" s="379"/>
      <c r="N372" s="379"/>
      <c r="O372" s="379"/>
      <c r="P372" s="379"/>
      <c r="Q372" s="379"/>
      <c r="R372" s="379"/>
      <c r="S372" s="379"/>
      <c r="T372" s="379"/>
      <c r="U372" s="379"/>
      <c r="V372" s="379"/>
      <c r="W372" s="379"/>
      <c r="X372" s="379"/>
      <c r="Y372" s="379"/>
      <c r="Z372" s="379"/>
    </row>
    <row r="373" ht="12.75" customHeight="1">
      <c r="A373" s="379"/>
      <c r="B373" s="379"/>
      <c r="C373" s="379"/>
      <c r="D373" s="379"/>
      <c r="E373" s="379"/>
      <c r="F373" s="379"/>
      <c r="G373" s="379"/>
      <c r="H373" s="379"/>
      <c r="I373" s="379"/>
      <c r="J373" s="379"/>
      <c r="K373" s="379"/>
      <c r="L373" s="379"/>
      <c r="M373" s="379"/>
      <c r="N373" s="379"/>
      <c r="O373" s="379"/>
      <c r="P373" s="379"/>
      <c r="Q373" s="379"/>
      <c r="R373" s="379"/>
      <c r="S373" s="379"/>
      <c r="T373" s="379"/>
      <c r="U373" s="379"/>
      <c r="V373" s="379"/>
      <c r="W373" s="379"/>
      <c r="X373" s="379"/>
      <c r="Y373" s="379"/>
      <c r="Z373" s="379"/>
    </row>
    <row r="374" ht="12.75" customHeight="1">
      <c r="A374" s="379"/>
      <c r="B374" s="379"/>
      <c r="C374" s="379"/>
      <c r="D374" s="379"/>
      <c r="E374" s="379"/>
      <c r="F374" s="379"/>
      <c r="G374" s="379"/>
      <c r="H374" s="379"/>
      <c r="I374" s="379"/>
      <c r="J374" s="379"/>
      <c r="K374" s="379"/>
      <c r="L374" s="379"/>
      <c r="M374" s="379"/>
      <c r="N374" s="379"/>
      <c r="O374" s="379"/>
      <c r="P374" s="379"/>
      <c r="Q374" s="379"/>
      <c r="R374" s="379"/>
      <c r="S374" s="379"/>
      <c r="T374" s="379"/>
      <c r="U374" s="379"/>
      <c r="V374" s="379"/>
      <c r="W374" s="379"/>
      <c r="X374" s="379"/>
      <c r="Y374" s="379"/>
      <c r="Z374" s="379"/>
    </row>
    <row r="375" ht="12.75" customHeight="1">
      <c r="A375" s="379"/>
      <c r="B375" s="379"/>
      <c r="C375" s="379"/>
      <c r="D375" s="379"/>
      <c r="E375" s="379"/>
      <c r="F375" s="379"/>
      <c r="G375" s="379"/>
      <c r="H375" s="379"/>
      <c r="I375" s="379"/>
      <c r="J375" s="379"/>
      <c r="K375" s="379"/>
      <c r="L375" s="379"/>
      <c r="M375" s="379"/>
      <c r="N375" s="379"/>
      <c r="O375" s="379"/>
      <c r="P375" s="379"/>
      <c r="Q375" s="379"/>
      <c r="R375" s="379"/>
      <c r="S375" s="379"/>
      <c r="T375" s="379"/>
      <c r="U375" s="379"/>
      <c r="V375" s="379"/>
      <c r="W375" s="379"/>
      <c r="X375" s="379"/>
      <c r="Y375" s="379"/>
      <c r="Z375" s="379"/>
    </row>
    <row r="376" ht="12.75" customHeight="1">
      <c r="A376" s="379"/>
      <c r="B376" s="379"/>
      <c r="C376" s="379"/>
      <c r="D376" s="379"/>
      <c r="E376" s="379"/>
      <c r="F376" s="379"/>
      <c r="G376" s="379"/>
      <c r="H376" s="379"/>
      <c r="I376" s="379"/>
      <c r="J376" s="379"/>
      <c r="K376" s="379"/>
      <c r="L376" s="379"/>
      <c r="M376" s="379"/>
      <c r="N376" s="379"/>
      <c r="O376" s="379"/>
      <c r="P376" s="379"/>
      <c r="Q376" s="379"/>
      <c r="R376" s="379"/>
      <c r="S376" s="379"/>
      <c r="T376" s="379"/>
      <c r="U376" s="379"/>
      <c r="V376" s="379"/>
      <c r="W376" s="379"/>
      <c r="X376" s="379"/>
      <c r="Y376" s="379"/>
      <c r="Z376" s="379"/>
    </row>
    <row r="377" ht="12.75" customHeight="1">
      <c r="A377" s="379"/>
      <c r="B377" s="379"/>
      <c r="C377" s="379"/>
      <c r="D377" s="379"/>
      <c r="E377" s="379"/>
      <c r="F377" s="379"/>
      <c r="G377" s="379"/>
      <c r="H377" s="379"/>
      <c r="I377" s="379"/>
      <c r="J377" s="379"/>
      <c r="K377" s="379"/>
      <c r="L377" s="379"/>
      <c r="M377" s="379"/>
      <c r="N377" s="379"/>
      <c r="O377" s="379"/>
      <c r="P377" s="379"/>
      <c r="Q377" s="379"/>
      <c r="R377" s="379"/>
      <c r="S377" s="379"/>
      <c r="T377" s="379"/>
      <c r="U377" s="379"/>
      <c r="V377" s="379"/>
      <c r="W377" s="379"/>
      <c r="X377" s="379"/>
      <c r="Y377" s="379"/>
      <c r="Z377" s="379"/>
    </row>
    <row r="378" ht="12.75" customHeight="1">
      <c r="A378" s="379"/>
      <c r="B378" s="379"/>
      <c r="C378" s="379"/>
      <c r="D378" s="379"/>
      <c r="E378" s="379"/>
      <c r="F378" s="379"/>
      <c r="G378" s="379"/>
      <c r="H378" s="379"/>
      <c r="I378" s="379"/>
      <c r="J378" s="379"/>
      <c r="K378" s="379"/>
      <c r="L378" s="379"/>
      <c r="M378" s="379"/>
      <c r="N378" s="379"/>
      <c r="O378" s="379"/>
      <c r="P378" s="379"/>
      <c r="Q378" s="379"/>
      <c r="R378" s="379"/>
      <c r="S378" s="379"/>
      <c r="T378" s="379"/>
      <c r="U378" s="379"/>
      <c r="V378" s="379"/>
      <c r="W378" s="379"/>
      <c r="X378" s="379"/>
      <c r="Y378" s="379"/>
      <c r="Z378" s="379"/>
    </row>
    <row r="379" ht="12.75" customHeight="1">
      <c r="A379" s="379"/>
      <c r="B379" s="379"/>
      <c r="C379" s="379"/>
      <c r="D379" s="379"/>
      <c r="E379" s="379"/>
      <c r="F379" s="379"/>
      <c r="G379" s="379"/>
      <c r="H379" s="379"/>
      <c r="I379" s="379"/>
      <c r="J379" s="379"/>
      <c r="K379" s="379"/>
      <c r="L379" s="379"/>
      <c r="M379" s="379"/>
      <c r="N379" s="379"/>
      <c r="O379" s="379"/>
      <c r="P379" s="379"/>
      <c r="Q379" s="379"/>
      <c r="R379" s="379"/>
      <c r="S379" s="379"/>
      <c r="T379" s="379"/>
      <c r="U379" s="379"/>
      <c r="V379" s="379"/>
      <c r="W379" s="379"/>
      <c r="X379" s="379"/>
      <c r="Y379" s="379"/>
      <c r="Z379" s="379"/>
    </row>
    <row r="380" ht="12.75" customHeight="1">
      <c r="A380" s="379"/>
      <c r="B380" s="379"/>
      <c r="C380" s="379"/>
      <c r="D380" s="379"/>
      <c r="E380" s="379"/>
      <c r="F380" s="379"/>
      <c r="G380" s="379"/>
      <c r="H380" s="379"/>
      <c r="I380" s="379"/>
      <c r="J380" s="379"/>
      <c r="K380" s="379"/>
      <c r="L380" s="379"/>
      <c r="M380" s="379"/>
      <c r="N380" s="379"/>
      <c r="O380" s="379"/>
      <c r="P380" s="379"/>
      <c r="Q380" s="379"/>
      <c r="R380" s="379"/>
      <c r="S380" s="379"/>
      <c r="T380" s="379"/>
      <c r="U380" s="379"/>
      <c r="V380" s="379"/>
      <c r="W380" s="379"/>
      <c r="X380" s="379"/>
      <c r="Y380" s="379"/>
      <c r="Z380" s="379"/>
    </row>
    <row r="381" ht="12.75" customHeight="1">
      <c r="A381" s="379"/>
      <c r="B381" s="379"/>
      <c r="C381" s="379"/>
      <c r="D381" s="379"/>
      <c r="E381" s="379"/>
      <c r="F381" s="379"/>
      <c r="G381" s="379"/>
      <c r="H381" s="379"/>
      <c r="I381" s="379"/>
      <c r="J381" s="379"/>
      <c r="K381" s="379"/>
      <c r="L381" s="379"/>
      <c r="M381" s="379"/>
      <c r="N381" s="379"/>
      <c r="O381" s="379"/>
      <c r="P381" s="379"/>
      <c r="Q381" s="379"/>
      <c r="R381" s="379"/>
      <c r="S381" s="379"/>
      <c r="T381" s="379"/>
      <c r="U381" s="379"/>
      <c r="V381" s="379"/>
      <c r="W381" s="379"/>
      <c r="X381" s="379"/>
      <c r="Y381" s="379"/>
      <c r="Z381" s="379"/>
    </row>
    <row r="382" ht="12.75" customHeight="1">
      <c r="A382" s="379"/>
      <c r="B382" s="379"/>
      <c r="C382" s="379"/>
      <c r="D382" s="379"/>
      <c r="E382" s="379"/>
      <c r="F382" s="379"/>
      <c r="G382" s="379"/>
      <c r="H382" s="379"/>
      <c r="I382" s="379"/>
      <c r="J382" s="379"/>
      <c r="K382" s="379"/>
      <c r="L382" s="379"/>
      <c r="M382" s="379"/>
      <c r="N382" s="379"/>
      <c r="O382" s="379"/>
      <c r="P382" s="379"/>
      <c r="Q382" s="379"/>
      <c r="R382" s="379"/>
      <c r="S382" s="379"/>
      <c r="T382" s="379"/>
      <c r="U382" s="379"/>
      <c r="V382" s="379"/>
      <c r="W382" s="379"/>
      <c r="X382" s="379"/>
      <c r="Y382" s="379"/>
      <c r="Z382" s="379"/>
    </row>
    <row r="383" ht="12.75" customHeight="1">
      <c r="A383" s="379"/>
      <c r="B383" s="379"/>
      <c r="C383" s="379"/>
      <c r="D383" s="379"/>
      <c r="E383" s="379"/>
      <c r="F383" s="379"/>
      <c r="G383" s="379"/>
      <c r="H383" s="379"/>
      <c r="I383" s="379"/>
      <c r="J383" s="379"/>
      <c r="K383" s="379"/>
      <c r="L383" s="379"/>
      <c r="M383" s="379"/>
      <c r="N383" s="379"/>
      <c r="O383" s="379"/>
      <c r="P383" s="379"/>
      <c r="Q383" s="379"/>
      <c r="R383" s="379"/>
      <c r="S383" s="379"/>
      <c r="T383" s="379"/>
      <c r="U383" s="379"/>
      <c r="V383" s="379"/>
      <c r="W383" s="379"/>
      <c r="X383" s="379"/>
      <c r="Y383" s="379"/>
      <c r="Z383" s="379"/>
    </row>
    <row r="384" ht="12.75" customHeight="1">
      <c r="A384" s="379"/>
      <c r="B384" s="379"/>
      <c r="C384" s="379"/>
      <c r="D384" s="379"/>
      <c r="E384" s="379"/>
      <c r="F384" s="379"/>
      <c r="G384" s="379"/>
      <c r="H384" s="379"/>
      <c r="I384" s="379"/>
      <c r="J384" s="379"/>
      <c r="K384" s="379"/>
      <c r="L384" s="379"/>
      <c r="M384" s="379"/>
      <c r="N384" s="379"/>
      <c r="O384" s="379"/>
      <c r="P384" s="379"/>
      <c r="Q384" s="379"/>
      <c r="R384" s="379"/>
      <c r="S384" s="379"/>
      <c r="T384" s="379"/>
      <c r="U384" s="379"/>
      <c r="V384" s="379"/>
      <c r="W384" s="379"/>
      <c r="X384" s="379"/>
      <c r="Y384" s="379"/>
      <c r="Z384" s="379"/>
    </row>
    <row r="385" ht="12.75" customHeight="1">
      <c r="A385" s="379"/>
      <c r="B385" s="379"/>
      <c r="C385" s="379"/>
      <c r="D385" s="379"/>
      <c r="E385" s="379"/>
      <c r="F385" s="379"/>
      <c r="G385" s="379"/>
      <c r="H385" s="379"/>
      <c r="I385" s="379"/>
      <c r="J385" s="379"/>
      <c r="K385" s="379"/>
      <c r="L385" s="379"/>
      <c r="M385" s="379"/>
      <c r="N385" s="379"/>
      <c r="O385" s="379"/>
      <c r="P385" s="379"/>
      <c r="Q385" s="379"/>
      <c r="R385" s="379"/>
      <c r="S385" s="379"/>
      <c r="T385" s="379"/>
      <c r="U385" s="379"/>
      <c r="V385" s="379"/>
      <c r="W385" s="379"/>
      <c r="X385" s="379"/>
      <c r="Y385" s="379"/>
      <c r="Z385" s="379"/>
    </row>
    <row r="386" ht="12.75" customHeight="1">
      <c r="A386" s="379"/>
      <c r="B386" s="379"/>
      <c r="C386" s="379"/>
      <c r="D386" s="379"/>
      <c r="E386" s="379"/>
      <c r="F386" s="379"/>
      <c r="G386" s="379"/>
      <c r="H386" s="379"/>
      <c r="I386" s="379"/>
      <c r="J386" s="379"/>
      <c r="K386" s="379"/>
      <c r="L386" s="379"/>
      <c r="M386" s="379"/>
      <c r="N386" s="379"/>
      <c r="O386" s="379"/>
      <c r="P386" s="379"/>
      <c r="Q386" s="379"/>
      <c r="R386" s="379"/>
      <c r="S386" s="379"/>
      <c r="T386" s="379"/>
      <c r="U386" s="379"/>
      <c r="V386" s="379"/>
      <c r="W386" s="379"/>
      <c r="X386" s="379"/>
      <c r="Y386" s="379"/>
      <c r="Z386" s="379"/>
    </row>
    <row r="387" ht="12.75" customHeight="1">
      <c r="A387" s="379"/>
      <c r="B387" s="379"/>
      <c r="C387" s="379"/>
      <c r="D387" s="379"/>
      <c r="E387" s="379"/>
      <c r="F387" s="379"/>
      <c r="G387" s="379"/>
      <c r="H387" s="379"/>
      <c r="I387" s="379"/>
      <c r="J387" s="379"/>
      <c r="K387" s="379"/>
      <c r="L387" s="379"/>
      <c r="M387" s="379"/>
      <c r="N387" s="379"/>
      <c r="O387" s="379"/>
      <c r="P387" s="379"/>
      <c r="Q387" s="379"/>
      <c r="R387" s="379"/>
      <c r="S387" s="379"/>
      <c r="T387" s="379"/>
      <c r="U387" s="379"/>
      <c r="V387" s="379"/>
      <c r="W387" s="379"/>
      <c r="X387" s="379"/>
      <c r="Y387" s="379"/>
      <c r="Z387" s="379"/>
    </row>
    <row r="388" ht="12.75" customHeight="1">
      <c r="A388" s="379"/>
      <c r="B388" s="379"/>
      <c r="C388" s="379"/>
      <c r="D388" s="379"/>
      <c r="E388" s="379"/>
      <c r="F388" s="379"/>
      <c r="G388" s="379"/>
      <c r="H388" s="379"/>
      <c r="I388" s="379"/>
      <c r="J388" s="379"/>
      <c r="K388" s="379"/>
      <c r="L388" s="379"/>
      <c r="M388" s="379"/>
      <c r="N388" s="379"/>
      <c r="O388" s="379"/>
      <c r="P388" s="379"/>
      <c r="Q388" s="379"/>
      <c r="R388" s="379"/>
      <c r="S388" s="379"/>
      <c r="T388" s="379"/>
      <c r="U388" s="379"/>
      <c r="V388" s="379"/>
      <c r="W388" s="379"/>
      <c r="X388" s="379"/>
      <c r="Y388" s="379"/>
      <c r="Z388" s="379"/>
    </row>
    <row r="389" ht="12.75" customHeight="1">
      <c r="A389" s="379"/>
      <c r="B389" s="379"/>
      <c r="C389" s="379"/>
      <c r="D389" s="379"/>
      <c r="E389" s="379"/>
      <c r="F389" s="379"/>
      <c r="G389" s="379"/>
      <c r="H389" s="379"/>
      <c r="I389" s="379"/>
      <c r="J389" s="379"/>
      <c r="K389" s="379"/>
      <c r="L389" s="379"/>
      <c r="M389" s="379"/>
      <c r="N389" s="379"/>
      <c r="O389" s="379"/>
      <c r="P389" s="379"/>
      <c r="Q389" s="379"/>
      <c r="R389" s="379"/>
      <c r="S389" s="379"/>
      <c r="T389" s="379"/>
      <c r="U389" s="379"/>
      <c r="V389" s="379"/>
      <c r="W389" s="379"/>
      <c r="X389" s="379"/>
      <c r="Y389" s="379"/>
      <c r="Z389" s="379"/>
    </row>
    <row r="390" ht="12.75" customHeight="1">
      <c r="A390" s="379"/>
      <c r="B390" s="379"/>
      <c r="C390" s="379"/>
      <c r="D390" s="379"/>
      <c r="E390" s="379"/>
      <c r="F390" s="379"/>
      <c r="G390" s="379"/>
      <c r="H390" s="379"/>
      <c r="I390" s="379"/>
      <c r="J390" s="379"/>
      <c r="K390" s="379"/>
      <c r="L390" s="379"/>
      <c r="M390" s="379"/>
      <c r="N390" s="379"/>
      <c r="O390" s="379"/>
      <c r="P390" s="379"/>
      <c r="Q390" s="379"/>
      <c r="R390" s="379"/>
      <c r="S390" s="379"/>
      <c r="T390" s="379"/>
      <c r="U390" s="379"/>
      <c r="V390" s="379"/>
      <c r="W390" s="379"/>
      <c r="X390" s="379"/>
      <c r="Y390" s="379"/>
      <c r="Z390" s="379"/>
    </row>
    <row r="391" ht="12.75" customHeight="1">
      <c r="A391" s="379"/>
      <c r="B391" s="379"/>
      <c r="C391" s="379"/>
      <c r="D391" s="379"/>
      <c r="E391" s="379"/>
      <c r="F391" s="379"/>
      <c r="G391" s="379"/>
      <c r="H391" s="379"/>
      <c r="I391" s="379"/>
      <c r="J391" s="379"/>
      <c r="K391" s="379"/>
      <c r="L391" s="379"/>
      <c r="M391" s="379"/>
      <c r="N391" s="379"/>
      <c r="O391" s="379"/>
      <c r="P391" s="379"/>
      <c r="Q391" s="379"/>
      <c r="R391" s="379"/>
      <c r="S391" s="379"/>
      <c r="T391" s="379"/>
      <c r="U391" s="379"/>
      <c r="V391" s="379"/>
      <c r="W391" s="379"/>
      <c r="X391" s="379"/>
      <c r="Y391" s="379"/>
      <c r="Z391" s="379"/>
    </row>
    <row r="392" ht="12.75" customHeight="1">
      <c r="A392" s="379"/>
      <c r="B392" s="379"/>
      <c r="C392" s="379"/>
      <c r="D392" s="379"/>
      <c r="E392" s="379"/>
      <c r="F392" s="379"/>
      <c r="G392" s="379"/>
      <c r="H392" s="379"/>
      <c r="I392" s="379"/>
      <c r="J392" s="379"/>
      <c r="K392" s="379"/>
      <c r="L392" s="379"/>
      <c r="M392" s="379"/>
      <c r="N392" s="379"/>
      <c r="O392" s="379"/>
      <c r="P392" s="379"/>
      <c r="Q392" s="379"/>
      <c r="R392" s="379"/>
      <c r="S392" s="379"/>
      <c r="T392" s="379"/>
      <c r="U392" s="379"/>
      <c r="V392" s="379"/>
      <c r="W392" s="379"/>
      <c r="X392" s="379"/>
      <c r="Y392" s="379"/>
      <c r="Z392" s="379"/>
    </row>
    <row r="393" ht="12.75" customHeight="1">
      <c r="A393" s="379"/>
      <c r="B393" s="379"/>
      <c r="C393" s="379"/>
      <c r="D393" s="379"/>
      <c r="E393" s="379"/>
      <c r="F393" s="379"/>
      <c r="G393" s="379"/>
      <c r="H393" s="379"/>
      <c r="I393" s="379"/>
      <c r="J393" s="379"/>
      <c r="K393" s="379"/>
      <c r="L393" s="379"/>
      <c r="M393" s="379"/>
      <c r="N393" s="379"/>
      <c r="O393" s="379"/>
      <c r="P393" s="379"/>
      <c r="Q393" s="379"/>
      <c r="R393" s="379"/>
      <c r="S393" s="379"/>
      <c r="T393" s="379"/>
      <c r="U393" s="379"/>
      <c r="V393" s="379"/>
      <c r="W393" s="379"/>
      <c r="X393" s="379"/>
      <c r="Y393" s="379"/>
      <c r="Z393" s="379"/>
    </row>
    <row r="394" ht="12.75" customHeight="1">
      <c r="A394" s="379"/>
      <c r="B394" s="379"/>
      <c r="C394" s="379"/>
      <c r="D394" s="379"/>
      <c r="E394" s="379"/>
      <c r="F394" s="379"/>
      <c r="G394" s="379"/>
      <c r="H394" s="379"/>
      <c r="I394" s="379"/>
      <c r="J394" s="379"/>
      <c r="K394" s="379"/>
      <c r="L394" s="379"/>
      <c r="M394" s="379"/>
      <c r="N394" s="379"/>
      <c r="O394" s="379"/>
      <c r="P394" s="379"/>
      <c r="Q394" s="379"/>
      <c r="R394" s="379"/>
      <c r="S394" s="379"/>
      <c r="T394" s="379"/>
      <c r="U394" s="379"/>
      <c r="V394" s="379"/>
      <c r="W394" s="379"/>
      <c r="X394" s="379"/>
      <c r="Y394" s="379"/>
      <c r="Z394" s="379"/>
    </row>
    <row r="395" ht="12.75" customHeight="1">
      <c r="A395" s="379"/>
      <c r="B395" s="379"/>
      <c r="C395" s="379"/>
      <c r="D395" s="379"/>
      <c r="E395" s="379"/>
      <c r="F395" s="379"/>
      <c r="G395" s="379"/>
      <c r="H395" s="379"/>
      <c r="I395" s="379"/>
      <c r="J395" s="379"/>
      <c r="K395" s="379"/>
      <c r="L395" s="379"/>
      <c r="M395" s="379"/>
      <c r="N395" s="379"/>
      <c r="O395" s="379"/>
      <c r="P395" s="379"/>
      <c r="Q395" s="379"/>
      <c r="R395" s="379"/>
      <c r="S395" s="379"/>
      <c r="T395" s="379"/>
      <c r="U395" s="379"/>
      <c r="V395" s="379"/>
      <c r="W395" s="379"/>
      <c r="X395" s="379"/>
      <c r="Y395" s="379"/>
      <c r="Z395" s="379"/>
    </row>
    <row r="396" ht="12.75" customHeight="1">
      <c r="A396" s="379"/>
      <c r="B396" s="379"/>
      <c r="C396" s="379"/>
      <c r="D396" s="379"/>
      <c r="E396" s="379"/>
      <c r="F396" s="379"/>
      <c r="G396" s="379"/>
      <c r="H396" s="379"/>
      <c r="I396" s="379"/>
      <c r="J396" s="379"/>
      <c r="K396" s="379"/>
      <c r="L396" s="379"/>
      <c r="M396" s="379"/>
      <c r="N396" s="379"/>
      <c r="O396" s="379"/>
      <c r="P396" s="379"/>
      <c r="Q396" s="379"/>
      <c r="R396" s="379"/>
      <c r="S396" s="379"/>
      <c r="T396" s="379"/>
      <c r="U396" s="379"/>
      <c r="V396" s="379"/>
      <c r="W396" s="379"/>
      <c r="X396" s="379"/>
      <c r="Y396" s="379"/>
      <c r="Z396" s="379"/>
    </row>
    <row r="397" ht="12.75" customHeight="1">
      <c r="A397" s="379"/>
      <c r="B397" s="379"/>
      <c r="C397" s="379"/>
      <c r="D397" s="379"/>
      <c r="E397" s="379"/>
      <c r="F397" s="379"/>
      <c r="G397" s="379"/>
      <c r="H397" s="379"/>
      <c r="I397" s="379"/>
      <c r="J397" s="379"/>
      <c r="K397" s="379"/>
      <c r="L397" s="379"/>
      <c r="M397" s="379"/>
      <c r="N397" s="379"/>
      <c r="O397" s="379"/>
      <c r="P397" s="379"/>
      <c r="Q397" s="379"/>
      <c r="R397" s="379"/>
      <c r="S397" s="379"/>
      <c r="T397" s="379"/>
      <c r="U397" s="379"/>
      <c r="V397" s="379"/>
      <c r="W397" s="379"/>
      <c r="X397" s="379"/>
      <c r="Y397" s="379"/>
      <c r="Z397" s="379"/>
    </row>
    <row r="398" ht="12.75" customHeight="1">
      <c r="A398" s="379"/>
      <c r="B398" s="379"/>
      <c r="C398" s="379"/>
      <c r="D398" s="379"/>
      <c r="E398" s="379"/>
      <c r="F398" s="379"/>
      <c r="G398" s="379"/>
      <c r="H398" s="379"/>
      <c r="I398" s="379"/>
      <c r="J398" s="379"/>
      <c r="K398" s="379"/>
      <c r="L398" s="379"/>
      <c r="M398" s="379"/>
      <c r="N398" s="379"/>
      <c r="O398" s="379"/>
      <c r="P398" s="379"/>
      <c r="Q398" s="379"/>
      <c r="R398" s="379"/>
      <c r="S398" s="379"/>
      <c r="T398" s="379"/>
      <c r="U398" s="379"/>
      <c r="V398" s="379"/>
      <c r="W398" s="379"/>
      <c r="X398" s="379"/>
      <c r="Y398" s="379"/>
      <c r="Z398" s="379"/>
    </row>
    <row r="399" ht="12.75" customHeight="1">
      <c r="A399" s="379"/>
      <c r="B399" s="379"/>
      <c r="C399" s="379"/>
      <c r="D399" s="379"/>
      <c r="E399" s="379"/>
      <c r="F399" s="379"/>
      <c r="G399" s="379"/>
      <c r="H399" s="379"/>
      <c r="I399" s="379"/>
      <c r="J399" s="379"/>
      <c r="K399" s="379"/>
      <c r="L399" s="379"/>
      <c r="M399" s="379"/>
      <c r="N399" s="379"/>
      <c r="O399" s="379"/>
      <c r="P399" s="379"/>
      <c r="Q399" s="379"/>
      <c r="R399" s="379"/>
      <c r="S399" s="379"/>
      <c r="T399" s="379"/>
      <c r="U399" s="379"/>
      <c r="V399" s="379"/>
      <c r="W399" s="379"/>
      <c r="X399" s="379"/>
      <c r="Y399" s="379"/>
      <c r="Z399" s="379"/>
    </row>
    <row r="400" ht="12.75" customHeight="1">
      <c r="A400" s="379"/>
      <c r="B400" s="379"/>
      <c r="C400" s="379"/>
      <c r="D400" s="379"/>
      <c r="E400" s="379"/>
      <c r="F400" s="379"/>
      <c r="G400" s="379"/>
      <c r="H400" s="379"/>
      <c r="I400" s="379"/>
      <c r="J400" s="379"/>
      <c r="K400" s="379"/>
      <c r="L400" s="379"/>
      <c r="M400" s="379"/>
      <c r="N400" s="379"/>
      <c r="O400" s="379"/>
      <c r="P400" s="379"/>
      <c r="Q400" s="379"/>
      <c r="R400" s="379"/>
      <c r="S400" s="379"/>
      <c r="T400" s="379"/>
      <c r="U400" s="379"/>
      <c r="V400" s="379"/>
      <c r="W400" s="379"/>
      <c r="X400" s="379"/>
      <c r="Y400" s="379"/>
      <c r="Z400" s="379"/>
    </row>
    <row r="401" ht="12.75" customHeight="1">
      <c r="A401" s="379"/>
      <c r="B401" s="379"/>
      <c r="C401" s="379"/>
      <c r="D401" s="379"/>
      <c r="E401" s="379"/>
      <c r="F401" s="379"/>
      <c r="G401" s="379"/>
      <c r="H401" s="379"/>
      <c r="I401" s="379"/>
      <c r="J401" s="379"/>
      <c r="K401" s="379"/>
      <c r="L401" s="379"/>
      <c r="M401" s="379"/>
      <c r="N401" s="379"/>
      <c r="O401" s="379"/>
      <c r="P401" s="379"/>
      <c r="Q401" s="379"/>
      <c r="R401" s="379"/>
      <c r="S401" s="379"/>
      <c r="T401" s="379"/>
      <c r="U401" s="379"/>
      <c r="V401" s="379"/>
      <c r="W401" s="379"/>
      <c r="X401" s="379"/>
      <c r="Y401" s="379"/>
      <c r="Z401" s="379"/>
    </row>
    <row r="402" ht="12.75" customHeight="1">
      <c r="A402" s="379"/>
      <c r="B402" s="379"/>
      <c r="C402" s="379"/>
      <c r="D402" s="379"/>
      <c r="E402" s="379"/>
      <c r="F402" s="379"/>
      <c r="G402" s="379"/>
      <c r="H402" s="379"/>
      <c r="I402" s="379"/>
      <c r="J402" s="379"/>
      <c r="K402" s="379"/>
      <c r="L402" s="379"/>
      <c r="M402" s="379"/>
      <c r="N402" s="379"/>
      <c r="O402" s="379"/>
      <c r="P402" s="379"/>
      <c r="Q402" s="379"/>
      <c r="R402" s="379"/>
      <c r="S402" s="379"/>
      <c r="T402" s="379"/>
      <c r="U402" s="379"/>
      <c r="V402" s="379"/>
      <c r="W402" s="379"/>
      <c r="X402" s="379"/>
      <c r="Y402" s="379"/>
      <c r="Z402" s="379"/>
    </row>
    <row r="403" ht="12.75" customHeight="1">
      <c r="A403" s="379"/>
      <c r="B403" s="379"/>
      <c r="C403" s="379"/>
      <c r="D403" s="379"/>
      <c r="E403" s="379"/>
      <c r="F403" s="379"/>
      <c r="G403" s="379"/>
      <c r="H403" s="379"/>
      <c r="I403" s="379"/>
      <c r="J403" s="379"/>
      <c r="K403" s="379"/>
      <c r="L403" s="379"/>
      <c r="M403" s="379"/>
      <c r="N403" s="379"/>
      <c r="O403" s="379"/>
      <c r="P403" s="379"/>
      <c r="Q403" s="379"/>
      <c r="R403" s="379"/>
      <c r="S403" s="379"/>
      <c r="T403" s="379"/>
      <c r="U403" s="379"/>
      <c r="V403" s="379"/>
      <c r="W403" s="379"/>
      <c r="X403" s="379"/>
      <c r="Y403" s="379"/>
      <c r="Z403" s="379"/>
    </row>
    <row r="404" ht="12.75" customHeight="1">
      <c r="A404" s="379"/>
      <c r="B404" s="379"/>
      <c r="C404" s="379"/>
      <c r="D404" s="379"/>
      <c r="E404" s="379"/>
      <c r="F404" s="379"/>
      <c r="G404" s="379"/>
      <c r="H404" s="379"/>
      <c r="I404" s="379"/>
      <c r="J404" s="379"/>
      <c r="K404" s="379"/>
      <c r="L404" s="379"/>
      <c r="M404" s="379"/>
      <c r="N404" s="379"/>
      <c r="O404" s="379"/>
      <c r="P404" s="379"/>
      <c r="Q404" s="379"/>
      <c r="R404" s="379"/>
      <c r="S404" s="379"/>
      <c r="T404" s="379"/>
      <c r="U404" s="379"/>
      <c r="V404" s="379"/>
      <c r="W404" s="379"/>
      <c r="X404" s="379"/>
      <c r="Y404" s="379"/>
      <c r="Z404" s="379"/>
    </row>
    <row r="405" ht="12.75" customHeight="1">
      <c r="A405" s="379"/>
      <c r="B405" s="379"/>
      <c r="C405" s="379"/>
      <c r="D405" s="379"/>
      <c r="E405" s="379"/>
      <c r="F405" s="379"/>
      <c r="G405" s="379"/>
      <c r="H405" s="379"/>
      <c r="I405" s="379"/>
      <c r="J405" s="379"/>
      <c r="K405" s="379"/>
      <c r="L405" s="379"/>
      <c r="M405" s="379"/>
      <c r="N405" s="379"/>
      <c r="O405" s="379"/>
      <c r="P405" s="379"/>
      <c r="Q405" s="379"/>
      <c r="R405" s="379"/>
      <c r="S405" s="379"/>
      <c r="T405" s="379"/>
      <c r="U405" s="379"/>
      <c r="V405" s="379"/>
      <c r="W405" s="379"/>
      <c r="X405" s="379"/>
      <c r="Y405" s="379"/>
      <c r="Z405" s="379"/>
    </row>
    <row r="406" ht="12.75" customHeight="1">
      <c r="A406" s="379"/>
      <c r="B406" s="379"/>
      <c r="C406" s="379"/>
      <c r="D406" s="379"/>
      <c r="E406" s="379"/>
      <c r="F406" s="379"/>
      <c r="G406" s="379"/>
      <c r="H406" s="379"/>
      <c r="I406" s="379"/>
      <c r="J406" s="379"/>
      <c r="K406" s="379"/>
      <c r="L406" s="379"/>
      <c r="M406" s="379"/>
      <c r="N406" s="379"/>
      <c r="O406" s="379"/>
      <c r="P406" s="379"/>
      <c r="Q406" s="379"/>
      <c r="R406" s="379"/>
      <c r="S406" s="379"/>
      <c r="T406" s="379"/>
      <c r="U406" s="379"/>
      <c r="V406" s="379"/>
      <c r="W406" s="379"/>
      <c r="X406" s="379"/>
      <c r="Y406" s="379"/>
      <c r="Z406" s="379"/>
    </row>
    <row r="407" ht="12.75" customHeight="1">
      <c r="A407" s="379"/>
      <c r="B407" s="379"/>
      <c r="C407" s="379"/>
      <c r="D407" s="379"/>
      <c r="E407" s="379"/>
      <c r="F407" s="379"/>
      <c r="G407" s="379"/>
      <c r="H407" s="379"/>
      <c r="I407" s="379"/>
      <c r="J407" s="379"/>
      <c r="K407" s="379"/>
      <c r="L407" s="379"/>
      <c r="M407" s="379"/>
      <c r="N407" s="379"/>
      <c r="O407" s="379"/>
      <c r="P407" s="379"/>
      <c r="Q407" s="379"/>
      <c r="R407" s="379"/>
      <c r="S407" s="379"/>
      <c r="T407" s="379"/>
      <c r="U407" s="379"/>
      <c r="V407" s="379"/>
      <c r="W407" s="379"/>
      <c r="X407" s="379"/>
      <c r="Y407" s="379"/>
      <c r="Z407" s="379"/>
    </row>
    <row r="408" ht="12.75" customHeight="1">
      <c r="A408" s="379"/>
      <c r="B408" s="379"/>
      <c r="C408" s="379"/>
      <c r="D408" s="379"/>
      <c r="E408" s="379"/>
      <c r="F408" s="379"/>
      <c r="G408" s="379"/>
      <c r="H408" s="379"/>
      <c r="I408" s="379"/>
      <c r="J408" s="379"/>
      <c r="K408" s="379"/>
      <c r="L408" s="379"/>
      <c r="M408" s="379"/>
      <c r="N408" s="379"/>
      <c r="O408" s="379"/>
      <c r="P408" s="379"/>
      <c r="Q408" s="379"/>
      <c r="R408" s="379"/>
      <c r="S408" s="379"/>
      <c r="T408" s="379"/>
      <c r="U408" s="379"/>
      <c r="V408" s="379"/>
      <c r="W408" s="379"/>
      <c r="X408" s="379"/>
      <c r="Y408" s="379"/>
      <c r="Z408" s="379"/>
    </row>
    <row r="409" ht="12.75" customHeight="1">
      <c r="A409" s="379"/>
      <c r="B409" s="379"/>
      <c r="C409" s="379"/>
      <c r="D409" s="379"/>
      <c r="E409" s="379"/>
      <c r="F409" s="379"/>
      <c r="G409" s="379"/>
      <c r="H409" s="379"/>
      <c r="I409" s="379"/>
      <c r="J409" s="379"/>
      <c r="K409" s="379"/>
      <c r="L409" s="379"/>
      <c r="M409" s="379"/>
      <c r="N409" s="379"/>
      <c r="O409" s="379"/>
      <c r="P409" s="379"/>
      <c r="Q409" s="379"/>
      <c r="R409" s="379"/>
      <c r="S409" s="379"/>
      <c r="T409" s="379"/>
      <c r="U409" s="379"/>
      <c r="V409" s="379"/>
      <c r="W409" s="379"/>
      <c r="X409" s="379"/>
      <c r="Y409" s="379"/>
      <c r="Z409" s="379"/>
    </row>
    <row r="410" ht="12.75" customHeight="1">
      <c r="A410" s="379"/>
      <c r="B410" s="379"/>
      <c r="C410" s="379"/>
      <c r="D410" s="379"/>
      <c r="E410" s="379"/>
      <c r="F410" s="379"/>
      <c r="G410" s="379"/>
      <c r="H410" s="379"/>
      <c r="I410" s="379"/>
      <c r="J410" s="379"/>
      <c r="K410" s="379"/>
      <c r="L410" s="379"/>
      <c r="M410" s="379"/>
      <c r="N410" s="379"/>
      <c r="O410" s="379"/>
      <c r="P410" s="379"/>
      <c r="Q410" s="379"/>
      <c r="R410" s="379"/>
      <c r="S410" s="379"/>
      <c r="T410" s="379"/>
      <c r="U410" s="379"/>
      <c r="V410" s="379"/>
      <c r="W410" s="379"/>
      <c r="X410" s="379"/>
      <c r="Y410" s="379"/>
      <c r="Z410" s="379"/>
    </row>
    <row r="411" ht="12.75" customHeight="1">
      <c r="A411" s="379"/>
      <c r="B411" s="379"/>
      <c r="C411" s="379"/>
      <c r="D411" s="379"/>
      <c r="E411" s="379"/>
      <c r="F411" s="379"/>
      <c r="G411" s="379"/>
      <c r="H411" s="379"/>
      <c r="I411" s="379"/>
      <c r="J411" s="379"/>
      <c r="K411" s="379"/>
      <c r="L411" s="379"/>
      <c r="M411" s="379"/>
      <c r="N411" s="379"/>
      <c r="O411" s="379"/>
      <c r="P411" s="379"/>
      <c r="Q411" s="379"/>
      <c r="R411" s="379"/>
      <c r="S411" s="379"/>
      <c r="T411" s="379"/>
      <c r="U411" s="379"/>
      <c r="V411" s="379"/>
      <c r="W411" s="379"/>
      <c r="X411" s="379"/>
      <c r="Y411" s="379"/>
      <c r="Z411" s="379"/>
    </row>
    <row r="412" ht="12.75" customHeight="1">
      <c r="A412" s="379"/>
      <c r="B412" s="379"/>
      <c r="C412" s="379"/>
      <c r="D412" s="379"/>
      <c r="E412" s="379"/>
      <c r="F412" s="379"/>
      <c r="G412" s="379"/>
      <c r="H412" s="379"/>
      <c r="I412" s="379"/>
      <c r="J412" s="379"/>
      <c r="K412" s="379"/>
      <c r="L412" s="379"/>
      <c r="M412" s="379"/>
      <c r="N412" s="379"/>
      <c r="O412" s="379"/>
      <c r="P412" s="379"/>
      <c r="Q412" s="379"/>
      <c r="R412" s="379"/>
      <c r="S412" s="379"/>
      <c r="T412" s="379"/>
      <c r="U412" s="379"/>
      <c r="V412" s="379"/>
      <c r="W412" s="379"/>
      <c r="X412" s="379"/>
      <c r="Y412" s="379"/>
      <c r="Z412" s="379"/>
    </row>
    <row r="413" ht="12.75" customHeight="1">
      <c r="A413" s="379"/>
      <c r="B413" s="379"/>
      <c r="C413" s="379"/>
      <c r="D413" s="379"/>
      <c r="E413" s="379"/>
      <c r="F413" s="379"/>
      <c r="G413" s="379"/>
      <c r="H413" s="379"/>
      <c r="I413" s="379"/>
      <c r="J413" s="379"/>
      <c r="K413" s="379"/>
      <c r="L413" s="379"/>
      <c r="M413" s="379"/>
      <c r="N413" s="379"/>
      <c r="O413" s="379"/>
      <c r="P413" s="379"/>
      <c r="Q413" s="379"/>
      <c r="R413" s="379"/>
      <c r="S413" s="379"/>
      <c r="T413" s="379"/>
      <c r="U413" s="379"/>
      <c r="V413" s="379"/>
      <c r="W413" s="379"/>
      <c r="X413" s="379"/>
      <c r="Y413" s="379"/>
      <c r="Z413" s="379"/>
    </row>
    <row r="414" ht="12.75" customHeight="1">
      <c r="A414" s="379"/>
      <c r="B414" s="379"/>
      <c r="C414" s="379"/>
      <c r="D414" s="379"/>
      <c r="E414" s="379"/>
      <c r="F414" s="379"/>
      <c r="G414" s="379"/>
      <c r="H414" s="379"/>
      <c r="I414" s="379"/>
      <c r="J414" s="379"/>
      <c r="K414" s="379"/>
      <c r="L414" s="379"/>
      <c r="M414" s="379"/>
      <c r="N414" s="379"/>
      <c r="O414" s="379"/>
      <c r="P414" s="379"/>
      <c r="Q414" s="379"/>
      <c r="R414" s="379"/>
      <c r="S414" s="379"/>
      <c r="T414" s="379"/>
      <c r="U414" s="379"/>
      <c r="V414" s="379"/>
      <c r="W414" s="379"/>
      <c r="X414" s="379"/>
      <c r="Y414" s="379"/>
      <c r="Z414" s="379"/>
    </row>
    <row r="415" ht="12.75" customHeight="1">
      <c r="A415" s="379"/>
      <c r="B415" s="379"/>
      <c r="C415" s="379"/>
      <c r="D415" s="379"/>
      <c r="E415" s="379"/>
      <c r="F415" s="379"/>
      <c r="G415" s="379"/>
      <c r="H415" s="379"/>
      <c r="I415" s="379"/>
      <c r="J415" s="379"/>
      <c r="K415" s="379"/>
      <c r="L415" s="379"/>
      <c r="M415" s="379"/>
      <c r="N415" s="379"/>
      <c r="O415" s="379"/>
      <c r="P415" s="379"/>
      <c r="Q415" s="379"/>
      <c r="R415" s="379"/>
      <c r="S415" s="379"/>
      <c r="T415" s="379"/>
      <c r="U415" s="379"/>
      <c r="V415" s="379"/>
      <c r="W415" s="379"/>
      <c r="X415" s="379"/>
      <c r="Y415" s="379"/>
      <c r="Z415" s="379"/>
    </row>
    <row r="416" ht="12.75" customHeight="1">
      <c r="A416" s="379"/>
      <c r="B416" s="379"/>
      <c r="C416" s="379"/>
      <c r="D416" s="379"/>
      <c r="E416" s="379"/>
      <c r="F416" s="379"/>
      <c r="G416" s="379"/>
      <c r="H416" s="379"/>
      <c r="I416" s="379"/>
      <c r="J416" s="379"/>
      <c r="K416" s="379"/>
      <c r="L416" s="379"/>
      <c r="M416" s="379"/>
      <c r="N416" s="379"/>
      <c r="O416" s="379"/>
      <c r="P416" s="379"/>
      <c r="Q416" s="379"/>
      <c r="R416" s="379"/>
      <c r="S416" s="379"/>
      <c r="T416" s="379"/>
      <c r="U416" s="379"/>
      <c r="V416" s="379"/>
      <c r="W416" s="379"/>
      <c r="X416" s="379"/>
      <c r="Y416" s="379"/>
      <c r="Z416" s="379"/>
    </row>
    <row r="417" ht="12.75" customHeight="1">
      <c r="A417" s="379"/>
      <c r="B417" s="379"/>
      <c r="C417" s="379"/>
      <c r="D417" s="379"/>
      <c r="E417" s="379"/>
      <c r="F417" s="379"/>
      <c r="G417" s="379"/>
      <c r="H417" s="379"/>
      <c r="I417" s="379"/>
      <c r="J417" s="379"/>
      <c r="K417" s="379"/>
      <c r="L417" s="379"/>
      <c r="M417" s="379"/>
      <c r="N417" s="379"/>
      <c r="O417" s="379"/>
      <c r="P417" s="379"/>
      <c r="Q417" s="379"/>
      <c r="R417" s="379"/>
      <c r="S417" s="379"/>
      <c r="T417" s="379"/>
      <c r="U417" s="379"/>
      <c r="V417" s="379"/>
      <c r="W417" s="379"/>
      <c r="X417" s="379"/>
      <c r="Y417" s="379"/>
      <c r="Z417" s="379"/>
    </row>
    <row r="418" ht="12.75" customHeight="1">
      <c r="A418" s="379"/>
      <c r="B418" s="379"/>
      <c r="C418" s="379"/>
      <c r="D418" s="379"/>
      <c r="E418" s="379"/>
      <c r="F418" s="379"/>
      <c r="G418" s="379"/>
      <c r="H418" s="379"/>
      <c r="I418" s="379"/>
      <c r="J418" s="379"/>
      <c r="K418" s="379"/>
      <c r="L418" s="379"/>
      <c r="M418" s="379"/>
      <c r="N418" s="379"/>
      <c r="O418" s="379"/>
      <c r="P418" s="379"/>
      <c r="Q418" s="379"/>
      <c r="R418" s="379"/>
      <c r="S418" s="379"/>
      <c r="T418" s="379"/>
      <c r="U418" s="379"/>
      <c r="V418" s="379"/>
      <c r="W418" s="379"/>
      <c r="X418" s="379"/>
      <c r="Y418" s="379"/>
      <c r="Z418" s="379"/>
    </row>
    <row r="419" ht="12.75" customHeight="1">
      <c r="A419" s="379"/>
      <c r="B419" s="379"/>
      <c r="C419" s="379"/>
      <c r="D419" s="379"/>
      <c r="E419" s="379"/>
      <c r="F419" s="379"/>
      <c r="G419" s="379"/>
      <c r="H419" s="379"/>
      <c r="I419" s="379"/>
      <c r="J419" s="379"/>
      <c r="K419" s="379"/>
      <c r="L419" s="379"/>
      <c r="M419" s="379"/>
      <c r="N419" s="379"/>
      <c r="O419" s="379"/>
      <c r="P419" s="379"/>
      <c r="Q419" s="379"/>
      <c r="R419" s="379"/>
      <c r="S419" s="379"/>
      <c r="T419" s="379"/>
      <c r="U419" s="379"/>
      <c r="V419" s="379"/>
      <c r="W419" s="379"/>
      <c r="X419" s="379"/>
      <c r="Y419" s="379"/>
      <c r="Z419" s="379"/>
    </row>
    <row r="420" ht="12.75" customHeight="1">
      <c r="A420" s="379"/>
      <c r="B420" s="379"/>
      <c r="C420" s="379"/>
      <c r="D420" s="379"/>
      <c r="E420" s="379"/>
      <c r="F420" s="379"/>
      <c r="G420" s="379"/>
      <c r="H420" s="379"/>
      <c r="I420" s="379"/>
      <c r="J420" s="379"/>
      <c r="K420" s="379"/>
      <c r="L420" s="379"/>
      <c r="M420" s="379"/>
      <c r="N420" s="379"/>
      <c r="O420" s="379"/>
      <c r="P420" s="379"/>
      <c r="Q420" s="379"/>
      <c r="R420" s="379"/>
      <c r="S420" s="379"/>
      <c r="T420" s="379"/>
      <c r="U420" s="379"/>
      <c r="V420" s="379"/>
      <c r="W420" s="379"/>
      <c r="X420" s="379"/>
      <c r="Y420" s="379"/>
      <c r="Z420" s="379"/>
    </row>
    <row r="421" ht="12.75" customHeight="1">
      <c r="A421" s="379"/>
      <c r="B421" s="379"/>
      <c r="C421" s="379"/>
      <c r="D421" s="379"/>
      <c r="E421" s="379"/>
      <c r="F421" s="379"/>
      <c r="G421" s="379"/>
      <c r="H421" s="379"/>
      <c r="I421" s="379"/>
      <c r="J421" s="379"/>
      <c r="K421" s="379"/>
      <c r="L421" s="379"/>
      <c r="M421" s="379"/>
      <c r="N421" s="379"/>
      <c r="O421" s="379"/>
      <c r="P421" s="379"/>
      <c r="Q421" s="379"/>
      <c r="R421" s="379"/>
      <c r="S421" s="379"/>
      <c r="T421" s="379"/>
      <c r="U421" s="379"/>
      <c r="V421" s="379"/>
      <c r="W421" s="379"/>
      <c r="X421" s="379"/>
      <c r="Y421" s="379"/>
      <c r="Z421" s="379"/>
    </row>
    <row r="422" ht="12.75" customHeight="1">
      <c r="A422" s="379"/>
      <c r="B422" s="379"/>
      <c r="C422" s="379"/>
      <c r="D422" s="379"/>
      <c r="E422" s="379"/>
      <c r="F422" s="379"/>
      <c r="G422" s="379"/>
      <c r="H422" s="379"/>
      <c r="I422" s="379"/>
      <c r="J422" s="379"/>
      <c r="K422" s="379"/>
      <c r="L422" s="379"/>
      <c r="M422" s="379"/>
      <c r="N422" s="379"/>
      <c r="O422" s="379"/>
      <c r="P422" s="379"/>
      <c r="Q422" s="379"/>
      <c r="R422" s="379"/>
      <c r="S422" s="379"/>
      <c r="T422" s="379"/>
      <c r="U422" s="379"/>
      <c r="V422" s="379"/>
      <c r="W422" s="379"/>
      <c r="X422" s="379"/>
      <c r="Y422" s="379"/>
      <c r="Z422" s="379"/>
    </row>
    <row r="423" ht="12.75" customHeight="1">
      <c r="A423" s="379"/>
      <c r="B423" s="379"/>
      <c r="C423" s="379"/>
      <c r="D423" s="379"/>
      <c r="E423" s="379"/>
      <c r="F423" s="379"/>
      <c r="G423" s="379"/>
      <c r="H423" s="379"/>
      <c r="I423" s="379"/>
      <c r="J423" s="379"/>
      <c r="K423" s="379"/>
      <c r="L423" s="379"/>
      <c r="M423" s="379"/>
      <c r="N423" s="379"/>
      <c r="O423" s="379"/>
      <c r="P423" s="379"/>
      <c r="Q423" s="379"/>
      <c r="R423" s="379"/>
      <c r="S423" s="379"/>
      <c r="T423" s="379"/>
      <c r="U423" s="379"/>
      <c r="V423" s="379"/>
      <c r="W423" s="379"/>
      <c r="X423" s="379"/>
      <c r="Y423" s="379"/>
      <c r="Z423" s="379"/>
    </row>
    <row r="424" ht="12.75" customHeight="1">
      <c r="A424" s="379"/>
      <c r="B424" s="379"/>
      <c r="C424" s="379"/>
      <c r="D424" s="379"/>
      <c r="E424" s="379"/>
      <c r="F424" s="379"/>
      <c r="G424" s="379"/>
      <c r="H424" s="379"/>
      <c r="I424" s="379"/>
      <c r="J424" s="379"/>
      <c r="K424" s="379"/>
      <c r="L424" s="379"/>
      <c r="M424" s="379"/>
      <c r="N424" s="379"/>
      <c r="O424" s="379"/>
      <c r="P424" s="379"/>
      <c r="Q424" s="379"/>
      <c r="R424" s="379"/>
      <c r="S424" s="379"/>
      <c r="T424" s="379"/>
      <c r="U424" s="379"/>
      <c r="V424" s="379"/>
      <c r="W424" s="379"/>
      <c r="X424" s="379"/>
      <c r="Y424" s="379"/>
      <c r="Z424" s="379"/>
    </row>
    <row r="425" ht="12.75" customHeight="1">
      <c r="A425" s="379"/>
      <c r="B425" s="379"/>
      <c r="C425" s="379"/>
      <c r="D425" s="379"/>
      <c r="E425" s="379"/>
      <c r="F425" s="379"/>
      <c r="G425" s="379"/>
      <c r="H425" s="379"/>
      <c r="I425" s="379"/>
      <c r="J425" s="379"/>
      <c r="K425" s="379"/>
      <c r="L425" s="379"/>
      <c r="M425" s="379"/>
      <c r="N425" s="379"/>
      <c r="O425" s="379"/>
      <c r="P425" s="379"/>
      <c r="Q425" s="379"/>
      <c r="R425" s="379"/>
      <c r="S425" s="379"/>
      <c r="T425" s="379"/>
      <c r="U425" s="379"/>
      <c r="V425" s="379"/>
      <c r="W425" s="379"/>
      <c r="X425" s="379"/>
      <c r="Y425" s="379"/>
      <c r="Z425" s="379"/>
    </row>
    <row r="426" ht="12.75" customHeight="1">
      <c r="A426" s="379"/>
      <c r="B426" s="379"/>
      <c r="C426" s="379"/>
      <c r="D426" s="379"/>
      <c r="E426" s="379"/>
      <c r="F426" s="379"/>
      <c r="G426" s="379"/>
      <c r="H426" s="379"/>
      <c r="I426" s="379"/>
      <c r="J426" s="379"/>
      <c r="K426" s="379"/>
      <c r="L426" s="379"/>
      <c r="M426" s="379"/>
      <c r="N426" s="379"/>
      <c r="O426" s="379"/>
      <c r="P426" s="379"/>
      <c r="Q426" s="379"/>
      <c r="R426" s="379"/>
      <c r="S426" s="379"/>
      <c r="T426" s="379"/>
      <c r="U426" s="379"/>
      <c r="V426" s="379"/>
      <c r="W426" s="379"/>
      <c r="X426" s="379"/>
      <c r="Y426" s="379"/>
      <c r="Z426" s="379"/>
    </row>
    <row r="427" ht="12.75" customHeight="1">
      <c r="A427" s="379"/>
      <c r="B427" s="379"/>
      <c r="C427" s="379"/>
      <c r="D427" s="379"/>
      <c r="E427" s="379"/>
      <c r="F427" s="379"/>
      <c r="G427" s="379"/>
      <c r="H427" s="379"/>
      <c r="I427" s="379"/>
      <c r="J427" s="379"/>
      <c r="K427" s="379"/>
      <c r="L427" s="379"/>
      <c r="M427" s="379"/>
      <c r="N427" s="379"/>
      <c r="O427" s="379"/>
      <c r="P427" s="379"/>
      <c r="Q427" s="379"/>
      <c r="R427" s="379"/>
      <c r="S427" s="379"/>
      <c r="T427" s="379"/>
      <c r="U427" s="379"/>
      <c r="V427" s="379"/>
      <c r="W427" s="379"/>
      <c r="X427" s="379"/>
      <c r="Y427" s="379"/>
      <c r="Z427" s="379"/>
    </row>
    <row r="428" ht="12.75" customHeight="1">
      <c r="A428" s="379"/>
      <c r="B428" s="379"/>
      <c r="C428" s="379"/>
      <c r="D428" s="379"/>
      <c r="E428" s="379"/>
      <c r="F428" s="379"/>
      <c r="G428" s="379"/>
      <c r="H428" s="379"/>
      <c r="I428" s="379"/>
      <c r="J428" s="379"/>
      <c r="K428" s="379"/>
      <c r="L428" s="379"/>
      <c r="M428" s="379"/>
      <c r="N428" s="379"/>
      <c r="O428" s="379"/>
      <c r="P428" s="379"/>
      <c r="Q428" s="379"/>
      <c r="R428" s="379"/>
      <c r="S428" s="379"/>
      <c r="T428" s="379"/>
      <c r="U428" s="379"/>
      <c r="V428" s="379"/>
      <c r="W428" s="379"/>
      <c r="X428" s="379"/>
      <c r="Y428" s="379"/>
      <c r="Z428" s="379"/>
    </row>
    <row r="429" ht="12.75" customHeight="1">
      <c r="A429" s="379"/>
      <c r="B429" s="379"/>
      <c r="C429" s="379"/>
      <c r="D429" s="379"/>
      <c r="E429" s="379"/>
      <c r="F429" s="379"/>
      <c r="G429" s="379"/>
      <c r="H429" s="379"/>
      <c r="I429" s="379"/>
      <c r="J429" s="379"/>
      <c r="K429" s="379"/>
      <c r="L429" s="379"/>
      <c r="M429" s="379"/>
      <c r="N429" s="379"/>
      <c r="O429" s="379"/>
      <c r="P429" s="379"/>
      <c r="Q429" s="379"/>
      <c r="R429" s="379"/>
      <c r="S429" s="379"/>
      <c r="T429" s="379"/>
      <c r="U429" s="379"/>
      <c r="V429" s="379"/>
      <c r="W429" s="379"/>
      <c r="X429" s="379"/>
      <c r="Y429" s="379"/>
      <c r="Z429" s="379"/>
    </row>
    <row r="430" ht="12.75" customHeight="1">
      <c r="A430" s="379"/>
      <c r="B430" s="379"/>
      <c r="C430" s="379"/>
      <c r="D430" s="379"/>
      <c r="E430" s="379"/>
      <c r="F430" s="379"/>
      <c r="G430" s="379"/>
      <c r="H430" s="379"/>
      <c r="I430" s="379"/>
      <c r="J430" s="379"/>
      <c r="K430" s="379"/>
      <c r="L430" s="379"/>
      <c r="M430" s="379"/>
      <c r="N430" s="379"/>
      <c r="O430" s="379"/>
      <c r="P430" s="379"/>
      <c r="Q430" s="379"/>
      <c r="R430" s="379"/>
      <c r="S430" s="379"/>
      <c r="T430" s="379"/>
      <c r="U430" s="379"/>
      <c r="V430" s="379"/>
      <c r="W430" s="379"/>
      <c r="X430" s="379"/>
      <c r="Y430" s="379"/>
      <c r="Z430" s="379"/>
    </row>
    <row r="431" ht="12.75" customHeight="1">
      <c r="A431" s="379"/>
      <c r="B431" s="379"/>
      <c r="C431" s="379"/>
      <c r="D431" s="379"/>
      <c r="E431" s="379"/>
      <c r="F431" s="379"/>
      <c r="G431" s="379"/>
      <c r="H431" s="379"/>
      <c r="I431" s="379"/>
      <c r="J431" s="379"/>
      <c r="K431" s="379"/>
      <c r="L431" s="379"/>
      <c r="M431" s="379"/>
      <c r="N431" s="379"/>
      <c r="O431" s="379"/>
      <c r="P431" s="379"/>
      <c r="Q431" s="379"/>
      <c r="R431" s="379"/>
      <c r="S431" s="379"/>
      <c r="T431" s="379"/>
      <c r="U431" s="379"/>
      <c r="V431" s="379"/>
      <c r="W431" s="379"/>
      <c r="X431" s="379"/>
      <c r="Y431" s="379"/>
      <c r="Z431" s="379"/>
    </row>
    <row r="432" ht="12.75" customHeight="1">
      <c r="A432" s="379"/>
      <c r="B432" s="379"/>
      <c r="C432" s="379"/>
      <c r="D432" s="379"/>
      <c r="E432" s="379"/>
      <c r="F432" s="379"/>
      <c r="G432" s="379"/>
      <c r="H432" s="379"/>
      <c r="I432" s="379"/>
      <c r="J432" s="379"/>
      <c r="K432" s="379"/>
      <c r="L432" s="379"/>
      <c r="M432" s="379"/>
      <c r="N432" s="379"/>
      <c r="O432" s="379"/>
      <c r="P432" s="379"/>
      <c r="Q432" s="379"/>
      <c r="R432" s="379"/>
      <c r="S432" s="379"/>
      <c r="T432" s="379"/>
      <c r="U432" s="379"/>
      <c r="V432" s="379"/>
      <c r="W432" s="379"/>
      <c r="X432" s="379"/>
      <c r="Y432" s="379"/>
      <c r="Z432" s="379"/>
    </row>
    <row r="433" ht="12.75" customHeight="1">
      <c r="A433" s="379"/>
      <c r="B433" s="379"/>
      <c r="C433" s="379"/>
      <c r="D433" s="379"/>
      <c r="E433" s="379"/>
      <c r="F433" s="379"/>
      <c r="G433" s="379"/>
      <c r="H433" s="379"/>
      <c r="I433" s="379"/>
      <c r="J433" s="379"/>
      <c r="K433" s="379"/>
      <c r="L433" s="379"/>
      <c r="M433" s="379"/>
      <c r="N433" s="379"/>
      <c r="O433" s="379"/>
      <c r="P433" s="379"/>
      <c r="Q433" s="379"/>
      <c r="R433" s="379"/>
      <c r="S433" s="379"/>
      <c r="T433" s="379"/>
      <c r="U433" s="379"/>
      <c r="V433" s="379"/>
      <c r="W433" s="379"/>
      <c r="X433" s="379"/>
      <c r="Y433" s="379"/>
      <c r="Z433" s="379"/>
    </row>
    <row r="434" ht="12.75" customHeight="1">
      <c r="A434" s="379"/>
      <c r="B434" s="379"/>
      <c r="C434" s="379"/>
      <c r="D434" s="379"/>
      <c r="E434" s="379"/>
      <c r="F434" s="379"/>
      <c r="G434" s="379"/>
      <c r="H434" s="379"/>
      <c r="I434" s="379"/>
      <c r="J434" s="379"/>
      <c r="K434" s="379"/>
      <c r="L434" s="379"/>
      <c r="M434" s="379"/>
      <c r="N434" s="379"/>
      <c r="O434" s="379"/>
      <c r="P434" s="379"/>
      <c r="Q434" s="379"/>
      <c r="R434" s="379"/>
      <c r="S434" s="379"/>
      <c r="T434" s="379"/>
      <c r="U434" s="379"/>
      <c r="V434" s="379"/>
      <c r="W434" s="379"/>
      <c r="X434" s="379"/>
      <c r="Y434" s="379"/>
      <c r="Z434" s="379"/>
    </row>
    <row r="435" ht="12.75" customHeight="1">
      <c r="A435" s="379"/>
      <c r="B435" s="379"/>
      <c r="C435" s="379"/>
      <c r="D435" s="379"/>
      <c r="E435" s="379"/>
      <c r="F435" s="379"/>
      <c r="G435" s="379"/>
      <c r="H435" s="379"/>
      <c r="I435" s="379"/>
      <c r="J435" s="379"/>
      <c r="K435" s="379"/>
      <c r="L435" s="379"/>
      <c r="M435" s="379"/>
      <c r="N435" s="379"/>
      <c r="O435" s="379"/>
      <c r="P435" s="379"/>
      <c r="Q435" s="379"/>
      <c r="R435" s="379"/>
      <c r="S435" s="379"/>
      <c r="T435" s="379"/>
      <c r="U435" s="379"/>
      <c r="V435" s="379"/>
      <c r="W435" s="379"/>
      <c r="X435" s="379"/>
      <c r="Y435" s="379"/>
      <c r="Z435" s="379"/>
    </row>
    <row r="436" ht="12.75" customHeight="1">
      <c r="A436" s="379"/>
      <c r="B436" s="379"/>
      <c r="C436" s="379"/>
      <c r="D436" s="379"/>
      <c r="E436" s="379"/>
      <c r="F436" s="379"/>
      <c r="G436" s="379"/>
      <c r="H436" s="379"/>
      <c r="I436" s="379"/>
      <c r="J436" s="379"/>
      <c r="K436" s="379"/>
      <c r="L436" s="379"/>
      <c r="M436" s="379"/>
      <c r="N436" s="379"/>
      <c r="O436" s="379"/>
      <c r="P436" s="379"/>
      <c r="Q436" s="379"/>
      <c r="R436" s="379"/>
      <c r="S436" s="379"/>
      <c r="T436" s="379"/>
      <c r="U436" s="379"/>
      <c r="V436" s="379"/>
      <c r="W436" s="379"/>
      <c r="X436" s="379"/>
      <c r="Y436" s="379"/>
      <c r="Z436" s="379"/>
    </row>
    <row r="437" ht="12.75" customHeight="1">
      <c r="A437" s="379"/>
      <c r="B437" s="379"/>
      <c r="C437" s="379"/>
      <c r="D437" s="379"/>
      <c r="E437" s="379"/>
      <c r="F437" s="379"/>
      <c r="G437" s="379"/>
      <c r="H437" s="379"/>
      <c r="I437" s="379"/>
      <c r="J437" s="379"/>
      <c r="K437" s="379"/>
      <c r="L437" s="379"/>
      <c r="M437" s="379"/>
      <c r="N437" s="379"/>
      <c r="O437" s="379"/>
      <c r="P437" s="379"/>
      <c r="Q437" s="379"/>
      <c r="R437" s="379"/>
      <c r="S437" s="379"/>
      <c r="T437" s="379"/>
      <c r="U437" s="379"/>
      <c r="V437" s="379"/>
      <c r="W437" s="379"/>
      <c r="X437" s="379"/>
      <c r="Y437" s="379"/>
      <c r="Z437" s="379"/>
    </row>
    <row r="438" ht="12.75" customHeight="1">
      <c r="A438" s="379"/>
      <c r="B438" s="379"/>
      <c r="C438" s="379"/>
      <c r="D438" s="379"/>
      <c r="E438" s="379"/>
      <c r="F438" s="379"/>
      <c r="G438" s="379"/>
      <c r="H438" s="379"/>
      <c r="I438" s="379"/>
      <c r="J438" s="379"/>
      <c r="K438" s="379"/>
      <c r="L438" s="379"/>
      <c r="M438" s="379"/>
      <c r="N438" s="379"/>
      <c r="O438" s="379"/>
      <c r="P438" s="379"/>
      <c r="Q438" s="379"/>
      <c r="R438" s="379"/>
      <c r="S438" s="379"/>
      <c r="T438" s="379"/>
      <c r="U438" s="379"/>
      <c r="V438" s="379"/>
      <c r="W438" s="379"/>
      <c r="X438" s="379"/>
      <c r="Y438" s="379"/>
      <c r="Z438" s="379"/>
    </row>
    <row r="439" ht="12.75" customHeight="1">
      <c r="A439" s="379"/>
      <c r="B439" s="379"/>
      <c r="C439" s="379"/>
      <c r="D439" s="379"/>
      <c r="E439" s="379"/>
      <c r="F439" s="379"/>
      <c r="G439" s="379"/>
      <c r="H439" s="379"/>
      <c r="I439" s="379"/>
      <c r="J439" s="379"/>
      <c r="K439" s="379"/>
      <c r="L439" s="379"/>
      <c r="M439" s="379"/>
      <c r="N439" s="379"/>
      <c r="O439" s="379"/>
      <c r="P439" s="379"/>
      <c r="Q439" s="379"/>
      <c r="R439" s="379"/>
      <c r="S439" s="379"/>
      <c r="T439" s="379"/>
      <c r="U439" s="379"/>
      <c r="V439" s="379"/>
      <c r="W439" s="379"/>
      <c r="X439" s="379"/>
      <c r="Y439" s="379"/>
      <c r="Z439" s="379"/>
    </row>
    <row r="440" ht="12.75" customHeight="1">
      <c r="A440" s="379"/>
      <c r="B440" s="379"/>
      <c r="C440" s="379"/>
      <c r="D440" s="379"/>
      <c r="E440" s="379"/>
      <c r="F440" s="379"/>
      <c r="G440" s="379"/>
      <c r="H440" s="379"/>
      <c r="I440" s="379"/>
      <c r="J440" s="379"/>
      <c r="K440" s="379"/>
      <c r="L440" s="379"/>
      <c r="M440" s="379"/>
      <c r="N440" s="379"/>
      <c r="O440" s="379"/>
      <c r="P440" s="379"/>
      <c r="Q440" s="379"/>
      <c r="R440" s="379"/>
      <c r="S440" s="379"/>
      <c r="T440" s="379"/>
      <c r="U440" s="379"/>
      <c r="V440" s="379"/>
      <c r="W440" s="379"/>
      <c r="X440" s="379"/>
      <c r="Y440" s="379"/>
      <c r="Z440" s="379"/>
    </row>
    <row r="441" ht="12.75" customHeight="1">
      <c r="A441" s="379"/>
      <c r="B441" s="379"/>
      <c r="C441" s="379"/>
      <c r="D441" s="379"/>
      <c r="E441" s="379"/>
      <c r="F441" s="379"/>
      <c r="G441" s="379"/>
      <c r="H441" s="379"/>
      <c r="I441" s="379"/>
      <c r="J441" s="379"/>
      <c r="K441" s="379"/>
      <c r="L441" s="379"/>
      <c r="M441" s="379"/>
      <c r="N441" s="379"/>
      <c r="O441" s="379"/>
      <c r="P441" s="379"/>
      <c r="Q441" s="379"/>
      <c r="R441" s="379"/>
      <c r="S441" s="379"/>
      <c r="T441" s="379"/>
      <c r="U441" s="379"/>
      <c r="V441" s="379"/>
      <c r="W441" s="379"/>
      <c r="X441" s="379"/>
      <c r="Y441" s="379"/>
      <c r="Z441" s="379"/>
    </row>
    <row r="442" ht="12.75" customHeight="1">
      <c r="A442" s="379"/>
      <c r="B442" s="379"/>
      <c r="C442" s="379"/>
      <c r="D442" s="379"/>
      <c r="E442" s="379"/>
      <c r="F442" s="379"/>
      <c r="G442" s="379"/>
      <c r="H442" s="379"/>
      <c r="I442" s="379"/>
      <c r="J442" s="379"/>
      <c r="K442" s="379"/>
      <c r="L442" s="379"/>
      <c r="M442" s="379"/>
      <c r="N442" s="379"/>
      <c r="O442" s="379"/>
      <c r="P442" s="379"/>
      <c r="Q442" s="379"/>
      <c r="R442" s="379"/>
      <c r="S442" s="379"/>
      <c r="T442" s="379"/>
      <c r="U442" s="379"/>
      <c r="V442" s="379"/>
      <c r="W442" s="379"/>
      <c r="X442" s="379"/>
      <c r="Y442" s="379"/>
      <c r="Z442" s="379"/>
    </row>
    <row r="443" ht="12.75" customHeight="1">
      <c r="A443" s="379"/>
      <c r="B443" s="379"/>
      <c r="C443" s="379"/>
      <c r="D443" s="379"/>
      <c r="E443" s="379"/>
      <c r="F443" s="379"/>
      <c r="G443" s="379"/>
      <c r="H443" s="379"/>
      <c r="I443" s="379"/>
      <c r="J443" s="379"/>
      <c r="K443" s="379"/>
      <c r="L443" s="379"/>
      <c r="M443" s="379"/>
      <c r="N443" s="379"/>
      <c r="O443" s="379"/>
      <c r="P443" s="379"/>
      <c r="Q443" s="379"/>
      <c r="R443" s="379"/>
      <c r="S443" s="379"/>
      <c r="T443" s="379"/>
      <c r="U443" s="379"/>
      <c r="V443" s="379"/>
      <c r="W443" s="379"/>
      <c r="X443" s="379"/>
      <c r="Y443" s="379"/>
      <c r="Z443" s="379"/>
    </row>
    <row r="444" ht="12.75" customHeight="1">
      <c r="A444" s="379"/>
      <c r="B444" s="379"/>
      <c r="C444" s="379"/>
      <c r="D444" s="379"/>
      <c r="E444" s="379"/>
      <c r="F444" s="379"/>
      <c r="G444" s="379"/>
      <c r="H444" s="379"/>
      <c r="I444" s="379"/>
      <c r="J444" s="379"/>
      <c r="K444" s="379"/>
      <c r="L444" s="379"/>
      <c r="M444" s="379"/>
      <c r="N444" s="379"/>
      <c r="O444" s="379"/>
      <c r="P444" s="379"/>
      <c r="Q444" s="379"/>
      <c r="R444" s="379"/>
      <c r="S444" s="379"/>
      <c r="T444" s="379"/>
      <c r="U444" s="379"/>
      <c r="V444" s="379"/>
      <c r="W444" s="379"/>
      <c r="X444" s="379"/>
      <c r="Y444" s="379"/>
      <c r="Z444" s="379"/>
    </row>
    <row r="445" ht="12.75" customHeight="1">
      <c r="A445" s="379"/>
      <c r="B445" s="379"/>
      <c r="C445" s="379"/>
      <c r="D445" s="379"/>
      <c r="E445" s="379"/>
      <c r="F445" s="379"/>
      <c r="G445" s="379"/>
      <c r="H445" s="379"/>
      <c r="I445" s="379"/>
      <c r="J445" s="379"/>
      <c r="K445" s="379"/>
      <c r="L445" s="379"/>
      <c r="M445" s="379"/>
      <c r="N445" s="379"/>
      <c r="O445" s="379"/>
      <c r="P445" s="379"/>
      <c r="Q445" s="379"/>
      <c r="R445" s="379"/>
      <c r="S445" s="379"/>
      <c r="T445" s="379"/>
      <c r="U445" s="379"/>
      <c r="V445" s="379"/>
      <c r="W445" s="379"/>
      <c r="X445" s="379"/>
      <c r="Y445" s="379"/>
      <c r="Z445" s="379"/>
    </row>
    <row r="446" ht="12.75" customHeight="1">
      <c r="A446" s="379"/>
      <c r="B446" s="379"/>
      <c r="C446" s="379"/>
      <c r="D446" s="379"/>
      <c r="E446" s="379"/>
      <c r="F446" s="379"/>
      <c r="G446" s="379"/>
      <c r="H446" s="379"/>
      <c r="I446" s="379"/>
      <c r="J446" s="379"/>
      <c r="K446" s="379"/>
      <c r="L446" s="379"/>
      <c r="M446" s="379"/>
      <c r="N446" s="379"/>
      <c r="O446" s="379"/>
      <c r="P446" s="379"/>
      <c r="Q446" s="379"/>
      <c r="R446" s="379"/>
      <c r="S446" s="379"/>
      <c r="T446" s="379"/>
      <c r="U446" s="379"/>
      <c r="V446" s="379"/>
      <c r="W446" s="379"/>
      <c r="X446" s="379"/>
      <c r="Y446" s="379"/>
      <c r="Z446" s="379"/>
    </row>
    <row r="447" ht="12.75" customHeight="1">
      <c r="A447" s="379"/>
      <c r="B447" s="379"/>
      <c r="C447" s="379"/>
      <c r="D447" s="379"/>
      <c r="E447" s="379"/>
      <c r="F447" s="379"/>
      <c r="G447" s="379"/>
      <c r="H447" s="379"/>
      <c r="I447" s="379"/>
      <c r="J447" s="379"/>
      <c r="K447" s="379"/>
      <c r="L447" s="379"/>
      <c r="M447" s="379"/>
      <c r="N447" s="379"/>
      <c r="O447" s="379"/>
      <c r="P447" s="379"/>
      <c r="Q447" s="379"/>
      <c r="R447" s="379"/>
      <c r="S447" s="379"/>
      <c r="T447" s="379"/>
      <c r="U447" s="379"/>
      <c r="V447" s="379"/>
      <c r="W447" s="379"/>
      <c r="X447" s="379"/>
      <c r="Y447" s="379"/>
      <c r="Z447" s="379"/>
    </row>
    <row r="448" ht="12.75" customHeight="1">
      <c r="A448" s="379"/>
      <c r="B448" s="379"/>
      <c r="C448" s="379"/>
      <c r="D448" s="379"/>
      <c r="E448" s="379"/>
      <c r="F448" s="379"/>
      <c r="G448" s="379"/>
      <c r="H448" s="379"/>
      <c r="I448" s="379"/>
      <c r="J448" s="379"/>
      <c r="K448" s="379"/>
      <c r="L448" s="379"/>
      <c r="M448" s="379"/>
      <c r="N448" s="379"/>
      <c r="O448" s="379"/>
      <c r="P448" s="379"/>
      <c r="Q448" s="379"/>
      <c r="R448" s="379"/>
      <c r="S448" s="379"/>
      <c r="T448" s="379"/>
      <c r="U448" s="379"/>
      <c r="V448" s="379"/>
      <c r="W448" s="379"/>
      <c r="X448" s="379"/>
      <c r="Y448" s="379"/>
      <c r="Z448" s="379"/>
    </row>
    <row r="449" ht="12.75" customHeight="1">
      <c r="A449" s="379"/>
      <c r="B449" s="379"/>
      <c r="C449" s="379"/>
      <c r="D449" s="379"/>
      <c r="E449" s="379"/>
      <c r="F449" s="379"/>
      <c r="G449" s="379"/>
      <c r="H449" s="379"/>
      <c r="I449" s="379"/>
      <c r="J449" s="379"/>
      <c r="K449" s="379"/>
      <c r="L449" s="379"/>
      <c r="M449" s="379"/>
      <c r="N449" s="379"/>
      <c r="O449" s="379"/>
      <c r="P449" s="379"/>
      <c r="Q449" s="379"/>
      <c r="R449" s="379"/>
      <c r="S449" s="379"/>
      <c r="T449" s="379"/>
      <c r="U449" s="379"/>
      <c r="V449" s="379"/>
      <c r="W449" s="379"/>
      <c r="X449" s="379"/>
      <c r="Y449" s="379"/>
      <c r="Z449" s="379"/>
    </row>
    <row r="450" ht="12.75" customHeight="1">
      <c r="A450" s="379"/>
      <c r="B450" s="379"/>
      <c r="C450" s="379"/>
      <c r="D450" s="379"/>
      <c r="E450" s="379"/>
      <c r="F450" s="379"/>
      <c r="G450" s="379"/>
      <c r="H450" s="379"/>
      <c r="I450" s="379"/>
      <c r="J450" s="379"/>
      <c r="K450" s="379"/>
      <c r="L450" s="379"/>
      <c r="M450" s="379"/>
      <c r="N450" s="379"/>
      <c r="O450" s="379"/>
      <c r="P450" s="379"/>
      <c r="Q450" s="379"/>
      <c r="R450" s="379"/>
      <c r="S450" s="379"/>
      <c r="T450" s="379"/>
      <c r="U450" s="379"/>
      <c r="V450" s="379"/>
      <c r="W450" s="379"/>
      <c r="X450" s="379"/>
      <c r="Y450" s="379"/>
      <c r="Z450" s="379"/>
    </row>
    <row r="451" ht="12.75" customHeight="1">
      <c r="A451" s="379"/>
      <c r="B451" s="379"/>
      <c r="C451" s="379"/>
      <c r="D451" s="379"/>
      <c r="E451" s="379"/>
      <c r="F451" s="379"/>
      <c r="G451" s="379"/>
      <c r="H451" s="379"/>
      <c r="I451" s="379"/>
      <c r="J451" s="379"/>
      <c r="K451" s="379"/>
      <c r="L451" s="379"/>
      <c r="M451" s="379"/>
      <c r="N451" s="379"/>
      <c r="O451" s="379"/>
      <c r="P451" s="379"/>
      <c r="Q451" s="379"/>
      <c r="R451" s="379"/>
      <c r="S451" s="379"/>
      <c r="T451" s="379"/>
      <c r="U451" s="379"/>
      <c r="V451" s="379"/>
      <c r="W451" s="379"/>
      <c r="X451" s="379"/>
      <c r="Y451" s="379"/>
      <c r="Z451" s="379"/>
    </row>
    <row r="452" ht="12.75" customHeight="1">
      <c r="A452" s="379"/>
      <c r="B452" s="379"/>
      <c r="C452" s="379"/>
      <c r="D452" s="379"/>
      <c r="E452" s="379"/>
      <c r="F452" s="379"/>
      <c r="G452" s="379"/>
      <c r="H452" s="379"/>
      <c r="I452" s="379"/>
      <c r="J452" s="379"/>
      <c r="K452" s="379"/>
      <c r="L452" s="379"/>
      <c r="M452" s="379"/>
      <c r="N452" s="379"/>
      <c r="O452" s="379"/>
      <c r="P452" s="379"/>
      <c r="Q452" s="379"/>
      <c r="R452" s="379"/>
      <c r="S452" s="379"/>
      <c r="T452" s="379"/>
      <c r="U452" s="379"/>
      <c r="V452" s="379"/>
      <c r="W452" s="379"/>
      <c r="X452" s="379"/>
      <c r="Y452" s="379"/>
      <c r="Z452" s="379"/>
    </row>
    <row r="453" ht="12.75" customHeight="1">
      <c r="A453" s="379"/>
      <c r="B453" s="379"/>
      <c r="C453" s="379"/>
      <c r="D453" s="379"/>
      <c r="E453" s="379"/>
      <c r="F453" s="379"/>
      <c r="G453" s="379"/>
      <c r="H453" s="379"/>
      <c r="I453" s="379"/>
      <c r="J453" s="379"/>
      <c r="K453" s="379"/>
      <c r="L453" s="379"/>
      <c r="M453" s="379"/>
      <c r="N453" s="379"/>
      <c r="O453" s="379"/>
      <c r="P453" s="379"/>
      <c r="Q453" s="379"/>
      <c r="R453" s="379"/>
      <c r="S453" s="379"/>
      <c r="T453" s="379"/>
      <c r="U453" s="379"/>
      <c r="V453" s="379"/>
      <c r="W453" s="379"/>
      <c r="X453" s="379"/>
      <c r="Y453" s="379"/>
      <c r="Z453" s="379"/>
    </row>
    <row r="454" ht="12.75" customHeight="1">
      <c r="A454" s="379"/>
      <c r="B454" s="379"/>
      <c r="C454" s="379"/>
      <c r="D454" s="379"/>
      <c r="E454" s="379"/>
      <c r="F454" s="379"/>
      <c r="G454" s="379"/>
      <c r="H454" s="379"/>
      <c r="I454" s="379"/>
      <c r="J454" s="379"/>
      <c r="K454" s="379"/>
      <c r="L454" s="379"/>
      <c r="M454" s="379"/>
      <c r="N454" s="379"/>
      <c r="O454" s="379"/>
      <c r="P454" s="379"/>
      <c r="Q454" s="379"/>
      <c r="R454" s="379"/>
      <c r="S454" s="379"/>
      <c r="T454" s="379"/>
      <c r="U454" s="379"/>
      <c r="V454" s="379"/>
      <c r="W454" s="379"/>
      <c r="X454" s="379"/>
      <c r="Y454" s="379"/>
      <c r="Z454" s="379"/>
    </row>
    <row r="455" ht="12.75" customHeight="1">
      <c r="A455" s="379"/>
      <c r="B455" s="379"/>
      <c r="C455" s="379"/>
      <c r="D455" s="379"/>
      <c r="E455" s="379"/>
      <c r="F455" s="379"/>
      <c r="G455" s="379"/>
      <c r="H455" s="379"/>
      <c r="I455" s="379"/>
      <c r="J455" s="379"/>
      <c r="K455" s="379"/>
      <c r="L455" s="379"/>
      <c r="M455" s="379"/>
      <c r="N455" s="379"/>
      <c r="O455" s="379"/>
      <c r="P455" s="379"/>
      <c r="Q455" s="379"/>
      <c r="R455" s="379"/>
      <c r="S455" s="379"/>
      <c r="T455" s="379"/>
      <c r="U455" s="379"/>
      <c r="V455" s="379"/>
      <c r="W455" s="379"/>
      <c r="X455" s="379"/>
      <c r="Y455" s="379"/>
      <c r="Z455" s="379"/>
    </row>
    <row r="456" ht="12.75" customHeight="1">
      <c r="A456" s="379"/>
      <c r="B456" s="379"/>
      <c r="C456" s="379"/>
      <c r="D456" s="379"/>
      <c r="E456" s="379"/>
      <c r="F456" s="379"/>
      <c r="G456" s="379"/>
      <c r="H456" s="379"/>
      <c r="I456" s="379"/>
      <c r="J456" s="379"/>
      <c r="K456" s="379"/>
      <c r="L456" s="379"/>
      <c r="M456" s="379"/>
      <c r="N456" s="379"/>
      <c r="O456" s="379"/>
      <c r="P456" s="379"/>
      <c r="Q456" s="379"/>
      <c r="R456" s="379"/>
      <c r="S456" s="379"/>
      <c r="T456" s="379"/>
      <c r="U456" s="379"/>
      <c r="V456" s="379"/>
      <c r="W456" s="379"/>
      <c r="X456" s="379"/>
      <c r="Y456" s="379"/>
      <c r="Z456" s="379"/>
    </row>
    <row r="457" ht="12.75" customHeight="1">
      <c r="A457" s="379"/>
      <c r="B457" s="379"/>
      <c r="C457" s="379"/>
      <c r="D457" s="379"/>
      <c r="E457" s="379"/>
      <c r="F457" s="379"/>
      <c r="G457" s="379"/>
      <c r="H457" s="379"/>
      <c r="I457" s="379"/>
      <c r="J457" s="379"/>
      <c r="K457" s="379"/>
      <c r="L457" s="379"/>
      <c r="M457" s="379"/>
      <c r="N457" s="379"/>
      <c r="O457" s="379"/>
      <c r="P457" s="379"/>
      <c r="Q457" s="379"/>
      <c r="R457" s="379"/>
      <c r="S457" s="379"/>
      <c r="T457" s="379"/>
      <c r="U457" s="379"/>
      <c r="V457" s="379"/>
      <c r="W457" s="379"/>
      <c r="X457" s="379"/>
      <c r="Y457" s="379"/>
      <c r="Z457" s="379"/>
    </row>
    <row r="458" ht="12.75" customHeight="1">
      <c r="A458" s="379"/>
      <c r="B458" s="379"/>
      <c r="C458" s="379"/>
      <c r="D458" s="379"/>
      <c r="E458" s="379"/>
      <c r="F458" s="379"/>
      <c r="G458" s="379"/>
      <c r="H458" s="379"/>
      <c r="I458" s="379"/>
      <c r="J458" s="379"/>
      <c r="K458" s="379"/>
      <c r="L458" s="379"/>
      <c r="M458" s="379"/>
      <c r="N458" s="379"/>
      <c r="O458" s="379"/>
      <c r="P458" s="379"/>
      <c r="Q458" s="379"/>
      <c r="R458" s="379"/>
      <c r="S458" s="379"/>
      <c r="T458" s="379"/>
      <c r="U458" s="379"/>
      <c r="V458" s="379"/>
      <c r="W458" s="379"/>
      <c r="X458" s="379"/>
      <c r="Y458" s="379"/>
      <c r="Z458" s="379"/>
    </row>
    <row r="459" ht="12.75" customHeight="1">
      <c r="A459" s="379"/>
      <c r="B459" s="379"/>
      <c r="C459" s="379"/>
      <c r="D459" s="379"/>
      <c r="E459" s="379"/>
      <c r="F459" s="379"/>
      <c r="G459" s="379"/>
      <c r="H459" s="379"/>
      <c r="I459" s="379"/>
      <c r="J459" s="379"/>
      <c r="K459" s="379"/>
      <c r="L459" s="379"/>
      <c r="M459" s="379"/>
      <c r="N459" s="379"/>
      <c r="O459" s="379"/>
      <c r="P459" s="379"/>
      <c r="Q459" s="379"/>
      <c r="R459" s="379"/>
      <c r="S459" s="379"/>
      <c r="T459" s="379"/>
      <c r="U459" s="379"/>
      <c r="V459" s="379"/>
      <c r="W459" s="379"/>
      <c r="X459" s="379"/>
      <c r="Y459" s="379"/>
      <c r="Z459" s="379"/>
    </row>
    <row r="460" ht="12.75" customHeight="1">
      <c r="A460" s="379"/>
      <c r="B460" s="379"/>
      <c r="C460" s="379"/>
      <c r="D460" s="379"/>
      <c r="E460" s="379"/>
      <c r="F460" s="379"/>
      <c r="G460" s="379"/>
      <c r="H460" s="379"/>
      <c r="I460" s="379"/>
      <c r="J460" s="379"/>
      <c r="K460" s="379"/>
      <c r="L460" s="379"/>
      <c r="M460" s="379"/>
      <c r="N460" s="379"/>
      <c r="O460" s="379"/>
      <c r="P460" s="379"/>
      <c r="Q460" s="379"/>
      <c r="R460" s="379"/>
      <c r="S460" s="379"/>
      <c r="T460" s="379"/>
      <c r="U460" s="379"/>
      <c r="V460" s="379"/>
      <c r="W460" s="379"/>
      <c r="X460" s="379"/>
      <c r="Y460" s="379"/>
      <c r="Z460" s="379"/>
    </row>
    <row r="461" ht="12.75" customHeight="1">
      <c r="A461" s="379"/>
      <c r="B461" s="379"/>
      <c r="C461" s="379"/>
      <c r="D461" s="379"/>
      <c r="E461" s="379"/>
      <c r="F461" s="379"/>
      <c r="G461" s="379"/>
      <c r="H461" s="379"/>
      <c r="I461" s="379"/>
      <c r="J461" s="379"/>
      <c r="K461" s="379"/>
      <c r="L461" s="379"/>
      <c r="M461" s="379"/>
      <c r="N461" s="379"/>
      <c r="O461" s="379"/>
      <c r="P461" s="379"/>
      <c r="Q461" s="379"/>
      <c r="R461" s="379"/>
      <c r="S461" s="379"/>
      <c r="T461" s="379"/>
      <c r="U461" s="379"/>
      <c r="V461" s="379"/>
      <c r="W461" s="379"/>
      <c r="X461" s="379"/>
      <c r="Y461" s="379"/>
      <c r="Z461" s="379"/>
    </row>
    <row r="462" ht="12.75" customHeight="1">
      <c r="A462" s="379"/>
      <c r="B462" s="379"/>
      <c r="C462" s="379"/>
      <c r="D462" s="379"/>
      <c r="E462" s="379"/>
      <c r="F462" s="379"/>
      <c r="G462" s="379"/>
      <c r="H462" s="379"/>
      <c r="I462" s="379"/>
      <c r="J462" s="379"/>
      <c r="K462" s="379"/>
      <c r="L462" s="379"/>
      <c r="M462" s="379"/>
      <c r="N462" s="379"/>
      <c r="O462" s="379"/>
      <c r="P462" s="379"/>
      <c r="Q462" s="379"/>
      <c r="R462" s="379"/>
      <c r="S462" s="379"/>
      <c r="T462" s="379"/>
      <c r="U462" s="379"/>
      <c r="V462" s="379"/>
      <c r="W462" s="379"/>
      <c r="X462" s="379"/>
      <c r="Y462" s="379"/>
      <c r="Z462" s="379"/>
    </row>
    <row r="463" ht="12.75" customHeight="1">
      <c r="A463" s="379"/>
      <c r="B463" s="379"/>
      <c r="C463" s="379"/>
      <c r="D463" s="379"/>
      <c r="E463" s="379"/>
      <c r="F463" s="379"/>
      <c r="G463" s="379"/>
      <c r="H463" s="379"/>
      <c r="I463" s="379"/>
      <c r="J463" s="379"/>
      <c r="K463" s="379"/>
      <c r="L463" s="379"/>
      <c r="M463" s="379"/>
      <c r="N463" s="379"/>
      <c r="O463" s="379"/>
      <c r="P463" s="379"/>
      <c r="Q463" s="379"/>
      <c r="R463" s="379"/>
      <c r="S463" s="379"/>
      <c r="T463" s="379"/>
      <c r="U463" s="379"/>
      <c r="V463" s="379"/>
      <c r="W463" s="379"/>
      <c r="X463" s="379"/>
      <c r="Y463" s="379"/>
      <c r="Z463" s="379"/>
    </row>
    <row r="464" ht="12.75" customHeight="1">
      <c r="A464" s="379"/>
      <c r="B464" s="379"/>
      <c r="C464" s="379"/>
      <c r="D464" s="379"/>
      <c r="E464" s="379"/>
      <c r="F464" s="379"/>
      <c r="G464" s="379"/>
      <c r="H464" s="379"/>
      <c r="I464" s="379"/>
      <c r="J464" s="379"/>
      <c r="K464" s="379"/>
      <c r="L464" s="379"/>
      <c r="M464" s="379"/>
      <c r="N464" s="379"/>
      <c r="O464" s="379"/>
      <c r="P464" s="379"/>
      <c r="Q464" s="379"/>
      <c r="R464" s="379"/>
      <c r="S464" s="379"/>
      <c r="T464" s="379"/>
      <c r="U464" s="379"/>
      <c r="V464" s="379"/>
      <c r="W464" s="379"/>
      <c r="X464" s="379"/>
      <c r="Y464" s="379"/>
      <c r="Z464" s="379"/>
    </row>
    <row r="465" ht="12.75" customHeight="1">
      <c r="A465" s="379"/>
      <c r="B465" s="379"/>
      <c r="C465" s="379"/>
      <c r="D465" s="379"/>
      <c r="E465" s="379"/>
      <c r="F465" s="379"/>
      <c r="G465" s="379"/>
      <c r="H465" s="379"/>
      <c r="I465" s="379"/>
      <c r="J465" s="379"/>
      <c r="K465" s="379"/>
      <c r="L465" s="379"/>
      <c r="M465" s="379"/>
      <c r="N465" s="379"/>
      <c r="O465" s="379"/>
      <c r="P465" s="379"/>
      <c r="Q465" s="379"/>
      <c r="R465" s="379"/>
      <c r="S465" s="379"/>
      <c r="T465" s="379"/>
      <c r="U465" s="379"/>
      <c r="V465" s="379"/>
      <c r="W465" s="379"/>
      <c r="X465" s="379"/>
      <c r="Y465" s="379"/>
      <c r="Z465" s="379"/>
    </row>
    <row r="466" ht="12.75" customHeight="1">
      <c r="A466" s="379"/>
      <c r="B466" s="379"/>
      <c r="C466" s="379"/>
      <c r="D466" s="379"/>
      <c r="E466" s="379"/>
      <c r="F466" s="379"/>
      <c r="G466" s="379"/>
      <c r="H466" s="379"/>
      <c r="I466" s="379"/>
      <c r="J466" s="379"/>
      <c r="K466" s="379"/>
      <c r="L466" s="379"/>
      <c r="M466" s="379"/>
      <c r="N466" s="379"/>
      <c r="O466" s="379"/>
      <c r="P466" s="379"/>
      <c r="Q466" s="379"/>
      <c r="R466" s="379"/>
      <c r="S466" s="379"/>
      <c r="T466" s="379"/>
      <c r="U466" s="379"/>
      <c r="V466" s="379"/>
      <c r="W466" s="379"/>
      <c r="X466" s="379"/>
      <c r="Y466" s="379"/>
      <c r="Z466" s="379"/>
    </row>
    <row r="467" ht="12.75" customHeight="1">
      <c r="A467" s="379"/>
      <c r="B467" s="379"/>
      <c r="C467" s="379"/>
      <c r="D467" s="379"/>
      <c r="E467" s="379"/>
      <c r="F467" s="379"/>
      <c r="G467" s="379"/>
      <c r="H467" s="379"/>
      <c r="I467" s="379"/>
      <c r="J467" s="379"/>
      <c r="K467" s="379"/>
      <c r="L467" s="379"/>
      <c r="M467" s="379"/>
      <c r="N467" s="379"/>
      <c r="O467" s="379"/>
      <c r="P467" s="379"/>
      <c r="Q467" s="379"/>
      <c r="R467" s="379"/>
      <c r="S467" s="379"/>
      <c r="T467" s="379"/>
      <c r="U467" s="379"/>
      <c r="V467" s="379"/>
      <c r="W467" s="379"/>
      <c r="X467" s="379"/>
      <c r="Y467" s="379"/>
      <c r="Z467" s="379"/>
    </row>
    <row r="468" ht="12.75" customHeight="1">
      <c r="A468" s="379"/>
      <c r="B468" s="379"/>
      <c r="C468" s="379"/>
      <c r="D468" s="379"/>
      <c r="E468" s="379"/>
      <c r="F468" s="379"/>
      <c r="G468" s="379"/>
      <c r="H468" s="379"/>
      <c r="I468" s="379"/>
      <c r="J468" s="379"/>
      <c r="K468" s="379"/>
      <c r="L468" s="379"/>
      <c r="M468" s="379"/>
      <c r="N468" s="379"/>
      <c r="O468" s="379"/>
      <c r="P468" s="379"/>
      <c r="Q468" s="379"/>
      <c r="R468" s="379"/>
      <c r="S468" s="379"/>
      <c r="T468" s="379"/>
      <c r="U468" s="379"/>
      <c r="V468" s="379"/>
      <c r="W468" s="379"/>
      <c r="X468" s="379"/>
      <c r="Y468" s="379"/>
      <c r="Z468" s="379"/>
    </row>
    <row r="469" ht="12.75" customHeight="1">
      <c r="A469" s="379"/>
      <c r="B469" s="379"/>
      <c r="C469" s="379"/>
      <c r="D469" s="379"/>
      <c r="E469" s="379"/>
      <c r="F469" s="379"/>
      <c r="G469" s="379"/>
      <c r="H469" s="379"/>
      <c r="I469" s="379"/>
      <c r="J469" s="379"/>
      <c r="K469" s="379"/>
      <c r="L469" s="379"/>
      <c r="M469" s="379"/>
      <c r="N469" s="379"/>
      <c r="O469" s="379"/>
      <c r="P469" s="379"/>
      <c r="Q469" s="379"/>
      <c r="R469" s="379"/>
      <c r="S469" s="379"/>
      <c r="T469" s="379"/>
      <c r="U469" s="379"/>
      <c r="V469" s="379"/>
      <c r="W469" s="379"/>
      <c r="X469" s="379"/>
      <c r="Y469" s="379"/>
      <c r="Z469" s="379"/>
    </row>
    <row r="470" ht="12.75" customHeight="1">
      <c r="A470" s="379"/>
      <c r="B470" s="379"/>
      <c r="C470" s="379"/>
      <c r="D470" s="379"/>
      <c r="E470" s="379"/>
      <c r="F470" s="379"/>
      <c r="G470" s="379"/>
      <c r="H470" s="379"/>
      <c r="I470" s="379"/>
      <c r="J470" s="379"/>
      <c r="K470" s="379"/>
      <c r="L470" s="379"/>
      <c r="M470" s="379"/>
      <c r="N470" s="379"/>
      <c r="O470" s="379"/>
      <c r="P470" s="379"/>
      <c r="Q470" s="379"/>
      <c r="R470" s="379"/>
      <c r="S470" s="379"/>
      <c r="T470" s="379"/>
      <c r="U470" s="379"/>
      <c r="V470" s="379"/>
      <c r="W470" s="379"/>
      <c r="X470" s="379"/>
      <c r="Y470" s="379"/>
      <c r="Z470" s="379"/>
    </row>
    <row r="471" ht="12.75" customHeight="1">
      <c r="A471" s="379"/>
      <c r="B471" s="379"/>
      <c r="C471" s="379"/>
      <c r="D471" s="379"/>
      <c r="E471" s="379"/>
      <c r="F471" s="379"/>
      <c r="G471" s="379"/>
      <c r="H471" s="379"/>
      <c r="I471" s="379"/>
      <c r="J471" s="379"/>
      <c r="K471" s="379"/>
      <c r="L471" s="379"/>
      <c r="M471" s="379"/>
      <c r="N471" s="379"/>
      <c r="O471" s="379"/>
      <c r="P471" s="379"/>
      <c r="Q471" s="379"/>
      <c r="R471" s="379"/>
      <c r="S471" s="379"/>
      <c r="T471" s="379"/>
      <c r="U471" s="379"/>
      <c r="V471" s="379"/>
      <c r="W471" s="379"/>
      <c r="X471" s="379"/>
      <c r="Y471" s="379"/>
      <c r="Z471" s="379"/>
    </row>
    <row r="472" ht="12.75" customHeight="1">
      <c r="A472" s="379"/>
      <c r="B472" s="379"/>
      <c r="C472" s="379"/>
      <c r="D472" s="379"/>
      <c r="E472" s="379"/>
      <c r="F472" s="379"/>
      <c r="G472" s="379"/>
      <c r="H472" s="379"/>
      <c r="I472" s="379"/>
      <c r="J472" s="379"/>
      <c r="K472" s="379"/>
      <c r="L472" s="379"/>
      <c r="M472" s="379"/>
      <c r="N472" s="379"/>
      <c r="O472" s="379"/>
      <c r="P472" s="379"/>
      <c r="Q472" s="379"/>
      <c r="R472" s="379"/>
      <c r="S472" s="379"/>
      <c r="T472" s="379"/>
      <c r="U472" s="379"/>
      <c r="V472" s="379"/>
      <c r="W472" s="379"/>
      <c r="X472" s="379"/>
      <c r="Y472" s="379"/>
      <c r="Z472" s="379"/>
    </row>
    <row r="473" ht="12.75" customHeight="1">
      <c r="A473" s="379"/>
      <c r="B473" s="379"/>
      <c r="C473" s="379"/>
      <c r="D473" s="379"/>
      <c r="E473" s="379"/>
      <c r="F473" s="379"/>
      <c r="G473" s="379"/>
      <c r="H473" s="379"/>
      <c r="I473" s="379"/>
      <c r="J473" s="379"/>
      <c r="K473" s="379"/>
      <c r="L473" s="379"/>
      <c r="M473" s="379"/>
      <c r="N473" s="379"/>
      <c r="O473" s="379"/>
      <c r="P473" s="379"/>
      <c r="Q473" s="379"/>
      <c r="R473" s="379"/>
      <c r="S473" s="379"/>
      <c r="T473" s="379"/>
      <c r="U473" s="379"/>
      <c r="V473" s="379"/>
      <c r="W473" s="379"/>
      <c r="X473" s="379"/>
      <c r="Y473" s="379"/>
      <c r="Z473" s="379"/>
    </row>
    <row r="474" ht="12.75" customHeight="1">
      <c r="A474" s="379"/>
      <c r="B474" s="379"/>
      <c r="C474" s="379"/>
      <c r="D474" s="379"/>
      <c r="E474" s="379"/>
      <c r="F474" s="379"/>
      <c r="G474" s="379"/>
      <c r="H474" s="379"/>
      <c r="I474" s="379"/>
      <c r="J474" s="379"/>
      <c r="K474" s="379"/>
      <c r="L474" s="379"/>
      <c r="M474" s="379"/>
      <c r="N474" s="379"/>
      <c r="O474" s="379"/>
      <c r="P474" s="379"/>
      <c r="Q474" s="379"/>
      <c r="R474" s="379"/>
      <c r="S474" s="379"/>
      <c r="T474" s="379"/>
      <c r="U474" s="379"/>
      <c r="V474" s="379"/>
      <c r="W474" s="379"/>
      <c r="X474" s="379"/>
      <c r="Y474" s="379"/>
      <c r="Z474" s="379"/>
    </row>
    <row r="475" ht="12.75" customHeight="1">
      <c r="A475" s="379"/>
      <c r="B475" s="379"/>
      <c r="C475" s="379"/>
      <c r="D475" s="379"/>
      <c r="E475" s="379"/>
      <c r="F475" s="379"/>
      <c r="G475" s="379"/>
      <c r="H475" s="379"/>
      <c r="I475" s="379"/>
      <c r="J475" s="379"/>
      <c r="K475" s="379"/>
      <c r="L475" s="379"/>
      <c r="M475" s="379"/>
      <c r="N475" s="379"/>
      <c r="O475" s="379"/>
      <c r="P475" s="379"/>
      <c r="Q475" s="379"/>
      <c r="R475" s="379"/>
      <c r="S475" s="379"/>
      <c r="T475" s="379"/>
      <c r="U475" s="379"/>
      <c r="V475" s="379"/>
      <c r="W475" s="379"/>
      <c r="X475" s="379"/>
      <c r="Y475" s="379"/>
      <c r="Z475" s="379"/>
    </row>
    <row r="476" ht="12.75" customHeight="1">
      <c r="A476" s="379"/>
      <c r="B476" s="379"/>
      <c r="C476" s="379"/>
      <c r="D476" s="379"/>
      <c r="E476" s="379"/>
      <c r="F476" s="379"/>
      <c r="G476" s="379"/>
      <c r="H476" s="379"/>
      <c r="I476" s="379"/>
      <c r="J476" s="379"/>
      <c r="K476" s="379"/>
      <c r="L476" s="379"/>
      <c r="M476" s="379"/>
      <c r="N476" s="379"/>
      <c r="O476" s="379"/>
      <c r="P476" s="379"/>
      <c r="Q476" s="379"/>
      <c r="R476" s="379"/>
      <c r="S476" s="379"/>
      <c r="T476" s="379"/>
      <c r="U476" s="379"/>
      <c r="V476" s="379"/>
      <c r="W476" s="379"/>
      <c r="X476" s="379"/>
      <c r="Y476" s="379"/>
      <c r="Z476" s="379"/>
    </row>
    <row r="477" ht="12.75" customHeight="1">
      <c r="A477" s="379"/>
      <c r="B477" s="379"/>
      <c r="C477" s="379"/>
      <c r="D477" s="379"/>
      <c r="E477" s="379"/>
      <c r="F477" s="379"/>
      <c r="G477" s="379"/>
      <c r="H477" s="379"/>
      <c r="I477" s="379"/>
      <c r="J477" s="379"/>
      <c r="K477" s="379"/>
      <c r="L477" s="379"/>
      <c r="M477" s="379"/>
      <c r="N477" s="379"/>
      <c r="O477" s="379"/>
      <c r="P477" s="379"/>
      <c r="Q477" s="379"/>
      <c r="R477" s="379"/>
      <c r="S477" s="379"/>
      <c r="T477" s="379"/>
      <c r="U477" s="379"/>
      <c r="V477" s="379"/>
      <c r="W477" s="379"/>
      <c r="X477" s="379"/>
      <c r="Y477" s="379"/>
      <c r="Z477" s="379"/>
    </row>
    <row r="478" ht="12.75" customHeight="1">
      <c r="A478" s="379"/>
      <c r="B478" s="379"/>
      <c r="C478" s="379"/>
      <c r="D478" s="379"/>
      <c r="E478" s="379"/>
      <c r="F478" s="379"/>
      <c r="G478" s="379"/>
      <c r="H478" s="379"/>
      <c r="I478" s="379"/>
      <c r="J478" s="379"/>
      <c r="K478" s="379"/>
      <c r="L478" s="379"/>
      <c r="M478" s="379"/>
      <c r="N478" s="379"/>
      <c r="O478" s="379"/>
      <c r="P478" s="379"/>
      <c r="Q478" s="379"/>
      <c r="R478" s="379"/>
      <c r="S478" s="379"/>
      <c r="T478" s="379"/>
      <c r="U478" s="379"/>
      <c r="V478" s="379"/>
      <c r="W478" s="379"/>
      <c r="X478" s="379"/>
      <c r="Y478" s="379"/>
      <c r="Z478" s="379"/>
    </row>
    <row r="479" ht="12.75" customHeight="1">
      <c r="A479" s="379"/>
      <c r="B479" s="379"/>
      <c r="C479" s="379"/>
      <c r="D479" s="379"/>
      <c r="E479" s="379"/>
      <c r="F479" s="379"/>
      <c r="G479" s="379"/>
      <c r="H479" s="379"/>
      <c r="I479" s="379"/>
      <c r="J479" s="379"/>
      <c r="K479" s="379"/>
      <c r="L479" s="379"/>
      <c r="M479" s="379"/>
      <c r="N479" s="379"/>
      <c r="O479" s="379"/>
      <c r="P479" s="379"/>
      <c r="Q479" s="379"/>
      <c r="R479" s="379"/>
      <c r="S479" s="379"/>
      <c r="T479" s="379"/>
      <c r="U479" s="379"/>
      <c r="V479" s="379"/>
      <c r="W479" s="379"/>
      <c r="X479" s="379"/>
      <c r="Y479" s="379"/>
      <c r="Z479" s="379"/>
    </row>
    <row r="480" ht="12.75" customHeight="1">
      <c r="A480" s="379"/>
      <c r="B480" s="379"/>
      <c r="C480" s="379"/>
      <c r="D480" s="379"/>
      <c r="E480" s="379"/>
      <c r="F480" s="379"/>
      <c r="G480" s="379"/>
      <c r="H480" s="379"/>
      <c r="I480" s="379"/>
      <c r="J480" s="379"/>
      <c r="K480" s="379"/>
      <c r="L480" s="379"/>
      <c r="M480" s="379"/>
      <c r="N480" s="379"/>
      <c r="O480" s="379"/>
      <c r="P480" s="379"/>
      <c r="Q480" s="379"/>
      <c r="R480" s="379"/>
      <c r="S480" s="379"/>
      <c r="T480" s="379"/>
      <c r="U480" s="379"/>
      <c r="V480" s="379"/>
      <c r="W480" s="379"/>
      <c r="X480" s="379"/>
      <c r="Y480" s="379"/>
      <c r="Z480" s="379"/>
    </row>
    <row r="481" ht="12.75" customHeight="1">
      <c r="A481" s="379"/>
      <c r="B481" s="379"/>
      <c r="C481" s="379"/>
      <c r="D481" s="379"/>
      <c r="E481" s="379"/>
      <c r="F481" s="379"/>
      <c r="G481" s="379"/>
      <c r="H481" s="379"/>
      <c r="I481" s="379"/>
      <c r="J481" s="379"/>
      <c r="K481" s="379"/>
      <c r="L481" s="379"/>
      <c r="M481" s="379"/>
      <c r="N481" s="379"/>
      <c r="O481" s="379"/>
      <c r="P481" s="379"/>
      <c r="Q481" s="379"/>
      <c r="R481" s="379"/>
      <c r="S481" s="379"/>
      <c r="T481" s="379"/>
      <c r="U481" s="379"/>
      <c r="V481" s="379"/>
      <c r="W481" s="379"/>
      <c r="X481" s="379"/>
      <c r="Y481" s="379"/>
      <c r="Z481" s="379"/>
    </row>
    <row r="482" ht="12.75" customHeight="1">
      <c r="A482" s="379"/>
      <c r="B482" s="379"/>
      <c r="C482" s="379"/>
      <c r="D482" s="379"/>
      <c r="E482" s="379"/>
      <c r="F482" s="379"/>
      <c r="G482" s="379"/>
      <c r="H482" s="379"/>
      <c r="I482" s="379"/>
      <c r="J482" s="379"/>
      <c r="K482" s="379"/>
      <c r="L482" s="379"/>
      <c r="M482" s="379"/>
      <c r="N482" s="379"/>
      <c r="O482" s="379"/>
      <c r="P482" s="379"/>
      <c r="Q482" s="379"/>
      <c r="R482" s="379"/>
      <c r="S482" s="379"/>
      <c r="T482" s="379"/>
      <c r="U482" s="379"/>
      <c r="V482" s="379"/>
      <c r="W482" s="379"/>
      <c r="X482" s="379"/>
      <c r="Y482" s="379"/>
      <c r="Z482" s="379"/>
    </row>
    <row r="483" ht="12.75" customHeight="1">
      <c r="A483" s="379"/>
      <c r="B483" s="379"/>
      <c r="C483" s="379"/>
      <c r="D483" s="379"/>
      <c r="E483" s="379"/>
      <c r="F483" s="379"/>
      <c r="G483" s="379"/>
      <c r="H483" s="379"/>
      <c r="I483" s="379"/>
      <c r="J483" s="379"/>
      <c r="K483" s="379"/>
      <c r="L483" s="379"/>
      <c r="M483" s="379"/>
      <c r="N483" s="379"/>
      <c r="O483" s="379"/>
      <c r="P483" s="379"/>
      <c r="Q483" s="379"/>
      <c r="R483" s="379"/>
      <c r="S483" s="379"/>
      <c r="T483" s="379"/>
      <c r="U483" s="379"/>
      <c r="V483" s="379"/>
      <c r="W483" s="379"/>
      <c r="X483" s="379"/>
      <c r="Y483" s="379"/>
      <c r="Z483" s="379"/>
    </row>
    <row r="484" ht="12.75" customHeight="1">
      <c r="A484" s="379"/>
      <c r="B484" s="379"/>
      <c r="C484" s="379"/>
      <c r="D484" s="379"/>
      <c r="E484" s="379"/>
      <c r="F484" s="379"/>
      <c r="G484" s="379"/>
      <c r="H484" s="379"/>
      <c r="I484" s="379"/>
      <c r="J484" s="379"/>
      <c r="K484" s="379"/>
      <c r="L484" s="379"/>
      <c r="M484" s="379"/>
      <c r="N484" s="379"/>
      <c r="O484" s="379"/>
      <c r="P484" s="379"/>
      <c r="Q484" s="379"/>
      <c r="R484" s="379"/>
      <c r="S484" s="379"/>
      <c r="T484" s="379"/>
      <c r="U484" s="379"/>
      <c r="V484" s="379"/>
      <c r="W484" s="379"/>
      <c r="X484" s="379"/>
      <c r="Y484" s="379"/>
      <c r="Z484" s="379"/>
    </row>
    <row r="485" ht="12.75" customHeight="1">
      <c r="A485" s="379"/>
      <c r="B485" s="379"/>
      <c r="C485" s="379"/>
      <c r="D485" s="379"/>
      <c r="E485" s="379"/>
      <c r="F485" s="379"/>
      <c r="G485" s="379"/>
      <c r="H485" s="379"/>
      <c r="I485" s="379"/>
      <c r="J485" s="379"/>
      <c r="K485" s="379"/>
      <c r="L485" s="379"/>
      <c r="M485" s="379"/>
      <c r="N485" s="379"/>
      <c r="O485" s="379"/>
      <c r="P485" s="379"/>
      <c r="Q485" s="379"/>
      <c r="R485" s="379"/>
      <c r="S485" s="379"/>
      <c r="T485" s="379"/>
      <c r="U485" s="379"/>
      <c r="V485" s="379"/>
      <c r="W485" s="379"/>
      <c r="X485" s="379"/>
      <c r="Y485" s="379"/>
      <c r="Z485" s="379"/>
    </row>
    <row r="486" ht="12.75" customHeight="1">
      <c r="A486" s="379"/>
      <c r="B486" s="379"/>
      <c r="C486" s="379"/>
      <c r="D486" s="379"/>
      <c r="E486" s="379"/>
      <c r="F486" s="379"/>
      <c r="G486" s="379"/>
      <c r="H486" s="379"/>
      <c r="I486" s="379"/>
      <c r="J486" s="379"/>
      <c r="K486" s="379"/>
      <c r="L486" s="379"/>
      <c r="M486" s="379"/>
      <c r="N486" s="379"/>
      <c r="O486" s="379"/>
      <c r="P486" s="379"/>
      <c r="Q486" s="379"/>
      <c r="R486" s="379"/>
      <c r="S486" s="379"/>
      <c r="T486" s="379"/>
      <c r="U486" s="379"/>
      <c r="V486" s="379"/>
      <c r="W486" s="379"/>
      <c r="X486" s="379"/>
      <c r="Y486" s="379"/>
      <c r="Z486" s="379"/>
    </row>
    <row r="487" ht="12.75" customHeight="1">
      <c r="A487" s="379"/>
      <c r="B487" s="379"/>
      <c r="C487" s="379"/>
      <c r="D487" s="379"/>
      <c r="E487" s="379"/>
      <c r="F487" s="379"/>
      <c r="G487" s="379"/>
      <c r="H487" s="379"/>
      <c r="I487" s="379"/>
      <c r="J487" s="379"/>
      <c r="K487" s="379"/>
      <c r="L487" s="379"/>
      <c r="M487" s="379"/>
      <c r="N487" s="379"/>
      <c r="O487" s="379"/>
      <c r="P487" s="379"/>
      <c r="Q487" s="379"/>
      <c r="R487" s="379"/>
      <c r="S487" s="379"/>
      <c r="T487" s="379"/>
      <c r="U487" s="379"/>
      <c r="V487" s="379"/>
      <c r="W487" s="379"/>
      <c r="X487" s="379"/>
      <c r="Y487" s="379"/>
      <c r="Z487" s="379"/>
    </row>
    <row r="488" ht="12.75" customHeight="1">
      <c r="A488" s="379"/>
      <c r="B488" s="379"/>
      <c r="C488" s="379"/>
      <c r="D488" s="379"/>
      <c r="E488" s="379"/>
      <c r="F488" s="379"/>
      <c r="G488" s="379"/>
      <c r="H488" s="379"/>
      <c r="I488" s="379"/>
      <c r="J488" s="379"/>
      <c r="K488" s="379"/>
      <c r="L488" s="379"/>
      <c r="M488" s="379"/>
      <c r="N488" s="379"/>
      <c r="O488" s="379"/>
      <c r="P488" s="379"/>
      <c r="Q488" s="379"/>
      <c r="R488" s="379"/>
      <c r="S488" s="379"/>
      <c r="T488" s="379"/>
      <c r="U488" s="379"/>
      <c r="V488" s="379"/>
      <c r="W488" s="379"/>
      <c r="X488" s="379"/>
      <c r="Y488" s="379"/>
      <c r="Z488" s="379"/>
    </row>
    <row r="489" ht="12.75" customHeight="1">
      <c r="A489" s="379"/>
      <c r="B489" s="379"/>
      <c r="C489" s="379"/>
      <c r="D489" s="379"/>
      <c r="E489" s="379"/>
      <c r="F489" s="379"/>
      <c r="G489" s="379"/>
      <c r="H489" s="379"/>
      <c r="I489" s="379"/>
      <c r="J489" s="379"/>
      <c r="K489" s="379"/>
      <c r="L489" s="379"/>
      <c r="M489" s="379"/>
      <c r="N489" s="379"/>
      <c r="O489" s="379"/>
      <c r="P489" s="379"/>
      <c r="Q489" s="379"/>
      <c r="R489" s="379"/>
      <c r="S489" s="379"/>
      <c r="T489" s="379"/>
      <c r="U489" s="379"/>
      <c r="V489" s="379"/>
      <c r="W489" s="379"/>
      <c r="X489" s="379"/>
      <c r="Y489" s="379"/>
      <c r="Z489" s="379"/>
    </row>
    <row r="490" ht="12.75" customHeight="1">
      <c r="A490" s="379"/>
      <c r="B490" s="379"/>
      <c r="C490" s="379"/>
      <c r="D490" s="379"/>
      <c r="E490" s="379"/>
      <c r="F490" s="379"/>
      <c r="G490" s="379"/>
      <c r="H490" s="379"/>
      <c r="I490" s="379"/>
      <c r="J490" s="379"/>
      <c r="K490" s="379"/>
      <c r="L490" s="379"/>
      <c r="M490" s="379"/>
      <c r="N490" s="379"/>
      <c r="O490" s="379"/>
      <c r="P490" s="379"/>
      <c r="Q490" s="379"/>
      <c r="R490" s="379"/>
      <c r="S490" s="379"/>
      <c r="T490" s="379"/>
      <c r="U490" s="379"/>
      <c r="V490" s="379"/>
      <c r="W490" s="379"/>
      <c r="X490" s="379"/>
      <c r="Y490" s="379"/>
      <c r="Z490" s="379"/>
    </row>
    <row r="491" ht="12.75" customHeight="1">
      <c r="A491" s="379"/>
      <c r="B491" s="379"/>
      <c r="C491" s="379"/>
      <c r="D491" s="379"/>
      <c r="E491" s="379"/>
      <c r="F491" s="379"/>
      <c r="G491" s="379"/>
      <c r="H491" s="379"/>
      <c r="I491" s="379"/>
      <c r="J491" s="379"/>
      <c r="K491" s="379"/>
      <c r="L491" s="379"/>
      <c r="M491" s="379"/>
      <c r="N491" s="379"/>
      <c r="O491" s="379"/>
      <c r="P491" s="379"/>
      <c r="Q491" s="379"/>
      <c r="R491" s="379"/>
      <c r="S491" s="379"/>
      <c r="T491" s="379"/>
      <c r="U491" s="379"/>
      <c r="V491" s="379"/>
      <c r="W491" s="379"/>
      <c r="X491" s="379"/>
      <c r="Y491" s="379"/>
      <c r="Z491" s="379"/>
    </row>
    <row r="492" ht="12.75" customHeight="1">
      <c r="A492" s="379"/>
      <c r="B492" s="379"/>
      <c r="C492" s="379"/>
      <c r="D492" s="379"/>
      <c r="E492" s="379"/>
      <c r="F492" s="379"/>
      <c r="G492" s="379"/>
      <c r="H492" s="379"/>
      <c r="I492" s="379"/>
      <c r="J492" s="379"/>
      <c r="K492" s="379"/>
      <c r="L492" s="379"/>
      <c r="M492" s="379"/>
      <c r="N492" s="379"/>
      <c r="O492" s="379"/>
      <c r="P492" s="379"/>
      <c r="Q492" s="379"/>
      <c r="R492" s="379"/>
      <c r="S492" s="379"/>
      <c r="T492" s="379"/>
      <c r="U492" s="379"/>
      <c r="V492" s="379"/>
      <c r="W492" s="379"/>
      <c r="X492" s="379"/>
      <c r="Y492" s="379"/>
      <c r="Z492" s="379"/>
    </row>
    <row r="493" ht="12.75" customHeight="1">
      <c r="A493" s="379"/>
      <c r="B493" s="379"/>
      <c r="C493" s="379"/>
      <c r="D493" s="379"/>
      <c r="E493" s="379"/>
      <c r="F493" s="379"/>
      <c r="G493" s="379"/>
      <c r="H493" s="379"/>
      <c r="I493" s="379"/>
      <c r="J493" s="379"/>
      <c r="K493" s="379"/>
      <c r="L493" s="379"/>
      <c r="M493" s="379"/>
      <c r="N493" s="379"/>
      <c r="O493" s="379"/>
      <c r="P493" s="379"/>
      <c r="Q493" s="379"/>
      <c r="R493" s="379"/>
      <c r="S493" s="379"/>
      <c r="T493" s="379"/>
      <c r="U493" s="379"/>
      <c r="V493" s="379"/>
      <c r="W493" s="379"/>
      <c r="X493" s="379"/>
      <c r="Y493" s="379"/>
      <c r="Z493" s="379"/>
    </row>
    <row r="494" ht="12.75" customHeight="1">
      <c r="A494" s="379"/>
      <c r="B494" s="379"/>
      <c r="C494" s="379"/>
      <c r="D494" s="379"/>
      <c r="E494" s="379"/>
      <c r="F494" s="379"/>
      <c r="G494" s="379"/>
      <c r="H494" s="379"/>
      <c r="I494" s="379"/>
      <c r="J494" s="379"/>
      <c r="K494" s="379"/>
      <c r="L494" s="379"/>
      <c r="M494" s="379"/>
      <c r="N494" s="379"/>
      <c r="O494" s="379"/>
      <c r="P494" s="379"/>
      <c r="Q494" s="379"/>
      <c r="R494" s="379"/>
      <c r="S494" s="379"/>
      <c r="T494" s="379"/>
      <c r="U494" s="379"/>
      <c r="V494" s="379"/>
      <c r="W494" s="379"/>
      <c r="X494" s="379"/>
      <c r="Y494" s="379"/>
      <c r="Z494" s="379"/>
    </row>
    <row r="495" ht="12.75" customHeight="1">
      <c r="A495" s="379"/>
      <c r="B495" s="379"/>
      <c r="C495" s="379"/>
      <c r="D495" s="379"/>
      <c r="E495" s="379"/>
      <c r="F495" s="379"/>
      <c r="G495" s="379"/>
      <c r="H495" s="379"/>
      <c r="I495" s="379"/>
      <c r="J495" s="379"/>
      <c r="K495" s="379"/>
      <c r="L495" s="379"/>
      <c r="M495" s="379"/>
      <c r="N495" s="379"/>
      <c r="O495" s="379"/>
      <c r="P495" s="379"/>
      <c r="Q495" s="379"/>
      <c r="R495" s="379"/>
      <c r="S495" s="379"/>
      <c r="T495" s="379"/>
      <c r="U495" s="379"/>
      <c r="V495" s="379"/>
      <c r="W495" s="379"/>
      <c r="X495" s="379"/>
      <c r="Y495" s="379"/>
      <c r="Z495" s="379"/>
    </row>
    <row r="496" ht="12.75" customHeight="1">
      <c r="A496" s="379"/>
      <c r="B496" s="379"/>
      <c r="C496" s="379"/>
      <c r="D496" s="379"/>
      <c r="E496" s="379"/>
      <c r="F496" s="379"/>
      <c r="G496" s="379"/>
      <c r="H496" s="379"/>
      <c r="I496" s="379"/>
      <c r="J496" s="379"/>
      <c r="K496" s="379"/>
      <c r="L496" s="379"/>
      <c r="M496" s="379"/>
      <c r="N496" s="379"/>
      <c r="O496" s="379"/>
      <c r="P496" s="379"/>
      <c r="Q496" s="379"/>
      <c r="R496" s="379"/>
      <c r="S496" s="379"/>
      <c r="T496" s="379"/>
      <c r="U496" s="379"/>
      <c r="V496" s="379"/>
      <c r="W496" s="379"/>
      <c r="X496" s="379"/>
      <c r="Y496" s="379"/>
      <c r="Z496" s="379"/>
    </row>
    <row r="497" ht="12.75" customHeight="1">
      <c r="A497" s="379"/>
      <c r="B497" s="379"/>
      <c r="C497" s="379"/>
      <c r="D497" s="379"/>
      <c r="E497" s="379"/>
      <c r="F497" s="379"/>
      <c r="G497" s="379"/>
      <c r="H497" s="379"/>
      <c r="I497" s="379"/>
      <c r="J497" s="379"/>
      <c r="K497" s="379"/>
      <c r="L497" s="379"/>
      <c r="M497" s="379"/>
      <c r="N497" s="379"/>
      <c r="O497" s="379"/>
      <c r="P497" s="379"/>
      <c r="Q497" s="379"/>
      <c r="R497" s="379"/>
      <c r="S497" s="379"/>
      <c r="T497" s="379"/>
      <c r="U497" s="379"/>
      <c r="V497" s="379"/>
      <c r="W497" s="379"/>
      <c r="X497" s="379"/>
      <c r="Y497" s="379"/>
      <c r="Z497" s="379"/>
    </row>
    <row r="498" ht="12.75" customHeight="1">
      <c r="A498" s="379"/>
      <c r="B498" s="379"/>
      <c r="C498" s="379"/>
      <c r="D498" s="379"/>
      <c r="E498" s="379"/>
      <c r="F498" s="379"/>
      <c r="G498" s="379"/>
      <c r="H498" s="379"/>
      <c r="I498" s="379"/>
      <c r="J498" s="379"/>
      <c r="K498" s="379"/>
      <c r="L498" s="379"/>
      <c r="M498" s="379"/>
      <c r="N498" s="379"/>
      <c r="O498" s="379"/>
      <c r="P498" s="379"/>
      <c r="Q498" s="379"/>
      <c r="R498" s="379"/>
      <c r="S498" s="379"/>
      <c r="T498" s="379"/>
      <c r="U498" s="379"/>
      <c r="V498" s="379"/>
      <c r="W498" s="379"/>
      <c r="X498" s="379"/>
      <c r="Y498" s="379"/>
      <c r="Z498" s="379"/>
    </row>
    <row r="499" ht="12.75" customHeight="1">
      <c r="A499" s="379"/>
      <c r="B499" s="379"/>
      <c r="C499" s="379"/>
      <c r="D499" s="379"/>
      <c r="E499" s="379"/>
      <c r="F499" s="379"/>
      <c r="G499" s="379"/>
      <c r="H499" s="379"/>
      <c r="I499" s="379"/>
      <c r="J499" s="379"/>
      <c r="K499" s="379"/>
      <c r="L499" s="379"/>
      <c r="M499" s="379"/>
      <c r="N499" s="379"/>
      <c r="O499" s="379"/>
      <c r="P499" s="379"/>
      <c r="Q499" s="379"/>
      <c r="R499" s="379"/>
      <c r="S499" s="379"/>
      <c r="T499" s="379"/>
      <c r="U499" s="379"/>
      <c r="V499" s="379"/>
      <c r="W499" s="379"/>
      <c r="X499" s="379"/>
      <c r="Y499" s="379"/>
      <c r="Z499" s="379"/>
    </row>
    <row r="500" ht="12.75" customHeight="1">
      <c r="A500" s="379"/>
      <c r="B500" s="379"/>
      <c r="C500" s="379"/>
      <c r="D500" s="379"/>
      <c r="E500" s="379"/>
      <c r="F500" s="379"/>
      <c r="G500" s="379"/>
      <c r="H500" s="379"/>
      <c r="I500" s="379"/>
      <c r="J500" s="379"/>
      <c r="K500" s="379"/>
      <c r="L500" s="379"/>
      <c r="M500" s="379"/>
      <c r="N500" s="379"/>
      <c r="O500" s="379"/>
      <c r="P500" s="379"/>
      <c r="Q500" s="379"/>
      <c r="R500" s="379"/>
      <c r="S500" s="379"/>
      <c r="T500" s="379"/>
      <c r="U500" s="379"/>
      <c r="V500" s="379"/>
      <c r="W500" s="379"/>
      <c r="X500" s="379"/>
      <c r="Y500" s="379"/>
      <c r="Z500" s="379"/>
    </row>
    <row r="501" ht="12.75" customHeight="1">
      <c r="A501" s="379"/>
      <c r="B501" s="379"/>
      <c r="C501" s="379"/>
      <c r="D501" s="379"/>
      <c r="E501" s="379"/>
      <c r="F501" s="379"/>
      <c r="G501" s="379"/>
      <c r="H501" s="379"/>
      <c r="I501" s="379"/>
      <c r="J501" s="379"/>
      <c r="K501" s="379"/>
      <c r="L501" s="379"/>
      <c r="M501" s="379"/>
      <c r="N501" s="379"/>
      <c r="O501" s="379"/>
      <c r="P501" s="379"/>
      <c r="Q501" s="379"/>
      <c r="R501" s="379"/>
      <c r="S501" s="379"/>
      <c r="T501" s="379"/>
      <c r="U501" s="379"/>
      <c r="V501" s="379"/>
      <c r="W501" s="379"/>
      <c r="X501" s="379"/>
      <c r="Y501" s="379"/>
      <c r="Z501" s="379"/>
    </row>
    <row r="502" ht="12.75" customHeight="1">
      <c r="A502" s="379"/>
      <c r="B502" s="379"/>
      <c r="C502" s="379"/>
      <c r="D502" s="379"/>
      <c r="E502" s="379"/>
      <c r="F502" s="379"/>
      <c r="G502" s="379"/>
      <c r="H502" s="379"/>
      <c r="I502" s="379"/>
      <c r="J502" s="379"/>
      <c r="K502" s="379"/>
      <c r="L502" s="379"/>
      <c r="M502" s="379"/>
      <c r="N502" s="379"/>
      <c r="O502" s="379"/>
      <c r="P502" s="379"/>
      <c r="Q502" s="379"/>
      <c r="R502" s="379"/>
      <c r="S502" s="379"/>
      <c r="T502" s="379"/>
      <c r="U502" s="379"/>
      <c r="V502" s="379"/>
      <c r="W502" s="379"/>
      <c r="X502" s="379"/>
      <c r="Y502" s="379"/>
      <c r="Z502" s="379"/>
    </row>
    <row r="503" ht="12.75" customHeight="1">
      <c r="A503" s="379"/>
      <c r="B503" s="379"/>
      <c r="C503" s="379"/>
      <c r="D503" s="379"/>
      <c r="E503" s="379"/>
      <c r="F503" s="379"/>
      <c r="G503" s="379"/>
      <c r="H503" s="379"/>
      <c r="I503" s="379"/>
      <c r="J503" s="379"/>
      <c r="K503" s="379"/>
      <c r="L503" s="379"/>
      <c r="M503" s="379"/>
      <c r="N503" s="379"/>
      <c r="O503" s="379"/>
      <c r="P503" s="379"/>
      <c r="Q503" s="379"/>
      <c r="R503" s="379"/>
      <c r="S503" s="379"/>
      <c r="T503" s="379"/>
      <c r="U503" s="379"/>
      <c r="V503" s="379"/>
      <c r="W503" s="379"/>
      <c r="X503" s="379"/>
      <c r="Y503" s="379"/>
      <c r="Z503" s="379"/>
    </row>
    <row r="504" ht="12.75" customHeight="1">
      <c r="A504" s="379"/>
      <c r="B504" s="379"/>
      <c r="C504" s="379"/>
      <c r="D504" s="379"/>
      <c r="E504" s="379"/>
      <c r="F504" s="379"/>
      <c r="G504" s="379"/>
      <c r="H504" s="379"/>
      <c r="I504" s="379"/>
      <c r="J504" s="379"/>
      <c r="K504" s="379"/>
      <c r="L504" s="379"/>
      <c r="M504" s="379"/>
      <c r="N504" s="379"/>
      <c r="O504" s="379"/>
      <c r="P504" s="379"/>
      <c r="Q504" s="379"/>
      <c r="R504" s="379"/>
      <c r="S504" s="379"/>
      <c r="T504" s="379"/>
      <c r="U504" s="379"/>
      <c r="V504" s="379"/>
      <c r="W504" s="379"/>
      <c r="X504" s="379"/>
      <c r="Y504" s="379"/>
      <c r="Z504" s="379"/>
    </row>
    <row r="505" ht="12.75" customHeight="1">
      <c r="A505" s="379"/>
      <c r="B505" s="379"/>
      <c r="C505" s="379"/>
      <c r="D505" s="379"/>
      <c r="E505" s="379"/>
      <c r="F505" s="379"/>
      <c r="G505" s="379"/>
      <c r="H505" s="379"/>
      <c r="I505" s="379"/>
      <c r="J505" s="379"/>
      <c r="K505" s="379"/>
      <c r="L505" s="379"/>
      <c r="M505" s="379"/>
      <c r="N505" s="379"/>
      <c r="O505" s="379"/>
      <c r="P505" s="379"/>
      <c r="Q505" s="379"/>
      <c r="R505" s="379"/>
      <c r="S505" s="379"/>
      <c r="T505" s="379"/>
      <c r="U505" s="379"/>
      <c r="V505" s="379"/>
      <c r="W505" s="379"/>
      <c r="X505" s="379"/>
      <c r="Y505" s="379"/>
      <c r="Z505" s="379"/>
    </row>
    <row r="506" ht="12.75" customHeight="1">
      <c r="A506" s="379"/>
      <c r="B506" s="379"/>
      <c r="C506" s="379"/>
      <c r="D506" s="379"/>
      <c r="E506" s="379"/>
      <c r="F506" s="379"/>
      <c r="G506" s="379"/>
      <c r="H506" s="379"/>
      <c r="I506" s="379"/>
      <c r="J506" s="379"/>
      <c r="K506" s="379"/>
      <c r="L506" s="379"/>
      <c r="M506" s="379"/>
      <c r="N506" s="379"/>
      <c r="O506" s="379"/>
      <c r="P506" s="379"/>
      <c r="Q506" s="379"/>
      <c r="R506" s="379"/>
      <c r="S506" s="379"/>
      <c r="T506" s="379"/>
      <c r="U506" s="379"/>
      <c r="V506" s="379"/>
      <c r="W506" s="379"/>
      <c r="X506" s="379"/>
      <c r="Y506" s="379"/>
      <c r="Z506" s="379"/>
    </row>
    <row r="507" ht="12.75" customHeight="1">
      <c r="A507" s="379"/>
      <c r="B507" s="379"/>
      <c r="C507" s="379"/>
      <c r="D507" s="379"/>
      <c r="E507" s="379"/>
      <c r="F507" s="379"/>
      <c r="G507" s="379"/>
      <c r="H507" s="379"/>
      <c r="I507" s="379"/>
      <c r="J507" s="379"/>
      <c r="K507" s="379"/>
      <c r="L507" s="379"/>
      <c r="M507" s="379"/>
      <c r="N507" s="379"/>
      <c r="O507" s="379"/>
      <c r="P507" s="379"/>
      <c r="Q507" s="379"/>
      <c r="R507" s="379"/>
      <c r="S507" s="379"/>
      <c r="T507" s="379"/>
      <c r="U507" s="379"/>
      <c r="V507" s="379"/>
      <c r="W507" s="379"/>
      <c r="X507" s="379"/>
      <c r="Y507" s="379"/>
      <c r="Z507" s="379"/>
    </row>
    <row r="508" ht="12.75" customHeight="1">
      <c r="A508" s="379"/>
      <c r="B508" s="379"/>
      <c r="C508" s="379"/>
      <c r="D508" s="379"/>
      <c r="E508" s="379"/>
      <c r="F508" s="379"/>
      <c r="G508" s="379"/>
      <c r="H508" s="379"/>
      <c r="I508" s="379"/>
      <c r="J508" s="379"/>
      <c r="K508" s="379"/>
      <c r="L508" s="379"/>
      <c r="M508" s="379"/>
      <c r="N508" s="379"/>
      <c r="O508" s="379"/>
      <c r="P508" s="379"/>
      <c r="Q508" s="379"/>
      <c r="R508" s="379"/>
      <c r="S508" s="379"/>
      <c r="T508" s="379"/>
      <c r="U508" s="379"/>
      <c r="V508" s="379"/>
      <c r="W508" s="379"/>
      <c r="X508" s="379"/>
      <c r="Y508" s="379"/>
      <c r="Z508" s="379"/>
    </row>
    <row r="509" ht="12.75" customHeight="1">
      <c r="A509" s="379"/>
      <c r="B509" s="379"/>
      <c r="C509" s="379"/>
      <c r="D509" s="379"/>
      <c r="E509" s="379"/>
      <c r="F509" s="379"/>
      <c r="G509" s="379"/>
      <c r="H509" s="379"/>
      <c r="I509" s="379"/>
      <c r="J509" s="379"/>
      <c r="K509" s="379"/>
      <c r="L509" s="379"/>
      <c r="M509" s="379"/>
      <c r="N509" s="379"/>
      <c r="O509" s="379"/>
      <c r="P509" s="379"/>
      <c r="Q509" s="379"/>
      <c r="R509" s="379"/>
      <c r="S509" s="379"/>
      <c r="T509" s="379"/>
      <c r="U509" s="379"/>
      <c r="V509" s="379"/>
      <c r="W509" s="379"/>
      <c r="X509" s="379"/>
      <c r="Y509" s="379"/>
      <c r="Z509" s="379"/>
    </row>
    <row r="510" ht="12.75" customHeight="1">
      <c r="A510" s="379"/>
      <c r="B510" s="379"/>
      <c r="C510" s="379"/>
      <c r="D510" s="379"/>
      <c r="E510" s="379"/>
      <c r="F510" s="379"/>
      <c r="G510" s="379"/>
      <c r="H510" s="379"/>
      <c r="I510" s="379"/>
      <c r="J510" s="379"/>
      <c r="K510" s="379"/>
      <c r="L510" s="379"/>
      <c r="M510" s="379"/>
      <c r="N510" s="379"/>
      <c r="O510" s="379"/>
      <c r="P510" s="379"/>
      <c r="Q510" s="379"/>
      <c r="R510" s="379"/>
      <c r="S510" s="379"/>
      <c r="T510" s="379"/>
      <c r="U510" s="379"/>
      <c r="V510" s="379"/>
      <c r="W510" s="379"/>
      <c r="X510" s="379"/>
      <c r="Y510" s="379"/>
      <c r="Z510" s="379"/>
    </row>
    <row r="511" ht="12.75" customHeight="1">
      <c r="A511" s="379"/>
      <c r="B511" s="379"/>
      <c r="C511" s="379"/>
      <c r="D511" s="379"/>
      <c r="E511" s="379"/>
      <c r="F511" s="379"/>
      <c r="G511" s="379"/>
      <c r="H511" s="379"/>
      <c r="I511" s="379"/>
      <c r="J511" s="379"/>
      <c r="K511" s="379"/>
      <c r="L511" s="379"/>
      <c r="M511" s="379"/>
      <c r="N511" s="379"/>
      <c r="O511" s="379"/>
      <c r="P511" s="379"/>
      <c r="Q511" s="379"/>
      <c r="R511" s="379"/>
      <c r="S511" s="379"/>
      <c r="T511" s="379"/>
      <c r="U511" s="379"/>
      <c r="V511" s="379"/>
      <c r="W511" s="379"/>
      <c r="X511" s="379"/>
      <c r="Y511" s="379"/>
      <c r="Z511" s="379"/>
    </row>
    <row r="512" ht="12.75" customHeight="1">
      <c r="A512" s="379"/>
      <c r="B512" s="379"/>
      <c r="C512" s="379"/>
      <c r="D512" s="379"/>
      <c r="E512" s="379"/>
      <c r="F512" s="379"/>
      <c r="G512" s="379"/>
      <c r="H512" s="379"/>
      <c r="I512" s="379"/>
      <c r="J512" s="379"/>
      <c r="K512" s="379"/>
      <c r="L512" s="379"/>
      <c r="M512" s="379"/>
      <c r="N512" s="379"/>
      <c r="O512" s="379"/>
      <c r="P512" s="379"/>
      <c r="Q512" s="379"/>
      <c r="R512" s="379"/>
      <c r="S512" s="379"/>
      <c r="T512" s="379"/>
      <c r="U512" s="379"/>
      <c r="V512" s="379"/>
      <c r="W512" s="379"/>
      <c r="X512" s="379"/>
      <c r="Y512" s="379"/>
      <c r="Z512" s="379"/>
    </row>
    <row r="513" ht="12.75" customHeight="1">
      <c r="A513" s="379"/>
      <c r="B513" s="379"/>
      <c r="C513" s="379"/>
      <c r="D513" s="379"/>
      <c r="E513" s="379"/>
      <c r="F513" s="379"/>
      <c r="G513" s="379"/>
      <c r="H513" s="379"/>
      <c r="I513" s="379"/>
      <c r="J513" s="379"/>
      <c r="K513" s="379"/>
      <c r="L513" s="379"/>
      <c r="M513" s="379"/>
      <c r="N513" s="379"/>
      <c r="O513" s="379"/>
      <c r="P513" s="379"/>
      <c r="Q513" s="379"/>
      <c r="R513" s="379"/>
      <c r="S513" s="379"/>
      <c r="T513" s="379"/>
      <c r="U513" s="379"/>
      <c r="V513" s="379"/>
      <c r="W513" s="379"/>
      <c r="X513" s="379"/>
      <c r="Y513" s="379"/>
      <c r="Z513" s="379"/>
    </row>
    <row r="514" ht="12.75" customHeight="1">
      <c r="A514" s="379"/>
      <c r="B514" s="379"/>
      <c r="C514" s="379"/>
      <c r="D514" s="379"/>
      <c r="E514" s="379"/>
      <c r="F514" s="379"/>
      <c r="G514" s="379"/>
      <c r="H514" s="379"/>
      <c r="I514" s="379"/>
      <c r="J514" s="379"/>
      <c r="K514" s="379"/>
      <c r="L514" s="379"/>
      <c r="M514" s="379"/>
      <c r="N514" s="379"/>
      <c r="O514" s="379"/>
      <c r="P514" s="379"/>
      <c r="Q514" s="379"/>
      <c r="R514" s="379"/>
      <c r="S514" s="379"/>
      <c r="T514" s="379"/>
      <c r="U514" s="379"/>
      <c r="V514" s="379"/>
      <c r="W514" s="379"/>
      <c r="X514" s="379"/>
      <c r="Y514" s="379"/>
      <c r="Z514" s="379"/>
    </row>
    <row r="515" ht="12.75" customHeight="1">
      <c r="A515" s="379"/>
      <c r="B515" s="379"/>
      <c r="C515" s="379"/>
      <c r="D515" s="379"/>
      <c r="E515" s="379"/>
      <c r="F515" s="379"/>
      <c r="G515" s="379"/>
      <c r="H515" s="379"/>
      <c r="I515" s="379"/>
      <c r="J515" s="379"/>
      <c r="K515" s="379"/>
      <c r="L515" s="379"/>
      <c r="M515" s="379"/>
      <c r="N515" s="379"/>
      <c r="O515" s="379"/>
      <c r="P515" s="379"/>
      <c r="Q515" s="379"/>
      <c r="R515" s="379"/>
      <c r="S515" s="379"/>
      <c r="T515" s="379"/>
      <c r="U515" s="379"/>
      <c r="V515" s="379"/>
      <c r="W515" s="379"/>
      <c r="X515" s="379"/>
      <c r="Y515" s="379"/>
      <c r="Z515" s="379"/>
    </row>
    <row r="516" ht="12.75" customHeight="1">
      <c r="A516" s="379"/>
      <c r="B516" s="379"/>
      <c r="C516" s="379"/>
      <c r="D516" s="379"/>
      <c r="E516" s="379"/>
      <c r="F516" s="379"/>
      <c r="G516" s="379"/>
      <c r="H516" s="379"/>
      <c r="I516" s="379"/>
      <c r="J516" s="379"/>
      <c r="K516" s="379"/>
      <c r="L516" s="379"/>
      <c r="M516" s="379"/>
      <c r="N516" s="379"/>
      <c r="O516" s="379"/>
      <c r="P516" s="379"/>
      <c r="Q516" s="379"/>
      <c r="R516" s="379"/>
      <c r="S516" s="379"/>
      <c r="T516" s="379"/>
      <c r="U516" s="379"/>
      <c r="V516" s="379"/>
      <c r="W516" s="379"/>
      <c r="X516" s="379"/>
      <c r="Y516" s="379"/>
      <c r="Z516" s="379"/>
    </row>
    <row r="517" ht="12.75" customHeight="1">
      <c r="A517" s="379"/>
      <c r="B517" s="379"/>
      <c r="C517" s="379"/>
      <c r="D517" s="379"/>
      <c r="E517" s="379"/>
      <c r="F517" s="379"/>
      <c r="G517" s="379"/>
      <c r="H517" s="379"/>
      <c r="I517" s="379"/>
      <c r="J517" s="379"/>
      <c r="K517" s="379"/>
      <c r="L517" s="379"/>
      <c r="M517" s="379"/>
      <c r="N517" s="379"/>
      <c r="O517" s="379"/>
      <c r="P517" s="379"/>
      <c r="Q517" s="379"/>
      <c r="R517" s="379"/>
      <c r="S517" s="379"/>
      <c r="T517" s="379"/>
      <c r="U517" s="379"/>
      <c r="V517" s="379"/>
      <c r="W517" s="379"/>
      <c r="X517" s="379"/>
      <c r="Y517" s="379"/>
      <c r="Z517" s="379"/>
    </row>
    <row r="518" ht="12.75" customHeight="1">
      <c r="A518" s="379"/>
      <c r="B518" s="379"/>
      <c r="C518" s="379"/>
      <c r="D518" s="379"/>
      <c r="E518" s="379"/>
      <c r="F518" s="379"/>
      <c r="G518" s="379"/>
      <c r="H518" s="379"/>
      <c r="I518" s="379"/>
      <c r="J518" s="379"/>
      <c r="K518" s="379"/>
      <c r="L518" s="379"/>
      <c r="M518" s="379"/>
      <c r="N518" s="379"/>
      <c r="O518" s="379"/>
      <c r="P518" s="379"/>
      <c r="Q518" s="379"/>
      <c r="R518" s="379"/>
      <c r="S518" s="379"/>
      <c r="T518" s="379"/>
      <c r="U518" s="379"/>
      <c r="V518" s="379"/>
      <c r="W518" s="379"/>
      <c r="X518" s="379"/>
      <c r="Y518" s="379"/>
      <c r="Z518" s="379"/>
    </row>
    <row r="519" ht="12.75" customHeight="1">
      <c r="A519" s="379"/>
      <c r="B519" s="379"/>
      <c r="C519" s="379"/>
      <c r="D519" s="379"/>
      <c r="E519" s="379"/>
      <c r="F519" s="379"/>
      <c r="G519" s="379"/>
      <c r="H519" s="379"/>
      <c r="I519" s="379"/>
      <c r="J519" s="379"/>
      <c r="K519" s="379"/>
      <c r="L519" s="379"/>
      <c r="M519" s="379"/>
      <c r="N519" s="379"/>
      <c r="O519" s="379"/>
      <c r="P519" s="379"/>
      <c r="Q519" s="379"/>
      <c r="R519" s="379"/>
      <c r="S519" s="379"/>
      <c r="T519" s="379"/>
      <c r="U519" s="379"/>
      <c r="V519" s="379"/>
      <c r="W519" s="379"/>
      <c r="X519" s="379"/>
      <c r="Y519" s="379"/>
      <c r="Z519" s="379"/>
    </row>
    <row r="520" ht="12.75" customHeight="1">
      <c r="A520" s="379"/>
      <c r="B520" s="379"/>
      <c r="C520" s="379"/>
      <c r="D520" s="379"/>
      <c r="E520" s="379"/>
      <c r="F520" s="379"/>
      <c r="G520" s="379"/>
      <c r="H520" s="379"/>
      <c r="I520" s="379"/>
      <c r="J520" s="379"/>
      <c r="K520" s="379"/>
      <c r="L520" s="379"/>
      <c r="M520" s="379"/>
      <c r="N520" s="379"/>
      <c r="O520" s="379"/>
      <c r="P520" s="379"/>
      <c r="Q520" s="379"/>
      <c r="R520" s="379"/>
      <c r="S520" s="379"/>
      <c r="T520" s="379"/>
      <c r="U520" s="379"/>
      <c r="V520" s="379"/>
      <c r="W520" s="379"/>
      <c r="X520" s="379"/>
      <c r="Y520" s="379"/>
      <c r="Z520" s="379"/>
    </row>
    <row r="521" ht="12.75" customHeight="1">
      <c r="A521" s="379"/>
      <c r="B521" s="379"/>
      <c r="C521" s="379"/>
      <c r="D521" s="379"/>
      <c r="E521" s="379"/>
      <c r="F521" s="379"/>
      <c r="G521" s="379"/>
      <c r="H521" s="379"/>
      <c r="I521" s="379"/>
      <c r="J521" s="379"/>
      <c r="K521" s="379"/>
      <c r="L521" s="379"/>
      <c r="M521" s="379"/>
      <c r="N521" s="379"/>
      <c r="O521" s="379"/>
      <c r="P521" s="379"/>
      <c r="Q521" s="379"/>
      <c r="R521" s="379"/>
      <c r="S521" s="379"/>
      <c r="T521" s="379"/>
      <c r="U521" s="379"/>
      <c r="V521" s="379"/>
      <c r="W521" s="379"/>
      <c r="X521" s="379"/>
      <c r="Y521" s="379"/>
      <c r="Z521" s="379"/>
    </row>
    <row r="522" ht="12.75" customHeight="1">
      <c r="A522" s="379"/>
      <c r="B522" s="379"/>
      <c r="C522" s="379"/>
      <c r="D522" s="379"/>
      <c r="E522" s="379"/>
      <c r="F522" s="379"/>
      <c r="G522" s="379"/>
      <c r="H522" s="379"/>
      <c r="I522" s="379"/>
      <c r="J522" s="379"/>
      <c r="K522" s="379"/>
      <c r="L522" s="379"/>
      <c r="M522" s="379"/>
      <c r="N522" s="379"/>
      <c r="O522" s="379"/>
      <c r="P522" s="379"/>
      <c r="Q522" s="379"/>
      <c r="R522" s="379"/>
      <c r="S522" s="379"/>
      <c r="T522" s="379"/>
      <c r="U522" s="379"/>
      <c r="V522" s="379"/>
      <c r="W522" s="379"/>
      <c r="X522" s="379"/>
      <c r="Y522" s="379"/>
      <c r="Z522" s="379"/>
    </row>
    <row r="523" ht="12.75" customHeight="1">
      <c r="A523" s="379"/>
      <c r="B523" s="379"/>
      <c r="C523" s="379"/>
      <c r="D523" s="379"/>
      <c r="E523" s="379"/>
      <c r="F523" s="379"/>
      <c r="G523" s="379"/>
      <c r="H523" s="379"/>
      <c r="I523" s="379"/>
      <c r="J523" s="379"/>
      <c r="K523" s="379"/>
      <c r="L523" s="379"/>
      <c r="M523" s="379"/>
      <c r="N523" s="379"/>
      <c r="O523" s="379"/>
      <c r="P523" s="379"/>
      <c r="Q523" s="379"/>
      <c r="R523" s="379"/>
      <c r="S523" s="379"/>
      <c r="T523" s="379"/>
      <c r="U523" s="379"/>
      <c r="V523" s="379"/>
      <c r="W523" s="379"/>
      <c r="X523" s="379"/>
      <c r="Y523" s="379"/>
      <c r="Z523" s="379"/>
    </row>
    <row r="524" ht="12.75" customHeight="1">
      <c r="A524" s="379"/>
      <c r="B524" s="379"/>
      <c r="C524" s="379"/>
      <c r="D524" s="379"/>
      <c r="E524" s="379"/>
      <c r="F524" s="379"/>
      <c r="G524" s="379"/>
      <c r="H524" s="379"/>
      <c r="I524" s="379"/>
      <c r="J524" s="379"/>
      <c r="K524" s="379"/>
      <c r="L524" s="379"/>
      <c r="M524" s="379"/>
      <c r="N524" s="379"/>
      <c r="O524" s="379"/>
      <c r="P524" s="379"/>
      <c r="Q524" s="379"/>
      <c r="R524" s="379"/>
      <c r="S524" s="379"/>
      <c r="T524" s="379"/>
      <c r="U524" s="379"/>
      <c r="V524" s="379"/>
      <c r="W524" s="379"/>
      <c r="X524" s="379"/>
      <c r="Y524" s="379"/>
      <c r="Z524" s="379"/>
    </row>
    <row r="525" ht="12.75" customHeight="1">
      <c r="A525" s="379"/>
      <c r="B525" s="379"/>
      <c r="C525" s="379"/>
      <c r="D525" s="379"/>
      <c r="E525" s="379"/>
      <c r="F525" s="379"/>
      <c r="G525" s="379"/>
      <c r="H525" s="379"/>
      <c r="I525" s="379"/>
      <c r="J525" s="379"/>
      <c r="K525" s="379"/>
      <c r="L525" s="379"/>
      <c r="M525" s="379"/>
      <c r="N525" s="379"/>
      <c r="O525" s="379"/>
      <c r="P525" s="379"/>
      <c r="Q525" s="379"/>
      <c r="R525" s="379"/>
      <c r="S525" s="379"/>
      <c r="T525" s="379"/>
      <c r="U525" s="379"/>
      <c r="V525" s="379"/>
      <c r="W525" s="379"/>
      <c r="X525" s="379"/>
      <c r="Y525" s="379"/>
      <c r="Z525" s="379"/>
    </row>
    <row r="526" ht="12.75" customHeight="1">
      <c r="A526" s="379"/>
      <c r="B526" s="379"/>
      <c r="C526" s="379"/>
      <c r="D526" s="379"/>
      <c r="E526" s="379"/>
      <c r="F526" s="379"/>
      <c r="G526" s="379"/>
      <c r="H526" s="379"/>
      <c r="I526" s="379"/>
      <c r="J526" s="379"/>
      <c r="K526" s="379"/>
      <c r="L526" s="379"/>
      <c r="M526" s="379"/>
      <c r="N526" s="379"/>
      <c r="O526" s="379"/>
      <c r="P526" s="379"/>
      <c r="Q526" s="379"/>
      <c r="R526" s="379"/>
      <c r="S526" s="379"/>
      <c r="T526" s="379"/>
      <c r="U526" s="379"/>
      <c r="V526" s="379"/>
      <c r="W526" s="379"/>
      <c r="X526" s="379"/>
      <c r="Y526" s="379"/>
      <c r="Z526" s="379"/>
    </row>
    <row r="527" ht="12.75" customHeight="1">
      <c r="A527" s="379"/>
      <c r="B527" s="379"/>
      <c r="C527" s="379"/>
      <c r="D527" s="379"/>
      <c r="E527" s="379"/>
      <c r="F527" s="379"/>
      <c r="G527" s="379"/>
      <c r="H527" s="379"/>
      <c r="I527" s="379"/>
      <c r="J527" s="379"/>
      <c r="K527" s="379"/>
      <c r="L527" s="379"/>
      <c r="M527" s="379"/>
      <c r="N527" s="379"/>
      <c r="O527" s="379"/>
      <c r="P527" s="379"/>
      <c r="Q527" s="379"/>
      <c r="R527" s="379"/>
      <c r="S527" s="379"/>
      <c r="T527" s="379"/>
      <c r="U527" s="379"/>
      <c r="V527" s="379"/>
      <c r="W527" s="379"/>
      <c r="X527" s="379"/>
      <c r="Y527" s="379"/>
      <c r="Z527" s="379"/>
    </row>
    <row r="528" ht="12.75" customHeight="1">
      <c r="A528" s="379"/>
      <c r="B528" s="379"/>
      <c r="C528" s="379"/>
      <c r="D528" s="379"/>
      <c r="E528" s="379"/>
      <c r="F528" s="379"/>
      <c r="G528" s="379"/>
      <c r="H528" s="379"/>
      <c r="I528" s="379"/>
      <c r="J528" s="379"/>
      <c r="K528" s="379"/>
      <c r="L528" s="379"/>
      <c r="M528" s="379"/>
      <c r="N528" s="379"/>
      <c r="O528" s="379"/>
      <c r="P528" s="379"/>
      <c r="Q528" s="379"/>
      <c r="R528" s="379"/>
      <c r="S528" s="379"/>
      <c r="T528" s="379"/>
      <c r="U528" s="379"/>
      <c r="V528" s="379"/>
      <c r="W528" s="379"/>
      <c r="X528" s="379"/>
      <c r="Y528" s="379"/>
      <c r="Z528" s="379"/>
    </row>
    <row r="529" ht="12.75" customHeight="1">
      <c r="A529" s="379"/>
      <c r="B529" s="379"/>
      <c r="C529" s="379"/>
      <c r="D529" s="379"/>
      <c r="E529" s="379"/>
      <c r="F529" s="379"/>
      <c r="G529" s="379"/>
      <c r="H529" s="379"/>
      <c r="I529" s="379"/>
      <c r="J529" s="379"/>
      <c r="K529" s="379"/>
      <c r="L529" s="379"/>
      <c r="M529" s="379"/>
      <c r="N529" s="379"/>
      <c r="O529" s="379"/>
      <c r="P529" s="379"/>
      <c r="Q529" s="379"/>
      <c r="R529" s="379"/>
      <c r="S529" s="379"/>
      <c r="T529" s="379"/>
      <c r="U529" s="379"/>
      <c r="V529" s="379"/>
      <c r="W529" s="379"/>
      <c r="X529" s="379"/>
      <c r="Y529" s="379"/>
      <c r="Z529" s="379"/>
    </row>
    <row r="530" ht="12.75" customHeight="1">
      <c r="A530" s="379"/>
      <c r="B530" s="379"/>
      <c r="C530" s="379"/>
      <c r="D530" s="379"/>
      <c r="E530" s="379"/>
      <c r="F530" s="379"/>
      <c r="G530" s="379"/>
      <c r="H530" s="379"/>
      <c r="I530" s="379"/>
      <c r="J530" s="379"/>
      <c r="K530" s="379"/>
      <c r="L530" s="379"/>
      <c r="M530" s="379"/>
      <c r="N530" s="379"/>
      <c r="O530" s="379"/>
      <c r="P530" s="379"/>
      <c r="Q530" s="379"/>
      <c r="R530" s="379"/>
      <c r="S530" s="379"/>
      <c r="T530" s="379"/>
      <c r="U530" s="379"/>
      <c r="V530" s="379"/>
      <c r="W530" s="379"/>
      <c r="X530" s="379"/>
      <c r="Y530" s="379"/>
      <c r="Z530" s="379"/>
    </row>
    <row r="531" ht="12.75" customHeight="1">
      <c r="A531" s="379"/>
      <c r="B531" s="379"/>
      <c r="C531" s="379"/>
      <c r="D531" s="379"/>
      <c r="E531" s="379"/>
      <c r="F531" s="379"/>
      <c r="G531" s="379"/>
      <c r="H531" s="379"/>
      <c r="I531" s="379"/>
      <c r="J531" s="379"/>
      <c r="K531" s="379"/>
      <c r="L531" s="379"/>
      <c r="M531" s="379"/>
      <c r="N531" s="379"/>
      <c r="O531" s="379"/>
      <c r="P531" s="379"/>
      <c r="Q531" s="379"/>
      <c r="R531" s="379"/>
      <c r="S531" s="379"/>
      <c r="T531" s="379"/>
      <c r="U531" s="379"/>
      <c r="V531" s="379"/>
      <c r="W531" s="379"/>
      <c r="X531" s="379"/>
      <c r="Y531" s="379"/>
      <c r="Z531" s="379"/>
    </row>
    <row r="532" ht="12.75" customHeight="1">
      <c r="A532" s="379"/>
      <c r="B532" s="379"/>
      <c r="C532" s="379"/>
      <c r="D532" s="379"/>
      <c r="E532" s="379"/>
      <c r="F532" s="379"/>
      <c r="G532" s="379"/>
      <c r="H532" s="379"/>
      <c r="I532" s="379"/>
      <c r="J532" s="379"/>
      <c r="K532" s="379"/>
      <c r="L532" s="379"/>
      <c r="M532" s="379"/>
      <c r="N532" s="379"/>
      <c r="O532" s="379"/>
      <c r="P532" s="379"/>
      <c r="Q532" s="379"/>
      <c r="R532" s="379"/>
      <c r="S532" s="379"/>
      <c r="T532" s="379"/>
      <c r="U532" s="379"/>
      <c r="V532" s="379"/>
      <c r="W532" s="379"/>
      <c r="X532" s="379"/>
      <c r="Y532" s="379"/>
      <c r="Z532" s="379"/>
    </row>
    <row r="533" ht="12.75" customHeight="1">
      <c r="A533" s="379"/>
      <c r="B533" s="379"/>
      <c r="C533" s="379"/>
      <c r="D533" s="379"/>
      <c r="E533" s="379"/>
      <c r="F533" s="379"/>
      <c r="G533" s="379"/>
      <c r="H533" s="379"/>
      <c r="I533" s="379"/>
      <c r="J533" s="379"/>
      <c r="K533" s="379"/>
      <c r="L533" s="379"/>
      <c r="M533" s="379"/>
      <c r="N533" s="379"/>
      <c r="O533" s="379"/>
      <c r="P533" s="379"/>
      <c r="Q533" s="379"/>
      <c r="R533" s="379"/>
      <c r="S533" s="379"/>
      <c r="T533" s="379"/>
      <c r="U533" s="379"/>
      <c r="V533" s="379"/>
      <c r="W533" s="379"/>
      <c r="X533" s="379"/>
      <c r="Y533" s="379"/>
      <c r="Z533" s="379"/>
    </row>
    <row r="534" ht="12.75" customHeight="1">
      <c r="A534" s="379"/>
      <c r="B534" s="379"/>
      <c r="C534" s="379"/>
      <c r="D534" s="379"/>
      <c r="E534" s="379"/>
      <c r="F534" s="379"/>
      <c r="G534" s="379"/>
      <c r="H534" s="379"/>
      <c r="I534" s="379"/>
      <c r="J534" s="379"/>
      <c r="K534" s="379"/>
      <c r="L534" s="379"/>
      <c r="M534" s="379"/>
      <c r="N534" s="379"/>
      <c r="O534" s="379"/>
      <c r="P534" s="379"/>
      <c r="Q534" s="379"/>
      <c r="R534" s="379"/>
      <c r="S534" s="379"/>
      <c r="T534" s="379"/>
      <c r="U534" s="379"/>
      <c r="V534" s="379"/>
      <c r="W534" s="379"/>
      <c r="X534" s="379"/>
      <c r="Y534" s="379"/>
      <c r="Z534" s="379"/>
    </row>
    <row r="535" ht="12.75" customHeight="1">
      <c r="A535" s="379"/>
      <c r="B535" s="379"/>
      <c r="C535" s="379"/>
      <c r="D535" s="379"/>
      <c r="E535" s="379"/>
      <c r="F535" s="379"/>
      <c r="G535" s="379"/>
      <c r="H535" s="379"/>
      <c r="I535" s="379"/>
      <c r="J535" s="379"/>
      <c r="K535" s="379"/>
      <c r="L535" s="379"/>
      <c r="M535" s="379"/>
      <c r="N535" s="379"/>
      <c r="O535" s="379"/>
      <c r="P535" s="379"/>
      <c r="Q535" s="379"/>
      <c r="R535" s="379"/>
      <c r="S535" s="379"/>
      <c r="T535" s="379"/>
      <c r="U535" s="379"/>
      <c r="V535" s="379"/>
      <c r="W535" s="379"/>
      <c r="X535" s="379"/>
      <c r="Y535" s="379"/>
      <c r="Z535" s="379"/>
    </row>
    <row r="536" ht="12.75" customHeight="1">
      <c r="A536" s="379"/>
      <c r="B536" s="379"/>
      <c r="C536" s="379"/>
      <c r="D536" s="379"/>
      <c r="E536" s="379"/>
      <c r="F536" s="379"/>
      <c r="G536" s="379"/>
      <c r="H536" s="379"/>
      <c r="I536" s="379"/>
      <c r="J536" s="379"/>
      <c r="K536" s="379"/>
      <c r="L536" s="379"/>
      <c r="M536" s="379"/>
      <c r="N536" s="379"/>
      <c r="O536" s="379"/>
      <c r="P536" s="379"/>
      <c r="Q536" s="379"/>
      <c r="R536" s="379"/>
      <c r="S536" s="379"/>
      <c r="T536" s="379"/>
      <c r="U536" s="379"/>
      <c r="V536" s="379"/>
      <c r="W536" s="379"/>
      <c r="X536" s="379"/>
      <c r="Y536" s="379"/>
      <c r="Z536" s="379"/>
    </row>
    <row r="537" ht="12.75" customHeight="1">
      <c r="A537" s="379"/>
      <c r="B537" s="379"/>
      <c r="C537" s="379"/>
      <c r="D537" s="379"/>
      <c r="E537" s="379"/>
      <c r="F537" s="379"/>
      <c r="G537" s="379"/>
      <c r="H537" s="379"/>
      <c r="I537" s="379"/>
      <c r="J537" s="379"/>
      <c r="K537" s="379"/>
      <c r="L537" s="379"/>
      <c r="M537" s="379"/>
      <c r="N537" s="379"/>
      <c r="O537" s="379"/>
      <c r="P537" s="379"/>
      <c r="Q537" s="379"/>
      <c r="R537" s="379"/>
      <c r="S537" s="379"/>
      <c r="T537" s="379"/>
      <c r="U537" s="379"/>
      <c r="V537" s="379"/>
      <c r="W537" s="379"/>
      <c r="X537" s="379"/>
      <c r="Y537" s="379"/>
      <c r="Z537" s="379"/>
    </row>
    <row r="538" ht="12.75" customHeight="1">
      <c r="A538" s="379"/>
      <c r="B538" s="379"/>
      <c r="C538" s="379"/>
      <c r="D538" s="379"/>
      <c r="E538" s="379"/>
      <c r="F538" s="379"/>
      <c r="G538" s="379"/>
      <c r="H538" s="379"/>
      <c r="I538" s="379"/>
      <c r="J538" s="379"/>
      <c r="K538" s="379"/>
      <c r="L538" s="379"/>
      <c r="M538" s="379"/>
      <c r="N538" s="379"/>
      <c r="O538" s="379"/>
      <c r="P538" s="379"/>
      <c r="Q538" s="379"/>
      <c r="R538" s="379"/>
      <c r="S538" s="379"/>
      <c r="T538" s="379"/>
      <c r="U538" s="379"/>
      <c r="V538" s="379"/>
      <c r="W538" s="379"/>
      <c r="X538" s="379"/>
      <c r="Y538" s="379"/>
      <c r="Z538" s="379"/>
    </row>
    <row r="539" ht="12.75" customHeight="1">
      <c r="A539" s="379"/>
      <c r="B539" s="379"/>
      <c r="C539" s="379"/>
      <c r="D539" s="379"/>
      <c r="E539" s="379"/>
      <c r="F539" s="379"/>
      <c r="G539" s="379"/>
      <c r="H539" s="379"/>
      <c r="I539" s="379"/>
      <c r="J539" s="379"/>
      <c r="K539" s="379"/>
      <c r="L539" s="379"/>
      <c r="M539" s="379"/>
      <c r="N539" s="379"/>
      <c r="O539" s="379"/>
      <c r="P539" s="379"/>
      <c r="Q539" s="379"/>
      <c r="R539" s="379"/>
      <c r="S539" s="379"/>
      <c r="T539" s="379"/>
      <c r="U539" s="379"/>
      <c r="V539" s="379"/>
      <c r="W539" s="379"/>
      <c r="X539" s="379"/>
      <c r="Y539" s="379"/>
      <c r="Z539" s="379"/>
    </row>
    <row r="540" ht="12.75" customHeight="1">
      <c r="A540" s="379"/>
      <c r="B540" s="379"/>
      <c r="C540" s="379"/>
      <c r="D540" s="379"/>
      <c r="E540" s="379"/>
      <c r="F540" s="379"/>
      <c r="G540" s="379"/>
      <c r="H540" s="379"/>
      <c r="I540" s="379"/>
      <c r="J540" s="379"/>
      <c r="K540" s="379"/>
      <c r="L540" s="379"/>
      <c r="M540" s="379"/>
      <c r="N540" s="379"/>
      <c r="O540" s="379"/>
      <c r="P540" s="379"/>
      <c r="Q540" s="379"/>
      <c r="R540" s="379"/>
      <c r="S540" s="379"/>
      <c r="T540" s="379"/>
      <c r="U540" s="379"/>
      <c r="V540" s="379"/>
      <c r="W540" s="379"/>
      <c r="X540" s="379"/>
      <c r="Y540" s="379"/>
      <c r="Z540" s="379"/>
    </row>
    <row r="541" ht="12.75" customHeight="1">
      <c r="A541" s="379"/>
      <c r="B541" s="379"/>
      <c r="C541" s="379"/>
      <c r="D541" s="379"/>
      <c r="E541" s="379"/>
      <c r="F541" s="379"/>
      <c r="G541" s="379"/>
      <c r="H541" s="379"/>
      <c r="I541" s="379"/>
      <c r="J541" s="379"/>
      <c r="K541" s="379"/>
      <c r="L541" s="379"/>
      <c r="M541" s="379"/>
      <c r="N541" s="379"/>
      <c r="O541" s="379"/>
      <c r="P541" s="379"/>
      <c r="Q541" s="379"/>
      <c r="R541" s="379"/>
      <c r="S541" s="379"/>
      <c r="T541" s="379"/>
      <c r="U541" s="379"/>
      <c r="V541" s="379"/>
      <c r="W541" s="379"/>
      <c r="X541" s="379"/>
      <c r="Y541" s="379"/>
      <c r="Z541" s="379"/>
    </row>
    <row r="542" ht="12.75" customHeight="1">
      <c r="A542" s="379"/>
      <c r="B542" s="379"/>
      <c r="C542" s="379"/>
      <c r="D542" s="379"/>
      <c r="E542" s="379"/>
      <c r="F542" s="379"/>
      <c r="G542" s="379"/>
      <c r="H542" s="379"/>
      <c r="I542" s="379"/>
      <c r="J542" s="379"/>
      <c r="K542" s="379"/>
      <c r="L542" s="379"/>
      <c r="M542" s="379"/>
      <c r="N542" s="379"/>
      <c r="O542" s="379"/>
      <c r="P542" s="379"/>
      <c r="Q542" s="379"/>
      <c r="R542" s="379"/>
      <c r="S542" s="379"/>
      <c r="T542" s="379"/>
      <c r="U542" s="379"/>
      <c r="V542" s="379"/>
      <c r="W542" s="379"/>
      <c r="X542" s="379"/>
      <c r="Y542" s="379"/>
      <c r="Z542" s="379"/>
    </row>
    <row r="543" ht="12.75" customHeight="1">
      <c r="A543" s="379"/>
      <c r="B543" s="379"/>
      <c r="C543" s="379"/>
      <c r="D543" s="379"/>
      <c r="E543" s="379"/>
      <c r="F543" s="379"/>
      <c r="G543" s="379"/>
      <c r="H543" s="379"/>
      <c r="I543" s="379"/>
      <c r="J543" s="379"/>
      <c r="K543" s="379"/>
      <c r="L543" s="379"/>
      <c r="M543" s="379"/>
      <c r="N543" s="379"/>
      <c r="O543" s="379"/>
      <c r="P543" s="379"/>
      <c r="Q543" s="379"/>
      <c r="R543" s="379"/>
      <c r="S543" s="379"/>
      <c r="T543" s="379"/>
      <c r="U543" s="379"/>
      <c r="V543" s="379"/>
      <c r="W543" s="379"/>
      <c r="X543" s="379"/>
      <c r="Y543" s="379"/>
      <c r="Z543" s="379"/>
    </row>
    <row r="544" ht="12.75" customHeight="1">
      <c r="A544" s="379"/>
      <c r="B544" s="379"/>
      <c r="C544" s="379"/>
      <c r="D544" s="379"/>
      <c r="E544" s="379"/>
      <c r="F544" s="379"/>
      <c r="G544" s="379"/>
      <c r="H544" s="379"/>
      <c r="I544" s="379"/>
      <c r="J544" s="379"/>
      <c r="K544" s="379"/>
      <c r="L544" s="379"/>
      <c r="M544" s="379"/>
      <c r="N544" s="379"/>
      <c r="O544" s="379"/>
      <c r="P544" s="379"/>
      <c r="Q544" s="379"/>
      <c r="R544" s="379"/>
      <c r="S544" s="379"/>
      <c r="T544" s="379"/>
      <c r="U544" s="379"/>
      <c r="V544" s="379"/>
      <c r="W544" s="379"/>
      <c r="X544" s="379"/>
      <c r="Y544" s="379"/>
      <c r="Z544" s="379"/>
    </row>
    <row r="545" ht="12.75" customHeight="1">
      <c r="A545" s="379"/>
      <c r="B545" s="379"/>
      <c r="C545" s="379"/>
      <c r="D545" s="379"/>
      <c r="E545" s="379"/>
      <c r="F545" s="379"/>
      <c r="G545" s="379"/>
      <c r="H545" s="379"/>
      <c r="I545" s="379"/>
      <c r="J545" s="379"/>
      <c r="K545" s="379"/>
      <c r="L545" s="379"/>
      <c r="M545" s="379"/>
      <c r="N545" s="379"/>
      <c r="O545" s="379"/>
      <c r="P545" s="379"/>
      <c r="Q545" s="379"/>
      <c r="R545" s="379"/>
      <c r="S545" s="379"/>
      <c r="T545" s="379"/>
      <c r="U545" s="379"/>
      <c r="V545" s="379"/>
      <c r="W545" s="379"/>
      <c r="X545" s="379"/>
      <c r="Y545" s="379"/>
      <c r="Z545" s="379"/>
    </row>
    <row r="546" ht="12.75" customHeight="1">
      <c r="A546" s="379"/>
      <c r="B546" s="379"/>
      <c r="C546" s="379"/>
      <c r="D546" s="379"/>
      <c r="E546" s="379"/>
      <c r="F546" s="379"/>
      <c r="G546" s="379"/>
      <c r="H546" s="379"/>
      <c r="I546" s="379"/>
      <c r="J546" s="379"/>
      <c r="K546" s="379"/>
      <c r="L546" s="379"/>
      <c r="M546" s="379"/>
      <c r="N546" s="379"/>
      <c r="O546" s="379"/>
      <c r="P546" s="379"/>
      <c r="Q546" s="379"/>
      <c r="R546" s="379"/>
      <c r="S546" s="379"/>
      <c r="T546" s="379"/>
      <c r="U546" s="379"/>
      <c r="V546" s="379"/>
      <c r="W546" s="379"/>
      <c r="X546" s="379"/>
      <c r="Y546" s="379"/>
      <c r="Z546" s="379"/>
    </row>
    <row r="547" ht="12.75" customHeight="1">
      <c r="A547" s="379"/>
      <c r="B547" s="379"/>
      <c r="C547" s="379"/>
      <c r="D547" s="379"/>
      <c r="E547" s="379"/>
      <c r="F547" s="379"/>
      <c r="G547" s="379"/>
      <c r="H547" s="379"/>
      <c r="I547" s="379"/>
      <c r="J547" s="379"/>
      <c r="K547" s="379"/>
      <c r="L547" s="379"/>
      <c r="M547" s="379"/>
      <c r="N547" s="379"/>
      <c r="O547" s="379"/>
      <c r="P547" s="379"/>
      <c r="Q547" s="379"/>
      <c r="R547" s="379"/>
      <c r="S547" s="379"/>
      <c r="T547" s="379"/>
      <c r="U547" s="379"/>
      <c r="V547" s="379"/>
      <c r="W547" s="379"/>
      <c r="X547" s="379"/>
      <c r="Y547" s="379"/>
      <c r="Z547" s="379"/>
    </row>
    <row r="548" ht="12.75" customHeight="1">
      <c r="A548" s="379"/>
      <c r="B548" s="379"/>
      <c r="C548" s="379"/>
      <c r="D548" s="379"/>
      <c r="E548" s="379"/>
      <c r="F548" s="379"/>
      <c r="G548" s="379"/>
      <c r="H548" s="379"/>
      <c r="I548" s="379"/>
      <c r="J548" s="379"/>
      <c r="K548" s="379"/>
      <c r="L548" s="379"/>
      <c r="M548" s="379"/>
      <c r="N548" s="379"/>
      <c r="O548" s="379"/>
      <c r="P548" s="379"/>
      <c r="Q548" s="379"/>
      <c r="R548" s="379"/>
      <c r="S548" s="379"/>
      <c r="T548" s="379"/>
      <c r="U548" s="379"/>
      <c r="V548" s="379"/>
      <c r="W548" s="379"/>
      <c r="X548" s="379"/>
      <c r="Y548" s="379"/>
      <c r="Z548" s="379"/>
    </row>
    <row r="549" ht="12.75" customHeight="1">
      <c r="A549" s="379"/>
      <c r="B549" s="379"/>
      <c r="C549" s="379"/>
      <c r="D549" s="379"/>
      <c r="E549" s="379"/>
      <c r="F549" s="379"/>
      <c r="G549" s="379"/>
      <c r="H549" s="379"/>
      <c r="I549" s="379"/>
      <c r="J549" s="379"/>
      <c r="K549" s="379"/>
      <c r="L549" s="379"/>
      <c r="M549" s="379"/>
      <c r="N549" s="379"/>
      <c r="O549" s="379"/>
      <c r="P549" s="379"/>
      <c r="Q549" s="379"/>
      <c r="R549" s="379"/>
      <c r="S549" s="379"/>
      <c r="T549" s="379"/>
      <c r="U549" s="379"/>
      <c r="V549" s="379"/>
      <c r="W549" s="379"/>
      <c r="X549" s="379"/>
      <c r="Y549" s="379"/>
      <c r="Z549" s="379"/>
    </row>
    <row r="550" ht="12.75" customHeight="1">
      <c r="A550" s="379"/>
      <c r="B550" s="379"/>
      <c r="C550" s="379"/>
      <c r="D550" s="379"/>
      <c r="E550" s="379"/>
      <c r="F550" s="379"/>
      <c r="G550" s="379"/>
      <c r="H550" s="379"/>
      <c r="I550" s="379"/>
      <c r="J550" s="379"/>
      <c r="K550" s="379"/>
      <c r="L550" s="379"/>
      <c r="M550" s="379"/>
      <c r="N550" s="379"/>
      <c r="O550" s="379"/>
      <c r="P550" s="379"/>
      <c r="Q550" s="379"/>
      <c r="R550" s="379"/>
      <c r="S550" s="379"/>
      <c r="T550" s="379"/>
      <c r="U550" s="379"/>
      <c r="V550" s="379"/>
      <c r="W550" s="379"/>
      <c r="X550" s="379"/>
      <c r="Y550" s="379"/>
      <c r="Z550" s="379"/>
    </row>
    <row r="551" ht="12.75" customHeight="1">
      <c r="A551" s="379"/>
      <c r="B551" s="379"/>
      <c r="C551" s="379"/>
      <c r="D551" s="379"/>
      <c r="E551" s="379"/>
      <c r="F551" s="379"/>
      <c r="G551" s="379"/>
      <c r="H551" s="379"/>
      <c r="I551" s="379"/>
      <c r="J551" s="379"/>
      <c r="K551" s="379"/>
      <c r="L551" s="379"/>
      <c r="M551" s="379"/>
      <c r="N551" s="379"/>
      <c r="O551" s="379"/>
      <c r="P551" s="379"/>
      <c r="Q551" s="379"/>
      <c r="R551" s="379"/>
      <c r="S551" s="379"/>
      <c r="T551" s="379"/>
      <c r="U551" s="379"/>
      <c r="V551" s="379"/>
      <c r="W551" s="379"/>
      <c r="X551" s="379"/>
      <c r="Y551" s="379"/>
      <c r="Z551" s="379"/>
    </row>
    <row r="552" ht="12.75" customHeight="1">
      <c r="A552" s="379"/>
      <c r="B552" s="379"/>
      <c r="C552" s="379"/>
      <c r="D552" s="379"/>
      <c r="E552" s="379"/>
      <c r="F552" s="379"/>
      <c r="G552" s="379"/>
      <c r="H552" s="379"/>
      <c r="I552" s="379"/>
      <c r="J552" s="379"/>
      <c r="K552" s="379"/>
      <c r="L552" s="379"/>
      <c r="M552" s="379"/>
      <c r="N552" s="379"/>
      <c r="O552" s="379"/>
      <c r="P552" s="379"/>
      <c r="Q552" s="379"/>
      <c r="R552" s="379"/>
      <c r="S552" s="379"/>
      <c r="T552" s="379"/>
      <c r="U552" s="379"/>
      <c r="V552" s="379"/>
      <c r="W552" s="379"/>
      <c r="X552" s="379"/>
      <c r="Y552" s="379"/>
      <c r="Z552" s="379"/>
    </row>
    <row r="553" ht="12.75" customHeight="1">
      <c r="A553" s="379"/>
      <c r="B553" s="379"/>
      <c r="C553" s="379"/>
      <c r="D553" s="379"/>
      <c r="E553" s="379"/>
      <c r="F553" s="379"/>
      <c r="G553" s="379"/>
      <c r="H553" s="379"/>
      <c r="I553" s="379"/>
      <c r="J553" s="379"/>
      <c r="K553" s="379"/>
      <c r="L553" s="379"/>
      <c r="M553" s="379"/>
      <c r="N553" s="379"/>
      <c r="O553" s="379"/>
      <c r="P553" s="379"/>
      <c r="Q553" s="379"/>
      <c r="R553" s="379"/>
      <c r="S553" s="379"/>
      <c r="T553" s="379"/>
      <c r="U553" s="379"/>
      <c r="V553" s="379"/>
      <c r="W553" s="379"/>
      <c r="X553" s="379"/>
      <c r="Y553" s="379"/>
      <c r="Z553" s="379"/>
    </row>
    <row r="554" ht="12.75" customHeight="1">
      <c r="A554" s="379"/>
      <c r="B554" s="379"/>
      <c r="C554" s="379"/>
      <c r="D554" s="379"/>
      <c r="E554" s="379"/>
      <c r="F554" s="379"/>
      <c r="G554" s="379"/>
      <c r="H554" s="379"/>
      <c r="I554" s="379"/>
      <c r="J554" s="379"/>
      <c r="K554" s="379"/>
      <c r="L554" s="379"/>
      <c r="M554" s="379"/>
      <c r="N554" s="379"/>
      <c r="O554" s="379"/>
      <c r="P554" s="379"/>
      <c r="Q554" s="379"/>
      <c r="R554" s="379"/>
      <c r="S554" s="379"/>
      <c r="T554" s="379"/>
      <c r="U554" s="379"/>
      <c r="V554" s="379"/>
      <c r="W554" s="379"/>
      <c r="X554" s="379"/>
      <c r="Y554" s="379"/>
      <c r="Z554" s="379"/>
    </row>
    <row r="555" ht="12.75" customHeight="1">
      <c r="A555" s="379"/>
      <c r="B555" s="379"/>
      <c r="C555" s="379"/>
      <c r="D555" s="379"/>
      <c r="E555" s="379"/>
      <c r="F555" s="379"/>
      <c r="G555" s="379"/>
      <c r="H555" s="379"/>
      <c r="I555" s="379"/>
      <c r="J555" s="379"/>
      <c r="K555" s="379"/>
      <c r="L555" s="379"/>
      <c r="M555" s="379"/>
      <c r="N555" s="379"/>
      <c r="O555" s="379"/>
      <c r="P555" s="379"/>
      <c r="Q555" s="379"/>
      <c r="R555" s="379"/>
      <c r="S555" s="379"/>
      <c r="T555" s="379"/>
      <c r="U555" s="379"/>
      <c r="V555" s="379"/>
      <c r="W555" s="379"/>
      <c r="X555" s="379"/>
      <c r="Y555" s="379"/>
      <c r="Z555" s="379"/>
    </row>
    <row r="556" ht="12.75" customHeight="1">
      <c r="A556" s="379"/>
      <c r="B556" s="379"/>
      <c r="C556" s="379"/>
      <c r="D556" s="379"/>
      <c r="E556" s="379"/>
      <c r="F556" s="379"/>
      <c r="G556" s="379"/>
      <c r="H556" s="379"/>
      <c r="I556" s="379"/>
      <c r="J556" s="379"/>
      <c r="K556" s="379"/>
      <c r="L556" s="379"/>
      <c r="M556" s="379"/>
      <c r="N556" s="379"/>
      <c r="O556" s="379"/>
      <c r="P556" s="379"/>
      <c r="Q556" s="379"/>
      <c r="R556" s="379"/>
      <c r="S556" s="379"/>
      <c r="T556" s="379"/>
      <c r="U556" s="379"/>
      <c r="V556" s="379"/>
      <c r="W556" s="379"/>
      <c r="X556" s="379"/>
      <c r="Y556" s="379"/>
      <c r="Z556" s="379"/>
    </row>
    <row r="557" ht="12.75" customHeight="1">
      <c r="A557" s="379"/>
      <c r="B557" s="379"/>
      <c r="C557" s="379"/>
      <c r="D557" s="379"/>
      <c r="E557" s="379"/>
      <c r="F557" s="379"/>
      <c r="G557" s="379"/>
      <c r="H557" s="379"/>
      <c r="I557" s="379"/>
      <c r="J557" s="379"/>
      <c r="K557" s="379"/>
      <c r="L557" s="379"/>
      <c r="M557" s="379"/>
      <c r="N557" s="379"/>
      <c r="O557" s="379"/>
      <c r="P557" s="379"/>
      <c r="Q557" s="379"/>
      <c r="R557" s="379"/>
      <c r="S557" s="379"/>
      <c r="T557" s="379"/>
      <c r="U557" s="379"/>
      <c r="V557" s="379"/>
      <c r="W557" s="379"/>
      <c r="X557" s="379"/>
      <c r="Y557" s="379"/>
      <c r="Z557" s="379"/>
    </row>
    <row r="558" ht="12.75" customHeight="1">
      <c r="A558" s="379"/>
      <c r="B558" s="379"/>
      <c r="C558" s="379"/>
      <c r="D558" s="379"/>
      <c r="E558" s="379"/>
      <c r="F558" s="379"/>
      <c r="G558" s="379"/>
      <c r="H558" s="379"/>
      <c r="I558" s="379"/>
      <c r="J558" s="379"/>
      <c r="K558" s="379"/>
      <c r="L558" s="379"/>
      <c r="M558" s="379"/>
      <c r="N558" s="379"/>
      <c r="O558" s="379"/>
      <c r="P558" s="379"/>
      <c r="Q558" s="379"/>
      <c r="R558" s="379"/>
      <c r="S558" s="379"/>
      <c r="T558" s="379"/>
      <c r="U558" s="379"/>
      <c r="V558" s="379"/>
      <c r="W558" s="379"/>
      <c r="X558" s="379"/>
      <c r="Y558" s="379"/>
      <c r="Z558" s="379"/>
    </row>
    <row r="559" ht="12.75" customHeight="1">
      <c r="A559" s="379"/>
      <c r="B559" s="379"/>
      <c r="C559" s="379"/>
      <c r="D559" s="379"/>
      <c r="E559" s="379"/>
      <c r="F559" s="379"/>
      <c r="G559" s="379"/>
      <c r="H559" s="379"/>
      <c r="I559" s="379"/>
      <c r="J559" s="379"/>
      <c r="K559" s="379"/>
      <c r="L559" s="379"/>
      <c r="M559" s="379"/>
      <c r="N559" s="379"/>
      <c r="O559" s="379"/>
      <c r="P559" s="379"/>
      <c r="Q559" s="379"/>
      <c r="R559" s="379"/>
      <c r="S559" s="379"/>
      <c r="T559" s="379"/>
      <c r="U559" s="379"/>
      <c r="V559" s="379"/>
      <c r="W559" s="379"/>
      <c r="X559" s="379"/>
      <c r="Y559" s="379"/>
      <c r="Z559" s="379"/>
    </row>
    <row r="560" ht="12.75" customHeight="1">
      <c r="A560" s="379"/>
      <c r="B560" s="379"/>
      <c r="C560" s="379"/>
      <c r="D560" s="379"/>
      <c r="E560" s="379"/>
      <c r="F560" s="379"/>
      <c r="G560" s="379"/>
      <c r="H560" s="379"/>
      <c r="I560" s="379"/>
      <c r="J560" s="379"/>
      <c r="K560" s="379"/>
      <c r="L560" s="379"/>
      <c r="M560" s="379"/>
      <c r="N560" s="379"/>
      <c r="O560" s="379"/>
      <c r="P560" s="379"/>
      <c r="Q560" s="379"/>
      <c r="R560" s="379"/>
      <c r="S560" s="379"/>
      <c r="T560" s="379"/>
      <c r="U560" s="379"/>
      <c r="V560" s="379"/>
      <c r="W560" s="379"/>
      <c r="X560" s="379"/>
      <c r="Y560" s="379"/>
      <c r="Z560" s="379"/>
    </row>
    <row r="561" ht="12.75" customHeight="1">
      <c r="A561" s="379"/>
      <c r="B561" s="379"/>
      <c r="C561" s="379"/>
      <c r="D561" s="379"/>
      <c r="E561" s="379"/>
      <c r="F561" s="379"/>
      <c r="G561" s="379"/>
      <c r="H561" s="379"/>
      <c r="I561" s="379"/>
      <c r="J561" s="379"/>
      <c r="K561" s="379"/>
      <c r="L561" s="379"/>
      <c r="M561" s="379"/>
      <c r="N561" s="379"/>
      <c r="O561" s="379"/>
      <c r="P561" s="379"/>
      <c r="Q561" s="379"/>
      <c r="R561" s="379"/>
      <c r="S561" s="379"/>
      <c r="T561" s="379"/>
      <c r="U561" s="379"/>
      <c r="V561" s="379"/>
      <c r="W561" s="379"/>
      <c r="X561" s="379"/>
      <c r="Y561" s="379"/>
      <c r="Z561" s="379"/>
    </row>
    <row r="562" ht="12.75" customHeight="1">
      <c r="A562" s="379"/>
      <c r="B562" s="379"/>
      <c r="C562" s="379"/>
      <c r="D562" s="379"/>
      <c r="E562" s="379"/>
      <c r="F562" s="379"/>
      <c r="G562" s="379"/>
      <c r="H562" s="379"/>
      <c r="I562" s="379"/>
      <c r="J562" s="379"/>
      <c r="K562" s="379"/>
      <c r="L562" s="379"/>
      <c r="M562" s="379"/>
      <c r="N562" s="379"/>
      <c r="O562" s="379"/>
      <c r="P562" s="379"/>
      <c r="Q562" s="379"/>
      <c r="R562" s="379"/>
      <c r="S562" s="379"/>
      <c r="T562" s="379"/>
      <c r="U562" s="379"/>
      <c r="V562" s="379"/>
      <c r="W562" s="379"/>
      <c r="X562" s="379"/>
      <c r="Y562" s="379"/>
      <c r="Z562" s="379"/>
    </row>
    <row r="563" ht="12.75" customHeight="1">
      <c r="A563" s="379"/>
      <c r="B563" s="379"/>
      <c r="C563" s="379"/>
      <c r="D563" s="379"/>
      <c r="E563" s="379"/>
      <c r="F563" s="379"/>
      <c r="G563" s="379"/>
      <c r="H563" s="379"/>
      <c r="I563" s="379"/>
      <c r="J563" s="379"/>
      <c r="K563" s="379"/>
      <c r="L563" s="379"/>
      <c r="M563" s="379"/>
      <c r="N563" s="379"/>
      <c r="O563" s="379"/>
      <c r="P563" s="379"/>
      <c r="Q563" s="379"/>
      <c r="R563" s="379"/>
      <c r="S563" s="379"/>
      <c r="T563" s="379"/>
      <c r="U563" s="379"/>
      <c r="V563" s="379"/>
      <c r="W563" s="379"/>
      <c r="X563" s="379"/>
      <c r="Y563" s="379"/>
      <c r="Z563" s="379"/>
    </row>
    <row r="564" ht="12.75" customHeight="1">
      <c r="A564" s="379"/>
      <c r="B564" s="379"/>
      <c r="C564" s="379"/>
      <c r="D564" s="379"/>
      <c r="E564" s="379"/>
      <c r="F564" s="379"/>
      <c r="G564" s="379"/>
      <c r="H564" s="379"/>
      <c r="I564" s="379"/>
      <c r="J564" s="379"/>
      <c r="K564" s="379"/>
      <c r="L564" s="379"/>
      <c r="M564" s="379"/>
      <c r="N564" s="379"/>
      <c r="O564" s="379"/>
      <c r="P564" s="379"/>
      <c r="Q564" s="379"/>
      <c r="R564" s="379"/>
      <c r="S564" s="379"/>
      <c r="T564" s="379"/>
      <c r="U564" s="379"/>
      <c r="V564" s="379"/>
      <c r="W564" s="379"/>
      <c r="X564" s="379"/>
      <c r="Y564" s="379"/>
      <c r="Z564" s="379"/>
    </row>
    <row r="565" ht="12.75" customHeight="1">
      <c r="A565" s="379"/>
      <c r="B565" s="379"/>
      <c r="C565" s="379"/>
      <c r="D565" s="379"/>
      <c r="E565" s="379"/>
      <c r="F565" s="379"/>
      <c r="G565" s="379"/>
      <c r="H565" s="379"/>
      <c r="I565" s="379"/>
      <c r="J565" s="379"/>
      <c r="K565" s="379"/>
      <c r="L565" s="379"/>
      <c r="M565" s="379"/>
      <c r="N565" s="379"/>
      <c r="O565" s="379"/>
      <c r="P565" s="379"/>
      <c r="Q565" s="379"/>
      <c r="R565" s="379"/>
      <c r="S565" s="379"/>
      <c r="T565" s="379"/>
      <c r="U565" s="379"/>
      <c r="V565" s="379"/>
      <c r="W565" s="379"/>
      <c r="X565" s="379"/>
      <c r="Y565" s="379"/>
      <c r="Z565" s="379"/>
    </row>
    <row r="566" ht="12.75" customHeight="1">
      <c r="A566" s="379"/>
      <c r="B566" s="379"/>
      <c r="C566" s="379"/>
      <c r="D566" s="379"/>
      <c r="E566" s="379"/>
      <c r="F566" s="379"/>
      <c r="G566" s="379"/>
      <c r="H566" s="379"/>
      <c r="I566" s="379"/>
      <c r="J566" s="379"/>
      <c r="K566" s="379"/>
      <c r="L566" s="379"/>
      <c r="M566" s="379"/>
      <c r="N566" s="379"/>
      <c r="O566" s="379"/>
      <c r="P566" s="379"/>
      <c r="Q566" s="379"/>
      <c r="R566" s="379"/>
      <c r="S566" s="379"/>
      <c r="T566" s="379"/>
      <c r="U566" s="379"/>
      <c r="V566" s="379"/>
      <c r="W566" s="379"/>
      <c r="X566" s="379"/>
      <c r="Y566" s="379"/>
      <c r="Z566" s="379"/>
    </row>
    <row r="567" ht="12.75" customHeight="1">
      <c r="A567" s="379"/>
      <c r="B567" s="379"/>
      <c r="C567" s="379"/>
      <c r="D567" s="379"/>
      <c r="E567" s="379"/>
      <c r="F567" s="379"/>
      <c r="G567" s="379"/>
      <c r="H567" s="379"/>
      <c r="I567" s="379"/>
      <c r="J567" s="379"/>
      <c r="K567" s="379"/>
      <c r="L567" s="379"/>
      <c r="M567" s="379"/>
      <c r="N567" s="379"/>
      <c r="O567" s="379"/>
      <c r="P567" s="379"/>
      <c r="Q567" s="379"/>
      <c r="R567" s="379"/>
      <c r="S567" s="379"/>
      <c r="T567" s="379"/>
      <c r="U567" s="379"/>
      <c r="V567" s="379"/>
      <c r="W567" s="379"/>
      <c r="X567" s="379"/>
      <c r="Y567" s="379"/>
      <c r="Z567" s="379"/>
    </row>
    <row r="568" ht="12.75" customHeight="1">
      <c r="A568" s="379"/>
      <c r="B568" s="379"/>
      <c r="C568" s="379"/>
      <c r="D568" s="379"/>
      <c r="E568" s="379"/>
      <c r="F568" s="379"/>
      <c r="G568" s="379"/>
      <c r="H568" s="379"/>
      <c r="I568" s="379"/>
      <c r="J568" s="379"/>
      <c r="K568" s="379"/>
      <c r="L568" s="379"/>
      <c r="M568" s="379"/>
      <c r="N568" s="379"/>
      <c r="O568" s="379"/>
      <c r="P568" s="379"/>
      <c r="Q568" s="379"/>
      <c r="R568" s="379"/>
      <c r="S568" s="379"/>
      <c r="T568" s="379"/>
      <c r="U568" s="379"/>
      <c r="V568" s="379"/>
      <c r="W568" s="379"/>
      <c r="X568" s="379"/>
      <c r="Y568" s="379"/>
      <c r="Z568" s="379"/>
    </row>
    <row r="569" ht="12.75" customHeight="1">
      <c r="A569" s="379"/>
      <c r="B569" s="379"/>
      <c r="C569" s="379"/>
      <c r="D569" s="379"/>
      <c r="E569" s="379"/>
      <c r="F569" s="379"/>
      <c r="G569" s="379"/>
      <c r="H569" s="379"/>
      <c r="I569" s="379"/>
      <c r="J569" s="379"/>
      <c r="K569" s="379"/>
      <c r="L569" s="379"/>
      <c r="M569" s="379"/>
      <c r="N569" s="379"/>
      <c r="O569" s="379"/>
      <c r="P569" s="379"/>
      <c r="Q569" s="379"/>
      <c r="R569" s="379"/>
      <c r="S569" s="379"/>
      <c r="T569" s="379"/>
      <c r="U569" s="379"/>
      <c r="V569" s="379"/>
      <c r="W569" s="379"/>
      <c r="X569" s="379"/>
      <c r="Y569" s="379"/>
      <c r="Z569" s="379"/>
    </row>
    <row r="570" ht="12.75" customHeight="1">
      <c r="A570" s="379"/>
      <c r="B570" s="379"/>
      <c r="C570" s="379"/>
      <c r="D570" s="379"/>
      <c r="E570" s="379"/>
      <c r="F570" s="379"/>
      <c r="G570" s="379"/>
      <c r="H570" s="379"/>
      <c r="I570" s="379"/>
      <c r="J570" s="379"/>
      <c r="K570" s="379"/>
      <c r="L570" s="379"/>
      <c r="M570" s="379"/>
      <c r="N570" s="379"/>
      <c r="O570" s="379"/>
      <c r="P570" s="379"/>
      <c r="Q570" s="379"/>
      <c r="R570" s="379"/>
      <c r="S570" s="379"/>
      <c r="T570" s="379"/>
      <c r="U570" s="379"/>
      <c r="V570" s="379"/>
      <c r="W570" s="379"/>
      <c r="X570" s="379"/>
      <c r="Y570" s="379"/>
      <c r="Z570" s="379"/>
    </row>
    <row r="571" ht="12.75" customHeight="1">
      <c r="A571" s="379"/>
      <c r="B571" s="379"/>
      <c r="C571" s="379"/>
      <c r="D571" s="379"/>
      <c r="E571" s="379"/>
      <c r="F571" s="379"/>
      <c r="G571" s="379"/>
      <c r="H571" s="379"/>
      <c r="I571" s="379"/>
      <c r="J571" s="379"/>
      <c r="K571" s="379"/>
      <c r="L571" s="379"/>
      <c r="M571" s="379"/>
      <c r="N571" s="379"/>
      <c r="O571" s="379"/>
      <c r="P571" s="379"/>
      <c r="Q571" s="379"/>
      <c r="R571" s="379"/>
      <c r="S571" s="379"/>
      <c r="T571" s="379"/>
      <c r="U571" s="379"/>
      <c r="V571" s="379"/>
      <c r="W571" s="379"/>
      <c r="X571" s="379"/>
      <c r="Y571" s="379"/>
      <c r="Z571" s="379"/>
    </row>
    <row r="572" ht="12.75" customHeight="1">
      <c r="A572" s="379"/>
      <c r="B572" s="379"/>
      <c r="C572" s="379"/>
      <c r="D572" s="379"/>
      <c r="E572" s="379"/>
      <c r="F572" s="379"/>
      <c r="G572" s="379"/>
      <c r="H572" s="379"/>
      <c r="I572" s="379"/>
      <c r="J572" s="379"/>
      <c r="K572" s="379"/>
      <c r="L572" s="379"/>
      <c r="M572" s="379"/>
      <c r="N572" s="379"/>
      <c r="O572" s="379"/>
      <c r="P572" s="379"/>
      <c r="Q572" s="379"/>
      <c r="R572" s="379"/>
      <c r="S572" s="379"/>
      <c r="T572" s="379"/>
      <c r="U572" s="379"/>
      <c r="V572" s="379"/>
      <c r="W572" s="379"/>
      <c r="X572" s="379"/>
      <c r="Y572" s="379"/>
      <c r="Z572" s="379"/>
    </row>
    <row r="573" ht="12.75" customHeight="1">
      <c r="A573" s="379"/>
      <c r="B573" s="379"/>
      <c r="C573" s="379"/>
      <c r="D573" s="379"/>
      <c r="E573" s="379"/>
      <c r="F573" s="379"/>
      <c r="G573" s="379"/>
      <c r="H573" s="379"/>
      <c r="I573" s="379"/>
      <c r="J573" s="379"/>
      <c r="K573" s="379"/>
      <c r="L573" s="379"/>
      <c r="M573" s="379"/>
      <c r="N573" s="379"/>
      <c r="O573" s="379"/>
      <c r="P573" s="379"/>
      <c r="Q573" s="379"/>
      <c r="R573" s="379"/>
      <c r="S573" s="379"/>
      <c r="T573" s="379"/>
      <c r="U573" s="379"/>
      <c r="V573" s="379"/>
      <c r="W573" s="379"/>
      <c r="X573" s="379"/>
      <c r="Y573" s="379"/>
      <c r="Z573" s="379"/>
    </row>
    <row r="574" ht="12.75" customHeight="1">
      <c r="A574" s="379"/>
      <c r="B574" s="379"/>
      <c r="C574" s="379"/>
      <c r="D574" s="379"/>
      <c r="E574" s="379"/>
      <c r="F574" s="379"/>
      <c r="G574" s="379"/>
      <c r="H574" s="379"/>
      <c r="I574" s="379"/>
      <c r="J574" s="379"/>
      <c r="K574" s="379"/>
      <c r="L574" s="379"/>
      <c r="M574" s="379"/>
      <c r="N574" s="379"/>
      <c r="O574" s="379"/>
      <c r="P574" s="379"/>
      <c r="Q574" s="379"/>
      <c r="R574" s="379"/>
      <c r="S574" s="379"/>
      <c r="T574" s="379"/>
      <c r="U574" s="379"/>
      <c r="V574" s="379"/>
      <c r="W574" s="379"/>
      <c r="X574" s="379"/>
      <c r="Y574" s="379"/>
      <c r="Z574" s="379"/>
    </row>
    <row r="575" ht="12.75" customHeight="1">
      <c r="A575" s="379"/>
      <c r="B575" s="379"/>
      <c r="C575" s="379"/>
      <c r="D575" s="379"/>
      <c r="E575" s="379"/>
      <c r="F575" s="379"/>
      <c r="G575" s="379"/>
      <c r="H575" s="379"/>
      <c r="I575" s="379"/>
      <c r="J575" s="379"/>
      <c r="K575" s="379"/>
      <c r="L575" s="379"/>
      <c r="M575" s="379"/>
      <c r="N575" s="379"/>
      <c r="O575" s="379"/>
      <c r="P575" s="379"/>
      <c r="Q575" s="379"/>
      <c r="R575" s="379"/>
      <c r="S575" s="379"/>
      <c r="T575" s="379"/>
      <c r="U575" s="379"/>
      <c r="V575" s="379"/>
      <c r="W575" s="379"/>
      <c r="X575" s="379"/>
      <c r="Y575" s="379"/>
      <c r="Z575" s="379"/>
    </row>
    <row r="576" ht="12.75" customHeight="1">
      <c r="A576" s="379"/>
      <c r="B576" s="379"/>
      <c r="C576" s="379"/>
      <c r="D576" s="379"/>
      <c r="E576" s="379"/>
      <c r="F576" s="379"/>
      <c r="G576" s="379"/>
      <c r="H576" s="379"/>
      <c r="I576" s="379"/>
      <c r="J576" s="379"/>
      <c r="K576" s="379"/>
      <c r="L576" s="379"/>
      <c r="M576" s="379"/>
      <c r="N576" s="379"/>
      <c r="O576" s="379"/>
      <c r="P576" s="379"/>
      <c r="Q576" s="379"/>
      <c r="R576" s="379"/>
      <c r="S576" s="379"/>
      <c r="T576" s="379"/>
      <c r="U576" s="379"/>
      <c r="V576" s="379"/>
      <c r="W576" s="379"/>
      <c r="X576" s="379"/>
      <c r="Y576" s="379"/>
      <c r="Z576" s="379"/>
    </row>
    <row r="577" ht="12.75" customHeight="1">
      <c r="A577" s="379"/>
      <c r="B577" s="379"/>
      <c r="C577" s="379"/>
      <c r="D577" s="379"/>
      <c r="E577" s="379"/>
      <c r="F577" s="379"/>
      <c r="G577" s="379"/>
      <c r="H577" s="379"/>
      <c r="I577" s="379"/>
      <c r="J577" s="379"/>
      <c r="K577" s="379"/>
      <c r="L577" s="379"/>
      <c r="M577" s="379"/>
      <c r="N577" s="379"/>
      <c r="O577" s="379"/>
      <c r="P577" s="379"/>
      <c r="Q577" s="379"/>
      <c r="R577" s="379"/>
      <c r="S577" s="379"/>
      <c r="T577" s="379"/>
      <c r="U577" s="379"/>
      <c r="V577" s="379"/>
      <c r="W577" s="379"/>
      <c r="X577" s="379"/>
      <c r="Y577" s="379"/>
      <c r="Z577" s="379"/>
    </row>
    <row r="578" ht="12.75" customHeight="1">
      <c r="A578" s="379"/>
      <c r="B578" s="379"/>
      <c r="C578" s="379"/>
      <c r="D578" s="379"/>
      <c r="E578" s="379"/>
      <c r="F578" s="379"/>
      <c r="G578" s="379"/>
      <c r="H578" s="379"/>
      <c r="I578" s="379"/>
      <c r="J578" s="379"/>
      <c r="K578" s="379"/>
      <c r="L578" s="379"/>
      <c r="M578" s="379"/>
      <c r="N578" s="379"/>
      <c r="O578" s="379"/>
      <c r="P578" s="379"/>
      <c r="Q578" s="379"/>
      <c r="R578" s="379"/>
      <c r="S578" s="379"/>
      <c r="T578" s="379"/>
      <c r="U578" s="379"/>
      <c r="V578" s="379"/>
      <c r="W578" s="379"/>
      <c r="X578" s="379"/>
      <c r="Y578" s="379"/>
      <c r="Z578" s="379"/>
    </row>
    <row r="579" ht="12.75" customHeight="1">
      <c r="A579" s="379"/>
      <c r="B579" s="379"/>
      <c r="C579" s="379"/>
      <c r="D579" s="379"/>
      <c r="E579" s="379"/>
      <c r="F579" s="379"/>
      <c r="G579" s="379"/>
      <c r="H579" s="379"/>
      <c r="I579" s="379"/>
      <c r="J579" s="379"/>
      <c r="K579" s="379"/>
      <c r="L579" s="379"/>
      <c r="M579" s="379"/>
      <c r="N579" s="379"/>
      <c r="O579" s="379"/>
      <c r="P579" s="379"/>
      <c r="Q579" s="379"/>
      <c r="R579" s="379"/>
      <c r="S579" s="379"/>
      <c r="T579" s="379"/>
      <c r="U579" s="379"/>
      <c r="V579" s="379"/>
      <c r="W579" s="379"/>
      <c r="X579" s="379"/>
      <c r="Y579" s="379"/>
      <c r="Z579" s="379"/>
    </row>
    <row r="580" ht="12.75" customHeight="1">
      <c r="A580" s="379"/>
      <c r="B580" s="379"/>
      <c r="C580" s="379"/>
      <c r="D580" s="379"/>
      <c r="E580" s="379"/>
      <c r="F580" s="379"/>
      <c r="G580" s="379"/>
      <c r="H580" s="379"/>
      <c r="I580" s="379"/>
      <c r="J580" s="379"/>
      <c r="K580" s="379"/>
      <c r="L580" s="379"/>
      <c r="M580" s="379"/>
      <c r="N580" s="379"/>
      <c r="O580" s="379"/>
      <c r="P580" s="379"/>
      <c r="Q580" s="379"/>
      <c r="R580" s="379"/>
      <c r="S580" s="379"/>
      <c r="T580" s="379"/>
      <c r="U580" s="379"/>
      <c r="V580" s="379"/>
      <c r="W580" s="379"/>
      <c r="X580" s="379"/>
      <c r="Y580" s="379"/>
      <c r="Z580" s="379"/>
    </row>
    <row r="581" ht="12.75" customHeight="1">
      <c r="A581" s="379"/>
      <c r="B581" s="379"/>
      <c r="C581" s="379"/>
      <c r="D581" s="379"/>
      <c r="E581" s="379"/>
      <c r="F581" s="379"/>
      <c r="G581" s="379"/>
      <c r="H581" s="379"/>
      <c r="I581" s="379"/>
      <c r="J581" s="379"/>
      <c r="K581" s="379"/>
      <c r="L581" s="379"/>
      <c r="M581" s="379"/>
      <c r="N581" s="379"/>
      <c r="O581" s="379"/>
      <c r="P581" s="379"/>
      <c r="Q581" s="379"/>
      <c r="R581" s="379"/>
      <c r="S581" s="379"/>
      <c r="T581" s="379"/>
      <c r="U581" s="379"/>
      <c r="V581" s="379"/>
      <c r="W581" s="379"/>
      <c r="X581" s="379"/>
      <c r="Y581" s="379"/>
      <c r="Z581" s="379"/>
    </row>
    <row r="582" ht="12.75" customHeight="1">
      <c r="A582" s="379"/>
      <c r="B582" s="379"/>
      <c r="C582" s="379"/>
      <c r="D582" s="379"/>
      <c r="E582" s="379"/>
      <c r="F582" s="379"/>
      <c r="G582" s="379"/>
      <c r="H582" s="379"/>
      <c r="I582" s="379"/>
      <c r="J582" s="379"/>
      <c r="K582" s="379"/>
      <c r="L582" s="379"/>
      <c r="M582" s="379"/>
      <c r="N582" s="379"/>
      <c r="O582" s="379"/>
      <c r="P582" s="379"/>
      <c r="Q582" s="379"/>
      <c r="R582" s="379"/>
      <c r="S582" s="379"/>
      <c r="T582" s="379"/>
      <c r="U582" s="379"/>
      <c r="V582" s="379"/>
      <c r="W582" s="379"/>
      <c r="X582" s="379"/>
      <c r="Y582" s="379"/>
      <c r="Z582" s="379"/>
    </row>
    <row r="583" ht="12.75" customHeight="1">
      <c r="A583" s="379"/>
      <c r="B583" s="379"/>
      <c r="C583" s="379"/>
      <c r="D583" s="379"/>
      <c r="E583" s="379"/>
      <c r="F583" s="379"/>
      <c r="G583" s="379"/>
      <c r="H583" s="379"/>
      <c r="I583" s="379"/>
      <c r="J583" s="379"/>
      <c r="K583" s="379"/>
      <c r="L583" s="379"/>
      <c r="M583" s="379"/>
      <c r="N583" s="379"/>
      <c r="O583" s="379"/>
      <c r="P583" s="379"/>
      <c r="Q583" s="379"/>
      <c r="R583" s="379"/>
      <c r="S583" s="379"/>
      <c r="T583" s="379"/>
      <c r="U583" s="379"/>
      <c r="V583" s="379"/>
      <c r="W583" s="379"/>
      <c r="X583" s="379"/>
      <c r="Y583" s="379"/>
      <c r="Z583" s="379"/>
    </row>
    <row r="584" ht="12.75" customHeight="1">
      <c r="A584" s="379"/>
      <c r="B584" s="379"/>
      <c r="C584" s="379"/>
      <c r="D584" s="379"/>
      <c r="E584" s="379"/>
      <c r="F584" s="379"/>
      <c r="G584" s="379"/>
      <c r="H584" s="379"/>
      <c r="I584" s="379"/>
      <c r="J584" s="379"/>
      <c r="K584" s="379"/>
      <c r="L584" s="379"/>
      <c r="M584" s="379"/>
      <c r="N584" s="379"/>
      <c r="O584" s="379"/>
      <c r="P584" s="379"/>
      <c r="Q584" s="379"/>
      <c r="R584" s="379"/>
      <c r="S584" s="379"/>
      <c r="T584" s="379"/>
      <c r="U584" s="379"/>
      <c r="V584" s="379"/>
      <c r="W584" s="379"/>
      <c r="X584" s="379"/>
      <c r="Y584" s="379"/>
      <c r="Z584" s="379"/>
    </row>
    <row r="585" ht="12.75" customHeight="1">
      <c r="A585" s="379"/>
      <c r="B585" s="379"/>
      <c r="C585" s="379"/>
      <c r="D585" s="379"/>
      <c r="E585" s="379"/>
      <c r="F585" s="379"/>
      <c r="G585" s="379"/>
      <c r="H585" s="379"/>
      <c r="I585" s="379"/>
      <c r="J585" s="379"/>
      <c r="K585" s="379"/>
      <c r="L585" s="379"/>
      <c r="M585" s="379"/>
      <c r="N585" s="379"/>
      <c r="O585" s="379"/>
      <c r="P585" s="379"/>
      <c r="Q585" s="379"/>
      <c r="R585" s="379"/>
      <c r="S585" s="379"/>
      <c r="T585" s="379"/>
      <c r="U585" s="379"/>
      <c r="V585" s="379"/>
      <c r="W585" s="379"/>
      <c r="X585" s="379"/>
      <c r="Y585" s="379"/>
      <c r="Z585" s="379"/>
    </row>
    <row r="586" ht="12.75" customHeight="1">
      <c r="A586" s="379"/>
      <c r="B586" s="379"/>
      <c r="C586" s="379"/>
      <c r="D586" s="379"/>
      <c r="E586" s="379"/>
      <c r="F586" s="379"/>
      <c r="G586" s="379"/>
      <c r="H586" s="379"/>
      <c r="I586" s="379"/>
      <c r="J586" s="379"/>
      <c r="K586" s="379"/>
      <c r="L586" s="379"/>
      <c r="M586" s="379"/>
      <c r="N586" s="379"/>
      <c r="O586" s="379"/>
      <c r="P586" s="379"/>
      <c r="Q586" s="379"/>
      <c r="R586" s="379"/>
      <c r="S586" s="379"/>
      <c r="T586" s="379"/>
      <c r="U586" s="379"/>
      <c r="V586" s="379"/>
      <c r="W586" s="379"/>
      <c r="X586" s="379"/>
      <c r="Y586" s="379"/>
      <c r="Z586" s="379"/>
    </row>
    <row r="587" ht="12.75" customHeight="1">
      <c r="A587" s="379"/>
      <c r="B587" s="379"/>
      <c r="C587" s="379"/>
      <c r="D587" s="379"/>
      <c r="E587" s="379"/>
      <c r="F587" s="379"/>
      <c r="G587" s="379"/>
      <c r="H587" s="379"/>
      <c r="I587" s="379"/>
      <c r="J587" s="379"/>
      <c r="K587" s="379"/>
      <c r="L587" s="379"/>
      <c r="M587" s="379"/>
      <c r="N587" s="379"/>
      <c r="O587" s="379"/>
      <c r="P587" s="379"/>
      <c r="Q587" s="379"/>
      <c r="R587" s="379"/>
      <c r="S587" s="379"/>
      <c r="T587" s="379"/>
      <c r="U587" s="379"/>
      <c r="V587" s="379"/>
      <c r="W587" s="379"/>
      <c r="X587" s="379"/>
      <c r="Y587" s="379"/>
      <c r="Z587" s="379"/>
    </row>
    <row r="588" ht="12.75" customHeight="1">
      <c r="A588" s="379"/>
      <c r="B588" s="379"/>
      <c r="C588" s="379"/>
      <c r="D588" s="379"/>
      <c r="E588" s="379"/>
      <c r="F588" s="379"/>
      <c r="G588" s="379"/>
      <c r="H588" s="379"/>
      <c r="I588" s="379"/>
      <c r="J588" s="379"/>
      <c r="K588" s="379"/>
      <c r="L588" s="379"/>
      <c r="M588" s="379"/>
      <c r="N588" s="379"/>
      <c r="O588" s="379"/>
      <c r="P588" s="379"/>
      <c r="Q588" s="379"/>
      <c r="R588" s="379"/>
      <c r="S588" s="379"/>
      <c r="T588" s="379"/>
      <c r="U588" s="379"/>
      <c r="V588" s="379"/>
      <c r="W588" s="379"/>
      <c r="X588" s="379"/>
      <c r="Y588" s="379"/>
      <c r="Z588" s="379"/>
    </row>
    <row r="589" ht="12.75" customHeight="1">
      <c r="A589" s="379"/>
      <c r="B589" s="379"/>
      <c r="C589" s="379"/>
      <c r="D589" s="379"/>
      <c r="E589" s="379"/>
      <c r="F589" s="379"/>
      <c r="G589" s="379"/>
      <c r="H589" s="379"/>
      <c r="I589" s="379"/>
      <c r="J589" s="379"/>
      <c r="K589" s="379"/>
      <c r="L589" s="379"/>
      <c r="M589" s="379"/>
      <c r="N589" s="379"/>
      <c r="O589" s="379"/>
      <c r="P589" s="379"/>
      <c r="Q589" s="379"/>
      <c r="R589" s="379"/>
      <c r="S589" s="379"/>
      <c r="T589" s="379"/>
      <c r="U589" s="379"/>
      <c r="V589" s="379"/>
      <c r="W589" s="379"/>
      <c r="X589" s="379"/>
      <c r="Y589" s="379"/>
      <c r="Z589" s="379"/>
    </row>
    <row r="590" ht="12.75" customHeight="1">
      <c r="A590" s="379"/>
      <c r="B590" s="379"/>
      <c r="C590" s="379"/>
      <c r="D590" s="379"/>
      <c r="E590" s="379"/>
      <c r="F590" s="379"/>
      <c r="G590" s="379"/>
      <c r="H590" s="379"/>
      <c r="I590" s="379"/>
      <c r="J590" s="379"/>
      <c r="K590" s="379"/>
      <c r="L590" s="379"/>
      <c r="M590" s="379"/>
      <c r="N590" s="379"/>
      <c r="O590" s="379"/>
      <c r="P590" s="379"/>
      <c r="Q590" s="379"/>
      <c r="R590" s="379"/>
      <c r="S590" s="379"/>
      <c r="T590" s="379"/>
      <c r="U590" s="379"/>
      <c r="V590" s="379"/>
      <c r="W590" s="379"/>
      <c r="X590" s="379"/>
      <c r="Y590" s="379"/>
      <c r="Z590" s="379"/>
    </row>
    <row r="591" ht="12.75" customHeight="1">
      <c r="A591" s="379"/>
      <c r="B591" s="379"/>
      <c r="C591" s="379"/>
      <c r="D591" s="379"/>
      <c r="E591" s="379"/>
      <c r="F591" s="379"/>
      <c r="G591" s="379"/>
      <c r="H591" s="379"/>
      <c r="I591" s="379"/>
      <c r="J591" s="379"/>
      <c r="K591" s="379"/>
      <c r="L591" s="379"/>
      <c r="M591" s="379"/>
      <c r="N591" s="379"/>
      <c r="O591" s="379"/>
      <c r="P591" s="379"/>
      <c r="Q591" s="379"/>
      <c r="R591" s="379"/>
      <c r="S591" s="379"/>
      <c r="T591" s="379"/>
      <c r="U591" s="379"/>
      <c r="V591" s="379"/>
      <c r="W591" s="379"/>
      <c r="X591" s="379"/>
      <c r="Y591" s="379"/>
      <c r="Z591" s="379"/>
    </row>
    <row r="592" ht="12.75" customHeight="1">
      <c r="A592" s="379"/>
      <c r="B592" s="379"/>
      <c r="C592" s="379"/>
      <c r="D592" s="379"/>
      <c r="E592" s="379"/>
      <c r="F592" s="379"/>
      <c r="G592" s="379"/>
      <c r="H592" s="379"/>
      <c r="I592" s="379"/>
      <c r="J592" s="379"/>
      <c r="K592" s="379"/>
      <c r="L592" s="379"/>
      <c r="M592" s="379"/>
      <c r="N592" s="379"/>
      <c r="O592" s="379"/>
      <c r="P592" s="379"/>
      <c r="Q592" s="379"/>
      <c r="R592" s="379"/>
      <c r="S592" s="379"/>
      <c r="T592" s="379"/>
      <c r="U592" s="379"/>
      <c r="V592" s="379"/>
      <c r="W592" s="379"/>
      <c r="X592" s="379"/>
      <c r="Y592" s="379"/>
      <c r="Z592" s="379"/>
    </row>
    <row r="593" ht="12.75" customHeight="1">
      <c r="A593" s="379"/>
      <c r="B593" s="379"/>
      <c r="C593" s="379"/>
      <c r="D593" s="379"/>
      <c r="E593" s="379"/>
      <c r="F593" s="379"/>
      <c r="G593" s="379"/>
      <c r="H593" s="379"/>
      <c r="I593" s="379"/>
      <c r="J593" s="379"/>
      <c r="K593" s="379"/>
      <c r="L593" s="379"/>
      <c r="M593" s="379"/>
      <c r="N593" s="379"/>
      <c r="O593" s="379"/>
      <c r="P593" s="379"/>
      <c r="Q593" s="379"/>
      <c r="R593" s="379"/>
      <c r="S593" s="379"/>
      <c r="T593" s="379"/>
      <c r="U593" s="379"/>
      <c r="V593" s="379"/>
      <c r="W593" s="379"/>
      <c r="X593" s="379"/>
      <c r="Y593" s="379"/>
      <c r="Z593" s="379"/>
    </row>
    <row r="594" ht="12.75" customHeight="1">
      <c r="A594" s="379"/>
      <c r="B594" s="379"/>
      <c r="C594" s="379"/>
      <c r="D594" s="379"/>
      <c r="E594" s="379"/>
      <c r="F594" s="379"/>
      <c r="G594" s="379"/>
      <c r="H594" s="379"/>
      <c r="I594" s="379"/>
      <c r="J594" s="379"/>
      <c r="K594" s="379"/>
      <c r="L594" s="379"/>
      <c r="M594" s="379"/>
      <c r="N594" s="379"/>
      <c r="O594" s="379"/>
      <c r="P594" s="379"/>
      <c r="Q594" s="379"/>
      <c r="R594" s="379"/>
      <c r="S594" s="379"/>
      <c r="T594" s="379"/>
      <c r="U594" s="379"/>
      <c r="V594" s="379"/>
      <c r="W594" s="379"/>
      <c r="X594" s="379"/>
      <c r="Y594" s="379"/>
      <c r="Z594" s="379"/>
    </row>
    <row r="595" ht="12.75" customHeight="1">
      <c r="A595" s="379"/>
      <c r="B595" s="379"/>
      <c r="C595" s="379"/>
      <c r="D595" s="379"/>
      <c r="E595" s="379"/>
      <c r="F595" s="379"/>
      <c r="G595" s="379"/>
      <c r="H595" s="379"/>
      <c r="I595" s="379"/>
      <c r="J595" s="379"/>
      <c r="K595" s="379"/>
      <c r="L595" s="379"/>
      <c r="M595" s="379"/>
      <c r="N595" s="379"/>
      <c r="O595" s="379"/>
      <c r="P595" s="379"/>
      <c r="Q595" s="379"/>
      <c r="R595" s="379"/>
      <c r="S595" s="379"/>
      <c r="T595" s="379"/>
      <c r="U595" s="379"/>
      <c r="V595" s="379"/>
      <c r="W595" s="379"/>
      <c r="X595" s="379"/>
      <c r="Y595" s="379"/>
      <c r="Z595" s="379"/>
    </row>
    <row r="596" ht="12.75" customHeight="1">
      <c r="A596" s="379"/>
      <c r="B596" s="379"/>
      <c r="C596" s="379"/>
      <c r="D596" s="379"/>
      <c r="E596" s="379"/>
      <c r="F596" s="379"/>
      <c r="G596" s="379"/>
      <c r="H596" s="379"/>
      <c r="I596" s="379"/>
      <c r="J596" s="379"/>
      <c r="K596" s="379"/>
      <c r="L596" s="379"/>
      <c r="M596" s="379"/>
      <c r="N596" s="379"/>
      <c r="O596" s="379"/>
      <c r="P596" s="379"/>
      <c r="Q596" s="379"/>
      <c r="R596" s="379"/>
      <c r="S596" s="379"/>
      <c r="T596" s="379"/>
      <c r="U596" s="379"/>
      <c r="V596" s="379"/>
      <c r="W596" s="379"/>
      <c r="X596" s="379"/>
      <c r="Y596" s="379"/>
      <c r="Z596" s="379"/>
    </row>
    <row r="597" ht="12.75" customHeight="1">
      <c r="A597" s="379"/>
      <c r="B597" s="379"/>
      <c r="C597" s="379"/>
      <c r="D597" s="379"/>
      <c r="E597" s="379"/>
      <c r="F597" s="379"/>
      <c r="G597" s="379"/>
      <c r="H597" s="379"/>
      <c r="I597" s="379"/>
      <c r="J597" s="379"/>
      <c r="K597" s="379"/>
      <c r="L597" s="379"/>
      <c r="M597" s="379"/>
      <c r="N597" s="379"/>
      <c r="O597" s="379"/>
      <c r="P597" s="379"/>
      <c r="Q597" s="379"/>
      <c r="R597" s="379"/>
      <c r="S597" s="379"/>
      <c r="T597" s="379"/>
      <c r="U597" s="379"/>
      <c r="V597" s="379"/>
      <c r="W597" s="379"/>
      <c r="X597" s="379"/>
      <c r="Y597" s="379"/>
      <c r="Z597" s="379"/>
    </row>
    <row r="598" ht="12.75" customHeight="1">
      <c r="A598" s="379"/>
      <c r="B598" s="379"/>
      <c r="C598" s="379"/>
      <c r="D598" s="379"/>
      <c r="E598" s="379"/>
      <c r="F598" s="379"/>
      <c r="G598" s="379"/>
      <c r="H598" s="379"/>
      <c r="I598" s="379"/>
      <c r="J598" s="379"/>
      <c r="K598" s="379"/>
      <c r="L598" s="379"/>
      <c r="M598" s="379"/>
      <c r="N598" s="379"/>
      <c r="O598" s="379"/>
      <c r="P598" s="379"/>
      <c r="Q598" s="379"/>
      <c r="R598" s="379"/>
      <c r="S598" s="379"/>
      <c r="T598" s="379"/>
      <c r="U598" s="379"/>
      <c r="V598" s="379"/>
      <c r="W598" s="379"/>
      <c r="X598" s="379"/>
      <c r="Y598" s="379"/>
      <c r="Z598" s="379"/>
    </row>
    <row r="599" ht="12.75" customHeight="1">
      <c r="A599" s="379"/>
      <c r="B599" s="379"/>
      <c r="C599" s="379"/>
      <c r="D599" s="379"/>
      <c r="E599" s="379"/>
      <c r="F599" s="379"/>
      <c r="G599" s="379"/>
      <c r="H599" s="379"/>
      <c r="I599" s="379"/>
      <c r="J599" s="379"/>
      <c r="K599" s="379"/>
      <c r="L599" s="379"/>
      <c r="M599" s="379"/>
      <c r="N599" s="379"/>
      <c r="O599" s="379"/>
      <c r="P599" s="379"/>
      <c r="Q599" s="379"/>
      <c r="R599" s="379"/>
      <c r="S599" s="379"/>
      <c r="T599" s="379"/>
      <c r="U599" s="379"/>
      <c r="V599" s="379"/>
      <c r="W599" s="379"/>
      <c r="X599" s="379"/>
      <c r="Y599" s="379"/>
      <c r="Z599" s="379"/>
    </row>
    <row r="600" ht="12.75" customHeight="1">
      <c r="A600" s="379"/>
      <c r="B600" s="379"/>
      <c r="C600" s="379"/>
      <c r="D600" s="379"/>
      <c r="E600" s="379"/>
      <c r="F600" s="379"/>
      <c r="G600" s="379"/>
      <c r="H600" s="379"/>
      <c r="I600" s="379"/>
      <c r="J600" s="379"/>
      <c r="K600" s="379"/>
      <c r="L600" s="379"/>
      <c r="M600" s="379"/>
      <c r="N600" s="379"/>
      <c r="O600" s="379"/>
      <c r="P600" s="379"/>
      <c r="Q600" s="379"/>
      <c r="R600" s="379"/>
      <c r="S600" s="379"/>
      <c r="T600" s="379"/>
      <c r="U600" s="379"/>
      <c r="V600" s="379"/>
      <c r="W600" s="379"/>
      <c r="X600" s="379"/>
      <c r="Y600" s="379"/>
      <c r="Z600" s="379"/>
    </row>
    <row r="601" ht="12.75" customHeight="1">
      <c r="A601" s="379"/>
      <c r="B601" s="379"/>
      <c r="C601" s="379"/>
      <c r="D601" s="379"/>
      <c r="E601" s="379"/>
      <c r="F601" s="379"/>
      <c r="G601" s="379"/>
      <c r="H601" s="379"/>
      <c r="I601" s="379"/>
      <c r="J601" s="379"/>
      <c r="K601" s="379"/>
      <c r="L601" s="379"/>
      <c r="M601" s="379"/>
      <c r="N601" s="379"/>
      <c r="O601" s="379"/>
      <c r="P601" s="379"/>
      <c r="Q601" s="379"/>
      <c r="R601" s="379"/>
      <c r="S601" s="379"/>
      <c r="T601" s="379"/>
      <c r="U601" s="379"/>
      <c r="V601" s="379"/>
      <c r="W601" s="379"/>
      <c r="X601" s="379"/>
      <c r="Y601" s="379"/>
      <c r="Z601" s="379"/>
    </row>
    <row r="602" ht="12.75" customHeight="1">
      <c r="A602" s="379"/>
      <c r="B602" s="379"/>
      <c r="C602" s="379"/>
      <c r="D602" s="379"/>
      <c r="E602" s="379"/>
      <c r="F602" s="379"/>
      <c r="G602" s="379"/>
      <c r="H602" s="379"/>
      <c r="I602" s="379"/>
      <c r="J602" s="379"/>
      <c r="K602" s="379"/>
      <c r="L602" s="379"/>
      <c r="M602" s="379"/>
      <c r="N602" s="379"/>
      <c r="O602" s="379"/>
      <c r="P602" s="379"/>
      <c r="Q602" s="379"/>
      <c r="R602" s="379"/>
      <c r="S602" s="379"/>
      <c r="T602" s="379"/>
      <c r="U602" s="379"/>
      <c r="V602" s="379"/>
      <c r="W602" s="379"/>
      <c r="X602" s="379"/>
      <c r="Y602" s="379"/>
      <c r="Z602" s="379"/>
    </row>
    <row r="603" ht="12.75" customHeight="1">
      <c r="A603" s="379"/>
      <c r="B603" s="379"/>
      <c r="C603" s="379"/>
      <c r="D603" s="379"/>
      <c r="E603" s="379"/>
      <c r="F603" s="379"/>
      <c r="G603" s="379"/>
      <c r="H603" s="379"/>
      <c r="I603" s="379"/>
      <c r="J603" s="379"/>
      <c r="K603" s="379"/>
      <c r="L603" s="379"/>
      <c r="M603" s="379"/>
      <c r="N603" s="379"/>
      <c r="O603" s="379"/>
      <c r="P603" s="379"/>
      <c r="Q603" s="379"/>
      <c r="R603" s="379"/>
      <c r="S603" s="379"/>
      <c r="T603" s="379"/>
      <c r="U603" s="379"/>
      <c r="V603" s="379"/>
      <c r="W603" s="379"/>
      <c r="X603" s="379"/>
      <c r="Y603" s="379"/>
      <c r="Z603" s="379"/>
    </row>
    <row r="604" ht="12.75" customHeight="1">
      <c r="A604" s="379"/>
      <c r="B604" s="379"/>
      <c r="C604" s="379"/>
      <c r="D604" s="379"/>
      <c r="E604" s="379"/>
      <c r="F604" s="379"/>
      <c r="G604" s="379"/>
      <c r="H604" s="379"/>
      <c r="I604" s="379"/>
      <c r="J604" s="379"/>
      <c r="K604" s="379"/>
      <c r="L604" s="379"/>
      <c r="M604" s="379"/>
      <c r="N604" s="379"/>
      <c r="O604" s="379"/>
      <c r="P604" s="379"/>
      <c r="Q604" s="379"/>
      <c r="R604" s="379"/>
      <c r="S604" s="379"/>
      <c r="T604" s="379"/>
      <c r="U604" s="379"/>
      <c r="V604" s="379"/>
      <c r="W604" s="379"/>
      <c r="X604" s="379"/>
      <c r="Y604" s="379"/>
      <c r="Z604" s="379"/>
    </row>
    <row r="605" ht="12.75" customHeight="1">
      <c r="A605" s="379"/>
      <c r="B605" s="379"/>
      <c r="C605" s="379"/>
      <c r="D605" s="379"/>
      <c r="E605" s="379"/>
      <c r="F605" s="379"/>
      <c r="G605" s="379"/>
      <c r="H605" s="379"/>
      <c r="I605" s="379"/>
      <c r="J605" s="379"/>
      <c r="K605" s="379"/>
      <c r="L605" s="379"/>
      <c r="M605" s="379"/>
      <c r="N605" s="379"/>
      <c r="O605" s="379"/>
      <c r="P605" s="379"/>
      <c r="Q605" s="379"/>
      <c r="R605" s="379"/>
      <c r="S605" s="379"/>
      <c r="T605" s="379"/>
      <c r="U605" s="379"/>
      <c r="V605" s="379"/>
      <c r="W605" s="379"/>
      <c r="X605" s="379"/>
      <c r="Y605" s="379"/>
      <c r="Z605" s="379"/>
    </row>
    <row r="606" ht="12.75" customHeight="1">
      <c r="A606" s="379"/>
      <c r="B606" s="379"/>
      <c r="C606" s="379"/>
      <c r="D606" s="379"/>
      <c r="E606" s="379"/>
      <c r="F606" s="379"/>
      <c r="G606" s="379"/>
      <c r="H606" s="379"/>
      <c r="I606" s="379"/>
      <c r="J606" s="379"/>
      <c r="K606" s="379"/>
      <c r="L606" s="379"/>
      <c r="M606" s="379"/>
      <c r="N606" s="379"/>
      <c r="O606" s="379"/>
      <c r="P606" s="379"/>
      <c r="Q606" s="379"/>
      <c r="R606" s="379"/>
      <c r="S606" s="379"/>
      <c r="T606" s="379"/>
      <c r="U606" s="379"/>
      <c r="V606" s="379"/>
      <c r="W606" s="379"/>
      <c r="X606" s="379"/>
      <c r="Y606" s="379"/>
      <c r="Z606" s="379"/>
    </row>
    <row r="607" ht="12.75" customHeight="1">
      <c r="A607" s="379"/>
      <c r="B607" s="379"/>
      <c r="C607" s="379"/>
      <c r="D607" s="379"/>
      <c r="E607" s="379"/>
      <c r="F607" s="379"/>
      <c r="G607" s="379"/>
      <c r="H607" s="379"/>
      <c r="I607" s="379"/>
      <c r="J607" s="379"/>
      <c r="K607" s="379"/>
      <c r="L607" s="379"/>
      <c r="M607" s="379"/>
      <c r="N607" s="379"/>
      <c r="O607" s="379"/>
      <c r="P607" s="379"/>
      <c r="Q607" s="379"/>
      <c r="R607" s="379"/>
      <c r="S607" s="379"/>
      <c r="T607" s="379"/>
      <c r="U607" s="379"/>
      <c r="V607" s="379"/>
      <c r="W607" s="379"/>
      <c r="X607" s="379"/>
      <c r="Y607" s="379"/>
      <c r="Z607" s="379"/>
    </row>
    <row r="608" ht="12.75" customHeight="1">
      <c r="A608" s="379"/>
      <c r="B608" s="379"/>
      <c r="C608" s="379"/>
      <c r="D608" s="379"/>
      <c r="E608" s="379"/>
      <c r="F608" s="379"/>
      <c r="G608" s="379"/>
      <c r="H608" s="379"/>
      <c r="I608" s="379"/>
      <c r="J608" s="379"/>
      <c r="K608" s="379"/>
      <c r="L608" s="379"/>
      <c r="M608" s="379"/>
      <c r="N608" s="379"/>
      <c r="O608" s="379"/>
      <c r="P608" s="379"/>
      <c r="Q608" s="379"/>
      <c r="R608" s="379"/>
      <c r="S608" s="379"/>
      <c r="T608" s="379"/>
      <c r="U608" s="379"/>
      <c r="V608" s="379"/>
      <c r="W608" s="379"/>
      <c r="X608" s="379"/>
      <c r="Y608" s="379"/>
      <c r="Z608" s="379"/>
    </row>
    <row r="609" ht="12.75" customHeight="1">
      <c r="A609" s="379"/>
      <c r="B609" s="379"/>
      <c r="C609" s="379"/>
      <c r="D609" s="379"/>
      <c r="E609" s="379"/>
      <c r="F609" s="379"/>
      <c r="G609" s="379"/>
      <c r="H609" s="379"/>
      <c r="I609" s="379"/>
      <c r="J609" s="379"/>
      <c r="K609" s="379"/>
      <c r="L609" s="379"/>
      <c r="M609" s="379"/>
      <c r="N609" s="379"/>
      <c r="O609" s="379"/>
      <c r="P609" s="379"/>
      <c r="Q609" s="379"/>
      <c r="R609" s="379"/>
      <c r="S609" s="379"/>
      <c r="T609" s="379"/>
      <c r="U609" s="379"/>
      <c r="V609" s="379"/>
      <c r="W609" s="379"/>
      <c r="X609" s="379"/>
      <c r="Y609" s="379"/>
      <c r="Z609" s="379"/>
    </row>
    <row r="610" ht="12.75" customHeight="1">
      <c r="A610" s="379"/>
      <c r="B610" s="379"/>
      <c r="C610" s="379"/>
      <c r="D610" s="379"/>
      <c r="E610" s="379"/>
      <c r="F610" s="379"/>
      <c r="G610" s="379"/>
      <c r="H610" s="379"/>
      <c r="I610" s="379"/>
      <c r="J610" s="379"/>
      <c r="K610" s="379"/>
      <c r="L610" s="379"/>
      <c r="M610" s="379"/>
      <c r="N610" s="379"/>
      <c r="O610" s="379"/>
      <c r="P610" s="379"/>
      <c r="Q610" s="379"/>
      <c r="R610" s="379"/>
      <c r="S610" s="379"/>
      <c r="T610" s="379"/>
      <c r="U610" s="379"/>
      <c r="V610" s="379"/>
      <c r="W610" s="379"/>
      <c r="X610" s="379"/>
      <c r="Y610" s="379"/>
      <c r="Z610" s="379"/>
    </row>
    <row r="611" ht="12.75" customHeight="1">
      <c r="A611" s="379"/>
      <c r="B611" s="379"/>
      <c r="C611" s="379"/>
      <c r="D611" s="379"/>
      <c r="E611" s="379"/>
      <c r="F611" s="379"/>
      <c r="G611" s="379"/>
      <c r="H611" s="379"/>
      <c r="I611" s="379"/>
      <c r="J611" s="379"/>
      <c r="K611" s="379"/>
      <c r="L611" s="379"/>
      <c r="M611" s="379"/>
      <c r="N611" s="379"/>
      <c r="O611" s="379"/>
      <c r="P611" s="379"/>
      <c r="Q611" s="379"/>
      <c r="R611" s="379"/>
      <c r="S611" s="379"/>
      <c r="T611" s="379"/>
      <c r="U611" s="379"/>
      <c r="V611" s="379"/>
      <c r="W611" s="379"/>
      <c r="X611" s="379"/>
      <c r="Y611" s="379"/>
      <c r="Z611" s="379"/>
    </row>
    <row r="612" ht="12.75" customHeight="1">
      <c r="A612" s="379"/>
      <c r="B612" s="379"/>
      <c r="C612" s="379"/>
      <c r="D612" s="379"/>
      <c r="E612" s="379"/>
      <c r="F612" s="379"/>
      <c r="G612" s="379"/>
      <c r="H612" s="379"/>
      <c r="I612" s="379"/>
      <c r="J612" s="379"/>
      <c r="K612" s="379"/>
      <c r="L612" s="379"/>
      <c r="M612" s="379"/>
      <c r="N612" s="379"/>
      <c r="O612" s="379"/>
      <c r="P612" s="379"/>
      <c r="Q612" s="379"/>
      <c r="R612" s="379"/>
      <c r="S612" s="379"/>
      <c r="T612" s="379"/>
      <c r="U612" s="379"/>
      <c r="V612" s="379"/>
      <c r="W612" s="379"/>
      <c r="X612" s="379"/>
      <c r="Y612" s="379"/>
      <c r="Z612" s="379"/>
    </row>
    <row r="613" ht="12.75" customHeight="1">
      <c r="A613" s="379"/>
      <c r="B613" s="379"/>
      <c r="C613" s="379"/>
      <c r="D613" s="379"/>
      <c r="E613" s="379"/>
      <c r="F613" s="379"/>
      <c r="G613" s="379"/>
      <c r="H613" s="379"/>
      <c r="I613" s="379"/>
      <c r="J613" s="379"/>
      <c r="K613" s="379"/>
      <c r="L613" s="379"/>
      <c r="M613" s="379"/>
      <c r="N613" s="379"/>
      <c r="O613" s="379"/>
      <c r="P613" s="379"/>
      <c r="Q613" s="379"/>
      <c r="R613" s="379"/>
      <c r="S613" s="379"/>
      <c r="T613" s="379"/>
      <c r="U613" s="379"/>
      <c r="V613" s="379"/>
      <c r="W613" s="379"/>
      <c r="X613" s="379"/>
      <c r="Y613" s="379"/>
      <c r="Z613" s="379"/>
    </row>
    <row r="614" ht="12.75" customHeight="1">
      <c r="A614" s="379"/>
      <c r="B614" s="379"/>
      <c r="C614" s="379"/>
      <c r="D614" s="379"/>
      <c r="E614" s="379"/>
      <c r="F614" s="379"/>
      <c r="G614" s="379"/>
      <c r="H614" s="379"/>
      <c r="I614" s="379"/>
      <c r="J614" s="379"/>
      <c r="K614" s="379"/>
      <c r="L614" s="379"/>
      <c r="M614" s="379"/>
      <c r="N614" s="379"/>
      <c r="O614" s="379"/>
      <c r="P614" s="379"/>
      <c r="Q614" s="379"/>
      <c r="R614" s="379"/>
      <c r="S614" s="379"/>
      <c r="T614" s="379"/>
      <c r="U614" s="379"/>
      <c r="V614" s="379"/>
      <c r="W614" s="379"/>
      <c r="X614" s="379"/>
      <c r="Y614" s="379"/>
      <c r="Z614" s="379"/>
    </row>
    <row r="615" ht="12.75" customHeight="1">
      <c r="A615" s="379"/>
      <c r="B615" s="379"/>
      <c r="C615" s="379"/>
      <c r="D615" s="379"/>
      <c r="E615" s="379"/>
      <c r="F615" s="379"/>
      <c r="G615" s="379"/>
      <c r="H615" s="379"/>
      <c r="I615" s="379"/>
      <c r="J615" s="379"/>
      <c r="K615" s="379"/>
      <c r="L615" s="379"/>
      <c r="M615" s="379"/>
      <c r="N615" s="379"/>
      <c r="O615" s="379"/>
      <c r="P615" s="379"/>
      <c r="Q615" s="379"/>
      <c r="R615" s="379"/>
      <c r="S615" s="379"/>
      <c r="T615" s="379"/>
      <c r="U615" s="379"/>
      <c r="V615" s="379"/>
      <c r="W615" s="379"/>
      <c r="X615" s="379"/>
      <c r="Y615" s="379"/>
      <c r="Z615" s="379"/>
    </row>
    <row r="616" ht="12.75" customHeight="1">
      <c r="A616" s="379"/>
      <c r="B616" s="379"/>
      <c r="C616" s="379"/>
      <c r="D616" s="379"/>
      <c r="E616" s="379"/>
      <c r="F616" s="379"/>
      <c r="G616" s="379"/>
      <c r="H616" s="379"/>
      <c r="I616" s="379"/>
      <c r="J616" s="379"/>
      <c r="K616" s="379"/>
      <c r="L616" s="379"/>
      <c r="M616" s="379"/>
      <c r="N616" s="379"/>
      <c r="O616" s="379"/>
      <c r="P616" s="379"/>
      <c r="Q616" s="379"/>
      <c r="R616" s="379"/>
      <c r="S616" s="379"/>
      <c r="T616" s="379"/>
      <c r="U616" s="379"/>
      <c r="V616" s="379"/>
      <c r="W616" s="379"/>
      <c r="X616" s="379"/>
      <c r="Y616" s="379"/>
      <c r="Z616" s="379"/>
    </row>
    <row r="617" ht="12.75" customHeight="1">
      <c r="A617" s="379"/>
      <c r="B617" s="379"/>
      <c r="C617" s="379"/>
      <c r="D617" s="379"/>
      <c r="E617" s="379"/>
      <c r="F617" s="379"/>
      <c r="G617" s="379"/>
      <c r="H617" s="379"/>
      <c r="I617" s="379"/>
      <c r="J617" s="379"/>
      <c r="K617" s="379"/>
      <c r="L617" s="379"/>
      <c r="M617" s="379"/>
      <c r="N617" s="379"/>
      <c r="O617" s="379"/>
      <c r="P617" s="379"/>
      <c r="Q617" s="379"/>
      <c r="R617" s="379"/>
      <c r="S617" s="379"/>
      <c r="T617" s="379"/>
      <c r="U617" s="379"/>
      <c r="V617" s="379"/>
      <c r="W617" s="379"/>
      <c r="X617" s="379"/>
      <c r="Y617" s="379"/>
      <c r="Z617" s="379"/>
    </row>
    <row r="618" ht="12.75" customHeight="1">
      <c r="A618" s="379"/>
      <c r="B618" s="379"/>
      <c r="C618" s="379"/>
      <c r="D618" s="379"/>
      <c r="E618" s="379"/>
      <c r="F618" s="379"/>
      <c r="G618" s="379"/>
      <c r="H618" s="379"/>
      <c r="I618" s="379"/>
      <c r="J618" s="379"/>
      <c r="K618" s="379"/>
      <c r="L618" s="379"/>
      <c r="M618" s="379"/>
      <c r="N618" s="379"/>
      <c r="O618" s="379"/>
      <c r="P618" s="379"/>
      <c r="Q618" s="379"/>
      <c r="R618" s="379"/>
      <c r="S618" s="379"/>
      <c r="T618" s="379"/>
      <c r="U618" s="379"/>
      <c r="V618" s="379"/>
      <c r="W618" s="379"/>
      <c r="X618" s="379"/>
      <c r="Y618" s="379"/>
      <c r="Z618" s="379"/>
    </row>
    <row r="619" ht="12.75" customHeight="1">
      <c r="A619" s="379"/>
      <c r="B619" s="379"/>
      <c r="C619" s="379"/>
      <c r="D619" s="379"/>
      <c r="E619" s="379"/>
      <c r="F619" s="379"/>
      <c r="G619" s="379"/>
      <c r="H619" s="379"/>
      <c r="I619" s="379"/>
      <c r="J619" s="379"/>
      <c r="K619" s="379"/>
      <c r="L619" s="379"/>
      <c r="M619" s="379"/>
      <c r="N619" s="379"/>
      <c r="O619" s="379"/>
      <c r="P619" s="379"/>
      <c r="Q619" s="379"/>
      <c r="R619" s="379"/>
      <c r="S619" s="379"/>
      <c r="T619" s="379"/>
      <c r="U619" s="379"/>
      <c r="V619" s="379"/>
      <c r="W619" s="379"/>
      <c r="X619" s="379"/>
      <c r="Y619" s="379"/>
      <c r="Z619" s="379"/>
    </row>
    <row r="620" ht="12.75" customHeight="1">
      <c r="A620" s="379"/>
      <c r="B620" s="379"/>
      <c r="C620" s="379"/>
      <c r="D620" s="379"/>
      <c r="E620" s="379"/>
      <c r="F620" s="379"/>
      <c r="G620" s="379"/>
      <c r="H620" s="379"/>
      <c r="I620" s="379"/>
      <c r="J620" s="379"/>
      <c r="K620" s="379"/>
      <c r="L620" s="379"/>
      <c r="M620" s="379"/>
      <c r="N620" s="379"/>
      <c r="O620" s="379"/>
      <c r="P620" s="379"/>
      <c r="Q620" s="379"/>
      <c r="R620" s="379"/>
      <c r="S620" s="379"/>
      <c r="T620" s="379"/>
      <c r="U620" s="379"/>
      <c r="V620" s="379"/>
      <c r="W620" s="379"/>
      <c r="X620" s="379"/>
      <c r="Y620" s="379"/>
      <c r="Z620" s="379"/>
    </row>
    <row r="621" ht="12.75" customHeight="1">
      <c r="A621" s="379"/>
      <c r="B621" s="379"/>
      <c r="C621" s="379"/>
      <c r="D621" s="379"/>
      <c r="E621" s="379"/>
      <c r="F621" s="379"/>
      <c r="G621" s="379"/>
      <c r="H621" s="379"/>
      <c r="I621" s="379"/>
      <c r="J621" s="379"/>
      <c r="K621" s="379"/>
      <c r="L621" s="379"/>
      <c r="M621" s="379"/>
      <c r="N621" s="379"/>
      <c r="O621" s="379"/>
      <c r="P621" s="379"/>
      <c r="Q621" s="379"/>
      <c r="R621" s="379"/>
      <c r="S621" s="379"/>
      <c r="T621" s="379"/>
      <c r="U621" s="379"/>
      <c r="V621" s="379"/>
      <c r="W621" s="379"/>
      <c r="X621" s="379"/>
      <c r="Y621" s="379"/>
      <c r="Z621" s="379"/>
    </row>
    <row r="622" ht="12.75" customHeight="1">
      <c r="A622" s="379"/>
      <c r="B622" s="379"/>
      <c r="C622" s="379"/>
      <c r="D622" s="379"/>
      <c r="E622" s="379"/>
      <c r="F622" s="379"/>
      <c r="G622" s="379"/>
      <c r="H622" s="379"/>
      <c r="I622" s="379"/>
      <c r="J622" s="379"/>
      <c r="K622" s="379"/>
      <c r="L622" s="379"/>
      <c r="M622" s="379"/>
      <c r="N622" s="379"/>
      <c r="O622" s="379"/>
      <c r="P622" s="379"/>
      <c r="Q622" s="379"/>
      <c r="R622" s="379"/>
      <c r="S622" s="379"/>
      <c r="T622" s="379"/>
      <c r="U622" s="379"/>
      <c r="V622" s="379"/>
      <c r="W622" s="379"/>
      <c r="X622" s="379"/>
      <c r="Y622" s="379"/>
      <c r="Z622" s="379"/>
    </row>
    <row r="623" ht="12.75" customHeight="1">
      <c r="A623" s="379"/>
      <c r="B623" s="379"/>
      <c r="C623" s="379"/>
      <c r="D623" s="379"/>
      <c r="E623" s="379"/>
      <c r="F623" s="379"/>
      <c r="G623" s="379"/>
      <c r="H623" s="379"/>
      <c r="I623" s="379"/>
      <c r="J623" s="379"/>
      <c r="K623" s="379"/>
      <c r="L623" s="379"/>
      <c r="M623" s="379"/>
      <c r="N623" s="379"/>
      <c r="O623" s="379"/>
      <c r="P623" s="379"/>
      <c r="Q623" s="379"/>
      <c r="R623" s="379"/>
      <c r="S623" s="379"/>
      <c r="T623" s="379"/>
      <c r="U623" s="379"/>
      <c r="V623" s="379"/>
      <c r="W623" s="379"/>
      <c r="X623" s="379"/>
      <c r="Y623" s="379"/>
      <c r="Z623" s="379"/>
    </row>
    <row r="624" ht="12.75" customHeight="1">
      <c r="A624" s="379"/>
      <c r="B624" s="379"/>
      <c r="C624" s="379"/>
      <c r="D624" s="379"/>
      <c r="E624" s="379"/>
      <c r="F624" s="379"/>
      <c r="G624" s="379"/>
      <c r="H624" s="379"/>
      <c r="I624" s="379"/>
      <c r="J624" s="379"/>
      <c r="K624" s="379"/>
      <c r="L624" s="379"/>
      <c r="M624" s="379"/>
      <c r="N624" s="379"/>
      <c r="O624" s="379"/>
      <c r="P624" s="379"/>
      <c r="Q624" s="379"/>
      <c r="R624" s="379"/>
      <c r="S624" s="379"/>
      <c r="T624" s="379"/>
      <c r="U624" s="379"/>
      <c r="V624" s="379"/>
      <c r="W624" s="379"/>
      <c r="X624" s="379"/>
      <c r="Y624" s="379"/>
      <c r="Z624" s="379"/>
    </row>
    <row r="625" ht="12.75" customHeight="1">
      <c r="A625" s="379"/>
      <c r="B625" s="379"/>
      <c r="C625" s="379"/>
      <c r="D625" s="379"/>
      <c r="E625" s="379"/>
      <c r="F625" s="379"/>
      <c r="G625" s="379"/>
      <c r="H625" s="379"/>
      <c r="I625" s="379"/>
      <c r="J625" s="379"/>
      <c r="K625" s="379"/>
      <c r="L625" s="379"/>
      <c r="M625" s="379"/>
      <c r="N625" s="379"/>
      <c r="O625" s="379"/>
      <c r="P625" s="379"/>
      <c r="Q625" s="379"/>
      <c r="R625" s="379"/>
      <c r="S625" s="379"/>
      <c r="T625" s="379"/>
      <c r="U625" s="379"/>
      <c r="V625" s="379"/>
      <c r="W625" s="379"/>
      <c r="X625" s="379"/>
      <c r="Y625" s="379"/>
      <c r="Z625" s="379"/>
    </row>
    <row r="626" ht="12.75" customHeight="1">
      <c r="A626" s="379"/>
      <c r="B626" s="379"/>
      <c r="C626" s="379"/>
      <c r="D626" s="379"/>
      <c r="E626" s="379"/>
      <c r="F626" s="379"/>
      <c r="G626" s="379"/>
      <c r="H626" s="379"/>
      <c r="I626" s="379"/>
      <c r="J626" s="379"/>
      <c r="K626" s="379"/>
      <c r="L626" s="379"/>
      <c r="M626" s="379"/>
      <c r="N626" s="379"/>
      <c r="O626" s="379"/>
      <c r="P626" s="379"/>
      <c r="Q626" s="379"/>
      <c r="R626" s="379"/>
      <c r="S626" s="379"/>
      <c r="T626" s="379"/>
      <c r="U626" s="379"/>
      <c r="V626" s="379"/>
      <c r="W626" s="379"/>
      <c r="X626" s="379"/>
      <c r="Y626" s="379"/>
      <c r="Z626" s="379"/>
    </row>
    <row r="627" ht="12.75" customHeight="1">
      <c r="A627" s="379"/>
      <c r="B627" s="379"/>
      <c r="C627" s="379"/>
      <c r="D627" s="379"/>
      <c r="E627" s="379"/>
      <c r="F627" s="379"/>
      <c r="G627" s="379"/>
      <c r="H627" s="379"/>
      <c r="I627" s="379"/>
      <c r="J627" s="379"/>
      <c r="K627" s="379"/>
      <c r="L627" s="379"/>
      <c r="M627" s="379"/>
      <c r="N627" s="379"/>
      <c r="O627" s="379"/>
      <c r="P627" s="379"/>
      <c r="Q627" s="379"/>
      <c r="R627" s="379"/>
      <c r="S627" s="379"/>
      <c r="T627" s="379"/>
      <c r="U627" s="379"/>
      <c r="V627" s="379"/>
      <c r="W627" s="379"/>
      <c r="X627" s="379"/>
      <c r="Y627" s="379"/>
      <c r="Z627" s="379"/>
    </row>
    <row r="628" ht="12.75" customHeight="1">
      <c r="A628" s="379"/>
      <c r="B628" s="379"/>
      <c r="C628" s="379"/>
      <c r="D628" s="379"/>
      <c r="E628" s="379"/>
      <c r="F628" s="379"/>
      <c r="G628" s="379"/>
      <c r="H628" s="379"/>
      <c r="I628" s="379"/>
      <c r="J628" s="379"/>
      <c r="K628" s="379"/>
      <c r="L628" s="379"/>
      <c r="M628" s="379"/>
      <c r="N628" s="379"/>
      <c r="O628" s="379"/>
      <c r="P628" s="379"/>
      <c r="Q628" s="379"/>
      <c r="R628" s="379"/>
      <c r="S628" s="379"/>
      <c r="T628" s="379"/>
      <c r="U628" s="379"/>
      <c r="V628" s="379"/>
      <c r="W628" s="379"/>
      <c r="X628" s="379"/>
      <c r="Y628" s="379"/>
      <c r="Z628" s="379"/>
    </row>
    <row r="629" ht="12.75" customHeight="1">
      <c r="A629" s="379"/>
      <c r="B629" s="379"/>
      <c r="C629" s="379"/>
      <c r="D629" s="379"/>
      <c r="E629" s="379"/>
      <c r="F629" s="379"/>
      <c r="G629" s="379"/>
      <c r="H629" s="379"/>
      <c r="I629" s="379"/>
      <c r="J629" s="379"/>
      <c r="K629" s="379"/>
      <c r="L629" s="379"/>
      <c r="M629" s="379"/>
      <c r="N629" s="379"/>
      <c r="O629" s="379"/>
      <c r="P629" s="379"/>
      <c r="Q629" s="379"/>
      <c r="R629" s="379"/>
      <c r="S629" s="379"/>
      <c r="T629" s="379"/>
      <c r="U629" s="379"/>
      <c r="V629" s="379"/>
      <c r="W629" s="379"/>
      <c r="X629" s="379"/>
      <c r="Y629" s="379"/>
      <c r="Z629" s="379"/>
    </row>
    <row r="630" ht="12.75" customHeight="1">
      <c r="A630" s="379"/>
      <c r="B630" s="379"/>
      <c r="C630" s="379"/>
      <c r="D630" s="379"/>
      <c r="E630" s="379"/>
      <c r="F630" s="379"/>
      <c r="G630" s="379"/>
      <c r="H630" s="379"/>
      <c r="I630" s="379"/>
      <c r="J630" s="379"/>
      <c r="K630" s="379"/>
      <c r="L630" s="379"/>
      <c r="M630" s="379"/>
      <c r="N630" s="379"/>
      <c r="O630" s="379"/>
      <c r="P630" s="379"/>
      <c r="Q630" s="379"/>
      <c r="R630" s="379"/>
      <c r="S630" s="379"/>
      <c r="T630" s="379"/>
      <c r="U630" s="379"/>
      <c r="V630" s="379"/>
      <c r="W630" s="379"/>
      <c r="X630" s="379"/>
      <c r="Y630" s="379"/>
      <c r="Z630" s="379"/>
    </row>
    <row r="631" ht="12.75" customHeight="1">
      <c r="A631" s="379"/>
      <c r="B631" s="379"/>
      <c r="C631" s="379"/>
      <c r="D631" s="379"/>
      <c r="E631" s="379"/>
      <c r="F631" s="379"/>
      <c r="G631" s="379"/>
      <c r="H631" s="379"/>
      <c r="I631" s="379"/>
      <c r="J631" s="379"/>
      <c r="K631" s="379"/>
      <c r="L631" s="379"/>
      <c r="M631" s="379"/>
      <c r="N631" s="379"/>
      <c r="O631" s="379"/>
      <c r="P631" s="379"/>
      <c r="Q631" s="379"/>
      <c r="R631" s="379"/>
      <c r="S631" s="379"/>
      <c r="T631" s="379"/>
      <c r="U631" s="379"/>
      <c r="V631" s="379"/>
      <c r="W631" s="379"/>
      <c r="X631" s="379"/>
      <c r="Y631" s="379"/>
      <c r="Z631" s="379"/>
    </row>
    <row r="632" ht="12.75" customHeight="1">
      <c r="A632" s="379"/>
      <c r="B632" s="379"/>
      <c r="C632" s="379"/>
      <c r="D632" s="379"/>
      <c r="E632" s="379"/>
      <c r="F632" s="379"/>
      <c r="G632" s="379"/>
      <c r="H632" s="379"/>
      <c r="I632" s="379"/>
      <c r="J632" s="379"/>
      <c r="K632" s="379"/>
      <c r="L632" s="379"/>
      <c r="M632" s="379"/>
      <c r="N632" s="379"/>
      <c r="O632" s="379"/>
      <c r="P632" s="379"/>
      <c r="Q632" s="379"/>
      <c r="R632" s="379"/>
      <c r="S632" s="379"/>
      <c r="T632" s="379"/>
      <c r="U632" s="379"/>
      <c r="V632" s="379"/>
      <c r="W632" s="379"/>
      <c r="X632" s="379"/>
      <c r="Y632" s="379"/>
      <c r="Z632" s="379"/>
    </row>
    <row r="633" ht="12.75" customHeight="1">
      <c r="A633" s="379"/>
      <c r="B633" s="379"/>
      <c r="C633" s="379"/>
      <c r="D633" s="379"/>
      <c r="E633" s="379"/>
      <c r="F633" s="379"/>
      <c r="G633" s="379"/>
      <c r="H633" s="379"/>
      <c r="I633" s="379"/>
      <c r="J633" s="379"/>
      <c r="K633" s="379"/>
      <c r="L633" s="379"/>
      <c r="M633" s="379"/>
      <c r="N633" s="379"/>
      <c r="O633" s="379"/>
      <c r="P633" s="379"/>
      <c r="Q633" s="379"/>
      <c r="R633" s="379"/>
      <c r="S633" s="379"/>
      <c r="T633" s="379"/>
      <c r="U633" s="379"/>
      <c r="V633" s="379"/>
      <c r="W633" s="379"/>
      <c r="X633" s="379"/>
      <c r="Y633" s="379"/>
      <c r="Z633" s="379"/>
    </row>
    <row r="634" ht="12.75" customHeight="1">
      <c r="A634" s="379"/>
      <c r="B634" s="379"/>
      <c r="C634" s="379"/>
      <c r="D634" s="379"/>
      <c r="E634" s="379"/>
      <c r="F634" s="379"/>
      <c r="G634" s="379"/>
      <c r="H634" s="379"/>
      <c r="I634" s="379"/>
      <c r="J634" s="379"/>
      <c r="K634" s="379"/>
      <c r="L634" s="379"/>
      <c r="M634" s="379"/>
      <c r="N634" s="379"/>
      <c r="O634" s="379"/>
      <c r="P634" s="379"/>
      <c r="Q634" s="379"/>
      <c r="R634" s="379"/>
      <c r="S634" s="379"/>
      <c r="T634" s="379"/>
      <c r="U634" s="379"/>
      <c r="V634" s="379"/>
      <c r="W634" s="379"/>
      <c r="X634" s="379"/>
      <c r="Y634" s="379"/>
      <c r="Z634" s="379"/>
    </row>
    <row r="635" ht="12.75" customHeight="1">
      <c r="A635" s="379"/>
      <c r="B635" s="379"/>
      <c r="C635" s="379"/>
      <c r="D635" s="379"/>
      <c r="E635" s="379"/>
      <c r="F635" s="379"/>
      <c r="G635" s="379"/>
      <c r="H635" s="379"/>
      <c r="I635" s="379"/>
      <c r="J635" s="379"/>
      <c r="K635" s="379"/>
      <c r="L635" s="379"/>
      <c r="M635" s="379"/>
      <c r="N635" s="379"/>
      <c r="O635" s="379"/>
      <c r="P635" s="379"/>
      <c r="Q635" s="379"/>
      <c r="R635" s="379"/>
      <c r="S635" s="379"/>
      <c r="T635" s="379"/>
      <c r="U635" s="379"/>
      <c r="V635" s="379"/>
      <c r="W635" s="379"/>
      <c r="X635" s="379"/>
      <c r="Y635" s="379"/>
      <c r="Z635" s="379"/>
    </row>
    <row r="636" ht="12.75" customHeight="1">
      <c r="A636" s="379"/>
      <c r="B636" s="379"/>
      <c r="C636" s="379"/>
      <c r="D636" s="379"/>
      <c r="E636" s="379"/>
      <c r="F636" s="379"/>
      <c r="G636" s="379"/>
      <c r="H636" s="379"/>
      <c r="I636" s="379"/>
      <c r="J636" s="379"/>
      <c r="K636" s="379"/>
      <c r="L636" s="379"/>
      <c r="M636" s="379"/>
      <c r="N636" s="379"/>
      <c r="O636" s="379"/>
      <c r="P636" s="379"/>
      <c r="Q636" s="379"/>
      <c r="R636" s="379"/>
      <c r="S636" s="379"/>
      <c r="T636" s="379"/>
      <c r="U636" s="379"/>
      <c r="V636" s="379"/>
      <c r="W636" s="379"/>
      <c r="X636" s="379"/>
      <c r="Y636" s="379"/>
      <c r="Z636" s="379"/>
    </row>
    <row r="637" ht="12.75" customHeight="1">
      <c r="A637" s="379"/>
      <c r="B637" s="379"/>
      <c r="C637" s="379"/>
      <c r="D637" s="379"/>
      <c r="E637" s="379"/>
      <c r="F637" s="379"/>
      <c r="G637" s="379"/>
      <c r="H637" s="379"/>
      <c r="I637" s="379"/>
      <c r="J637" s="379"/>
      <c r="K637" s="379"/>
      <c r="L637" s="379"/>
      <c r="M637" s="379"/>
      <c r="N637" s="379"/>
      <c r="O637" s="379"/>
      <c r="P637" s="379"/>
      <c r="Q637" s="379"/>
      <c r="R637" s="379"/>
      <c r="S637" s="379"/>
      <c r="T637" s="379"/>
      <c r="U637" s="379"/>
      <c r="V637" s="379"/>
      <c r="W637" s="379"/>
      <c r="X637" s="379"/>
      <c r="Y637" s="379"/>
      <c r="Z637" s="379"/>
    </row>
    <row r="638" ht="12.75" customHeight="1">
      <c r="A638" s="379"/>
      <c r="B638" s="379"/>
      <c r="C638" s="379"/>
      <c r="D638" s="379"/>
      <c r="E638" s="379"/>
      <c r="F638" s="379"/>
      <c r="G638" s="379"/>
      <c r="H638" s="379"/>
      <c r="I638" s="379"/>
      <c r="J638" s="379"/>
      <c r="K638" s="379"/>
      <c r="L638" s="379"/>
      <c r="M638" s="379"/>
      <c r="N638" s="379"/>
      <c r="O638" s="379"/>
      <c r="P638" s="379"/>
      <c r="Q638" s="379"/>
      <c r="R638" s="379"/>
      <c r="S638" s="379"/>
      <c r="T638" s="379"/>
      <c r="U638" s="379"/>
      <c r="V638" s="379"/>
      <c r="W638" s="379"/>
      <c r="X638" s="379"/>
      <c r="Y638" s="379"/>
      <c r="Z638" s="379"/>
    </row>
    <row r="639" ht="12.75" customHeight="1">
      <c r="A639" s="379"/>
      <c r="B639" s="379"/>
      <c r="C639" s="379"/>
      <c r="D639" s="379"/>
      <c r="E639" s="379"/>
      <c r="F639" s="379"/>
      <c r="G639" s="379"/>
      <c r="H639" s="379"/>
      <c r="I639" s="379"/>
      <c r="J639" s="379"/>
      <c r="K639" s="379"/>
      <c r="L639" s="379"/>
      <c r="M639" s="379"/>
      <c r="N639" s="379"/>
      <c r="O639" s="379"/>
      <c r="P639" s="379"/>
      <c r="Q639" s="379"/>
      <c r="R639" s="379"/>
      <c r="S639" s="379"/>
      <c r="T639" s="379"/>
      <c r="U639" s="379"/>
      <c r="V639" s="379"/>
      <c r="W639" s="379"/>
      <c r="X639" s="379"/>
      <c r="Y639" s="379"/>
      <c r="Z639" s="379"/>
    </row>
    <row r="640" ht="12.75" customHeight="1">
      <c r="A640" s="379"/>
      <c r="B640" s="379"/>
      <c r="C640" s="379"/>
      <c r="D640" s="379"/>
      <c r="E640" s="379"/>
      <c r="F640" s="379"/>
      <c r="G640" s="379"/>
      <c r="H640" s="379"/>
      <c r="I640" s="379"/>
      <c r="J640" s="379"/>
      <c r="K640" s="379"/>
      <c r="L640" s="379"/>
      <c r="M640" s="379"/>
      <c r="N640" s="379"/>
      <c r="O640" s="379"/>
      <c r="P640" s="379"/>
      <c r="Q640" s="379"/>
      <c r="R640" s="379"/>
      <c r="S640" s="379"/>
      <c r="T640" s="379"/>
      <c r="U640" s="379"/>
      <c r="V640" s="379"/>
      <c r="W640" s="379"/>
      <c r="X640" s="379"/>
      <c r="Y640" s="379"/>
      <c r="Z640" s="379"/>
    </row>
    <row r="641" ht="12.75" customHeight="1">
      <c r="A641" s="379"/>
      <c r="B641" s="379"/>
      <c r="C641" s="379"/>
      <c r="D641" s="379"/>
      <c r="E641" s="379"/>
      <c r="F641" s="379"/>
      <c r="G641" s="379"/>
      <c r="H641" s="379"/>
      <c r="I641" s="379"/>
      <c r="J641" s="379"/>
      <c r="K641" s="379"/>
      <c r="L641" s="379"/>
      <c r="M641" s="379"/>
      <c r="N641" s="379"/>
      <c r="O641" s="379"/>
      <c r="P641" s="379"/>
      <c r="Q641" s="379"/>
      <c r="R641" s="379"/>
      <c r="S641" s="379"/>
      <c r="T641" s="379"/>
      <c r="U641" s="379"/>
      <c r="V641" s="379"/>
      <c r="W641" s="379"/>
      <c r="X641" s="379"/>
      <c r="Y641" s="379"/>
      <c r="Z641" s="379"/>
    </row>
    <row r="642" ht="12.75" customHeight="1">
      <c r="A642" s="379"/>
      <c r="B642" s="379"/>
      <c r="C642" s="379"/>
      <c r="D642" s="379"/>
      <c r="E642" s="379"/>
      <c r="F642" s="379"/>
      <c r="G642" s="379"/>
      <c r="H642" s="379"/>
      <c r="I642" s="379"/>
      <c r="J642" s="379"/>
      <c r="K642" s="379"/>
      <c r="L642" s="379"/>
      <c r="M642" s="379"/>
      <c r="N642" s="379"/>
      <c r="O642" s="379"/>
      <c r="P642" s="379"/>
      <c r="Q642" s="379"/>
      <c r="R642" s="379"/>
      <c r="S642" s="379"/>
      <c r="T642" s="379"/>
      <c r="U642" s="379"/>
      <c r="V642" s="379"/>
      <c r="W642" s="379"/>
      <c r="X642" s="379"/>
      <c r="Y642" s="379"/>
      <c r="Z642" s="379"/>
    </row>
    <row r="643" ht="12.75" customHeight="1">
      <c r="A643" s="379"/>
      <c r="B643" s="379"/>
      <c r="C643" s="379"/>
      <c r="D643" s="379"/>
      <c r="E643" s="379"/>
      <c r="F643" s="379"/>
      <c r="G643" s="379"/>
      <c r="H643" s="379"/>
      <c r="I643" s="379"/>
      <c r="J643" s="379"/>
      <c r="K643" s="379"/>
      <c r="L643" s="379"/>
      <c r="M643" s="379"/>
      <c r="N643" s="379"/>
      <c r="O643" s="379"/>
      <c r="P643" s="379"/>
      <c r="Q643" s="379"/>
      <c r="R643" s="379"/>
      <c r="S643" s="379"/>
      <c r="T643" s="379"/>
      <c r="U643" s="379"/>
      <c r="V643" s="379"/>
      <c r="W643" s="379"/>
      <c r="X643" s="379"/>
      <c r="Y643" s="379"/>
      <c r="Z643" s="379"/>
    </row>
    <row r="644" ht="12.75" customHeight="1">
      <c r="A644" s="379"/>
      <c r="B644" s="379"/>
      <c r="C644" s="379"/>
      <c r="D644" s="379"/>
      <c r="E644" s="379"/>
      <c r="F644" s="379"/>
      <c r="G644" s="379"/>
      <c r="H644" s="379"/>
      <c r="I644" s="379"/>
      <c r="J644" s="379"/>
      <c r="K644" s="379"/>
      <c r="L644" s="379"/>
      <c r="M644" s="379"/>
      <c r="N644" s="379"/>
      <c r="O644" s="379"/>
      <c r="P644" s="379"/>
      <c r="Q644" s="379"/>
      <c r="R644" s="379"/>
      <c r="S644" s="379"/>
      <c r="T644" s="379"/>
      <c r="U644" s="379"/>
      <c r="V644" s="379"/>
      <c r="W644" s="379"/>
      <c r="X644" s="379"/>
      <c r="Y644" s="379"/>
      <c r="Z644" s="379"/>
    </row>
    <row r="645" ht="12.75" customHeight="1">
      <c r="A645" s="379"/>
      <c r="B645" s="379"/>
      <c r="C645" s="379"/>
      <c r="D645" s="379"/>
      <c r="E645" s="379"/>
      <c r="F645" s="379"/>
      <c r="G645" s="379"/>
      <c r="H645" s="379"/>
      <c r="I645" s="379"/>
      <c r="J645" s="379"/>
      <c r="K645" s="379"/>
      <c r="L645" s="379"/>
      <c r="M645" s="379"/>
      <c r="N645" s="379"/>
      <c r="O645" s="379"/>
      <c r="P645" s="379"/>
      <c r="Q645" s="379"/>
      <c r="R645" s="379"/>
      <c r="S645" s="379"/>
      <c r="T645" s="379"/>
      <c r="U645" s="379"/>
      <c r="V645" s="379"/>
      <c r="W645" s="379"/>
      <c r="X645" s="379"/>
      <c r="Y645" s="379"/>
      <c r="Z645" s="379"/>
    </row>
    <row r="646" ht="12.75" customHeight="1">
      <c r="A646" s="379"/>
      <c r="B646" s="379"/>
      <c r="C646" s="379"/>
      <c r="D646" s="379"/>
      <c r="E646" s="379"/>
      <c r="F646" s="379"/>
      <c r="G646" s="379"/>
      <c r="H646" s="379"/>
      <c r="I646" s="379"/>
      <c r="J646" s="379"/>
      <c r="K646" s="379"/>
      <c r="L646" s="379"/>
      <c r="M646" s="379"/>
      <c r="N646" s="379"/>
      <c r="O646" s="379"/>
      <c r="P646" s="379"/>
      <c r="Q646" s="379"/>
      <c r="R646" s="379"/>
      <c r="S646" s="379"/>
      <c r="T646" s="379"/>
      <c r="U646" s="379"/>
      <c r="V646" s="379"/>
      <c r="W646" s="379"/>
      <c r="X646" s="379"/>
      <c r="Y646" s="379"/>
      <c r="Z646" s="379"/>
    </row>
    <row r="647" ht="12.75" customHeight="1">
      <c r="A647" s="379"/>
      <c r="B647" s="379"/>
      <c r="C647" s="379"/>
      <c r="D647" s="379"/>
      <c r="E647" s="379"/>
      <c r="F647" s="379"/>
      <c r="G647" s="379"/>
      <c r="H647" s="379"/>
      <c r="I647" s="379"/>
      <c r="J647" s="379"/>
      <c r="K647" s="379"/>
      <c r="L647" s="379"/>
      <c r="M647" s="379"/>
      <c r="N647" s="379"/>
      <c r="O647" s="379"/>
      <c r="P647" s="379"/>
      <c r="Q647" s="379"/>
      <c r="R647" s="379"/>
      <c r="S647" s="379"/>
      <c r="T647" s="379"/>
      <c r="U647" s="379"/>
      <c r="V647" s="379"/>
      <c r="W647" s="379"/>
      <c r="X647" s="379"/>
      <c r="Y647" s="379"/>
      <c r="Z647" s="379"/>
    </row>
    <row r="648" ht="12.75" customHeight="1">
      <c r="A648" s="379"/>
      <c r="B648" s="379"/>
      <c r="C648" s="379"/>
      <c r="D648" s="379"/>
      <c r="E648" s="379"/>
      <c r="F648" s="379"/>
      <c r="G648" s="379"/>
      <c r="H648" s="379"/>
      <c r="I648" s="379"/>
      <c r="J648" s="379"/>
      <c r="K648" s="379"/>
      <c r="L648" s="379"/>
      <c r="M648" s="379"/>
      <c r="N648" s="379"/>
      <c r="O648" s="379"/>
      <c r="P648" s="379"/>
      <c r="Q648" s="379"/>
      <c r="R648" s="379"/>
      <c r="S648" s="379"/>
      <c r="T648" s="379"/>
      <c r="U648" s="379"/>
      <c r="V648" s="379"/>
      <c r="W648" s="379"/>
      <c r="X648" s="379"/>
      <c r="Y648" s="379"/>
      <c r="Z648" s="379"/>
    </row>
    <row r="649" ht="12.75" customHeight="1">
      <c r="A649" s="379"/>
      <c r="B649" s="379"/>
      <c r="C649" s="379"/>
      <c r="D649" s="379"/>
      <c r="E649" s="379"/>
      <c r="F649" s="379"/>
      <c r="G649" s="379"/>
      <c r="H649" s="379"/>
      <c r="I649" s="379"/>
      <c r="J649" s="379"/>
      <c r="K649" s="379"/>
      <c r="L649" s="379"/>
      <c r="M649" s="379"/>
      <c r="N649" s="379"/>
      <c r="O649" s="379"/>
      <c r="P649" s="379"/>
      <c r="Q649" s="379"/>
      <c r="R649" s="379"/>
      <c r="S649" s="379"/>
      <c r="T649" s="379"/>
      <c r="U649" s="379"/>
      <c r="V649" s="379"/>
      <c r="W649" s="379"/>
      <c r="X649" s="379"/>
      <c r="Y649" s="379"/>
      <c r="Z649" s="379"/>
    </row>
    <row r="650" ht="12.75" customHeight="1">
      <c r="A650" s="379"/>
      <c r="B650" s="379"/>
      <c r="C650" s="379"/>
      <c r="D650" s="379"/>
      <c r="E650" s="379"/>
      <c r="F650" s="379"/>
      <c r="G650" s="379"/>
      <c r="H650" s="379"/>
      <c r="I650" s="379"/>
      <c r="J650" s="379"/>
      <c r="K650" s="379"/>
      <c r="L650" s="379"/>
      <c r="M650" s="379"/>
      <c r="N650" s="379"/>
      <c r="O650" s="379"/>
      <c r="P650" s="379"/>
      <c r="Q650" s="379"/>
      <c r="R650" s="379"/>
      <c r="S650" s="379"/>
      <c r="T650" s="379"/>
      <c r="U650" s="379"/>
      <c r="V650" s="379"/>
      <c r="W650" s="379"/>
      <c r="X650" s="379"/>
      <c r="Y650" s="379"/>
      <c r="Z650" s="379"/>
    </row>
    <row r="651" ht="12.75" customHeight="1">
      <c r="A651" s="379"/>
      <c r="B651" s="379"/>
      <c r="C651" s="379"/>
      <c r="D651" s="379"/>
      <c r="E651" s="379"/>
      <c r="F651" s="379"/>
      <c r="G651" s="379"/>
      <c r="H651" s="379"/>
      <c r="I651" s="379"/>
      <c r="J651" s="379"/>
      <c r="K651" s="379"/>
      <c r="L651" s="379"/>
      <c r="M651" s="379"/>
      <c r="N651" s="379"/>
      <c r="O651" s="379"/>
      <c r="P651" s="379"/>
      <c r="Q651" s="379"/>
      <c r="R651" s="379"/>
      <c r="S651" s="379"/>
      <c r="T651" s="379"/>
      <c r="U651" s="379"/>
      <c r="V651" s="379"/>
      <c r="W651" s="379"/>
      <c r="X651" s="379"/>
      <c r="Y651" s="379"/>
      <c r="Z651" s="379"/>
    </row>
    <row r="652" ht="12.75" customHeight="1">
      <c r="A652" s="379"/>
      <c r="B652" s="379"/>
      <c r="C652" s="379"/>
      <c r="D652" s="379"/>
      <c r="E652" s="379"/>
      <c r="F652" s="379"/>
      <c r="G652" s="379"/>
      <c r="H652" s="379"/>
      <c r="I652" s="379"/>
      <c r="J652" s="379"/>
      <c r="K652" s="379"/>
      <c r="L652" s="379"/>
      <c r="M652" s="379"/>
      <c r="N652" s="379"/>
      <c r="O652" s="379"/>
      <c r="P652" s="379"/>
      <c r="Q652" s="379"/>
      <c r="R652" s="379"/>
      <c r="S652" s="379"/>
      <c r="T652" s="379"/>
      <c r="U652" s="379"/>
      <c r="V652" s="379"/>
      <c r="W652" s="379"/>
      <c r="X652" s="379"/>
      <c r="Y652" s="379"/>
      <c r="Z652" s="379"/>
    </row>
    <row r="653" ht="12.75" customHeight="1">
      <c r="A653" s="379"/>
      <c r="B653" s="379"/>
      <c r="C653" s="379"/>
      <c r="D653" s="379"/>
      <c r="E653" s="379"/>
      <c r="F653" s="379"/>
      <c r="G653" s="379"/>
      <c r="H653" s="379"/>
      <c r="I653" s="379"/>
      <c r="J653" s="379"/>
      <c r="K653" s="379"/>
      <c r="L653" s="379"/>
      <c r="M653" s="379"/>
      <c r="N653" s="379"/>
      <c r="O653" s="379"/>
      <c r="P653" s="379"/>
      <c r="Q653" s="379"/>
      <c r="R653" s="379"/>
      <c r="S653" s="379"/>
      <c r="T653" s="379"/>
      <c r="U653" s="379"/>
      <c r="V653" s="379"/>
      <c r="W653" s="379"/>
      <c r="X653" s="379"/>
      <c r="Y653" s="379"/>
      <c r="Z653" s="379"/>
    </row>
    <row r="654" ht="12.75" customHeight="1">
      <c r="A654" s="379"/>
      <c r="B654" s="379"/>
      <c r="C654" s="379"/>
      <c r="D654" s="379"/>
      <c r="E654" s="379"/>
      <c r="F654" s="379"/>
      <c r="G654" s="379"/>
      <c r="H654" s="379"/>
      <c r="I654" s="379"/>
      <c r="J654" s="379"/>
      <c r="K654" s="379"/>
      <c r="L654" s="379"/>
      <c r="M654" s="379"/>
      <c r="N654" s="379"/>
      <c r="O654" s="379"/>
      <c r="P654" s="379"/>
      <c r="Q654" s="379"/>
      <c r="R654" s="379"/>
      <c r="S654" s="379"/>
      <c r="T654" s="379"/>
      <c r="U654" s="379"/>
      <c r="V654" s="379"/>
      <c r="W654" s="379"/>
      <c r="X654" s="379"/>
      <c r="Y654" s="379"/>
      <c r="Z654" s="379"/>
    </row>
    <row r="655" ht="12.75" customHeight="1">
      <c r="A655" s="379"/>
      <c r="B655" s="379"/>
      <c r="C655" s="379"/>
      <c r="D655" s="379"/>
      <c r="E655" s="379"/>
      <c r="F655" s="379"/>
      <c r="G655" s="379"/>
      <c r="H655" s="379"/>
      <c r="I655" s="379"/>
      <c r="J655" s="379"/>
      <c r="K655" s="379"/>
      <c r="L655" s="379"/>
      <c r="M655" s="379"/>
      <c r="N655" s="379"/>
      <c r="O655" s="379"/>
      <c r="P655" s="379"/>
      <c r="Q655" s="379"/>
      <c r="R655" s="379"/>
      <c r="S655" s="379"/>
      <c r="T655" s="379"/>
      <c r="U655" s="379"/>
      <c r="V655" s="379"/>
      <c r="W655" s="379"/>
      <c r="X655" s="379"/>
      <c r="Y655" s="379"/>
      <c r="Z655" s="379"/>
    </row>
    <row r="656" ht="12.75" customHeight="1">
      <c r="A656" s="379"/>
      <c r="B656" s="379"/>
      <c r="C656" s="379"/>
      <c r="D656" s="379"/>
      <c r="E656" s="379"/>
      <c r="F656" s="379"/>
      <c r="G656" s="379"/>
      <c r="H656" s="379"/>
      <c r="I656" s="379"/>
      <c r="J656" s="379"/>
      <c r="K656" s="379"/>
      <c r="L656" s="379"/>
      <c r="M656" s="379"/>
      <c r="N656" s="379"/>
      <c r="O656" s="379"/>
      <c r="P656" s="379"/>
      <c r="Q656" s="379"/>
      <c r="R656" s="379"/>
      <c r="S656" s="379"/>
      <c r="T656" s="379"/>
      <c r="U656" s="379"/>
      <c r="V656" s="379"/>
      <c r="W656" s="379"/>
      <c r="X656" s="379"/>
      <c r="Y656" s="379"/>
      <c r="Z656" s="379"/>
    </row>
    <row r="657" ht="12.75" customHeight="1">
      <c r="A657" s="379"/>
      <c r="B657" s="379"/>
      <c r="C657" s="379"/>
      <c r="D657" s="379"/>
      <c r="E657" s="379"/>
      <c r="F657" s="379"/>
      <c r="G657" s="379"/>
      <c r="H657" s="379"/>
      <c r="I657" s="379"/>
      <c r="J657" s="379"/>
      <c r="K657" s="379"/>
      <c r="L657" s="379"/>
      <c r="M657" s="379"/>
      <c r="N657" s="379"/>
      <c r="O657" s="379"/>
      <c r="P657" s="379"/>
      <c r="Q657" s="379"/>
      <c r="R657" s="379"/>
      <c r="S657" s="379"/>
      <c r="T657" s="379"/>
      <c r="U657" s="379"/>
      <c r="V657" s="379"/>
      <c r="W657" s="379"/>
      <c r="X657" s="379"/>
      <c r="Y657" s="379"/>
      <c r="Z657" s="379"/>
    </row>
    <row r="658" ht="12.75" customHeight="1">
      <c r="A658" s="379"/>
      <c r="B658" s="379"/>
      <c r="C658" s="379"/>
      <c r="D658" s="379"/>
      <c r="E658" s="379"/>
      <c r="F658" s="379"/>
      <c r="G658" s="379"/>
      <c r="H658" s="379"/>
      <c r="I658" s="379"/>
      <c r="J658" s="379"/>
      <c r="K658" s="379"/>
      <c r="L658" s="379"/>
      <c r="M658" s="379"/>
      <c r="N658" s="379"/>
      <c r="O658" s="379"/>
      <c r="P658" s="379"/>
      <c r="Q658" s="379"/>
      <c r="R658" s="379"/>
      <c r="S658" s="379"/>
      <c r="T658" s="379"/>
      <c r="U658" s="379"/>
      <c r="V658" s="379"/>
      <c r="W658" s="379"/>
      <c r="X658" s="379"/>
      <c r="Y658" s="379"/>
      <c r="Z658" s="379"/>
    </row>
    <row r="659" ht="12.75" customHeight="1">
      <c r="A659" s="379"/>
      <c r="B659" s="379"/>
      <c r="C659" s="379"/>
      <c r="D659" s="379"/>
      <c r="E659" s="379"/>
      <c r="F659" s="379"/>
      <c r="G659" s="379"/>
      <c r="H659" s="379"/>
      <c r="I659" s="379"/>
      <c r="J659" s="379"/>
      <c r="K659" s="379"/>
      <c r="L659" s="379"/>
      <c r="M659" s="379"/>
      <c r="N659" s="379"/>
      <c r="O659" s="379"/>
      <c r="P659" s="379"/>
      <c r="Q659" s="379"/>
      <c r="R659" s="379"/>
      <c r="S659" s="379"/>
      <c r="T659" s="379"/>
      <c r="U659" s="379"/>
      <c r="V659" s="379"/>
      <c r="W659" s="379"/>
      <c r="X659" s="379"/>
      <c r="Y659" s="379"/>
      <c r="Z659" s="379"/>
    </row>
    <row r="660" ht="12.75" customHeight="1">
      <c r="A660" s="379"/>
      <c r="B660" s="379"/>
      <c r="C660" s="379"/>
      <c r="D660" s="379"/>
      <c r="E660" s="379"/>
      <c r="F660" s="379"/>
      <c r="G660" s="379"/>
      <c r="H660" s="379"/>
      <c r="I660" s="379"/>
      <c r="J660" s="379"/>
      <c r="K660" s="379"/>
      <c r="L660" s="379"/>
      <c r="M660" s="379"/>
      <c r="N660" s="379"/>
      <c r="O660" s="379"/>
      <c r="P660" s="379"/>
      <c r="Q660" s="379"/>
      <c r="R660" s="379"/>
      <c r="S660" s="379"/>
      <c r="T660" s="379"/>
      <c r="U660" s="379"/>
      <c r="V660" s="379"/>
      <c r="W660" s="379"/>
      <c r="X660" s="379"/>
      <c r="Y660" s="379"/>
      <c r="Z660" s="379"/>
    </row>
    <row r="661" ht="12.75" customHeight="1">
      <c r="A661" s="379"/>
      <c r="B661" s="379"/>
      <c r="C661" s="379"/>
      <c r="D661" s="379"/>
      <c r="E661" s="379"/>
      <c r="F661" s="379"/>
      <c r="G661" s="379"/>
      <c r="H661" s="379"/>
      <c r="I661" s="379"/>
      <c r="J661" s="379"/>
      <c r="K661" s="379"/>
      <c r="L661" s="379"/>
      <c r="M661" s="379"/>
      <c r="N661" s="379"/>
      <c r="O661" s="379"/>
      <c r="P661" s="379"/>
      <c r="Q661" s="379"/>
      <c r="R661" s="379"/>
      <c r="S661" s="379"/>
      <c r="T661" s="379"/>
      <c r="U661" s="379"/>
      <c r="V661" s="379"/>
      <c r="W661" s="379"/>
      <c r="X661" s="379"/>
      <c r="Y661" s="379"/>
      <c r="Z661" s="379"/>
    </row>
    <row r="662" ht="12.75" customHeight="1">
      <c r="A662" s="379"/>
      <c r="B662" s="379"/>
      <c r="C662" s="379"/>
      <c r="D662" s="379"/>
      <c r="E662" s="379"/>
      <c r="F662" s="379"/>
      <c r="G662" s="379"/>
      <c r="H662" s="379"/>
      <c r="I662" s="379"/>
      <c r="J662" s="379"/>
      <c r="K662" s="379"/>
      <c r="L662" s="379"/>
      <c r="M662" s="379"/>
      <c r="N662" s="379"/>
      <c r="O662" s="379"/>
      <c r="P662" s="379"/>
      <c r="Q662" s="379"/>
      <c r="R662" s="379"/>
      <c r="S662" s="379"/>
      <c r="T662" s="379"/>
      <c r="U662" s="379"/>
      <c r="V662" s="379"/>
      <c r="W662" s="379"/>
      <c r="X662" s="379"/>
      <c r="Y662" s="379"/>
      <c r="Z662" s="379"/>
    </row>
    <row r="663" ht="12.75" customHeight="1">
      <c r="A663" s="379"/>
      <c r="B663" s="379"/>
      <c r="C663" s="379"/>
      <c r="D663" s="379"/>
      <c r="E663" s="379"/>
      <c r="F663" s="379"/>
      <c r="G663" s="379"/>
      <c r="H663" s="379"/>
      <c r="I663" s="379"/>
      <c r="J663" s="379"/>
      <c r="K663" s="379"/>
      <c r="L663" s="379"/>
      <c r="M663" s="379"/>
      <c r="N663" s="379"/>
      <c r="O663" s="379"/>
      <c r="P663" s="379"/>
      <c r="Q663" s="379"/>
      <c r="R663" s="379"/>
      <c r="S663" s="379"/>
      <c r="T663" s="379"/>
      <c r="U663" s="379"/>
      <c r="V663" s="379"/>
      <c r="W663" s="379"/>
      <c r="X663" s="379"/>
      <c r="Y663" s="379"/>
      <c r="Z663" s="379"/>
    </row>
    <row r="664" ht="12.75" customHeight="1">
      <c r="A664" s="379"/>
      <c r="B664" s="379"/>
      <c r="C664" s="379"/>
      <c r="D664" s="379"/>
      <c r="E664" s="379"/>
      <c r="F664" s="379"/>
      <c r="G664" s="379"/>
      <c r="H664" s="379"/>
      <c r="I664" s="379"/>
      <c r="J664" s="379"/>
      <c r="K664" s="379"/>
      <c r="L664" s="379"/>
      <c r="M664" s="379"/>
      <c r="N664" s="379"/>
      <c r="O664" s="379"/>
      <c r="P664" s="379"/>
      <c r="Q664" s="379"/>
      <c r="R664" s="379"/>
      <c r="S664" s="379"/>
      <c r="T664" s="379"/>
      <c r="U664" s="379"/>
      <c r="V664" s="379"/>
      <c r="W664" s="379"/>
      <c r="X664" s="379"/>
      <c r="Y664" s="379"/>
      <c r="Z664" s="379"/>
    </row>
    <row r="665" ht="12.75" customHeight="1">
      <c r="A665" s="379"/>
      <c r="B665" s="379"/>
      <c r="C665" s="379"/>
      <c r="D665" s="379"/>
      <c r="E665" s="379"/>
      <c r="F665" s="379"/>
      <c r="G665" s="379"/>
      <c r="H665" s="379"/>
      <c r="I665" s="379"/>
      <c r="J665" s="379"/>
      <c r="K665" s="379"/>
      <c r="L665" s="379"/>
      <c r="M665" s="379"/>
      <c r="N665" s="379"/>
      <c r="O665" s="379"/>
      <c r="P665" s="379"/>
      <c r="Q665" s="379"/>
      <c r="R665" s="379"/>
      <c r="S665" s="379"/>
      <c r="T665" s="379"/>
      <c r="U665" s="379"/>
      <c r="V665" s="379"/>
      <c r="W665" s="379"/>
      <c r="X665" s="379"/>
      <c r="Y665" s="379"/>
      <c r="Z665" s="379"/>
    </row>
    <row r="666" ht="12.75" customHeight="1">
      <c r="A666" s="379"/>
      <c r="B666" s="379"/>
      <c r="C666" s="379"/>
      <c r="D666" s="379"/>
      <c r="E666" s="379"/>
      <c r="F666" s="379"/>
      <c r="G666" s="379"/>
      <c r="H666" s="379"/>
      <c r="I666" s="379"/>
      <c r="J666" s="379"/>
      <c r="K666" s="379"/>
      <c r="L666" s="379"/>
      <c r="M666" s="379"/>
      <c r="N666" s="379"/>
      <c r="O666" s="379"/>
      <c r="P666" s="379"/>
      <c r="Q666" s="379"/>
      <c r="R666" s="379"/>
      <c r="S666" s="379"/>
      <c r="T666" s="379"/>
      <c r="U666" s="379"/>
      <c r="V666" s="379"/>
      <c r="W666" s="379"/>
      <c r="X666" s="379"/>
      <c r="Y666" s="379"/>
      <c r="Z666" s="379"/>
    </row>
    <row r="667" ht="12.75" customHeight="1">
      <c r="A667" s="379"/>
      <c r="B667" s="379"/>
      <c r="C667" s="379"/>
      <c r="D667" s="379"/>
      <c r="E667" s="379"/>
      <c r="F667" s="379"/>
      <c r="G667" s="379"/>
      <c r="H667" s="379"/>
      <c r="I667" s="379"/>
      <c r="J667" s="379"/>
      <c r="K667" s="379"/>
      <c r="L667" s="379"/>
      <c r="M667" s="379"/>
      <c r="N667" s="379"/>
      <c r="O667" s="379"/>
      <c r="P667" s="379"/>
      <c r="Q667" s="379"/>
      <c r="R667" s="379"/>
      <c r="S667" s="379"/>
      <c r="T667" s="379"/>
      <c r="U667" s="379"/>
      <c r="V667" s="379"/>
      <c r="W667" s="379"/>
      <c r="X667" s="379"/>
      <c r="Y667" s="379"/>
      <c r="Z667" s="379"/>
    </row>
    <row r="668" ht="12.75" customHeight="1">
      <c r="A668" s="379"/>
      <c r="B668" s="379"/>
      <c r="C668" s="379"/>
      <c r="D668" s="379"/>
      <c r="E668" s="379"/>
      <c r="F668" s="379"/>
      <c r="G668" s="379"/>
      <c r="H668" s="379"/>
      <c r="I668" s="379"/>
      <c r="J668" s="379"/>
      <c r="K668" s="379"/>
      <c r="L668" s="379"/>
      <c r="M668" s="379"/>
      <c r="N668" s="379"/>
      <c r="O668" s="379"/>
      <c r="P668" s="379"/>
      <c r="Q668" s="379"/>
      <c r="R668" s="379"/>
      <c r="S668" s="379"/>
      <c r="T668" s="379"/>
      <c r="U668" s="379"/>
      <c r="V668" s="379"/>
      <c r="W668" s="379"/>
      <c r="X668" s="379"/>
      <c r="Y668" s="379"/>
      <c r="Z668" s="379"/>
    </row>
    <row r="669" ht="12.75" customHeight="1">
      <c r="A669" s="379"/>
      <c r="B669" s="379"/>
      <c r="C669" s="379"/>
      <c r="D669" s="379"/>
      <c r="E669" s="379"/>
      <c r="F669" s="379"/>
      <c r="G669" s="379"/>
      <c r="H669" s="379"/>
      <c r="I669" s="379"/>
      <c r="J669" s="379"/>
      <c r="K669" s="379"/>
      <c r="L669" s="379"/>
      <c r="M669" s="379"/>
      <c r="N669" s="379"/>
      <c r="O669" s="379"/>
      <c r="P669" s="379"/>
      <c r="Q669" s="379"/>
      <c r="R669" s="379"/>
      <c r="S669" s="379"/>
      <c r="T669" s="379"/>
      <c r="U669" s="379"/>
      <c r="V669" s="379"/>
      <c r="W669" s="379"/>
      <c r="X669" s="379"/>
      <c r="Y669" s="379"/>
      <c r="Z669" s="379"/>
    </row>
    <row r="670" ht="12.75" customHeight="1">
      <c r="A670" s="379"/>
      <c r="B670" s="379"/>
      <c r="C670" s="379"/>
      <c r="D670" s="379"/>
      <c r="E670" s="379"/>
      <c r="F670" s="379"/>
      <c r="G670" s="379"/>
      <c r="H670" s="379"/>
      <c r="I670" s="379"/>
      <c r="J670" s="379"/>
      <c r="K670" s="379"/>
      <c r="L670" s="379"/>
      <c r="M670" s="379"/>
      <c r="N670" s="379"/>
      <c r="O670" s="379"/>
      <c r="P670" s="379"/>
      <c r="Q670" s="379"/>
      <c r="R670" s="379"/>
      <c r="S670" s="379"/>
      <c r="T670" s="379"/>
      <c r="U670" s="379"/>
      <c r="V670" s="379"/>
      <c r="W670" s="379"/>
      <c r="X670" s="379"/>
      <c r="Y670" s="379"/>
      <c r="Z670" s="379"/>
    </row>
    <row r="671" ht="12.75" customHeight="1">
      <c r="A671" s="379"/>
      <c r="B671" s="379"/>
      <c r="C671" s="379"/>
      <c r="D671" s="379"/>
      <c r="E671" s="379"/>
      <c r="F671" s="379"/>
      <c r="G671" s="379"/>
      <c r="H671" s="379"/>
      <c r="I671" s="379"/>
      <c r="J671" s="379"/>
      <c r="K671" s="379"/>
      <c r="L671" s="379"/>
      <c r="M671" s="379"/>
      <c r="N671" s="379"/>
      <c r="O671" s="379"/>
      <c r="P671" s="379"/>
      <c r="Q671" s="379"/>
      <c r="R671" s="379"/>
      <c r="S671" s="379"/>
      <c r="T671" s="379"/>
      <c r="U671" s="379"/>
      <c r="V671" s="379"/>
      <c r="W671" s="379"/>
      <c r="X671" s="379"/>
      <c r="Y671" s="379"/>
      <c r="Z671" s="379"/>
    </row>
    <row r="672" ht="12.75" customHeight="1">
      <c r="A672" s="379"/>
      <c r="B672" s="379"/>
      <c r="C672" s="379"/>
      <c r="D672" s="379"/>
      <c r="E672" s="379"/>
      <c r="F672" s="379"/>
      <c r="G672" s="379"/>
      <c r="H672" s="379"/>
      <c r="I672" s="379"/>
      <c r="J672" s="379"/>
      <c r="K672" s="379"/>
      <c r="L672" s="379"/>
      <c r="M672" s="379"/>
      <c r="N672" s="379"/>
      <c r="O672" s="379"/>
      <c r="P672" s="379"/>
      <c r="Q672" s="379"/>
      <c r="R672" s="379"/>
      <c r="S672" s="379"/>
      <c r="T672" s="379"/>
      <c r="U672" s="379"/>
      <c r="V672" s="379"/>
      <c r="W672" s="379"/>
      <c r="X672" s="379"/>
      <c r="Y672" s="379"/>
      <c r="Z672" s="379"/>
    </row>
    <row r="673" ht="12.75" customHeight="1">
      <c r="A673" s="379"/>
      <c r="B673" s="379"/>
      <c r="C673" s="379"/>
      <c r="D673" s="379"/>
      <c r="E673" s="379"/>
      <c r="F673" s="379"/>
      <c r="G673" s="379"/>
      <c r="H673" s="379"/>
      <c r="I673" s="379"/>
      <c r="J673" s="379"/>
      <c r="K673" s="379"/>
      <c r="L673" s="379"/>
      <c r="M673" s="379"/>
      <c r="N673" s="379"/>
      <c r="O673" s="379"/>
      <c r="P673" s="379"/>
      <c r="Q673" s="379"/>
      <c r="R673" s="379"/>
      <c r="S673" s="379"/>
      <c r="T673" s="379"/>
      <c r="U673" s="379"/>
      <c r="V673" s="379"/>
      <c r="W673" s="379"/>
      <c r="X673" s="379"/>
      <c r="Y673" s="379"/>
      <c r="Z673" s="379"/>
    </row>
    <row r="674" ht="12.75" customHeight="1">
      <c r="A674" s="379"/>
      <c r="B674" s="379"/>
      <c r="C674" s="379"/>
      <c r="D674" s="379"/>
      <c r="E674" s="379"/>
      <c r="F674" s="379"/>
      <c r="G674" s="379"/>
      <c r="H674" s="379"/>
      <c r="I674" s="379"/>
      <c r="J674" s="379"/>
      <c r="K674" s="379"/>
      <c r="L674" s="379"/>
      <c r="M674" s="379"/>
      <c r="N674" s="379"/>
      <c r="O674" s="379"/>
      <c r="P674" s="379"/>
      <c r="Q674" s="379"/>
      <c r="R674" s="379"/>
      <c r="S674" s="379"/>
      <c r="T674" s="379"/>
      <c r="U674" s="379"/>
      <c r="V674" s="379"/>
      <c r="W674" s="379"/>
      <c r="X674" s="379"/>
      <c r="Y674" s="379"/>
      <c r="Z674" s="379"/>
    </row>
    <row r="675" ht="12.75" customHeight="1">
      <c r="A675" s="379"/>
      <c r="B675" s="379"/>
      <c r="C675" s="379"/>
      <c r="D675" s="379"/>
      <c r="E675" s="379"/>
      <c r="F675" s="379"/>
      <c r="G675" s="379"/>
      <c r="H675" s="379"/>
      <c r="I675" s="379"/>
      <c r="J675" s="379"/>
      <c r="K675" s="379"/>
      <c r="L675" s="379"/>
      <c r="M675" s="379"/>
      <c r="N675" s="379"/>
      <c r="O675" s="379"/>
      <c r="P675" s="379"/>
      <c r="Q675" s="379"/>
      <c r="R675" s="379"/>
      <c r="S675" s="379"/>
      <c r="T675" s="379"/>
      <c r="U675" s="379"/>
      <c r="V675" s="379"/>
      <c r="W675" s="379"/>
      <c r="X675" s="379"/>
      <c r="Y675" s="379"/>
      <c r="Z675" s="379"/>
    </row>
    <row r="676" ht="12.75" customHeight="1">
      <c r="A676" s="379"/>
      <c r="B676" s="379"/>
      <c r="C676" s="379"/>
      <c r="D676" s="379"/>
      <c r="E676" s="379"/>
      <c r="F676" s="379"/>
      <c r="G676" s="379"/>
      <c r="H676" s="379"/>
      <c r="I676" s="379"/>
      <c r="J676" s="379"/>
      <c r="K676" s="379"/>
      <c r="L676" s="379"/>
      <c r="M676" s="379"/>
      <c r="N676" s="379"/>
      <c r="O676" s="379"/>
      <c r="P676" s="379"/>
      <c r="Q676" s="379"/>
      <c r="R676" s="379"/>
      <c r="S676" s="379"/>
      <c r="T676" s="379"/>
      <c r="U676" s="379"/>
      <c r="V676" s="379"/>
      <c r="W676" s="379"/>
      <c r="X676" s="379"/>
      <c r="Y676" s="379"/>
      <c r="Z676" s="379"/>
    </row>
    <row r="677" ht="12.75" customHeight="1">
      <c r="A677" s="379"/>
      <c r="B677" s="379"/>
      <c r="C677" s="379"/>
      <c r="D677" s="379"/>
      <c r="E677" s="379"/>
      <c r="F677" s="379"/>
      <c r="G677" s="379"/>
      <c r="H677" s="379"/>
      <c r="I677" s="379"/>
      <c r="J677" s="379"/>
      <c r="K677" s="379"/>
      <c r="L677" s="379"/>
      <c r="M677" s="379"/>
      <c r="N677" s="379"/>
      <c r="O677" s="379"/>
      <c r="P677" s="379"/>
      <c r="Q677" s="379"/>
      <c r="R677" s="379"/>
      <c r="S677" s="379"/>
      <c r="T677" s="379"/>
      <c r="U677" s="379"/>
      <c r="V677" s="379"/>
      <c r="W677" s="379"/>
      <c r="X677" s="379"/>
      <c r="Y677" s="379"/>
      <c r="Z677" s="379"/>
    </row>
    <row r="678" ht="12.75" customHeight="1">
      <c r="A678" s="379"/>
      <c r="B678" s="379"/>
      <c r="C678" s="379"/>
      <c r="D678" s="379"/>
      <c r="E678" s="379"/>
      <c r="F678" s="379"/>
      <c r="G678" s="379"/>
      <c r="H678" s="379"/>
      <c r="I678" s="379"/>
      <c r="J678" s="379"/>
      <c r="K678" s="379"/>
      <c r="L678" s="379"/>
      <c r="M678" s="379"/>
      <c r="N678" s="379"/>
      <c r="O678" s="379"/>
      <c r="P678" s="379"/>
      <c r="Q678" s="379"/>
      <c r="R678" s="379"/>
      <c r="S678" s="379"/>
      <c r="T678" s="379"/>
      <c r="U678" s="379"/>
      <c r="V678" s="379"/>
      <c r="W678" s="379"/>
      <c r="X678" s="379"/>
      <c r="Y678" s="379"/>
      <c r="Z678" s="379"/>
    </row>
    <row r="679" ht="12.75" customHeight="1">
      <c r="A679" s="379"/>
      <c r="B679" s="379"/>
      <c r="C679" s="379"/>
      <c r="D679" s="379"/>
      <c r="E679" s="379"/>
      <c r="F679" s="379"/>
      <c r="G679" s="379"/>
      <c r="H679" s="379"/>
      <c r="I679" s="379"/>
      <c r="J679" s="379"/>
      <c r="K679" s="379"/>
      <c r="L679" s="379"/>
      <c r="M679" s="379"/>
      <c r="N679" s="379"/>
      <c r="O679" s="379"/>
      <c r="P679" s="379"/>
      <c r="Q679" s="379"/>
      <c r="R679" s="379"/>
      <c r="S679" s="379"/>
      <c r="T679" s="379"/>
      <c r="U679" s="379"/>
      <c r="V679" s="379"/>
      <c r="W679" s="379"/>
      <c r="X679" s="379"/>
      <c r="Y679" s="379"/>
      <c r="Z679" s="379"/>
    </row>
    <row r="680" ht="12.75" customHeight="1">
      <c r="A680" s="379"/>
      <c r="B680" s="379"/>
      <c r="C680" s="379"/>
      <c r="D680" s="379"/>
      <c r="E680" s="379"/>
      <c r="F680" s="379"/>
      <c r="G680" s="379"/>
      <c r="H680" s="379"/>
      <c r="I680" s="379"/>
      <c r="J680" s="379"/>
      <c r="K680" s="379"/>
      <c r="L680" s="379"/>
      <c r="M680" s="379"/>
      <c r="N680" s="379"/>
      <c r="O680" s="379"/>
      <c r="P680" s="379"/>
      <c r="Q680" s="379"/>
      <c r="R680" s="379"/>
      <c r="S680" s="379"/>
      <c r="T680" s="379"/>
      <c r="U680" s="379"/>
      <c r="V680" s="379"/>
      <c r="W680" s="379"/>
      <c r="X680" s="379"/>
      <c r="Y680" s="379"/>
      <c r="Z680" s="379"/>
    </row>
    <row r="681" ht="12.75" customHeight="1">
      <c r="A681" s="379"/>
      <c r="B681" s="379"/>
      <c r="C681" s="379"/>
      <c r="D681" s="379"/>
      <c r="E681" s="379"/>
      <c r="F681" s="379"/>
      <c r="G681" s="379"/>
      <c r="H681" s="379"/>
      <c r="I681" s="379"/>
      <c r="J681" s="379"/>
      <c r="K681" s="379"/>
      <c r="L681" s="379"/>
      <c r="M681" s="379"/>
      <c r="N681" s="379"/>
      <c r="O681" s="379"/>
      <c r="P681" s="379"/>
      <c r="Q681" s="379"/>
      <c r="R681" s="379"/>
      <c r="S681" s="379"/>
      <c r="T681" s="379"/>
      <c r="U681" s="379"/>
      <c r="V681" s="379"/>
      <c r="W681" s="379"/>
      <c r="X681" s="379"/>
      <c r="Y681" s="379"/>
      <c r="Z681" s="379"/>
    </row>
    <row r="682" ht="12.75" customHeight="1">
      <c r="A682" s="379"/>
      <c r="B682" s="379"/>
      <c r="C682" s="379"/>
      <c r="D682" s="379"/>
      <c r="E682" s="379"/>
      <c r="F682" s="379"/>
      <c r="G682" s="379"/>
      <c r="H682" s="379"/>
      <c r="I682" s="379"/>
      <c r="J682" s="379"/>
      <c r="K682" s="379"/>
      <c r="L682" s="379"/>
      <c r="M682" s="379"/>
      <c r="N682" s="379"/>
      <c r="O682" s="379"/>
      <c r="P682" s="379"/>
      <c r="Q682" s="379"/>
      <c r="R682" s="379"/>
      <c r="S682" s="379"/>
      <c r="T682" s="379"/>
      <c r="U682" s="379"/>
      <c r="V682" s="379"/>
      <c r="W682" s="379"/>
      <c r="X682" s="379"/>
      <c r="Y682" s="379"/>
      <c r="Z682" s="379"/>
    </row>
    <row r="683" ht="12.75" customHeight="1">
      <c r="A683" s="379"/>
      <c r="B683" s="379"/>
      <c r="C683" s="379"/>
      <c r="D683" s="379"/>
      <c r="E683" s="379"/>
      <c r="F683" s="379"/>
      <c r="G683" s="379"/>
      <c r="H683" s="379"/>
      <c r="I683" s="379"/>
      <c r="J683" s="379"/>
      <c r="K683" s="379"/>
      <c r="L683" s="379"/>
      <c r="M683" s="379"/>
      <c r="N683" s="379"/>
      <c r="O683" s="379"/>
      <c r="P683" s="379"/>
      <c r="Q683" s="379"/>
      <c r="R683" s="379"/>
      <c r="S683" s="379"/>
      <c r="T683" s="379"/>
      <c r="U683" s="379"/>
      <c r="V683" s="379"/>
      <c r="W683" s="379"/>
      <c r="X683" s="379"/>
      <c r="Y683" s="379"/>
      <c r="Z683" s="379"/>
    </row>
    <row r="684" ht="12.75" customHeight="1">
      <c r="A684" s="379"/>
      <c r="B684" s="379"/>
      <c r="C684" s="379"/>
      <c r="D684" s="379"/>
      <c r="E684" s="379"/>
      <c r="F684" s="379"/>
      <c r="G684" s="379"/>
      <c r="H684" s="379"/>
      <c r="I684" s="379"/>
      <c r="J684" s="379"/>
      <c r="K684" s="379"/>
      <c r="L684" s="379"/>
      <c r="M684" s="379"/>
      <c r="N684" s="379"/>
      <c r="O684" s="379"/>
      <c r="P684" s="379"/>
      <c r="Q684" s="379"/>
      <c r="R684" s="379"/>
      <c r="S684" s="379"/>
      <c r="T684" s="379"/>
      <c r="U684" s="379"/>
      <c r="V684" s="379"/>
      <c r="W684" s="379"/>
      <c r="X684" s="379"/>
      <c r="Y684" s="379"/>
      <c r="Z684" s="379"/>
    </row>
    <row r="685" ht="12.75" customHeight="1">
      <c r="A685" s="379"/>
      <c r="B685" s="379"/>
      <c r="C685" s="379"/>
      <c r="D685" s="379"/>
      <c r="E685" s="379"/>
      <c r="F685" s="379"/>
      <c r="G685" s="379"/>
      <c r="H685" s="379"/>
      <c r="I685" s="379"/>
      <c r="J685" s="379"/>
      <c r="K685" s="379"/>
      <c r="L685" s="379"/>
      <c r="M685" s="379"/>
      <c r="N685" s="379"/>
      <c r="O685" s="379"/>
      <c r="P685" s="379"/>
      <c r="Q685" s="379"/>
      <c r="R685" s="379"/>
      <c r="S685" s="379"/>
      <c r="T685" s="379"/>
      <c r="U685" s="379"/>
      <c r="V685" s="379"/>
      <c r="W685" s="379"/>
      <c r="X685" s="379"/>
      <c r="Y685" s="379"/>
      <c r="Z685" s="379"/>
    </row>
    <row r="686" ht="12.75" customHeight="1">
      <c r="A686" s="379"/>
      <c r="B686" s="379"/>
      <c r="C686" s="379"/>
      <c r="D686" s="379"/>
      <c r="E686" s="379"/>
      <c r="F686" s="379"/>
      <c r="G686" s="379"/>
      <c r="H686" s="379"/>
      <c r="I686" s="379"/>
      <c r="J686" s="379"/>
      <c r="K686" s="379"/>
      <c r="L686" s="379"/>
      <c r="M686" s="379"/>
      <c r="N686" s="379"/>
      <c r="O686" s="379"/>
      <c r="P686" s="379"/>
      <c r="Q686" s="379"/>
      <c r="R686" s="379"/>
      <c r="S686" s="379"/>
      <c r="T686" s="379"/>
      <c r="U686" s="379"/>
      <c r="V686" s="379"/>
      <c r="W686" s="379"/>
      <c r="X686" s="379"/>
      <c r="Y686" s="379"/>
      <c r="Z686" s="379"/>
    </row>
    <row r="687" ht="12.75" customHeight="1">
      <c r="A687" s="379"/>
      <c r="B687" s="379"/>
      <c r="C687" s="379"/>
      <c r="D687" s="379"/>
      <c r="E687" s="379"/>
      <c r="F687" s="379"/>
      <c r="G687" s="379"/>
      <c r="H687" s="379"/>
      <c r="I687" s="379"/>
      <c r="J687" s="379"/>
      <c r="K687" s="379"/>
      <c r="L687" s="379"/>
      <c r="M687" s="379"/>
      <c r="N687" s="379"/>
      <c r="O687" s="379"/>
      <c r="P687" s="379"/>
      <c r="Q687" s="379"/>
      <c r="R687" s="379"/>
      <c r="S687" s="379"/>
      <c r="T687" s="379"/>
      <c r="U687" s="379"/>
      <c r="V687" s="379"/>
      <c r="W687" s="379"/>
      <c r="X687" s="379"/>
      <c r="Y687" s="379"/>
      <c r="Z687" s="379"/>
    </row>
    <row r="688" ht="12.75" customHeight="1">
      <c r="A688" s="379"/>
      <c r="B688" s="379"/>
      <c r="C688" s="379"/>
      <c r="D688" s="379"/>
      <c r="E688" s="379"/>
      <c r="F688" s="379"/>
      <c r="G688" s="379"/>
      <c r="H688" s="379"/>
      <c r="I688" s="379"/>
      <c r="J688" s="379"/>
      <c r="K688" s="379"/>
      <c r="L688" s="379"/>
      <c r="M688" s="379"/>
      <c r="N688" s="379"/>
      <c r="O688" s="379"/>
      <c r="P688" s="379"/>
      <c r="Q688" s="379"/>
      <c r="R688" s="379"/>
      <c r="S688" s="379"/>
      <c r="T688" s="379"/>
      <c r="U688" s="379"/>
      <c r="V688" s="379"/>
      <c r="W688" s="379"/>
      <c r="X688" s="379"/>
      <c r="Y688" s="379"/>
      <c r="Z688" s="379"/>
    </row>
    <row r="689" ht="12.75" customHeight="1">
      <c r="A689" s="379"/>
      <c r="B689" s="379"/>
      <c r="C689" s="379"/>
      <c r="D689" s="379"/>
      <c r="E689" s="379"/>
      <c r="F689" s="379"/>
      <c r="G689" s="379"/>
      <c r="H689" s="379"/>
      <c r="I689" s="379"/>
      <c r="J689" s="379"/>
      <c r="K689" s="379"/>
      <c r="L689" s="379"/>
      <c r="M689" s="379"/>
      <c r="N689" s="379"/>
      <c r="O689" s="379"/>
      <c r="P689" s="379"/>
      <c r="Q689" s="379"/>
      <c r="R689" s="379"/>
      <c r="S689" s="379"/>
      <c r="T689" s="379"/>
      <c r="U689" s="379"/>
      <c r="V689" s="379"/>
      <c r="W689" s="379"/>
      <c r="X689" s="379"/>
      <c r="Y689" s="379"/>
      <c r="Z689" s="379"/>
    </row>
    <row r="690" ht="12.75" customHeight="1">
      <c r="A690" s="379"/>
      <c r="B690" s="379"/>
      <c r="C690" s="379"/>
      <c r="D690" s="379"/>
      <c r="E690" s="379"/>
      <c r="F690" s="379"/>
      <c r="G690" s="379"/>
      <c r="H690" s="379"/>
      <c r="I690" s="379"/>
      <c r="J690" s="379"/>
      <c r="K690" s="379"/>
      <c r="L690" s="379"/>
      <c r="M690" s="379"/>
      <c r="N690" s="379"/>
      <c r="O690" s="379"/>
      <c r="P690" s="379"/>
      <c r="Q690" s="379"/>
      <c r="R690" s="379"/>
      <c r="S690" s="379"/>
      <c r="T690" s="379"/>
      <c r="U690" s="379"/>
      <c r="V690" s="379"/>
      <c r="W690" s="379"/>
      <c r="X690" s="379"/>
      <c r="Y690" s="379"/>
      <c r="Z690" s="379"/>
    </row>
    <row r="691" ht="12.75" customHeight="1">
      <c r="A691" s="379"/>
      <c r="B691" s="379"/>
      <c r="C691" s="379"/>
      <c r="D691" s="379"/>
      <c r="E691" s="379"/>
      <c r="F691" s="379"/>
      <c r="G691" s="379"/>
      <c r="H691" s="379"/>
      <c r="I691" s="379"/>
      <c r="J691" s="379"/>
      <c r="K691" s="379"/>
      <c r="L691" s="379"/>
      <c r="M691" s="379"/>
      <c r="N691" s="379"/>
      <c r="O691" s="379"/>
      <c r="P691" s="379"/>
      <c r="Q691" s="379"/>
      <c r="R691" s="379"/>
      <c r="S691" s="379"/>
      <c r="T691" s="379"/>
      <c r="U691" s="379"/>
      <c r="V691" s="379"/>
      <c r="W691" s="379"/>
      <c r="X691" s="379"/>
      <c r="Y691" s="379"/>
      <c r="Z691" s="379"/>
    </row>
    <row r="692" ht="12.75" customHeight="1">
      <c r="A692" s="379"/>
      <c r="B692" s="379"/>
      <c r="C692" s="379"/>
      <c r="D692" s="379"/>
      <c r="E692" s="379"/>
      <c r="F692" s="379"/>
      <c r="G692" s="379"/>
      <c r="H692" s="379"/>
      <c r="I692" s="379"/>
      <c r="J692" s="379"/>
      <c r="K692" s="379"/>
      <c r="L692" s="379"/>
      <c r="M692" s="379"/>
      <c r="N692" s="379"/>
      <c r="O692" s="379"/>
      <c r="P692" s="379"/>
      <c r="Q692" s="379"/>
      <c r="R692" s="379"/>
      <c r="S692" s="379"/>
      <c r="T692" s="379"/>
      <c r="U692" s="379"/>
      <c r="V692" s="379"/>
      <c r="W692" s="379"/>
      <c r="X692" s="379"/>
      <c r="Y692" s="379"/>
      <c r="Z692" s="379"/>
    </row>
    <row r="693" ht="12.75" customHeight="1">
      <c r="A693" s="379"/>
      <c r="B693" s="379"/>
      <c r="C693" s="379"/>
      <c r="D693" s="379"/>
      <c r="E693" s="379"/>
      <c r="F693" s="379"/>
      <c r="G693" s="379"/>
      <c r="H693" s="379"/>
      <c r="I693" s="379"/>
      <c r="J693" s="379"/>
      <c r="K693" s="379"/>
      <c r="L693" s="379"/>
      <c r="M693" s="379"/>
      <c r="N693" s="379"/>
      <c r="O693" s="379"/>
      <c r="P693" s="379"/>
      <c r="Q693" s="379"/>
      <c r="R693" s="379"/>
      <c r="S693" s="379"/>
      <c r="T693" s="379"/>
      <c r="U693" s="379"/>
      <c r="V693" s="379"/>
      <c r="W693" s="379"/>
      <c r="X693" s="379"/>
      <c r="Y693" s="379"/>
      <c r="Z693" s="379"/>
    </row>
    <row r="694" ht="12.75" customHeight="1">
      <c r="A694" s="379"/>
      <c r="B694" s="379"/>
      <c r="C694" s="379"/>
      <c r="D694" s="379"/>
      <c r="E694" s="379"/>
      <c r="F694" s="379"/>
      <c r="G694" s="379"/>
      <c r="H694" s="379"/>
      <c r="I694" s="379"/>
      <c r="J694" s="379"/>
      <c r="K694" s="379"/>
      <c r="L694" s="379"/>
      <c r="M694" s="379"/>
      <c r="N694" s="379"/>
      <c r="O694" s="379"/>
      <c r="P694" s="379"/>
      <c r="Q694" s="379"/>
      <c r="R694" s="379"/>
      <c r="S694" s="379"/>
      <c r="T694" s="379"/>
      <c r="U694" s="379"/>
      <c r="V694" s="379"/>
      <c r="W694" s="379"/>
      <c r="X694" s="379"/>
      <c r="Y694" s="379"/>
      <c r="Z694" s="379"/>
    </row>
    <row r="695" ht="12.75" customHeight="1">
      <c r="A695" s="379"/>
      <c r="B695" s="379"/>
      <c r="C695" s="379"/>
      <c r="D695" s="379"/>
      <c r="E695" s="379"/>
      <c r="F695" s="379"/>
      <c r="G695" s="379"/>
      <c r="H695" s="379"/>
      <c r="I695" s="379"/>
      <c r="J695" s="379"/>
      <c r="K695" s="379"/>
      <c r="L695" s="379"/>
      <c r="M695" s="379"/>
      <c r="N695" s="379"/>
      <c r="O695" s="379"/>
      <c r="P695" s="379"/>
      <c r="Q695" s="379"/>
      <c r="R695" s="379"/>
      <c r="S695" s="379"/>
      <c r="T695" s="379"/>
      <c r="U695" s="379"/>
      <c r="V695" s="379"/>
      <c r="W695" s="379"/>
      <c r="X695" s="379"/>
      <c r="Y695" s="379"/>
      <c r="Z695" s="379"/>
    </row>
    <row r="696" ht="12.75" customHeight="1">
      <c r="A696" s="379"/>
      <c r="B696" s="379"/>
      <c r="C696" s="379"/>
      <c r="D696" s="379"/>
      <c r="E696" s="379"/>
      <c r="F696" s="379"/>
      <c r="G696" s="379"/>
      <c r="H696" s="379"/>
      <c r="I696" s="379"/>
      <c r="J696" s="379"/>
      <c r="K696" s="379"/>
      <c r="L696" s="379"/>
      <c r="M696" s="379"/>
      <c r="N696" s="379"/>
      <c r="O696" s="379"/>
      <c r="P696" s="379"/>
      <c r="Q696" s="379"/>
      <c r="R696" s="379"/>
      <c r="S696" s="379"/>
      <c r="T696" s="379"/>
      <c r="U696" s="379"/>
      <c r="V696" s="379"/>
      <c r="W696" s="379"/>
      <c r="X696" s="379"/>
      <c r="Y696" s="379"/>
      <c r="Z696" s="379"/>
    </row>
    <row r="697" ht="12.75" customHeight="1">
      <c r="A697" s="379"/>
      <c r="B697" s="379"/>
      <c r="C697" s="379"/>
      <c r="D697" s="379"/>
      <c r="E697" s="379"/>
      <c r="F697" s="379"/>
      <c r="G697" s="379"/>
      <c r="H697" s="379"/>
      <c r="I697" s="379"/>
      <c r="J697" s="379"/>
      <c r="K697" s="379"/>
      <c r="L697" s="379"/>
      <c r="M697" s="379"/>
      <c r="N697" s="379"/>
      <c r="O697" s="379"/>
      <c r="P697" s="379"/>
      <c r="Q697" s="379"/>
      <c r="R697" s="379"/>
      <c r="S697" s="379"/>
      <c r="T697" s="379"/>
      <c r="U697" s="379"/>
      <c r="V697" s="379"/>
      <c r="W697" s="379"/>
      <c r="X697" s="379"/>
      <c r="Y697" s="379"/>
      <c r="Z697" s="379"/>
    </row>
    <row r="698" ht="12.75" customHeight="1">
      <c r="A698" s="379"/>
      <c r="B698" s="379"/>
      <c r="C698" s="379"/>
      <c r="D698" s="379"/>
      <c r="E698" s="379"/>
      <c r="F698" s="379"/>
      <c r="G698" s="379"/>
      <c r="H698" s="379"/>
      <c r="I698" s="379"/>
      <c r="J698" s="379"/>
      <c r="K698" s="379"/>
      <c r="L698" s="379"/>
      <c r="M698" s="379"/>
      <c r="N698" s="379"/>
      <c r="O698" s="379"/>
      <c r="P698" s="379"/>
      <c r="Q698" s="379"/>
      <c r="R698" s="379"/>
      <c r="S698" s="379"/>
      <c r="T698" s="379"/>
      <c r="U698" s="379"/>
      <c r="V698" s="379"/>
      <c r="W698" s="379"/>
      <c r="X698" s="379"/>
      <c r="Y698" s="379"/>
      <c r="Z698" s="379"/>
    </row>
    <row r="699" ht="12.75" customHeight="1">
      <c r="A699" s="379"/>
      <c r="B699" s="379"/>
      <c r="C699" s="379"/>
      <c r="D699" s="379"/>
      <c r="E699" s="379"/>
      <c r="F699" s="379"/>
      <c r="G699" s="379"/>
      <c r="H699" s="379"/>
      <c r="I699" s="379"/>
      <c r="J699" s="379"/>
      <c r="K699" s="379"/>
      <c r="L699" s="379"/>
      <c r="M699" s="379"/>
      <c r="N699" s="379"/>
      <c r="O699" s="379"/>
      <c r="P699" s="379"/>
      <c r="Q699" s="379"/>
      <c r="R699" s="379"/>
      <c r="S699" s="379"/>
      <c r="T699" s="379"/>
      <c r="U699" s="379"/>
      <c r="V699" s="379"/>
      <c r="W699" s="379"/>
      <c r="X699" s="379"/>
      <c r="Y699" s="379"/>
      <c r="Z699" s="379"/>
    </row>
    <row r="700" ht="12.75" customHeight="1">
      <c r="A700" s="379"/>
      <c r="B700" s="379"/>
      <c r="C700" s="379"/>
      <c r="D700" s="379"/>
      <c r="E700" s="379"/>
      <c r="F700" s="379"/>
      <c r="G700" s="379"/>
      <c r="H700" s="379"/>
      <c r="I700" s="379"/>
      <c r="J700" s="379"/>
      <c r="K700" s="379"/>
      <c r="L700" s="379"/>
      <c r="M700" s="379"/>
      <c r="N700" s="379"/>
      <c r="O700" s="379"/>
      <c r="P700" s="379"/>
      <c r="Q700" s="379"/>
      <c r="R700" s="379"/>
      <c r="S700" s="379"/>
      <c r="T700" s="379"/>
      <c r="U700" s="379"/>
      <c r="V700" s="379"/>
      <c r="W700" s="379"/>
      <c r="X700" s="379"/>
      <c r="Y700" s="379"/>
      <c r="Z700" s="379"/>
    </row>
    <row r="701" ht="12.75" customHeight="1">
      <c r="A701" s="379"/>
      <c r="B701" s="379"/>
      <c r="C701" s="379"/>
      <c r="D701" s="379"/>
      <c r="E701" s="379"/>
      <c r="F701" s="379"/>
      <c r="G701" s="379"/>
      <c r="H701" s="379"/>
      <c r="I701" s="379"/>
      <c r="J701" s="379"/>
      <c r="K701" s="379"/>
      <c r="L701" s="379"/>
      <c r="M701" s="379"/>
      <c r="N701" s="379"/>
      <c r="O701" s="379"/>
      <c r="P701" s="379"/>
      <c r="Q701" s="379"/>
      <c r="R701" s="379"/>
      <c r="S701" s="379"/>
      <c r="T701" s="379"/>
      <c r="U701" s="379"/>
      <c r="V701" s="379"/>
      <c r="W701" s="379"/>
      <c r="X701" s="379"/>
      <c r="Y701" s="379"/>
      <c r="Z701" s="379"/>
    </row>
    <row r="702" ht="12.75" customHeight="1">
      <c r="A702" s="379"/>
      <c r="B702" s="379"/>
      <c r="C702" s="379"/>
      <c r="D702" s="379"/>
      <c r="E702" s="379"/>
      <c r="F702" s="379"/>
      <c r="G702" s="379"/>
      <c r="H702" s="379"/>
      <c r="I702" s="379"/>
      <c r="J702" s="379"/>
      <c r="K702" s="379"/>
      <c r="L702" s="379"/>
      <c r="M702" s="379"/>
      <c r="N702" s="379"/>
      <c r="O702" s="379"/>
      <c r="P702" s="379"/>
      <c r="Q702" s="379"/>
      <c r="R702" s="379"/>
      <c r="S702" s="379"/>
      <c r="T702" s="379"/>
      <c r="U702" s="379"/>
      <c r="V702" s="379"/>
      <c r="W702" s="379"/>
      <c r="X702" s="379"/>
      <c r="Y702" s="379"/>
      <c r="Z702" s="379"/>
    </row>
    <row r="703" ht="12.75" customHeight="1">
      <c r="A703" s="379"/>
      <c r="B703" s="379"/>
      <c r="C703" s="379"/>
      <c r="D703" s="379"/>
      <c r="E703" s="379"/>
      <c r="F703" s="379"/>
      <c r="G703" s="379"/>
      <c r="H703" s="379"/>
      <c r="I703" s="379"/>
      <c r="J703" s="379"/>
      <c r="K703" s="379"/>
      <c r="L703" s="379"/>
      <c r="M703" s="379"/>
      <c r="N703" s="379"/>
      <c r="O703" s="379"/>
      <c r="P703" s="379"/>
      <c r="Q703" s="379"/>
      <c r="R703" s="379"/>
      <c r="S703" s="379"/>
      <c r="T703" s="379"/>
      <c r="U703" s="379"/>
      <c r="V703" s="379"/>
      <c r="W703" s="379"/>
      <c r="X703" s="379"/>
      <c r="Y703" s="379"/>
      <c r="Z703" s="379"/>
    </row>
    <row r="704" ht="12.75" customHeight="1">
      <c r="A704" s="379"/>
      <c r="B704" s="379"/>
      <c r="C704" s="379"/>
      <c r="D704" s="379"/>
      <c r="E704" s="379"/>
      <c r="F704" s="379"/>
      <c r="G704" s="379"/>
      <c r="H704" s="379"/>
      <c r="I704" s="379"/>
      <c r="J704" s="379"/>
      <c r="K704" s="379"/>
      <c r="L704" s="379"/>
      <c r="M704" s="379"/>
      <c r="N704" s="379"/>
      <c r="O704" s="379"/>
      <c r="P704" s="379"/>
      <c r="Q704" s="379"/>
      <c r="R704" s="379"/>
      <c r="S704" s="379"/>
      <c r="T704" s="379"/>
      <c r="U704" s="379"/>
      <c r="V704" s="379"/>
      <c r="W704" s="379"/>
      <c r="X704" s="379"/>
      <c r="Y704" s="379"/>
      <c r="Z704" s="379"/>
    </row>
    <row r="705" ht="12.75" customHeight="1">
      <c r="A705" s="379"/>
      <c r="B705" s="379"/>
      <c r="C705" s="379"/>
      <c r="D705" s="379"/>
      <c r="E705" s="379"/>
      <c r="F705" s="379"/>
      <c r="G705" s="379"/>
      <c r="H705" s="379"/>
      <c r="I705" s="379"/>
      <c r="J705" s="379"/>
      <c r="K705" s="379"/>
      <c r="L705" s="379"/>
      <c r="M705" s="379"/>
      <c r="N705" s="379"/>
      <c r="O705" s="379"/>
      <c r="P705" s="379"/>
      <c r="Q705" s="379"/>
      <c r="R705" s="379"/>
      <c r="S705" s="379"/>
      <c r="T705" s="379"/>
      <c r="U705" s="379"/>
      <c r="V705" s="379"/>
      <c r="W705" s="379"/>
      <c r="X705" s="379"/>
      <c r="Y705" s="379"/>
      <c r="Z705" s="379"/>
    </row>
    <row r="706" ht="12.75" customHeight="1">
      <c r="A706" s="379"/>
      <c r="B706" s="379"/>
      <c r="C706" s="379"/>
      <c r="D706" s="379"/>
      <c r="E706" s="379"/>
      <c r="F706" s="379"/>
      <c r="G706" s="379"/>
      <c r="H706" s="379"/>
      <c r="I706" s="379"/>
      <c r="J706" s="379"/>
      <c r="K706" s="379"/>
      <c r="L706" s="379"/>
      <c r="M706" s="379"/>
      <c r="N706" s="379"/>
      <c r="O706" s="379"/>
      <c r="P706" s="379"/>
      <c r="Q706" s="379"/>
      <c r="R706" s="379"/>
      <c r="S706" s="379"/>
      <c r="T706" s="379"/>
      <c r="U706" s="379"/>
      <c r="V706" s="379"/>
      <c r="W706" s="379"/>
      <c r="X706" s="379"/>
      <c r="Y706" s="379"/>
      <c r="Z706" s="379"/>
    </row>
    <row r="707" ht="12.75" customHeight="1">
      <c r="A707" s="379"/>
      <c r="B707" s="379"/>
      <c r="C707" s="379"/>
      <c r="D707" s="379"/>
      <c r="E707" s="379"/>
      <c r="F707" s="379"/>
      <c r="G707" s="379"/>
      <c r="H707" s="379"/>
      <c r="I707" s="379"/>
      <c r="J707" s="379"/>
      <c r="K707" s="379"/>
      <c r="L707" s="379"/>
      <c r="M707" s="379"/>
      <c r="N707" s="379"/>
      <c r="O707" s="379"/>
      <c r="P707" s="379"/>
      <c r="Q707" s="379"/>
      <c r="R707" s="379"/>
      <c r="S707" s="379"/>
      <c r="T707" s="379"/>
      <c r="U707" s="379"/>
      <c r="V707" s="379"/>
      <c r="W707" s="379"/>
      <c r="X707" s="379"/>
      <c r="Y707" s="379"/>
      <c r="Z707" s="379"/>
    </row>
    <row r="708" ht="12.75" customHeight="1">
      <c r="A708" s="379"/>
      <c r="B708" s="379"/>
      <c r="C708" s="379"/>
      <c r="D708" s="379"/>
      <c r="E708" s="379"/>
      <c r="F708" s="379"/>
      <c r="G708" s="379"/>
      <c r="H708" s="379"/>
      <c r="I708" s="379"/>
      <c r="J708" s="379"/>
      <c r="K708" s="379"/>
      <c r="L708" s="379"/>
      <c r="M708" s="379"/>
      <c r="N708" s="379"/>
      <c r="O708" s="379"/>
      <c r="P708" s="379"/>
      <c r="Q708" s="379"/>
      <c r="R708" s="379"/>
      <c r="S708" s="379"/>
      <c r="T708" s="379"/>
      <c r="U708" s="379"/>
      <c r="V708" s="379"/>
      <c r="W708" s="379"/>
      <c r="X708" s="379"/>
      <c r="Y708" s="379"/>
      <c r="Z708" s="379"/>
    </row>
    <row r="709" ht="12.75" customHeight="1">
      <c r="A709" s="379"/>
      <c r="B709" s="379"/>
      <c r="C709" s="379"/>
      <c r="D709" s="379"/>
      <c r="E709" s="379"/>
      <c r="F709" s="379"/>
      <c r="G709" s="379"/>
      <c r="H709" s="379"/>
      <c r="I709" s="379"/>
      <c r="J709" s="379"/>
      <c r="K709" s="379"/>
      <c r="L709" s="379"/>
      <c r="M709" s="379"/>
      <c r="N709" s="379"/>
      <c r="O709" s="379"/>
      <c r="P709" s="379"/>
      <c r="Q709" s="379"/>
      <c r="R709" s="379"/>
      <c r="S709" s="379"/>
      <c r="T709" s="379"/>
      <c r="U709" s="379"/>
      <c r="V709" s="379"/>
      <c r="W709" s="379"/>
      <c r="X709" s="379"/>
      <c r="Y709" s="379"/>
      <c r="Z709" s="379"/>
    </row>
    <row r="710" ht="12.75" customHeight="1">
      <c r="A710" s="379"/>
      <c r="B710" s="379"/>
      <c r="C710" s="379"/>
      <c r="D710" s="379"/>
      <c r="E710" s="379"/>
      <c r="F710" s="379"/>
      <c r="G710" s="379"/>
      <c r="H710" s="379"/>
      <c r="I710" s="379"/>
      <c r="J710" s="379"/>
      <c r="K710" s="379"/>
      <c r="L710" s="379"/>
      <c r="M710" s="379"/>
      <c r="N710" s="379"/>
      <c r="O710" s="379"/>
      <c r="P710" s="379"/>
      <c r="Q710" s="379"/>
      <c r="R710" s="379"/>
      <c r="S710" s="379"/>
      <c r="T710" s="379"/>
      <c r="U710" s="379"/>
      <c r="V710" s="379"/>
      <c r="W710" s="379"/>
      <c r="X710" s="379"/>
      <c r="Y710" s="379"/>
      <c r="Z710" s="379"/>
    </row>
    <row r="711" ht="12.75" customHeight="1">
      <c r="A711" s="379"/>
      <c r="B711" s="379"/>
      <c r="C711" s="379"/>
      <c r="D711" s="379"/>
      <c r="E711" s="379"/>
      <c r="F711" s="379"/>
      <c r="G711" s="379"/>
      <c r="H711" s="379"/>
      <c r="I711" s="379"/>
      <c r="J711" s="379"/>
      <c r="K711" s="379"/>
      <c r="L711" s="379"/>
      <c r="M711" s="379"/>
      <c r="N711" s="379"/>
      <c r="O711" s="379"/>
      <c r="P711" s="379"/>
      <c r="Q711" s="379"/>
      <c r="R711" s="379"/>
      <c r="S711" s="379"/>
      <c r="T711" s="379"/>
      <c r="U711" s="379"/>
      <c r="V711" s="379"/>
      <c r="W711" s="379"/>
      <c r="X711" s="379"/>
      <c r="Y711" s="379"/>
      <c r="Z711" s="379"/>
    </row>
    <row r="712" ht="12.75" customHeight="1">
      <c r="A712" s="379"/>
      <c r="B712" s="379"/>
      <c r="C712" s="379"/>
      <c r="D712" s="379"/>
      <c r="E712" s="379"/>
      <c r="F712" s="379"/>
      <c r="G712" s="379"/>
      <c r="H712" s="379"/>
      <c r="I712" s="379"/>
      <c r="J712" s="379"/>
      <c r="K712" s="379"/>
      <c r="L712" s="379"/>
      <c r="M712" s="379"/>
      <c r="N712" s="379"/>
      <c r="O712" s="379"/>
      <c r="P712" s="379"/>
      <c r="Q712" s="379"/>
      <c r="R712" s="379"/>
      <c r="S712" s="379"/>
      <c r="T712" s="379"/>
      <c r="U712" s="379"/>
      <c r="V712" s="379"/>
      <c r="W712" s="379"/>
      <c r="X712" s="379"/>
      <c r="Y712" s="379"/>
      <c r="Z712" s="379"/>
    </row>
    <row r="713" ht="12.75" customHeight="1">
      <c r="A713" s="379"/>
      <c r="B713" s="379"/>
      <c r="C713" s="379"/>
      <c r="D713" s="379"/>
      <c r="E713" s="379"/>
      <c r="F713" s="379"/>
      <c r="G713" s="379"/>
      <c r="H713" s="379"/>
      <c r="I713" s="379"/>
      <c r="J713" s="379"/>
      <c r="K713" s="379"/>
      <c r="L713" s="379"/>
      <c r="M713" s="379"/>
      <c r="N713" s="379"/>
      <c r="O713" s="379"/>
      <c r="P713" s="379"/>
      <c r="Q713" s="379"/>
      <c r="R713" s="379"/>
      <c r="S713" s="379"/>
      <c r="T713" s="379"/>
      <c r="U713" s="379"/>
      <c r="V713" s="379"/>
      <c r="W713" s="379"/>
      <c r="X713" s="379"/>
      <c r="Y713" s="379"/>
      <c r="Z713" s="379"/>
    </row>
    <row r="714" ht="12.75" customHeight="1">
      <c r="A714" s="379"/>
      <c r="B714" s="379"/>
      <c r="C714" s="379"/>
      <c r="D714" s="379"/>
      <c r="E714" s="379"/>
      <c r="F714" s="379"/>
      <c r="G714" s="379"/>
      <c r="H714" s="379"/>
      <c r="I714" s="379"/>
      <c r="J714" s="379"/>
      <c r="K714" s="379"/>
      <c r="L714" s="379"/>
      <c r="M714" s="379"/>
      <c r="N714" s="379"/>
      <c r="O714" s="379"/>
      <c r="P714" s="379"/>
      <c r="Q714" s="379"/>
      <c r="R714" s="379"/>
      <c r="S714" s="379"/>
      <c r="T714" s="379"/>
      <c r="U714" s="379"/>
      <c r="V714" s="379"/>
      <c r="W714" s="379"/>
      <c r="X714" s="379"/>
      <c r="Y714" s="379"/>
      <c r="Z714" s="379"/>
    </row>
    <row r="715" ht="12.75" customHeight="1">
      <c r="A715" s="379"/>
      <c r="B715" s="379"/>
      <c r="C715" s="379"/>
      <c r="D715" s="379"/>
      <c r="E715" s="379"/>
      <c r="F715" s="379"/>
      <c r="G715" s="379"/>
      <c r="H715" s="379"/>
      <c r="I715" s="379"/>
      <c r="J715" s="379"/>
      <c r="K715" s="379"/>
      <c r="L715" s="379"/>
      <c r="M715" s="379"/>
      <c r="N715" s="379"/>
      <c r="O715" s="379"/>
      <c r="P715" s="379"/>
      <c r="Q715" s="379"/>
      <c r="R715" s="379"/>
      <c r="S715" s="379"/>
      <c r="T715" s="379"/>
      <c r="U715" s="379"/>
      <c r="V715" s="379"/>
      <c r="W715" s="379"/>
      <c r="X715" s="379"/>
      <c r="Y715" s="379"/>
      <c r="Z715" s="379"/>
    </row>
    <row r="716" ht="12.75" customHeight="1">
      <c r="A716" s="379"/>
      <c r="B716" s="379"/>
      <c r="C716" s="379"/>
      <c r="D716" s="379"/>
      <c r="E716" s="379"/>
      <c r="F716" s="379"/>
      <c r="G716" s="379"/>
      <c r="H716" s="379"/>
      <c r="I716" s="379"/>
      <c r="J716" s="379"/>
      <c r="K716" s="379"/>
      <c r="L716" s="379"/>
      <c r="M716" s="379"/>
      <c r="N716" s="379"/>
      <c r="O716" s="379"/>
      <c r="P716" s="379"/>
      <c r="Q716" s="379"/>
      <c r="R716" s="379"/>
      <c r="S716" s="379"/>
      <c r="T716" s="379"/>
      <c r="U716" s="379"/>
      <c r="V716" s="379"/>
      <c r="W716" s="379"/>
      <c r="X716" s="379"/>
      <c r="Y716" s="379"/>
      <c r="Z716" s="379"/>
    </row>
    <row r="717" ht="12.75" customHeight="1">
      <c r="A717" s="379"/>
      <c r="B717" s="379"/>
      <c r="C717" s="379"/>
      <c r="D717" s="379"/>
      <c r="E717" s="379"/>
      <c r="F717" s="379"/>
      <c r="G717" s="379"/>
      <c r="H717" s="379"/>
      <c r="I717" s="379"/>
      <c r="J717" s="379"/>
      <c r="K717" s="379"/>
      <c r="L717" s="379"/>
      <c r="M717" s="379"/>
      <c r="N717" s="379"/>
      <c r="O717" s="379"/>
      <c r="P717" s="379"/>
      <c r="Q717" s="379"/>
      <c r="R717" s="379"/>
      <c r="S717" s="379"/>
      <c r="T717" s="379"/>
      <c r="U717" s="379"/>
      <c r="V717" s="379"/>
      <c r="W717" s="379"/>
      <c r="X717" s="379"/>
      <c r="Y717" s="379"/>
      <c r="Z717" s="379"/>
    </row>
    <row r="718" ht="12.75" customHeight="1">
      <c r="A718" s="379"/>
      <c r="B718" s="379"/>
      <c r="C718" s="379"/>
      <c r="D718" s="379"/>
      <c r="E718" s="379"/>
      <c r="F718" s="379"/>
      <c r="G718" s="379"/>
      <c r="H718" s="379"/>
      <c r="I718" s="379"/>
      <c r="J718" s="379"/>
      <c r="K718" s="379"/>
      <c r="L718" s="379"/>
      <c r="M718" s="379"/>
      <c r="N718" s="379"/>
      <c r="O718" s="379"/>
      <c r="P718" s="379"/>
      <c r="Q718" s="379"/>
      <c r="R718" s="379"/>
      <c r="S718" s="379"/>
      <c r="T718" s="379"/>
      <c r="U718" s="379"/>
      <c r="V718" s="379"/>
      <c r="W718" s="379"/>
      <c r="X718" s="379"/>
      <c r="Y718" s="379"/>
      <c r="Z718" s="379"/>
    </row>
    <row r="719" ht="12.75" customHeight="1">
      <c r="A719" s="379"/>
      <c r="B719" s="379"/>
      <c r="C719" s="379"/>
      <c r="D719" s="379"/>
      <c r="E719" s="379"/>
      <c r="F719" s="379"/>
      <c r="G719" s="379"/>
      <c r="H719" s="379"/>
      <c r="I719" s="379"/>
      <c r="J719" s="379"/>
      <c r="K719" s="379"/>
      <c r="L719" s="379"/>
      <c r="M719" s="379"/>
      <c r="N719" s="379"/>
      <c r="O719" s="379"/>
      <c r="P719" s="379"/>
      <c r="Q719" s="379"/>
      <c r="R719" s="379"/>
      <c r="S719" s="379"/>
      <c r="T719" s="379"/>
      <c r="U719" s="379"/>
      <c r="V719" s="379"/>
      <c r="W719" s="379"/>
      <c r="X719" s="379"/>
      <c r="Y719" s="379"/>
      <c r="Z719" s="379"/>
    </row>
    <row r="720" ht="12.75" customHeight="1">
      <c r="A720" s="379"/>
      <c r="B720" s="379"/>
      <c r="C720" s="379"/>
      <c r="D720" s="379"/>
      <c r="E720" s="379"/>
      <c r="F720" s="379"/>
      <c r="G720" s="379"/>
      <c r="H720" s="379"/>
      <c r="I720" s="379"/>
      <c r="J720" s="379"/>
      <c r="K720" s="379"/>
      <c r="L720" s="379"/>
      <c r="M720" s="379"/>
      <c r="N720" s="379"/>
      <c r="O720" s="379"/>
      <c r="P720" s="379"/>
      <c r="Q720" s="379"/>
      <c r="R720" s="379"/>
      <c r="S720" s="379"/>
      <c r="T720" s="379"/>
      <c r="U720" s="379"/>
      <c r="V720" s="379"/>
      <c r="W720" s="379"/>
      <c r="X720" s="379"/>
      <c r="Y720" s="379"/>
      <c r="Z720" s="379"/>
    </row>
    <row r="721" ht="12.75" customHeight="1">
      <c r="A721" s="379"/>
      <c r="B721" s="379"/>
      <c r="C721" s="379"/>
      <c r="D721" s="379"/>
      <c r="E721" s="379"/>
      <c r="F721" s="379"/>
      <c r="G721" s="379"/>
      <c r="H721" s="379"/>
      <c r="I721" s="379"/>
      <c r="J721" s="379"/>
      <c r="K721" s="379"/>
      <c r="L721" s="379"/>
      <c r="M721" s="379"/>
      <c r="N721" s="379"/>
      <c r="O721" s="379"/>
      <c r="P721" s="379"/>
      <c r="Q721" s="379"/>
      <c r="R721" s="379"/>
      <c r="S721" s="379"/>
      <c r="T721" s="379"/>
      <c r="U721" s="379"/>
      <c r="V721" s="379"/>
      <c r="W721" s="379"/>
      <c r="X721" s="379"/>
      <c r="Y721" s="379"/>
      <c r="Z721" s="379"/>
    </row>
    <row r="722" ht="12.75" customHeight="1">
      <c r="A722" s="379"/>
      <c r="B722" s="379"/>
      <c r="C722" s="379"/>
      <c r="D722" s="379"/>
      <c r="E722" s="379"/>
      <c r="F722" s="379"/>
      <c r="G722" s="379"/>
      <c r="H722" s="379"/>
      <c r="I722" s="379"/>
      <c r="J722" s="379"/>
      <c r="K722" s="379"/>
      <c r="L722" s="379"/>
      <c r="M722" s="379"/>
      <c r="N722" s="379"/>
      <c r="O722" s="379"/>
      <c r="P722" s="379"/>
      <c r="Q722" s="379"/>
      <c r="R722" s="379"/>
      <c r="S722" s="379"/>
      <c r="T722" s="379"/>
      <c r="U722" s="379"/>
      <c r="V722" s="379"/>
      <c r="W722" s="379"/>
      <c r="X722" s="379"/>
      <c r="Y722" s="379"/>
      <c r="Z722" s="379"/>
    </row>
    <row r="723" ht="12.75" customHeight="1">
      <c r="A723" s="379"/>
      <c r="B723" s="379"/>
      <c r="C723" s="379"/>
      <c r="D723" s="379"/>
      <c r="E723" s="379"/>
      <c r="F723" s="379"/>
      <c r="G723" s="379"/>
      <c r="H723" s="379"/>
      <c r="I723" s="379"/>
      <c r="J723" s="379"/>
      <c r="K723" s="379"/>
      <c r="L723" s="379"/>
      <c r="M723" s="379"/>
      <c r="N723" s="379"/>
      <c r="O723" s="379"/>
      <c r="P723" s="379"/>
      <c r="Q723" s="379"/>
      <c r="R723" s="379"/>
      <c r="S723" s="379"/>
      <c r="T723" s="379"/>
      <c r="U723" s="379"/>
      <c r="V723" s="379"/>
      <c r="W723" s="379"/>
      <c r="X723" s="379"/>
      <c r="Y723" s="379"/>
      <c r="Z723" s="379"/>
    </row>
    <row r="724" ht="12.75" customHeight="1">
      <c r="A724" s="379"/>
      <c r="B724" s="379"/>
      <c r="C724" s="379"/>
      <c r="D724" s="379"/>
      <c r="E724" s="379"/>
      <c r="F724" s="379"/>
      <c r="G724" s="379"/>
      <c r="H724" s="379"/>
      <c r="I724" s="379"/>
      <c r="J724" s="379"/>
      <c r="K724" s="379"/>
      <c r="L724" s="379"/>
      <c r="M724" s="379"/>
      <c r="N724" s="379"/>
      <c r="O724" s="379"/>
      <c r="P724" s="379"/>
      <c r="Q724" s="379"/>
      <c r="R724" s="379"/>
      <c r="S724" s="379"/>
      <c r="T724" s="379"/>
      <c r="U724" s="379"/>
      <c r="V724" s="379"/>
      <c r="W724" s="379"/>
      <c r="X724" s="379"/>
      <c r="Y724" s="379"/>
      <c r="Z724" s="379"/>
    </row>
    <row r="725" ht="12.75" customHeight="1">
      <c r="A725" s="379"/>
      <c r="B725" s="379"/>
      <c r="C725" s="379"/>
      <c r="D725" s="379"/>
      <c r="E725" s="379"/>
      <c r="F725" s="379"/>
      <c r="G725" s="379"/>
      <c r="H725" s="379"/>
      <c r="I725" s="379"/>
      <c r="J725" s="379"/>
      <c r="K725" s="379"/>
      <c r="L725" s="379"/>
      <c r="M725" s="379"/>
      <c r="N725" s="379"/>
      <c r="O725" s="379"/>
      <c r="P725" s="379"/>
      <c r="Q725" s="379"/>
      <c r="R725" s="379"/>
      <c r="S725" s="379"/>
      <c r="T725" s="379"/>
      <c r="U725" s="379"/>
      <c r="V725" s="379"/>
      <c r="W725" s="379"/>
      <c r="X725" s="379"/>
      <c r="Y725" s="379"/>
      <c r="Z725" s="379"/>
    </row>
    <row r="726" ht="12.75" customHeight="1">
      <c r="A726" s="379"/>
      <c r="B726" s="379"/>
      <c r="C726" s="379"/>
      <c r="D726" s="379"/>
      <c r="E726" s="379"/>
      <c r="F726" s="379"/>
      <c r="G726" s="379"/>
      <c r="H726" s="379"/>
      <c r="I726" s="379"/>
      <c r="J726" s="379"/>
      <c r="K726" s="379"/>
      <c r="L726" s="379"/>
      <c r="M726" s="379"/>
      <c r="N726" s="379"/>
      <c r="O726" s="379"/>
      <c r="P726" s="379"/>
      <c r="Q726" s="379"/>
      <c r="R726" s="379"/>
      <c r="S726" s="379"/>
      <c r="T726" s="379"/>
      <c r="U726" s="379"/>
      <c r="V726" s="379"/>
      <c r="W726" s="379"/>
      <c r="X726" s="379"/>
      <c r="Y726" s="379"/>
      <c r="Z726" s="379"/>
    </row>
    <row r="727" ht="12.75" customHeight="1">
      <c r="A727" s="379"/>
      <c r="B727" s="379"/>
      <c r="C727" s="379"/>
      <c r="D727" s="379"/>
      <c r="E727" s="379"/>
      <c r="F727" s="379"/>
      <c r="G727" s="379"/>
      <c r="H727" s="379"/>
      <c r="I727" s="379"/>
      <c r="J727" s="379"/>
      <c r="K727" s="379"/>
      <c r="L727" s="379"/>
      <c r="M727" s="379"/>
      <c r="N727" s="379"/>
      <c r="O727" s="379"/>
      <c r="P727" s="379"/>
      <c r="Q727" s="379"/>
      <c r="R727" s="379"/>
      <c r="S727" s="379"/>
      <c r="T727" s="379"/>
      <c r="U727" s="379"/>
      <c r="V727" s="379"/>
      <c r="W727" s="379"/>
      <c r="X727" s="379"/>
      <c r="Y727" s="379"/>
      <c r="Z727" s="379"/>
    </row>
    <row r="728" ht="12.75" customHeight="1">
      <c r="A728" s="379"/>
      <c r="B728" s="379"/>
      <c r="C728" s="379"/>
      <c r="D728" s="379"/>
      <c r="E728" s="379"/>
      <c r="F728" s="379"/>
      <c r="G728" s="379"/>
      <c r="H728" s="379"/>
      <c r="I728" s="379"/>
      <c r="J728" s="379"/>
      <c r="K728" s="379"/>
      <c r="L728" s="379"/>
      <c r="M728" s="379"/>
      <c r="N728" s="379"/>
      <c r="O728" s="379"/>
      <c r="P728" s="379"/>
      <c r="Q728" s="379"/>
      <c r="R728" s="379"/>
      <c r="S728" s="379"/>
      <c r="T728" s="379"/>
      <c r="U728" s="379"/>
      <c r="V728" s="379"/>
      <c r="W728" s="379"/>
      <c r="X728" s="379"/>
      <c r="Y728" s="379"/>
      <c r="Z728" s="379"/>
    </row>
    <row r="729" ht="12.75" customHeight="1">
      <c r="A729" s="379"/>
      <c r="B729" s="379"/>
      <c r="C729" s="379"/>
      <c r="D729" s="379"/>
      <c r="E729" s="379"/>
      <c r="F729" s="379"/>
      <c r="G729" s="379"/>
      <c r="H729" s="379"/>
      <c r="I729" s="379"/>
      <c r="J729" s="379"/>
      <c r="K729" s="379"/>
      <c r="L729" s="379"/>
      <c r="M729" s="379"/>
      <c r="N729" s="379"/>
      <c r="O729" s="379"/>
      <c r="P729" s="379"/>
      <c r="Q729" s="379"/>
      <c r="R729" s="379"/>
      <c r="S729" s="379"/>
      <c r="T729" s="379"/>
      <c r="U729" s="379"/>
      <c r="V729" s="379"/>
      <c r="W729" s="379"/>
      <c r="X729" s="379"/>
      <c r="Y729" s="379"/>
      <c r="Z729" s="379"/>
    </row>
    <row r="730" ht="12.75" customHeight="1">
      <c r="A730" s="379"/>
      <c r="B730" s="379"/>
      <c r="C730" s="379"/>
      <c r="D730" s="379"/>
      <c r="E730" s="379"/>
      <c r="F730" s="379"/>
      <c r="G730" s="379"/>
      <c r="H730" s="379"/>
      <c r="I730" s="379"/>
      <c r="J730" s="379"/>
      <c r="K730" s="379"/>
      <c r="L730" s="379"/>
      <c r="M730" s="379"/>
      <c r="N730" s="379"/>
      <c r="O730" s="379"/>
      <c r="P730" s="379"/>
      <c r="Q730" s="379"/>
      <c r="R730" s="379"/>
      <c r="S730" s="379"/>
      <c r="T730" s="379"/>
      <c r="U730" s="379"/>
      <c r="V730" s="379"/>
      <c r="W730" s="379"/>
      <c r="X730" s="379"/>
      <c r="Y730" s="379"/>
      <c r="Z730" s="379"/>
    </row>
    <row r="731" ht="12.75" customHeight="1">
      <c r="A731" s="379"/>
      <c r="B731" s="379"/>
      <c r="C731" s="379"/>
      <c r="D731" s="379"/>
      <c r="E731" s="379"/>
      <c r="F731" s="379"/>
      <c r="G731" s="379"/>
      <c r="H731" s="379"/>
      <c r="I731" s="379"/>
      <c r="J731" s="379"/>
      <c r="K731" s="379"/>
      <c r="L731" s="379"/>
      <c r="M731" s="379"/>
      <c r="N731" s="379"/>
      <c r="O731" s="379"/>
      <c r="P731" s="379"/>
      <c r="Q731" s="379"/>
      <c r="R731" s="379"/>
      <c r="S731" s="379"/>
      <c r="T731" s="379"/>
      <c r="U731" s="379"/>
      <c r="V731" s="379"/>
      <c r="W731" s="379"/>
      <c r="X731" s="379"/>
      <c r="Y731" s="379"/>
      <c r="Z731" s="379"/>
    </row>
    <row r="732" ht="12.75" customHeight="1">
      <c r="A732" s="379"/>
      <c r="B732" s="379"/>
      <c r="C732" s="379"/>
      <c r="D732" s="379"/>
      <c r="E732" s="379"/>
      <c r="F732" s="379"/>
      <c r="G732" s="379"/>
      <c r="H732" s="379"/>
      <c r="I732" s="379"/>
      <c r="J732" s="379"/>
      <c r="K732" s="379"/>
      <c r="L732" s="379"/>
      <c r="M732" s="379"/>
      <c r="N732" s="379"/>
      <c r="O732" s="379"/>
      <c r="P732" s="379"/>
      <c r="Q732" s="379"/>
      <c r="R732" s="379"/>
      <c r="S732" s="379"/>
      <c r="T732" s="379"/>
      <c r="U732" s="379"/>
      <c r="V732" s="379"/>
      <c r="W732" s="379"/>
      <c r="X732" s="379"/>
      <c r="Y732" s="379"/>
      <c r="Z732" s="379"/>
    </row>
    <row r="733" ht="12.75" customHeight="1">
      <c r="A733" s="379"/>
      <c r="B733" s="379"/>
      <c r="C733" s="379"/>
      <c r="D733" s="379"/>
      <c r="E733" s="379"/>
      <c r="F733" s="379"/>
      <c r="G733" s="379"/>
      <c r="H733" s="379"/>
      <c r="I733" s="379"/>
      <c r="J733" s="379"/>
      <c r="K733" s="379"/>
      <c r="L733" s="379"/>
      <c r="M733" s="379"/>
      <c r="N733" s="379"/>
      <c r="O733" s="379"/>
      <c r="P733" s="379"/>
      <c r="Q733" s="379"/>
      <c r="R733" s="379"/>
      <c r="S733" s="379"/>
      <c r="T733" s="379"/>
      <c r="U733" s="379"/>
      <c r="V733" s="379"/>
      <c r="W733" s="379"/>
      <c r="X733" s="379"/>
      <c r="Y733" s="379"/>
      <c r="Z733" s="379"/>
    </row>
    <row r="734" ht="12.75" customHeight="1">
      <c r="A734" s="379"/>
      <c r="B734" s="379"/>
      <c r="C734" s="379"/>
      <c r="D734" s="379"/>
      <c r="E734" s="379"/>
      <c r="F734" s="379"/>
      <c r="G734" s="379"/>
      <c r="H734" s="379"/>
      <c r="I734" s="379"/>
      <c r="J734" s="379"/>
      <c r="K734" s="379"/>
      <c r="L734" s="379"/>
      <c r="M734" s="379"/>
      <c r="N734" s="379"/>
      <c r="O734" s="379"/>
      <c r="P734" s="379"/>
      <c r="Q734" s="379"/>
      <c r="R734" s="379"/>
      <c r="S734" s="379"/>
      <c r="T734" s="379"/>
      <c r="U734" s="379"/>
      <c r="V734" s="379"/>
      <c r="W734" s="379"/>
      <c r="X734" s="379"/>
      <c r="Y734" s="379"/>
      <c r="Z734" s="379"/>
    </row>
    <row r="735" ht="12.75" customHeight="1">
      <c r="A735" s="379"/>
      <c r="B735" s="379"/>
      <c r="C735" s="379"/>
      <c r="D735" s="379"/>
      <c r="E735" s="379"/>
      <c r="F735" s="379"/>
      <c r="G735" s="379"/>
      <c r="H735" s="379"/>
      <c r="I735" s="379"/>
      <c r="J735" s="379"/>
      <c r="K735" s="379"/>
      <c r="L735" s="379"/>
      <c r="M735" s="379"/>
      <c r="N735" s="379"/>
      <c r="O735" s="379"/>
      <c r="P735" s="379"/>
      <c r="Q735" s="379"/>
      <c r="R735" s="379"/>
      <c r="S735" s="379"/>
      <c r="T735" s="379"/>
      <c r="U735" s="379"/>
      <c r="V735" s="379"/>
      <c r="W735" s="379"/>
      <c r="X735" s="379"/>
      <c r="Y735" s="379"/>
      <c r="Z735" s="379"/>
    </row>
    <row r="736" ht="12.75" customHeight="1">
      <c r="A736" s="379"/>
      <c r="B736" s="379"/>
      <c r="C736" s="379"/>
      <c r="D736" s="379"/>
      <c r="E736" s="379"/>
      <c r="F736" s="379"/>
      <c r="G736" s="379"/>
      <c r="H736" s="379"/>
      <c r="I736" s="379"/>
      <c r="J736" s="379"/>
      <c r="K736" s="379"/>
      <c r="L736" s="379"/>
      <c r="M736" s="379"/>
      <c r="N736" s="379"/>
      <c r="O736" s="379"/>
      <c r="P736" s="379"/>
      <c r="Q736" s="379"/>
      <c r="R736" s="379"/>
      <c r="S736" s="379"/>
      <c r="T736" s="379"/>
      <c r="U736" s="379"/>
      <c r="V736" s="379"/>
      <c r="W736" s="379"/>
      <c r="X736" s="379"/>
      <c r="Y736" s="379"/>
      <c r="Z736" s="379"/>
    </row>
    <row r="737" ht="12.75" customHeight="1">
      <c r="A737" s="379"/>
      <c r="B737" s="379"/>
      <c r="C737" s="379"/>
      <c r="D737" s="379"/>
      <c r="E737" s="379"/>
      <c r="F737" s="379"/>
      <c r="G737" s="379"/>
      <c r="H737" s="379"/>
      <c r="I737" s="379"/>
      <c r="J737" s="379"/>
      <c r="K737" s="379"/>
      <c r="L737" s="379"/>
      <c r="M737" s="379"/>
      <c r="N737" s="379"/>
      <c r="O737" s="379"/>
      <c r="P737" s="379"/>
      <c r="Q737" s="379"/>
      <c r="R737" s="379"/>
      <c r="S737" s="379"/>
      <c r="T737" s="379"/>
      <c r="U737" s="379"/>
      <c r="V737" s="379"/>
      <c r="W737" s="379"/>
      <c r="X737" s="379"/>
      <c r="Y737" s="379"/>
      <c r="Z737" s="379"/>
    </row>
    <row r="738" ht="12.75" customHeight="1">
      <c r="A738" s="379"/>
      <c r="B738" s="379"/>
      <c r="C738" s="379"/>
      <c r="D738" s="379"/>
      <c r="E738" s="379"/>
      <c r="F738" s="379"/>
      <c r="G738" s="379"/>
      <c r="H738" s="379"/>
      <c r="I738" s="379"/>
      <c r="J738" s="379"/>
      <c r="K738" s="379"/>
      <c r="L738" s="379"/>
      <c r="M738" s="379"/>
      <c r="N738" s="379"/>
      <c r="O738" s="379"/>
      <c r="P738" s="379"/>
      <c r="Q738" s="379"/>
      <c r="R738" s="379"/>
      <c r="S738" s="379"/>
      <c r="T738" s="379"/>
      <c r="U738" s="379"/>
      <c r="V738" s="379"/>
      <c r="W738" s="379"/>
      <c r="X738" s="379"/>
      <c r="Y738" s="379"/>
      <c r="Z738" s="379"/>
    </row>
    <row r="739" ht="12.75" customHeight="1">
      <c r="A739" s="379"/>
      <c r="B739" s="379"/>
      <c r="C739" s="379"/>
      <c r="D739" s="379"/>
      <c r="E739" s="379"/>
      <c r="F739" s="379"/>
      <c r="G739" s="379"/>
      <c r="H739" s="379"/>
      <c r="I739" s="379"/>
      <c r="J739" s="379"/>
      <c r="K739" s="379"/>
      <c r="L739" s="379"/>
      <c r="M739" s="379"/>
      <c r="N739" s="379"/>
      <c r="O739" s="379"/>
      <c r="P739" s="379"/>
      <c r="Q739" s="379"/>
      <c r="R739" s="379"/>
      <c r="S739" s="379"/>
      <c r="T739" s="379"/>
      <c r="U739" s="379"/>
      <c r="V739" s="379"/>
      <c r="W739" s="379"/>
      <c r="X739" s="379"/>
      <c r="Y739" s="379"/>
      <c r="Z739" s="379"/>
    </row>
    <row r="740" ht="12.75" customHeight="1">
      <c r="A740" s="379"/>
      <c r="B740" s="379"/>
      <c r="C740" s="379"/>
      <c r="D740" s="379"/>
      <c r="E740" s="379"/>
      <c r="F740" s="379"/>
      <c r="G740" s="379"/>
      <c r="H740" s="379"/>
      <c r="I740" s="379"/>
      <c r="J740" s="379"/>
      <c r="K740" s="379"/>
      <c r="L740" s="379"/>
      <c r="M740" s="379"/>
      <c r="N740" s="379"/>
      <c r="O740" s="379"/>
      <c r="P740" s="379"/>
      <c r="Q740" s="379"/>
      <c r="R740" s="379"/>
      <c r="S740" s="379"/>
      <c r="T740" s="379"/>
      <c r="U740" s="379"/>
      <c r="V740" s="379"/>
      <c r="W740" s="379"/>
      <c r="X740" s="379"/>
      <c r="Y740" s="379"/>
      <c r="Z740" s="379"/>
    </row>
    <row r="741" ht="12.75" customHeight="1">
      <c r="A741" s="379"/>
      <c r="B741" s="379"/>
      <c r="C741" s="379"/>
      <c r="D741" s="379"/>
      <c r="E741" s="379"/>
      <c r="F741" s="379"/>
      <c r="G741" s="379"/>
      <c r="H741" s="379"/>
      <c r="I741" s="379"/>
      <c r="J741" s="379"/>
      <c r="K741" s="379"/>
      <c r="L741" s="379"/>
      <c r="M741" s="379"/>
      <c r="N741" s="379"/>
      <c r="O741" s="379"/>
      <c r="P741" s="379"/>
      <c r="Q741" s="379"/>
      <c r="R741" s="379"/>
      <c r="S741" s="379"/>
      <c r="T741" s="379"/>
      <c r="U741" s="379"/>
      <c r="V741" s="379"/>
      <c r="W741" s="379"/>
      <c r="X741" s="379"/>
      <c r="Y741" s="379"/>
      <c r="Z741" s="379"/>
    </row>
    <row r="742" ht="12.75" customHeight="1">
      <c r="A742" s="379"/>
      <c r="B742" s="379"/>
      <c r="C742" s="379"/>
      <c r="D742" s="379"/>
      <c r="E742" s="379"/>
      <c r="F742" s="379"/>
      <c r="G742" s="379"/>
      <c r="H742" s="379"/>
      <c r="I742" s="379"/>
      <c r="J742" s="379"/>
      <c r="K742" s="379"/>
      <c r="L742" s="379"/>
      <c r="M742" s="379"/>
      <c r="N742" s="379"/>
      <c r="O742" s="379"/>
      <c r="P742" s="379"/>
      <c r="Q742" s="379"/>
      <c r="R742" s="379"/>
      <c r="S742" s="379"/>
      <c r="T742" s="379"/>
      <c r="U742" s="379"/>
      <c r="V742" s="379"/>
      <c r="W742" s="379"/>
      <c r="X742" s="379"/>
      <c r="Y742" s="379"/>
      <c r="Z742" s="379"/>
    </row>
    <row r="743" ht="12.75" customHeight="1">
      <c r="A743" s="379"/>
      <c r="B743" s="379"/>
      <c r="C743" s="379"/>
      <c r="D743" s="379"/>
      <c r="E743" s="379"/>
      <c r="F743" s="379"/>
      <c r="G743" s="379"/>
      <c r="H743" s="379"/>
      <c r="I743" s="379"/>
      <c r="J743" s="379"/>
      <c r="K743" s="379"/>
      <c r="L743" s="379"/>
      <c r="M743" s="379"/>
      <c r="N743" s="379"/>
      <c r="O743" s="379"/>
      <c r="P743" s="379"/>
      <c r="Q743" s="379"/>
      <c r="R743" s="379"/>
      <c r="S743" s="379"/>
      <c r="T743" s="379"/>
      <c r="U743" s="379"/>
      <c r="V743" s="379"/>
      <c r="W743" s="379"/>
      <c r="X743" s="379"/>
      <c r="Y743" s="379"/>
      <c r="Z743" s="379"/>
    </row>
    <row r="744" ht="12.75" customHeight="1">
      <c r="A744" s="379"/>
      <c r="B744" s="379"/>
      <c r="C744" s="379"/>
      <c r="D744" s="379"/>
      <c r="E744" s="379"/>
      <c r="F744" s="379"/>
      <c r="G744" s="379"/>
      <c r="H744" s="379"/>
      <c r="I744" s="379"/>
      <c r="J744" s="379"/>
      <c r="K744" s="379"/>
      <c r="L744" s="379"/>
      <c r="M744" s="379"/>
      <c r="N744" s="379"/>
      <c r="O744" s="379"/>
      <c r="P744" s="379"/>
      <c r="Q744" s="379"/>
      <c r="R744" s="379"/>
      <c r="S744" s="379"/>
      <c r="T744" s="379"/>
      <c r="U744" s="379"/>
      <c r="V744" s="379"/>
      <c r="W744" s="379"/>
      <c r="X744" s="379"/>
      <c r="Y744" s="379"/>
      <c r="Z744" s="379"/>
    </row>
    <row r="745" ht="12.75" customHeight="1">
      <c r="A745" s="379"/>
      <c r="B745" s="379"/>
      <c r="C745" s="379"/>
      <c r="D745" s="379"/>
      <c r="E745" s="379"/>
      <c r="F745" s="379"/>
      <c r="G745" s="379"/>
      <c r="H745" s="379"/>
      <c r="I745" s="379"/>
      <c r="J745" s="379"/>
      <c r="K745" s="379"/>
      <c r="L745" s="379"/>
      <c r="M745" s="379"/>
      <c r="N745" s="379"/>
      <c r="O745" s="379"/>
      <c r="P745" s="379"/>
      <c r="Q745" s="379"/>
      <c r="R745" s="379"/>
      <c r="S745" s="379"/>
      <c r="T745" s="379"/>
      <c r="U745" s="379"/>
      <c r="V745" s="379"/>
      <c r="W745" s="379"/>
      <c r="X745" s="379"/>
      <c r="Y745" s="379"/>
      <c r="Z745" s="379"/>
    </row>
    <row r="746" ht="12.75" customHeight="1">
      <c r="A746" s="379"/>
      <c r="B746" s="379"/>
      <c r="C746" s="379"/>
      <c r="D746" s="379"/>
      <c r="E746" s="379"/>
      <c r="F746" s="379"/>
      <c r="G746" s="379"/>
      <c r="H746" s="379"/>
      <c r="I746" s="379"/>
      <c r="J746" s="379"/>
      <c r="K746" s="379"/>
      <c r="L746" s="379"/>
      <c r="M746" s="379"/>
      <c r="N746" s="379"/>
      <c r="O746" s="379"/>
      <c r="P746" s="379"/>
      <c r="Q746" s="379"/>
      <c r="R746" s="379"/>
      <c r="S746" s="379"/>
      <c r="T746" s="379"/>
      <c r="U746" s="379"/>
      <c r="V746" s="379"/>
      <c r="W746" s="379"/>
      <c r="X746" s="379"/>
      <c r="Y746" s="379"/>
      <c r="Z746" s="379"/>
    </row>
    <row r="747" ht="12.75" customHeight="1">
      <c r="A747" s="379"/>
      <c r="B747" s="379"/>
      <c r="C747" s="379"/>
      <c r="D747" s="379"/>
      <c r="E747" s="379"/>
      <c r="F747" s="379"/>
      <c r="G747" s="379"/>
      <c r="H747" s="379"/>
      <c r="I747" s="379"/>
      <c r="J747" s="379"/>
      <c r="K747" s="379"/>
      <c r="L747" s="379"/>
      <c r="M747" s="379"/>
      <c r="N747" s="379"/>
      <c r="O747" s="379"/>
      <c r="P747" s="379"/>
      <c r="Q747" s="379"/>
      <c r="R747" s="379"/>
      <c r="S747" s="379"/>
      <c r="T747" s="379"/>
      <c r="U747" s="379"/>
      <c r="V747" s="379"/>
      <c r="W747" s="379"/>
      <c r="X747" s="379"/>
      <c r="Y747" s="379"/>
      <c r="Z747" s="379"/>
    </row>
    <row r="748" ht="12.75" customHeight="1">
      <c r="A748" s="379"/>
      <c r="B748" s="379"/>
      <c r="C748" s="379"/>
      <c r="D748" s="379"/>
      <c r="E748" s="379"/>
      <c r="F748" s="379"/>
      <c r="G748" s="379"/>
      <c r="H748" s="379"/>
      <c r="I748" s="379"/>
      <c r="J748" s="379"/>
      <c r="K748" s="379"/>
      <c r="L748" s="379"/>
      <c r="M748" s="379"/>
      <c r="N748" s="379"/>
      <c r="O748" s="379"/>
      <c r="P748" s="379"/>
      <c r="Q748" s="379"/>
      <c r="R748" s="379"/>
      <c r="S748" s="379"/>
      <c r="T748" s="379"/>
      <c r="U748" s="379"/>
      <c r="V748" s="379"/>
      <c r="W748" s="379"/>
      <c r="X748" s="379"/>
      <c r="Y748" s="379"/>
      <c r="Z748" s="379"/>
    </row>
    <row r="749" ht="12.75" customHeight="1">
      <c r="A749" s="379"/>
      <c r="B749" s="379"/>
      <c r="C749" s="379"/>
      <c r="D749" s="379"/>
      <c r="E749" s="379"/>
      <c r="F749" s="379"/>
      <c r="G749" s="379"/>
      <c r="H749" s="379"/>
      <c r="I749" s="379"/>
      <c r="J749" s="379"/>
      <c r="K749" s="379"/>
      <c r="L749" s="379"/>
      <c r="M749" s="379"/>
      <c r="N749" s="379"/>
      <c r="O749" s="379"/>
      <c r="P749" s="379"/>
      <c r="Q749" s="379"/>
      <c r="R749" s="379"/>
      <c r="S749" s="379"/>
      <c r="T749" s="379"/>
      <c r="U749" s="379"/>
      <c r="V749" s="379"/>
      <c r="W749" s="379"/>
      <c r="X749" s="379"/>
      <c r="Y749" s="379"/>
      <c r="Z749" s="379"/>
    </row>
    <row r="750" ht="12.75" customHeight="1">
      <c r="A750" s="379"/>
      <c r="B750" s="379"/>
      <c r="C750" s="379"/>
      <c r="D750" s="379"/>
      <c r="E750" s="379"/>
      <c r="F750" s="379"/>
      <c r="G750" s="379"/>
      <c r="H750" s="379"/>
      <c r="I750" s="379"/>
      <c r="J750" s="379"/>
      <c r="K750" s="379"/>
      <c r="L750" s="379"/>
      <c r="M750" s="379"/>
      <c r="N750" s="379"/>
      <c r="O750" s="379"/>
      <c r="P750" s="379"/>
      <c r="Q750" s="379"/>
      <c r="R750" s="379"/>
      <c r="S750" s="379"/>
      <c r="T750" s="379"/>
      <c r="U750" s="379"/>
      <c r="V750" s="379"/>
      <c r="W750" s="379"/>
      <c r="X750" s="379"/>
      <c r="Y750" s="379"/>
      <c r="Z750" s="379"/>
    </row>
    <row r="751" ht="12.75" customHeight="1">
      <c r="A751" s="379"/>
      <c r="B751" s="379"/>
      <c r="C751" s="379"/>
      <c r="D751" s="379"/>
      <c r="E751" s="379"/>
      <c r="F751" s="379"/>
      <c r="G751" s="379"/>
      <c r="H751" s="379"/>
      <c r="I751" s="379"/>
      <c r="J751" s="379"/>
      <c r="K751" s="379"/>
      <c r="L751" s="379"/>
      <c r="M751" s="379"/>
      <c r="N751" s="379"/>
      <c r="O751" s="379"/>
      <c r="P751" s="379"/>
      <c r="Q751" s="379"/>
      <c r="R751" s="379"/>
      <c r="S751" s="379"/>
      <c r="T751" s="379"/>
      <c r="U751" s="379"/>
      <c r="V751" s="379"/>
      <c r="W751" s="379"/>
      <c r="X751" s="379"/>
      <c r="Y751" s="379"/>
      <c r="Z751" s="379"/>
    </row>
    <row r="752" ht="12.75" customHeight="1">
      <c r="A752" s="379"/>
      <c r="B752" s="379"/>
      <c r="C752" s="379"/>
      <c r="D752" s="379"/>
      <c r="E752" s="379"/>
      <c r="F752" s="379"/>
      <c r="G752" s="379"/>
      <c r="H752" s="379"/>
      <c r="I752" s="379"/>
      <c r="J752" s="379"/>
      <c r="K752" s="379"/>
      <c r="L752" s="379"/>
      <c r="M752" s="379"/>
      <c r="N752" s="379"/>
      <c r="O752" s="379"/>
      <c r="P752" s="379"/>
      <c r="Q752" s="379"/>
      <c r="R752" s="379"/>
      <c r="S752" s="379"/>
      <c r="T752" s="379"/>
      <c r="U752" s="379"/>
      <c r="V752" s="379"/>
      <c r="W752" s="379"/>
      <c r="X752" s="379"/>
      <c r="Y752" s="379"/>
      <c r="Z752" s="379"/>
    </row>
    <row r="753" ht="12.75" customHeight="1">
      <c r="A753" s="379"/>
      <c r="B753" s="379"/>
      <c r="C753" s="379"/>
      <c r="D753" s="379"/>
      <c r="E753" s="379"/>
      <c r="F753" s="379"/>
      <c r="G753" s="379"/>
      <c r="H753" s="379"/>
      <c r="I753" s="379"/>
      <c r="J753" s="379"/>
      <c r="K753" s="379"/>
      <c r="L753" s="379"/>
      <c r="M753" s="379"/>
      <c r="N753" s="379"/>
      <c r="O753" s="379"/>
      <c r="P753" s="379"/>
      <c r="Q753" s="379"/>
      <c r="R753" s="379"/>
      <c r="S753" s="379"/>
      <c r="T753" s="379"/>
      <c r="U753" s="379"/>
      <c r="V753" s="379"/>
      <c r="W753" s="379"/>
      <c r="X753" s="379"/>
      <c r="Y753" s="379"/>
      <c r="Z753" s="379"/>
    </row>
    <row r="754" ht="12.75" customHeight="1">
      <c r="A754" s="379"/>
      <c r="B754" s="379"/>
      <c r="C754" s="379"/>
      <c r="D754" s="379"/>
      <c r="E754" s="379"/>
      <c r="F754" s="379"/>
      <c r="G754" s="379"/>
      <c r="H754" s="379"/>
      <c r="I754" s="379"/>
      <c r="J754" s="379"/>
      <c r="K754" s="379"/>
      <c r="L754" s="379"/>
      <c r="M754" s="379"/>
      <c r="N754" s="379"/>
      <c r="O754" s="379"/>
      <c r="P754" s="379"/>
      <c r="Q754" s="379"/>
      <c r="R754" s="379"/>
      <c r="S754" s="379"/>
      <c r="T754" s="379"/>
      <c r="U754" s="379"/>
      <c r="V754" s="379"/>
      <c r="W754" s="379"/>
      <c r="X754" s="379"/>
      <c r="Y754" s="379"/>
      <c r="Z754" s="379"/>
    </row>
    <row r="755" ht="12.75" customHeight="1">
      <c r="A755" s="379"/>
      <c r="B755" s="379"/>
      <c r="C755" s="379"/>
      <c r="D755" s="379"/>
      <c r="E755" s="379"/>
      <c r="F755" s="379"/>
      <c r="G755" s="379"/>
      <c r="H755" s="379"/>
      <c r="I755" s="379"/>
      <c r="J755" s="379"/>
      <c r="K755" s="379"/>
      <c r="L755" s="379"/>
      <c r="M755" s="379"/>
      <c r="N755" s="379"/>
      <c r="O755" s="379"/>
      <c r="P755" s="379"/>
      <c r="Q755" s="379"/>
      <c r="R755" s="379"/>
      <c r="S755" s="379"/>
      <c r="T755" s="379"/>
      <c r="U755" s="379"/>
      <c r="V755" s="379"/>
      <c r="W755" s="379"/>
      <c r="X755" s="379"/>
      <c r="Y755" s="379"/>
      <c r="Z755" s="379"/>
    </row>
    <row r="756" ht="12.75" customHeight="1">
      <c r="A756" s="379"/>
      <c r="B756" s="379"/>
      <c r="C756" s="379"/>
      <c r="D756" s="379"/>
      <c r="E756" s="379"/>
      <c r="F756" s="379"/>
      <c r="G756" s="379"/>
      <c r="H756" s="379"/>
      <c r="I756" s="379"/>
      <c r="J756" s="379"/>
      <c r="K756" s="379"/>
      <c r="L756" s="379"/>
      <c r="M756" s="379"/>
      <c r="N756" s="379"/>
      <c r="O756" s="379"/>
      <c r="P756" s="379"/>
      <c r="Q756" s="379"/>
      <c r="R756" s="379"/>
      <c r="S756" s="379"/>
      <c r="T756" s="379"/>
      <c r="U756" s="379"/>
      <c r="V756" s="379"/>
      <c r="W756" s="379"/>
      <c r="X756" s="379"/>
      <c r="Y756" s="379"/>
      <c r="Z756" s="379"/>
    </row>
    <row r="757" ht="12.75" customHeight="1">
      <c r="A757" s="379"/>
      <c r="B757" s="379"/>
      <c r="C757" s="379"/>
      <c r="D757" s="379"/>
      <c r="E757" s="379"/>
      <c r="F757" s="379"/>
      <c r="G757" s="379"/>
      <c r="H757" s="379"/>
      <c r="I757" s="379"/>
      <c r="J757" s="379"/>
      <c r="K757" s="379"/>
      <c r="L757" s="379"/>
      <c r="M757" s="379"/>
      <c r="N757" s="379"/>
      <c r="O757" s="379"/>
      <c r="P757" s="379"/>
      <c r="Q757" s="379"/>
      <c r="R757" s="379"/>
      <c r="S757" s="379"/>
      <c r="T757" s="379"/>
      <c r="U757" s="379"/>
      <c r="V757" s="379"/>
      <c r="W757" s="379"/>
      <c r="X757" s="379"/>
      <c r="Y757" s="379"/>
      <c r="Z757" s="379"/>
    </row>
    <row r="758" ht="12.75" customHeight="1">
      <c r="A758" s="379"/>
      <c r="B758" s="379"/>
      <c r="C758" s="379"/>
      <c r="D758" s="379"/>
      <c r="E758" s="379"/>
      <c r="F758" s="379"/>
      <c r="G758" s="379"/>
      <c r="H758" s="379"/>
      <c r="I758" s="379"/>
      <c r="J758" s="379"/>
      <c r="K758" s="379"/>
      <c r="L758" s="379"/>
      <c r="M758" s="379"/>
      <c r="N758" s="379"/>
      <c r="O758" s="379"/>
      <c r="P758" s="379"/>
      <c r="Q758" s="379"/>
      <c r="R758" s="379"/>
      <c r="S758" s="379"/>
      <c r="T758" s="379"/>
      <c r="U758" s="379"/>
      <c r="V758" s="379"/>
      <c r="W758" s="379"/>
      <c r="X758" s="379"/>
      <c r="Y758" s="379"/>
      <c r="Z758" s="379"/>
    </row>
    <row r="759" ht="12.75" customHeight="1">
      <c r="A759" s="379"/>
      <c r="B759" s="379"/>
      <c r="C759" s="379"/>
      <c r="D759" s="379"/>
      <c r="E759" s="379"/>
      <c r="F759" s="379"/>
      <c r="G759" s="379"/>
      <c r="H759" s="379"/>
      <c r="I759" s="379"/>
      <c r="J759" s="379"/>
      <c r="K759" s="379"/>
      <c r="L759" s="379"/>
      <c r="M759" s="379"/>
      <c r="N759" s="379"/>
      <c r="O759" s="379"/>
      <c r="P759" s="379"/>
      <c r="Q759" s="379"/>
      <c r="R759" s="379"/>
      <c r="S759" s="379"/>
      <c r="T759" s="379"/>
      <c r="U759" s="379"/>
      <c r="V759" s="379"/>
      <c r="W759" s="379"/>
      <c r="X759" s="379"/>
      <c r="Y759" s="379"/>
      <c r="Z759" s="379"/>
    </row>
    <row r="760" ht="12.75" customHeight="1">
      <c r="A760" s="379"/>
      <c r="B760" s="379"/>
      <c r="C760" s="379"/>
      <c r="D760" s="379"/>
      <c r="E760" s="379"/>
      <c r="F760" s="379"/>
      <c r="G760" s="379"/>
      <c r="H760" s="379"/>
      <c r="I760" s="379"/>
      <c r="J760" s="379"/>
      <c r="K760" s="379"/>
      <c r="L760" s="379"/>
      <c r="M760" s="379"/>
      <c r="N760" s="379"/>
      <c r="O760" s="379"/>
      <c r="P760" s="379"/>
      <c r="Q760" s="379"/>
      <c r="R760" s="379"/>
      <c r="S760" s="379"/>
      <c r="T760" s="379"/>
      <c r="U760" s="379"/>
      <c r="V760" s="379"/>
      <c r="W760" s="379"/>
      <c r="X760" s="379"/>
      <c r="Y760" s="379"/>
      <c r="Z760" s="379"/>
    </row>
    <row r="761" ht="12.75" customHeight="1">
      <c r="A761" s="379"/>
      <c r="B761" s="379"/>
      <c r="C761" s="379"/>
      <c r="D761" s="379"/>
      <c r="E761" s="379"/>
      <c r="F761" s="379"/>
      <c r="G761" s="379"/>
      <c r="H761" s="379"/>
      <c r="I761" s="379"/>
      <c r="J761" s="379"/>
      <c r="K761" s="379"/>
      <c r="L761" s="379"/>
      <c r="M761" s="379"/>
      <c r="N761" s="379"/>
      <c r="O761" s="379"/>
      <c r="P761" s="379"/>
      <c r="Q761" s="379"/>
      <c r="R761" s="379"/>
      <c r="S761" s="379"/>
      <c r="T761" s="379"/>
      <c r="U761" s="379"/>
      <c r="V761" s="379"/>
      <c r="W761" s="379"/>
      <c r="X761" s="379"/>
      <c r="Y761" s="379"/>
      <c r="Z761" s="379"/>
    </row>
    <row r="762" ht="12.75" customHeight="1">
      <c r="A762" s="379"/>
      <c r="B762" s="379"/>
      <c r="C762" s="379"/>
      <c r="D762" s="379"/>
      <c r="E762" s="379"/>
      <c r="F762" s="379"/>
      <c r="G762" s="379"/>
      <c r="H762" s="379"/>
      <c r="I762" s="379"/>
      <c r="J762" s="379"/>
      <c r="K762" s="379"/>
      <c r="L762" s="379"/>
      <c r="M762" s="379"/>
      <c r="N762" s="379"/>
      <c r="O762" s="379"/>
      <c r="P762" s="379"/>
      <c r="Q762" s="379"/>
      <c r="R762" s="379"/>
      <c r="S762" s="379"/>
      <c r="T762" s="379"/>
      <c r="U762" s="379"/>
      <c r="V762" s="379"/>
      <c r="W762" s="379"/>
      <c r="X762" s="379"/>
      <c r="Y762" s="379"/>
      <c r="Z762" s="379"/>
    </row>
    <row r="763" ht="12.75" customHeight="1">
      <c r="A763" s="379"/>
      <c r="B763" s="379"/>
      <c r="C763" s="379"/>
      <c r="D763" s="379"/>
      <c r="E763" s="379"/>
      <c r="F763" s="379"/>
      <c r="G763" s="379"/>
      <c r="H763" s="379"/>
      <c r="I763" s="379"/>
      <c r="J763" s="379"/>
      <c r="K763" s="379"/>
      <c r="L763" s="379"/>
      <c r="M763" s="379"/>
      <c r="N763" s="379"/>
      <c r="O763" s="379"/>
      <c r="P763" s="379"/>
      <c r="Q763" s="379"/>
      <c r="R763" s="379"/>
      <c r="S763" s="379"/>
      <c r="T763" s="379"/>
      <c r="U763" s="379"/>
      <c r="V763" s="379"/>
      <c r="W763" s="379"/>
      <c r="X763" s="379"/>
      <c r="Y763" s="379"/>
      <c r="Z763" s="379"/>
    </row>
    <row r="764" ht="12.75" customHeight="1">
      <c r="A764" s="379"/>
      <c r="B764" s="379"/>
      <c r="C764" s="379"/>
      <c r="D764" s="379"/>
      <c r="E764" s="379"/>
      <c r="F764" s="379"/>
      <c r="G764" s="379"/>
      <c r="H764" s="379"/>
      <c r="I764" s="379"/>
      <c r="J764" s="379"/>
      <c r="K764" s="379"/>
      <c r="L764" s="379"/>
      <c r="M764" s="379"/>
      <c r="N764" s="379"/>
      <c r="O764" s="379"/>
      <c r="P764" s="379"/>
      <c r="Q764" s="379"/>
      <c r="R764" s="379"/>
      <c r="S764" s="379"/>
      <c r="T764" s="379"/>
      <c r="U764" s="379"/>
      <c r="V764" s="379"/>
      <c r="W764" s="379"/>
      <c r="X764" s="379"/>
      <c r="Y764" s="379"/>
      <c r="Z764" s="379"/>
    </row>
    <row r="765" ht="12.75" customHeight="1">
      <c r="A765" s="379"/>
      <c r="B765" s="379"/>
      <c r="C765" s="379"/>
      <c r="D765" s="379"/>
      <c r="E765" s="379"/>
      <c r="F765" s="379"/>
      <c r="G765" s="379"/>
      <c r="H765" s="379"/>
      <c r="I765" s="379"/>
      <c r="J765" s="379"/>
      <c r="K765" s="379"/>
      <c r="L765" s="379"/>
      <c r="M765" s="379"/>
      <c r="N765" s="379"/>
      <c r="O765" s="379"/>
      <c r="P765" s="379"/>
      <c r="Q765" s="379"/>
      <c r="R765" s="379"/>
      <c r="S765" s="379"/>
      <c r="T765" s="379"/>
      <c r="U765" s="379"/>
      <c r="V765" s="379"/>
      <c r="W765" s="379"/>
      <c r="X765" s="379"/>
      <c r="Y765" s="379"/>
      <c r="Z765" s="379"/>
    </row>
    <row r="766" ht="12.75" customHeight="1">
      <c r="A766" s="379"/>
      <c r="B766" s="379"/>
      <c r="C766" s="379"/>
      <c r="D766" s="379"/>
      <c r="E766" s="379"/>
      <c r="F766" s="379"/>
      <c r="G766" s="379"/>
      <c r="H766" s="379"/>
      <c r="I766" s="379"/>
      <c r="J766" s="379"/>
      <c r="K766" s="379"/>
      <c r="L766" s="379"/>
      <c r="M766" s="379"/>
      <c r="N766" s="379"/>
      <c r="O766" s="379"/>
      <c r="P766" s="379"/>
      <c r="Q766" s="379"/>
      <c r="R766" s="379"/>
      <c r="S766" s="379"/>
      <c r="T766" s="379"/>
      <c r="U766" s="379"/>
      <c r="V766" s="379"/>
      <c r="W766" s="379"/>
      <c r="X766" s="379"/>
      <c r="Y766" s="379"/>
      <c r="Z766" s="379"/>
    </row>
    <row r="767" ht="12.75" customHeight="1">
      <c r="A767" s="379"/>
      <c r="B767" s="379"/>
      <c r="C767" s="379"/>
      <c r="D767" s="379"/>
      <c r="E767" s="379"/>
      <c r="F767" s="379"/>
      <c r="G767" s="379"/>
      <c r="H767" s="379"/>
      <c r="I767" s="379"/>
      <c r="J767" s="379"/>
      <c r="K767" s="379"/>
      <c r="L767" s="379"/>
      <c r="M767" s="379"/>
      <c r="N767" s="379"/>
      <c r="O767" s="379"/>
      <c r="P767" s="379"/>
      <c r="Q767" s="379"/>
      <c r="R767" s="379"/>
      <c r="S767" s="379"/>
      <c r="T767" s="379"/>
      <c r="U767" s="379"/>
      <c r="V767" s="379"/>
      <c r="W767" s="379"/>
      <c r="X767" s="379"/>
      <c r="Y767" s="379"/>
      <c r="Z767" s="379"/>
    </row>
    <row r="768" ht="12.75" customHeight="1">
      <c r="A768" s="379"/>
      <c r="B768" s="379"/>
      <c r="C768" s="379"/>
      <c r="D768" s="379"/>
      <c r="E768" s="379"/>
      <c r="F768" s="379"/>
      <c r="G768" s="379"/>
      <c r="H768" s="379"/>
      <c r="I768" s="379"/>
      <c r="J768" s="379"/>
      <c r="K768" s="379"/>
      <c r="L768" s="379"/>
      <c r="M768" s="379"/>
      <c r="N768" s="379"/>
      <c r="O768" s="379"/>
      <c r="P768" s="379"/>
      <c r="Q768" s="379"/>
      <c r="R768" s="379"/>
      <c r="S768" s="379"/>
      <c r="T768" s="379"/>
      <c r="U768" s="379"/>
      <c r="V768" s="379"/>
      <c r="W768" s="379"/>
      <c r="X768" s="379"/>
      <c r="Y768" s="379"/>
      <c r="Z768" s="379"/>
    </row>
    <row r="769" ht="12.75" customHeight="1">
      <c r="A769" s="379"/>
      <c r="B769" s="379"/>
      <c r="C769" s="379"/>
      <c r="D769" s="379"/>
      <c r="E769" s="379"/>
      <c r="F769" s="379"/>
      <c r="G769" s="379"/>
      <c r="H769" s="379"/>
      <c r="I769" s="379"/>
      <c r="J769" s="379"/>
      <c r="K769" s="379"/>
      <c r="L769" s="379"/>
      <c r="M769" s="379"/>
      <c r="N769" s="379"/>
      <c r="O769" s="379"/>
      <c r="P769" s="379"/>
      <c r="Q769" s="379"/>
      <c r="R769" s="379"/>
      <c r="S769" s="379"/>
      <c r="T769" s="379"/>
      <c r="U769" s="379"/>
      <c r="V769" s="379"/>
      <c r="W769" s="379"/>
      <c r="X769" s="379"/>
      <c r="Y769" s="379"/>
      <c r="Z769" s="379"/>
    </row>
    <row r="770" ht="12.75" customHeight="1">
      <c r="A770" s="379"/>
      <c r="B770" s="379"/>
      <c r="C770" s="379"/>
      <c r="D770" s="379"/>
      <c r="E770" s="379"/>
      <c r="F770" s="379"/>
      <c r="G770" s="379"/>
      <c r="H770" s="379"/>
      <c r="I770" s="379"/>
      <c r="J770" s="379"/>
      <c r="K770" s="379"/>
      <c r="L770" s="379"/>
      <c r="M770" s="379"/>
      <c r="N770" s="379"/>
      <c r="O770" s="379"/>
      <c r="P770" s="379"/>
      <c r="Q770" s="379"/>
      <c r="R770" s="379"/>
      <c r="S770" s="379"/>
      <c r="T770" s="379"/>
      <c r="U770" s="379"/>
      <c r="V770" s="379"/>
      <c r="W770" s="379"/>
      <c r="X770" s="379"/>
      <c r="Y770" s="379"/>
      <c r="Z770" s="379"/>
    </row>
    <row r="771" ht="12.75" customHeight="1">
      <c r="A771" s="379"/>
      <c r="B771" s="379"/>
      <c r="C771" s="379"/>
      <c r="D771" s="379"/>
      <c r="E771" s="379"/>
      <c r="F771" s="379"/>
      <c r="G771" s="379"/>
      <c r="H771" s="379"/>
      <c r="I771" s="379"/>
      <c r="J771" s="379"/>
      <c r="K771" s="379"/>
      <c r="L771" s="379"/>
      <c r="M771" s="379"/>
      <c r="N771" s="379"/>
      <c r="O771" s="379"/>
      <c r="P771" s="379"/>
      <c r="Q771" s="379"/>
      <c r="R771" s="379"/>
      <c r="S771" s="379"/>
      <c r="T771" s="379"/>
      <c r="U771" s="379"/>
      <c r="V771" s="379"/>
      <c r="W771" s="379"/>
      <c r="X771" s="379"/>
      <c r="Y771" s="379"/>
      <c r="Z771" s="379"/>
    </row>
    <row r="772" ht="12.75" customHeight="1">
      <c r="A772" s="379"/>
      <c r="B772" s="379"/>
      <c r="C772" s="379"/>
      <c r="D772" s="379"/>
      <c r="E772" s="379"/>
      <c r="F772" s="379"/>
      <c r="G772" s="379"/>
      <c r="H772" s="379"/>
      <c r="I772" s="379"/>
      <c r="J772" s="379"/>
      <c r="K772" s="379"/>
      <c r="L772" s="379"/>
      <c r="M772" s="379"/>
      <c r="N772" s="379"/>
      <c r="O772" s="379"/>
      <c r="P772" s="379"/>
      <c r="Q772" s="379"/>
      <c r="R772" s="379"/>
      <c r="S772" s="379"/>
      <c r="T772" s="379"/>
      <c r="U772" s="379"/>
      <c r="V772" s="379"/>
      <c r="W772" s="379"/>
      <c r="X772" s="379"/>
      <c r="Y772" s="379"/>
      <c r="Z772" s="379"/>
    </row>
    <row r="773" ht="12.75" customHeight="1">
      <c r="A773" s="379"/>
      <c r="B773" s="379"/>
      <c r="C773" s="379"/>
      <c r="D773" s="379"/>
      <c r="E773" s="379"/>
      <c r="F773" s="379"/>
      <c r="G773" s="379"/>
      <c r="H773" s="379"/>
      <c r="I773" s="379"/>
      <c r="J773" s="379"/>
      <c r="K773" s="379"/>
      <c r="L773" s="379"/>
      <c r="M773" s="379"/>
      <c r="N773" s="379"/>
      <c r="O773" s="379"/>
      <c r="P773" s="379"/>
      <c r="Q773" s="379"/>
      <c r="R773" s="379"/>
      <c r="S773" s="379"/>
      <c r="T773" s="379"/>
      <c r="U773" s="379"/>
      <c r="V773" s="379"/>
      <c r="W773" s="379"/>
      <c r="X773" s="379"/>
      <c r="Y773" s="379"/>
      <c r="Z773" s="379"/>
    </row>
    <row r="774" ht="12.75" customHeight="1">
      <c r="A774" s="379"/>
      <c r="B774" s="379"/>
      <c r="C774" s="379"/>
      <c r="D774" s="379"/>
      <c r="E774" s="379"/>
      <c r="F774" s="379"/>
      <c r="G774" s="379"/>
      <c r="H774" s="379"/>
      <c r="I774" s="379"/>
      <c r="J774" s="379"/>
      <c r="K774" s="379"/>
      <c r="L774" s="379"/>
      <c r="M774" s="379"/>
      <c r="N774" s="379"/>
      <c r="O774" s="379"/>
      <c r="P774" s="379"/>
      <c r="Q774" s="379"/>
      <c r="R774" s="379"/>
      <c r="S774" s="379"/>
      <c r="T774" s="379"/>
      <c r="U774" s="379"/>
      <c r="V774" s="379"/>
      <c r="W774" s="379"/>
      <c r="X774" s="379"/>
      <c r="Y774" s="379"/>
      <c r="Z774" s="379"/>
    </row>
    <row r="775" ht="12.75" customHeight="1">
      <c r="A775" s="379"/>
      <c r="B775" s="379"/>
      <c r="C775" s="379"/>
      <c r="D775" s="379"/>
      <c r="E775" s="379"/>
      <c r="F775" s="379"/>
      <c r="G775" s="379"/>
      <c r="H775" s="379"/>
      <c r="I775" s="379"/>
      <c r="J775" s="379"/>
      <c r="K775" s="379"/>
      <c r="L775" s="379"/>
      <c r="M775" s="379"/>
      <c r="N775" s="379"/>
      <c r="O775" s="379"/>
      <c r="P775" s="379"/>
      <c r="Q775" s="379"/>
      <c r="R775" s="379"/>
      <c r="S775" s="379"/>
      <c r="T775" s="379"/>
      <c r="U775" s="379"/>
      <c r="V775" s="379"/>
      <c r="W775" s="379"/>
      <c r="X775" s="379"/>
      <c r="Y775" s="379"/>
      <c r="Z775" s="379"/>
    </row>
    <row r="776" ht="12.75" customHeight="1">
      <c r="A776" s="379"/>
      <c r="B776" s="379"/>
      <c r="C776" s="379"/>
      <c r="D776" s="379"/>
      <c r="E776" s="379"/>
      <c r="F776" s="379"/>
      <c r="G776" s="379"/>
      <c r="H776" s="379"/>
      <c r="I776" s="379"/>
      <c r="J776" s="379"/>
      <c r="K776" s="379"/>
      <c r="L776" s="379"/>
      <c r="M776" s="379"/>
      <c r="N776" s="379"/>
      <c r="O776" s="379"/>
      <c r="P776" s="379"/>
      <c r="Q776" s="379"/>
      <c r="R776" s="379"/>
      <c r="S776" s="379"/>
      <c r="T776" s="379"/>
      <c r="U776" s="379"/>
      <c r="V776" s="379"/>
      <c r="W776" s="379"/>
      <c r="X776" s="379"/>
      <c r="Y776" s="379"/>
      <c r="Z776" s="379"/>
    </row>
    <row r="777" ht="12.75" customHeight="1">
      <c r="A777" s="379"/>
      <c r="B777" s="379"/>
      <c r="C777" s="379"/>
      <c r="D777" s="379"/>
      <c r="E777" s="379"/>
      <c r="F777" s="379"/>
      <c r="G777" s="379"/>
      <c r="H777" s="379"/>
      <c r="I777" s="379"/>
      <c r="J777" s="379"/>
      <c r="K777" s="379"/>
      <c r="L777" s="379"/>
      <c r="M777" s="379"/>
      <c r="N777" s="379"/>
      <c r="O777" s="379"/>
      <c r="P777" s="379"/>
      <c r="Q777" s="379"/>
      <c r="R777" s="379"/>
      <c r="S777" s="379"/>
      <c r="T777" s="379"/>
      <c r="U777" s="379"/>
      <c r="V777" s="379"/>
      <c r="W777" s="379"/>
      <c r="X777" s="379"/>
      <c r="Y777" s="379"/>
      <c r="Z777" s="379"/>
    </row>
    <row r="778" ht="12.75" customHeight="1">
      <c r="A778" s="379"/>
      <c r="B778" s="379"/>
      <c r="C778" s="379"/>
      <c r="D778" s="379"/>
      <c r="E778" s="379"/>
      <c r="F778" s="379"/>
      <c r="G778" s="379"/>
      <c r="H778" s="379"/>
      <c r="I778" s="379"/>
      <c r="J778" s="379"/>
      <c r="K778" s="379"/>
      <c r="L778" s="379"/>
      <c r="M778" s="379"/>
      <c r="N778" s="379"/>
      <c r="O778" s="379"/>
      <c r="P778" s="379"/>
      <c r="Q778" s="379"/>
      <c r="R778" s="379"/>
      <c r="S778" s="379"/>
      <c r="T778" s="379"/>
      <c r="U778" s="379"/>
      <c r="V778" s="379"/>
      <c r="W778" s="379"/>
      <c r="X778" s="379"/>
      <c r="Y778" s="379"/>
      <c r="Z778" s="379"/>
    </row>
    <row r="779" ht="12.75" customHeight="1">
      <c r="A779" s="379"/>
      <c r="B779" s="379"/>
      <c r="C779" s="379"/>
      <c r="D779" s="379"/>
      <c r="E779" s="379"/>
      <c r="F779" s="379"/>
      <c r="G779" s="379"/>
      <c r="H779" s="379"/>
      <c r="I779" s="379"/>
      <c r="J779" s="379"/>
      <c r="K779" s="379"/>
      <c r="L779" s="379"/>
      <c r="M779" s="379"/>
      <c r="N779" s="379"/>
      <c r="O779" s="379"/>
      <c r="P779" s="379"/>
      <c r="Q779" s="379"/>
      <c r="R779" s="379"/>
      <c r="S779" s="379"/>
      <c r="T779" s="379"/>
      <c r="U779" s="379"/>
      <c r="V779" s="379"/>
      <c r="W779" s="379"/>
      <c r="X779" s="379"/>
      <c r="Y779" s="379"/>
      <c r="Z779" s="379"/>
    </row>
    <row r="780" ht="12.75" customHeight="1">
      <c r="A780" s="379"/>
      <c r="B780" s="379"/>
      <c r="C780" s="379"/>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row>
    <row r="781" ht="12.75" customHeight="1">
      <c r="A781" s="379"/>
      <c r="B781" s="379"/>
      <c r="C781" s="379"/>
      <c r="D781" s="379"/>
      <c r="E781" s="379"/>
      <c r="F781" s="379"/>
      <c r="G781" s="379"/>
      <c r="H781" s="379"/>
      <c r="I781" s="379"/>
      <c r="J781" s="379"/>
      <c r="K781" s="379"/>
      <c r="L781" s="379"/>
      <c r="M781" s="379"/>
      <c r="N781" s="379"/>
      <c r="O781" s="379"/>
      <c r="P781" s="379"/>
      <c r="Q781" s="379"/>
      <c r="R781" s="379"/>
      <c r="S781" s="379"/>
      <c r="T781" s="379"/>
      <c r="U781" s="379"/>
      <c r="V781" s="379"/>
      <c r="W781" s="379"/>
      <c r="X781" s="379"/>
      <c r="Y781" s="379"/>
      <c r="Z781" s="379"/>
    </row>
    <row r="782" ht="12.75" customHeight="1">
      <c r="A782" s="379"/>
      <c r="B782" s="379"/>
      <c r="C782" s="379"/>
      <c r="D782" s="379"/>
      <c r="E782" s="379"/>
      <c r="F782" s="379"/>
      <c r="G782" s="379"/>
      <c r="H782" s="379"/>
      <c r="I782" s="379"/>
      <c r="J782" s="379"/>
      <c r="K782" s="379"/>
      <c r="L782" s="379"/>
      <c r="M782" s="379"/>
      <c r="N782" s="379"/>
      <c r="O782" s="379"/>
      <c r="P782" s="379"/>
      <c r="Q782" s="379"/>
      <c r="R782" s="379"/>
      <c r="S782" s="379"/>
      <c r="T782" s="379"/>
      <c r="U782" s="379"/>
      <c r="V782" s="379"/>
      <c r="W782" s="379"/>
      <c r="X782" s="379"/>
      <c r="Y782" s="379"/>
      <c r="Z782" s="379"/>
    </row>
    <row r="783" ht="12.75" customHeight="1">
      <c r="A783" s="379"/>
      <c r="B783" s="379"/>
      <c r="C783" s="379"/>
      <c r="D783" s="379"/>
      <c r="E783" s="379"/>
      <c r="F783" s="379"/>
      <c r="G783" s="379"/>
      <c r="H783" s="379"/>
      <c r="I783" s="379"/>
      <c r="J783" s="379"/>
      <c r="K783" s="379"/>
      <c r="L783" s="379"/>
      <c r="M783" s="379"/>
      <c r="N783" s="379"/>
      <c r="O783" s="379"/>
      <c r="P783" s="379"/>
      <c r="Q783" s="379"/>
      <c r="R783" s="379"/>
      <c r="S783" s="379"/>
      <c r="T783" s="379"/>
      <c r="U783" s="379"/>
      <c r="V783" s="379"/>
      <c r="W783" s="379"/>
      <c r="X783" s="379"/>
      <c r="Y783" s="379"/>
      <c r="Z783" s="379"/>
    </row>
    <row r="784" ht="12.75" customHeight="1">
      <c r="A784" s="379"/>
      <c r="B784" s="379"/>
      <c r="C784" s="379"/>
      <c r="D784" s="379"/>
      <c r="E784" s="379"/>
      <c r="F784" s="379"/>
      <c r="G784" s="379"/>
      <c r="H784" s="379"/>
      <c r="I784" s="379"/>
      <c r="J784" s="379"/>
      <c r="K784" s="379"/>
      <c r="L784" s="379"/>
      <c r="M784" s="379"/>
      <c r="N784" s="379"/>
      <c r="O784" s="379"/>
      <c r="P784" s="379"/>
      <c r="Q784" s="379"/>
      <c r="R784" s="379"/>
      <c r="S784" s="379"/>
      <c r="T784" s="379"/>
      <c r="U784" s="379"/>
      <c r="V784" s="379"/>
      <c r="W784" s="379"/>
      <c r="X784" s="379"/>
      <c r="Y784" s="379"/>
      <c r="Z784" s="379"/>
    </row>
    <row r="785" ht="12.75" customHeight="1">
      <c r="A785" s="379"/>
      <c r="B785" s="379"/>
      <c r="C785" s="379"/>
      <c r="D785" s="379"/>
      <c r="E785" s="379"/>
      <c r="F785" s="379"/>
      <c r="G785" s="379"/>
      <c r="H785" s="379"/>
      <c r="I785" s="379"/>
      <c r="J785" s="379"/>
      <c r="K785" s="379"/>
      <c r="L785" s="379"/>
      <c r="M785" s="379"/>
      <c r="N785" s="379"/>
      <c r="O785" s="379"/>
      <c r="P785" s="379"/>
      <c r="Q785" s="379"/>
      <c r="R785" s="379"/>
      <c r="S785" s="379"/>
      <c r="T785" s="379"/>
      <c r="U785" s="379"/>
      <c r="V785" s="379"/>
      <c r="W785" s="379"/>
      <c r="X785" s="379"/>
      <c r="Y785" s="379"/>
      <c r="Z785" s="379"/>
    </row>
    <row r="786" ht="12.75" customHeight="1">
      <c r="A786" s="379"/>
      <c r="B786" s="379"/>
      <c r="C786" s="379"/>
      <c r="D786" s="379"/>
      <c r="E786" s="379"/>
      <c r="F786" s="379"/>
      <c r="G786" s="379"/>
      <c r="H786" s="379"/>
      <c r="I786" s="379"/>
      <c r="J786" s="379"/>
      <c r="K786" s="379"/>
      <c r="L786" s="379"/>
      <c r="M786" s="379"/>
      <c r="N786" s="379"/>
      <c r="O786" s="379"/>
      <c r="P786" s="379"/>
      <c r="Q786" s="379"/>
      <c r="R786" s="379"/>
      <c r="S786" s="379"/>
      <c r="T786" s="379"/>
      <c r="U786" s="379"/>
      <c r="V786" s="379"/>
      <c r="W786" s="379"/>
      <c r="X786" s="379"/>
      <c r="Y786" s="379"/>
      <c r="Z786" s="379"/>
    </row>
    <row r="787" ht="12.75" customHeight="1">
      <c r="A787" s="379"/>
      <c r="B787" s="379"/>
      <c r="C787" s="379"/>
      <c r="D787" s="379"/>
      <c r="E787" s="379"/>
      <c r="F787" s="379"/>
      <c r="G787" s="379"/>
      <c r="H787" s="379"/>
      <c r="I787" s="379"/>
      <c r="J787" s="379"/>
      <c r="K787" s="379"/>
      <c r="L787" s="379"/>
      <c r="M787" s="379"/>
      <c r="N787" s="379"/>
      <c r="O787" s="379"/>
      <c r="P787" s="379"/>
      <c r="Q787" s="379"/>
      <c r="R787" s="379"/>
      <c r="S787" s="379"/>
      <c r="T787" s="379"/>
      <c r="U787" s="379"/>
      <c r="V787" s="379"/>
      <c r="W787" s="379"/>
      <c r="X787" s="379"/>
      <c r="Y787" s="379"/>
      <c r="Z787" s="379"/>
    </row>
    <row r="788" ht="12.75" customHeight="1">
      <c r="A788" s="379"/>
      <c r="B788" s="379"/>
      <c r="C788" s="379"/>
      <c r="D788" s="379"/>
      <c r="E788" s="379"/>
      <c r="F788" s="379"/>
      <c r="G788" s="379"/>
      <c r="H788" s="379"/>
      <c r="I788" s="379"/>
      <c r="J788" s="379"/>
      <c r="K788" s="379"/>
      <c r="L788" s="379"/>
      <c r="M788" s="379"/>
      <c r="N788" s="379"/>
      <c r="O788" s="379"/>
      <c r="P788" s="379"/>
      <c r="Q788" s="379"/>
      <c r="R788" s="379"/>
      <c r="S788" s="379"/>
      <c r="T788" s="379"/>
      <c r="U788" s="379"/>
      <c r="V788" s="379"/>
      <c r="W788" s="379"/>
      <c r="X788" s="379"/>
      <c r="Y788" s="379"/>
      <c r="Z788" s="379"/>
    </row>
    <row r="789" ht="12.75" customHeight="1">
      <c r="A789" s="379"/>
      <c r="B789" s="379"/>
      <c r="C789" s="379"/>
      <c r="D789" s="379"/>
      <c r="E789" s="379"/>
      <c r="F789" s="379"/>
      <c r="G789" s="379"/>
      <c r="H789" s="379"/>
      <c r="I789" s="379"/>
      <c r="J789" s="379"/>
      <c r="K789" s="379"/>
      <c r="L789" s="379"/>
      <c r="M789" s="379"/>
      <c r="N789" s="379"/>
      <c r="O789" s="379"/>
      <c r="P789" s="379"/>
      <c r="Q789" s="379"/>
      <c r="R789" s="379"/>
      <c r="S789" s="379"/>
      <c r="T789" s="379"/>
      <c r="U789" s="379"/>
      <c r="V789" s="379"/>
      <c r="W789" s="379"/>
      <c r="X789" s="379"/>
      <c r="Y789" s="379"/>
      <c r="Z789" s="379"/>
    </row>
    <row r="790" ht="12.75" customHeight="1">
      <c r="A790" s="379"/>
      <c r="B790" s="379"/>
      <c r="C790" s="379"/>
      <c r="D790" s="379"/>
      <c r="E790" s="379"/>
      <c r="F790" s="379"/>
      <c r="G790" s="379"/>
      <c r="H790" s="379"/>
      <c r="I790" s="379"/>
      <c r="J790" s="379"/>
      <c r="K790" s="379"/>
      <c r="L790" s="379"/>
      <c r="M790" s="379"/>
      <c r="N790" s="379"/>
      <c r="O790" s="379"/>
      <c r="P790" s="379"/>
      <c r="Q790" s="379"/>
      <c r="R790" s="379"/>
      <c r="S790" s="379"/>
      <c r="T790" s="379"/>
      <c r="U790" s="379"/>
      <c r="V790" s="379"/>
      <c r="W790" s="379"/>
      <c r="X790" s="379"/>
      <c r="Y790" s="379"/>
      <c r="Z790" s="379"/>
    </row>
    <row r="791" ht="12.75" customHeight="1">
      <c r="A791" s="379"/>
      <c r="B791" s="379"/>
      <c r="C791" s="379"/>
      <c r="D791" s="379"/>
      <c r="E791" s="379"/>
      <c r="F791" s="379"/>
      <c r="G791" s="379"/>
      <c r="H791" s="379"/>
      <c r="I791" s="379"/>
      <c r="J791" s="379"/>
      <c r="K791" s="379"/>
      <c r="L791" s="379"/>
      <c r="M791" s="379"/>
      <c r="N791" s="379"/>
      <c r="O791" s="379"/>
      <c r="P791" s="379"/>
      <c r="Q791" s="379"/>
      <c r="R791" s="379"/>
      <c r="S791" s="379"/>
      <c r="T791" s="379"/>
      <c r="U791" s="379"/>
      <c r="V791" s="379"/>
      <c r="W791" s="379"/>
      <c r="X791" s="379"/>
      <c r="Y791" s="379"/>
      <c r="Z791" s="379"/>
    </row>
    <row r="792" ht="12.75" customHeight="1">
      <c r="A792" s="379"/>
      <c r="B792" s="379"/>
      <c r="C792" s="379"/>
      <c r="D792" s="379"/>
      <c r="E792" s="379"/>
      <c r="F792" s="379"/>
      <c r="G792" s="379"/>
      <c r="H792" s="379"/>
      <c r="I792" s="379"/>
      <c r="J792" s="379"/>
      <c r="K792" s="379"/>
      <c r="L792" s="379"/>
      <c r="M792" s="379"/>
      <c r="N792" s="379"/>
      <c r="O792" s="379"/>
      <c r="P792" s="379"/>
      <c r="Q792" s="379"/>
      <c r="R792" s="379"/>
      <c r="S792" s="379"/>
      <c r="T792" s="379"/>
      <c r="U792" s="379"/>
      <c r="V792" s="379"/>
      <c r="W792" s="379"/>
      <c r="X792" s="379"/>
      <c r="Y792" s="379"/>
      <c r="Z792" s="379"/>
    </row>
    <row r="793" ht="12.75" customHeight="1">
      <c r="A793" s="379"/>
      <c r="B793" s="379"/>
      <c r="C793" s="379"/>
      <c r="D793" s="379"/>
      <c r="E793" s="379"/>
      <c r="F793" s="379"/>
      <c r="G793" s="379"/>
      <c r="H793" s="379"/>
      <c r="I793" s="379"/>
      <c r="J793" s="379"/>
      <c r="K793" s="379"/>
      <c r="L793" s="379"/>
      <c r="M793" s="379"/>
      <c r="N793" s="379"/>
      <c r="O793" s="379"/>
      <c r="P793" s="379"/>
      <c r="Q793" s="379"/>
      <c r="R793" s="379"/>
      <c r="S793" s="379"/>
      <c r="T793" s="379"/>
      <c r="U793" s="379"/>
      <c r="V793" s="379"/>
      <c r="W793" s="379"/>
      <c r="X793" s="379"/>
      <c r="Y793" s="379"/>
      <c r="Z793" s="379"/>
    </row>
    <row r="794" ht="12.75" customHeight="1">
      <c r="A794" s="379"/>
      <c r="B794" s="379"/>
      <c r="C794" s="379"/>
      <c r="D794" s="379"/>
      <c r="E794" s="379"/>
      <c r="F794" s="379"/>
      <c r="G794" s="379"/>
      <c r="H794" s="379"/>
      <c r="I794" s="379"/>
      <c r="J794" s="379"/>
      <c r="K794" s="379"/>
      <c r="L794" s="379"/>
      <c r="M794" s="379"/>
      <c r="N794" s="379"/>
      <c r="O794" s="379"/>
      <c r="P794" s="379"/>
      <c r="Q794" s="379"/>
      <c r="R794" s="379"/>
      <c r="S794" s="379"/>
      <c r="T794" s="379"/>
      <c r="U794" s="379"/>
      <c r="V794" s="379"/>
      <c r="W794" s="379"/>
      <c r="X794" s="379"/>
      <c r="Y794" s="379"/>
      <c r="Z794" s="379"/>
    </row>
    <row r="795" ht="12.75" customHeight="1">
      <c r="A795" s="379"/>
      <c r="B795" s="379"/>
      <c r="C795" s="379"/>
      <c r="D795" s="379"/>
      <c r="E795" s="379"/>
      <c r="F795" s="379"/>
      <c r="G795" s="379"/>
      <c r="H795" s="379"/>
      <c r="I795" s="379"/>
      <c r="J795" s="379"/>
      <c r="K795" s="379"/>
      <c r="L795" s="379"/>
      <c r="M795" s="379"/>
      <c r="N795" s="379"/>
      <c r="O795" s="379"/>
      <c r="P795" s="379"/>
      <c r="Q795" s="379"/>
      <c r="R795" s="379"/>
      <c r="S795" s="379"/>
      <c r="T795" s="379"/>
      <c r="U795" s="379"/>
      <c r="V795" s="379"/>
      <c r="W795" s="379"/>
      <c r="X795" s="379"/>
      <c r="Y795" s="379"/>
      <c r="Z795" s="379"/>
    </row>
    <row r="796" ht="12.75" customHeight="1">
      <c r="A796" s="379"/>
      <c r="B796" s="379"/>
      <c r="C796" s="379"/>
      <c r="D796" s="379"/>
      <c r="E796" s="379"/>
      <c r="F796" s="379"/>
      <c r="G796" s="379"/>
      <c r="H796" s="379"/>
      <c r="I796" s="379"/>
      <c r="J796" s="379"/>
      <c r="K796" s="379"/>
      <c r="L796" s="379"/>
      <c r="M796" s="379"/>
      <c r="N796" s="379"/>
      <c r="O796" s="379"/>
      <c r="P796" s="379"/>
      <c r="Q796" s="379"/>
      <c r="R796" s="379"/>
      <c r="S796" s="379"/>
      <c r="T796" s="379"/>
      <c r="U796" s="379"/>
      <c r="V796" s="379"/>
      <c r="W796" s="379"/>
      <c r="X796" s="379"/>
      <c r="Y796" s="379"/>
      <c r="Z796" s="379"/>
    </row>
    <row r="797" ht="12.75" customHeight="1">
      <c r="A797" s="379"/>
      <c r="B797" s="379"/>
      <c r="C797" s="379"/>
      <c r="D797" s="379"/>
      <c r="E797" s="379"/>
      <c r="F797" s="379"/>
      <c r="G797" s="379"/>
      <c r="H797" s="379"/>
      <c r="I797" s="379"/>
      <c r="J797" s="379"/>
      <c r="K797" s="379"/>
      <c r="L797" s="379"/>
      <c r="M797" s="379"/>
      <c r="N797" s="379"/>
      <c r="O797" s="379"/>
      <c r="P797" s="379"/>
      <c r="Q797" s="379"/>
      <c r="R797" s="379"/>
      <c r="S797" s="379"/>
      <c r="T797" s="379"/>
      <c r="U797" s="379"/>
      <c r="V797" s="379"/>
      <c r="W797" s="379"/>
      <c r="X797" s="379"/>
      <c r="Y797" s="379"/>
      <c r="Z797" s="379"/>
    </row>
    <row r="798" ht="12.75" customHeight="1">
      <c r="A798" s="379"/>
      <c r="B798" s="379"/>
      <c r="C798" s="379"/>
      <c r="D798" s="379"/>
      <c r="E798" s="379"/>
      <c r="F798" s="379"/>
      <c r="G798" s="379"/>
      <c r="H798" s="379"/>
      <c r="I798" s="379"/>
      <c r="J798" s="379"/>
      <c r="K798" s="379"/>
      <c r="L798" s="379"/>
      <c r="M798" s="379"/>
      <c r="N798" s="379"/>
      <c r="O798" s="379"/>
      <c r="P798" s="379"/>
      <c r="Q798" s="379"/>
      <c r="R798" s="379"/>
      <c r="S798" s="379"/>
      <c r="T798" s="379"/>
      <c r="U798" s="379"/>
      <c r="V798" s="379"/>
      <c r="W798" s="379"/>
      <c r="X798" s="379"/>
      <c r="Y798" s="379"/>
      <c r="Z798" s="379"/>
    </row>
    <row r="799" ht="12.75" customHeight="1">
      <c r="A799" s="379"/>
      <c r="B799" s="379"/>
      <c r="C799" s="379"/>
      <c r="D799" s="379"/>
      <c r="E799" s="379"/>
      <c r="F799" s="379"/>
      <c r="G799" s="379"/>
      <c r="H799" s="379"/>
      <c r="I799" s="379"/>
      <c r="J799" s="379"/>
      <c r="K799" s="379"/>
      <c r="L799" s="379"/>
      <c r="M799" s="379"/>
      <c r="N799" s="379"/>
      <c r="O799" s="379"/>
      <c r="P799" s="379"/>
      <c r="Q799" s="379"/>
      <c r="R799" s="379"/>
      <c r="S799" s="379"/>
      <c r="T799" s="379"/>
      <c r="U799" s="379"/>
      <c r="V799" s="379"/>
      <c r="W799" s="379"/>
      <c r="X799" s="379"/>
      <c r="Y799" s="379"/>
      <c r="Z799" s="379"/>
    </row>
    <row r="800" ht="12.75" customHeight="1">
      <c r="A800" s="379"/>
      <c r="B800" s="379"/>
      <c r="C800" s="379"/>
      <c r="D800" s="379"/>
      <c r="E800" s="379"/>
      <c r="F800" s="379"/>
      <c r="G800" s="379"/>
      <c r="H800" s="379"/>
      <c r="I800" s="379"/>
      <c r="J800" s="379"/>
      <c r="K800" s="379"/>
      <c r="L800" s="379"/>
      <c r="M800" s="379"/>
      <c r="N800" s="379"/>
      <c r="O800" s="379"/>
      <c r="P800" s="379"/>
      <c r="Q800" s="379"/>
      <c r="R800" s="379"/>
      <c r="S800" s="379"/>
      <c r="T800" s="379"/>
      <c r="U800" s="379"/>
      <c r="V800" s="379"/>
      <c r="W800" s="379"/>
      <c r="X800" s="379"/>
      <c r="Y800" s="379"/>
      <c r="Z800" s="379"/>
    </row>
    <row r="801" ht="12.75" customHeight="1">
      <c r="A801" s="379"/>
      <c r="B801" s="379"/>
      <c r="C801" s="379"/>
      <c r="D801" s="379"/>
      <c r="E801" s="379"/>
      <c r="F801" s="379"/>
      <c r="G801" s="379"/>
      <c r="H801" s="379"/>
      <c r="I801" s="379"/>
      <c r="J801" s="379"/>
      <c r="K801" s="379"/>
      <c r="L801" s="379"/>
      <c r="M801" s="379"/>
      <c r="N801" s="379"/>
      <c r="O801" s="379"/>
      <c r="P801" s="379"/>
      <c r="Q801" s="379"/>
      <c r="R801" s="379"/>
      <c r="S801" s="379"/>
      <c r="T801" s="379"/>
      <c r="U801" s="379"/>
      <c r="V801" s="379"/>
      <c r="W801" s="379"/>
      <c r="X801" s="379"/>
      <c r="Y801" s="379"/>
      <c r="Z801" s="379"/>
    </row>
    <row r="802" ht="12.75" customHeight="1">
      <c r="A802" s="379"/>
      <c r="B802" s="379"/>
      <c r="C802" s="379"/>
      <c r="D802" s="379"/>
      <c r="E802" s="379"/>
      <c r="F802" s="379"/>
      <c r="G802" s="379"/>
      <c r="H802" s="379"/>
      <c r="I802" s="379"/>
      <c r="J802" s="379"/>
      <c r="K802" s="379"/>
      <c r="L802" s="379"/>
      <c r="M802" s="379"/>
      <c r="N802" s="379"/>
      <c r="O802" s="379"/>
      <c r="P802" s="379"/>
      <c r="Q802" s="379"/>
      <c r="R802" s="379"/>
      <c r="S802" s="379"/>
      <c r="T802" s="379"/>
      <c r="U802" s="379"/>
      <c r="V802" s="379"/>
      <c r="W802" s="379"/>
      <c r="X802" s="379"/>
      <c r="Y802" s="379"/>
      <c r="Z802" s="379"/>
    </row>
    <row r="803" ht="12.75" customHeight="1">
      <c r="A803" s="379"/>
      <c r="B803" s="379"/>
      <c r="C803" s="379"/>
      <c r="D803" s="379"/>
      <c r="E803" s="379"/>
      <c r="F803" s="379"/>
      <c r="G803" s="379"/>
      <c r="H803" s="379"/>
      <c r="I803" s="379"/>
      <c r="J803" s="379"/>
      <c r="K803" s="379"/>
      <c r="L803" s="379"/>
      <c r="M803" s="379"/>
      <c r="N803" s="379"/>
      <c r="O803" s="379"/>
      <c r="P803" s="379"/>
      <c r="Q803" s="379"/>
      <c r="R803" s="379"/>
      <c r="S803" s="379"/>
      <c r="T803" s="379"/>
      <c r="U803" s="379"/>
      <c r="V803" s="379"/>
      <c r="W803" s="379"/>
      <c r="X803" s="379"/>
      <c r="Y803" s="379"/>
      <c r="Z803" s="379"/>
    </row>
    <row r="804" ht="12.75" customHeight="1">
      <c r="A804" s="379"/>
      <c r="B804" s="379"/>
      <c r="C804" s="379"/>
      <c r="D804" s="379"/>
      <c r="E804" s="379"/>
      <c r="F804" s="379"/>
      <c r="G804" s="379"/>
      <c r="H804" s="379"/>
      <c r="I804" s="379"/>
      <c r="J804" s="379"/>
      <c r="K804" s="379"/>
      <c r="L804" s="379"/>
      <c r="M804" s="379"/>
      <c r="N804" s="379"/>
      <c r="O804" s="379"/>
      <c r="P804" s="379"/>
      <c r="Q804" s="379"/>
      <c r="R804" s="379"/>
      <c r="S804" s="379"/>
      <c r="T804" s="379"/>
      <c r="U804" s="379"/>
      <c r="V804" s="379"/>
      <c r="W804" s="379"/>
      <c r="X804" s="379"/>
      <c r="Y804" s="379"/>
      <c r="Z804" s="379"/>
    </row>
    <row r="805" ht="12.75" customHeight="1">
      <c r="A805" s="379"/>
      <c r="B805" s="379"/>
      <c r="C805" s="379"/>
      <c r="D805" s="379"/>
      <c r="E805" s="379"/>
      <c r="F805" s="379"/>
      <c r="G805" s="379"/>
      <c r="H805" s="379"/>
      <c r="I805" s="379"/>
      <c r="J805" s="379"/>
      <c r="K805" s="379"/>
      <c r="L805" s="379"/>
      <c r="M805" s="379"/>
      <c r="N805" s="379"/>
      <c r="O805" s="379"/>
      <c r="P805" s="379"/>
      <c r="Q805" s="379"/>
      <c r="R805" s="379"/>
      <c r="S805" s="379"/>
      <c r="T805" s="379"/>
      <c r="U805" s="379"/>
      <c r="V805" s="379"/>
      <c r="W805" s="379"/>
      <c r="X805" s="379"/>
      <c r="Y805" s="379"/>
      <c r="Z805" s="379"/>
    </row>
    <row r="806" ht="12.75" customHeight="1">
      <c r="A806" s="379"/>
      <c r="B806" s="379"/>
      <c r="C806" s="379"/>
      <c r="D806" s="379"/>
      <c r="E806" s="379"/>
      <c r="F806" s="379"/>
      <c r="G806" s="379"/>
      <c r="H806" s="379"/>
      <c r="I806" s="379"/>
      <c r="J806" s="379"/>
      <c r="K806" s="379"/>
      <c r="L806" s="379"/>
      <c r="M806" s="379"/>
      <c r="N806" s="379"/>
      <c r="O806" s="379"/>
      <c r="P806" s="379"/>
      <c r="Q806" s="379"/>
      <c r="R806" s="379"/>
      <c r="S806" s="379"/>
      <c r="T806" s="379"/>
      <c r="U806" s="379"/>
      <c r="V806" s="379"/>
      <c r="W806" s="379"/>
      <c r="X806" s="379"/>
      <c r="Y806" s="379"/>
      <c r="Z806" s="379"/>
    </row>
    <row r="807" ht="12.75" customHeight="1">
      <c r="A807" s="379"/>
      <c r="B807" s="379"/>
      <c r="C807" s="379"/>
      <c r="D807" s="379"/>
      <c r="E807" s="379"/>
      <c r="F807" s="379"/>
      <c r="G807" s="379"/>
      <c r="H807" s="379"/>
      <c r="I807" s="379"/>
      <c r="J807" s="379"/>
      <c r="K807" s="379"/>
      <c r="L807" s="379"/>
      <c r="M807" s="379"/>
      <c r="N807" s="379"/>
      <c r="O807" s="379"/>
      <c r="P807" s="379"/>
      <c r="Q807" s="379"/>
      <c r="R807" s="379"/>
      <c r="S807" s="379"/>
      <c r="T807" s="379"/>
      <c r="U807" s="379"/>
      <c r="V807" s="379"/>
      <c r="W807" s="379"/>
      <c r="X807" s="379"/>
      <c r="Y807" s="379"/>
      <c r="Z807" s="379"/>
    </row>
    <row r="808" ht="12.75" customHeight="1">
      <c r="A808" s="379"/>
      <c r="B808" s="379"/>
      <c r="C808" s="379"/>
      <c r="D808" s="379"/>
      <c r="E808" s="379"/>
      <c r="F808" s="379"/>
      <c r="G808" s="379"/>
      <c r="H808" s="379"/>
      <c r="I808" s="379"/>
      <c r="J808" s="379"/>
      <c r="K808" s="379"/>
      <c r="L808" s="379"/>
      <c r="M808" s="379"/>
      <c r="N808" s="379"/>
      <c r="O808" s="379"/>
      <c r="P808" s="379"/>
      <c r="Q808" s="379"/>
      <c r="R808" s="379"/>
      <c r="S808" s="379"/>
      <c r="T808" s="379"/>
      <c r="U808" s="379"/>
      <c r="V808" s="379"/>
      <c r="W808" s="379"/>
      <c r="X808" s="379"/>
      <c r="Y808" s="379"/>
      <c r="Z808" s="379"/>
    </row>
    <row r="809" ht="12.75" customHeight="1">
      <c r="A809" s="379"/>
      <c r="B809" s="379"/>
      <c r="C809" s="379"/>
      <c r="D809" s="379"/>
      <c r="E809" s="379"/>
      <c r="F809" s="379"/>
      <c r="G809" s="379"/>
      <c r="H809" s="379"/>
      <c r="I809" s="379"/>
      <c r="J809" s="379"/>
      <c r="K809" s="379"/>
      <c r="L809" s="379"/>
      <c r="M809" s="379"/>
      <c r="N809" s="379"/>
      <c r="O809" s="379"/>
      <c r="P809" s="379"/>
      <c r="Q809" s="379"/>
      <c r="R809" s="379"/>
      <c r="S809" s="379"/>
      <c r="T809" s="379"/>
      <c r="U809" s="379"/>
      <c r="V809" s="379"/>
      <c r="W809" s="379"/>
      <c r="X809" s="379"/>
      <c r="Y809" s="379"/>
      <c r="Z809" s="379"/>
    </row>
    <row r="810" ht="12.75" customHeight="1">
      <c r="A810" s="379"/>
      <c r="B810" s="379"/>
      <c r="C810" s="379"/>
      <c r="D810" s="379"/>
      <c r="E810" s="379"/>
      <c r="F810" s="379"/>
      <c r="G810" s="379"/>
      <c r="H810" s="379"/>
      <c r="I810" s="379"/>
      <c r="J810" s="379"/>
      <c r="K810" s="379"/>
      <c r="L810" s="379"/>
      <c r="M810" s="379"/>
      <c r="N810" s="379"/>
      <c r="O810" s="379"/>
      <c r="P810" s="379"/>
      <c r="Q810" s="379"/>
      <c r="R810" s="379"/>
      <c r="S810" s="379"/>
      <c r="T810" s="379"/>
      <c r="U810" s="379"/>
      <c r="V810" s="379"/>
      <c r="W810" s="379"/>
      <c r="X810" s="379"/>
      <c r="Y810" s="379"/>
      <c r="Z810" s="379"/>
    </row>
    <row r="811" ht="12.75" customHeight="1">
      <c r="A811" s="379"/>
      <c r="B811" s="379"/>
      <c r="C811" s="379"/>
      <c r="D811" s="379"/>
      <c r="E811" s="379"/>
      <c r="F811" s="379"/>
      <c r="G811" s="379"/>
      <c r="H811" s="379"/>
      <c r="I811" s="379"/>
      <c r="J811" s="379"/>
      <c r="K811" s="379"/>
      <c r="L811" s="379"/>
      <c r="M811" s="379"/>
      <c r="N811" s="379"/>
      <c r="O811" s="379"/>
      <c r="P811" s="379"/>
      <c r="Q811" s="379"/>
      <c r="R811" s="379"/>
      <c r="S811" s="379"/>
      <c r="T811" s="379"/>
      <c r="U811" s="379"/>
      <c r="V811" s="379"/>
      <c r="W811" s="379"/>
      <c r="X811" s="379"/>
      <c r="Y811" s="379"/>
      <c r="Z811" s="379"/>
    </row>
    <row r="812" ht="12.75" customHeight="1">
      <c r="A812" s="379"/>
      <c r="B812" s="379"/>
      <c r="C812" s="379"/>
      <c r="D812" s="379"/>
      <c r="E812" s="379"/>
      <c r="F812" s="379"/>
      <c r="G812" s="379"/>
      <c r="H812" s="379"/>
      <c r="I812" s="379"/>
      <c r="J812" s="379"/>
      <c r="K812" s="379"/>
      <c r="L812" s="379"/>
      <c r="M812" s="379"/>
      <c r="N812" s="379"/>
      <c r="O812" s="379"/>
      <c r="P812" s="379"/>
      <c r="Q812" s="379"/>
      <c r="R812" s="379"/>
      <c r="S812" s="379"/>
      <c r="T812" s="379"/>
      <c r="U812" s="379"/>
      <c r="V812" s="379"/>
      <c r="W812" s="379"/>
      <c r="X812" s="379"/>
      <c r="Y812" s="379"/>
      <c r="Z812" s="379"/>
    </row>
    <row r="813" ht="12.75" customHeight="1">
      <c r="A813" s="379"/>
      <c r="B813" s="379"/>
      <c r="C813" s="379"/>
      <c r="D813" s="379"/>
      <c r="E813" s="379"/>
      <c r="F813" s="379"/>
      <c r="G813" s="379"/>
      <c r="H813" s="379"/>
      <c r="I813" s="379"/>
      <c r="J813" s="379"/>
      <c r="K813" s="379"/>
      <c r="L813" s="379"/>
      <c r="M813" s="379"/>
      <c r="N813" s="379"/>
      <c r="O813" s="379"/>
      <c r="P813" s="379"/>
      <c r="Q813" s="379"/>
      <c r="R813" s="379"/>
      <c r="S813" s="379"/>
      <c r="T813" s="379"/>
      <c r="U813" s="379"/>
      <c r="V813" s="379"/>
      <c r="W813" s="379"/>
      <c r="X813" s="379"/>
      <c r="Y813" s="379"/>
      <c r="Z813" s="379"/>
    </row>
    <row r="814" ht="12.75" customHeight="1">
      <c r="A814" s="379"/>
      <c r="B814" s="379"/>
      <c r="C814" s="379"/>
      <c r="D814" s="379"/>
      <c r="E814" s="379"/>
      <c r="F814" s="379"/>
      <c r="G814" s="379"/>
      <c r="H814" s="379"/>
      <c r="I814" s="379"/>
      <c r="J814" s="379"/>
      <c r="K814" s="379"/>
      <c r="L814" s="379"/>
      <c r="M814" s="379"/>
      <c r="N814" s="379"/>
      <c r="O814" s="379"/>
      <c r="P814" s="379"/>
      <c r="Q814" s="379"/>
      <c r="R814" s="379"/>
      <c r="S814" s="379"/>
      <c r="T814" s="379"/>
      <c r="U814" s="379"/>
      <c r="V814" s="379"/>
      <c r="W814" s="379"/>
      <c r="X814" s="379"/>
      <c r="Y814" s="379"/>
      <c r="Z814" s="379"/>
    </row>
    <row r="815" ht="12.75" customHeight="1">
      <c r="A815" s="379"/>
      <c r="B815" s="379"/>
      <c r="C815" s="379"/>
      <c r="D815" s="379"/>
      <c r="E815" s="379"/>
      <c r="F815" s="379"/>
      <c r="G815" s="379"/>
      <c r="H815" s="379"/>
      <c r="I815" s="379"/>
      <c r="J815" s="379"/>
      <c r="K815" s="379"/>
      <c r="L815" s="379"/>
      <c r="M815" s="379"/>
      <c r="N815" s="379"/>
      <c r="O815" s="379"/>
      <c r="P815" s="379"/>
      <c r="Q815" s="379"/>
      <c r="R815" s="379"/>
      <c r="S815" s="379"/>
      <c r="T815" s="379"/>
      <c r="U815" s="379"/>
      <c r="V815" s="379"/>
      <c r="W815" s="379"/>
      <c r="X815" s="379"/>
      <c r="Y815" s="379"/>
      <c r="Z815" s="379"/>
    </row>
    <row r="816" ht="12.75" customHeight="1">
      <c r="A816" s="379"/>
      <c r="B816" s="379"/>
      <c r="C816" s="379"/>
      <c r="D816" s="379"/>
      <c r="E816" s="379"/>
      <c r="F816" s="379"/>
      <c r="G816" s="379"/>
      <c r="H816" s="379"/>
      <c r="I816" s="379"/>
      <c r="J816" s="379"/>
      <c r="K816" s="379"/>
      <c r="L816" s="379"/>
      <c r="M816" s="379"/>
      <c r="N816" s="379"/>
      <c r="O816" s="379"/>
      <c r="P816" s="379"/>
      <c r="Q816" s="379"/>
      <c r="R816" s="379"/>
      <c r="S816" s="379"/>
      <c r="T816" s="379"/>
      <c r="U816" s="379"/>
      <c r="V816" s="379"/>
      <c r="W816" s="379"/>
      <c r="X816" s="379"/>
      <c r="Y816" s="379"/>
      <c r="Z816" s="379"/>
    </row>
    <row r="817" ht="12.75" customHeight="1">
      <c r="A817" s="379"/>
      <c r="B817" s="379"/>
      <c r="C817" s="379"/>
      <c r="D817" s="379"/>
      <c r="E817" s="379"/>
      <c r="F817" s="379"/>
      <c r="G817" s="379"/>
      <c r="H817" s="379"/>
      <c r="I817" s="379"/>
      <c r="J817" s="379"/>
      <c r="K817" s="379"/>
      <c r="L817" s="379"/>
      <c r="M817" s="379"/>
      <c r="N817" s="379"/>
      <c r="O817" s="379"/>
      <c r="P817" s="379"/>
      <c r="Q817" s="379"/>
      <c r="R817" s="379"/>
      <c r="S817" s="379"/>
      <c r="T817" s="379"/>
      <c r="U817" s="379"/>
      <c r="V817" s="379"/>
      <c r="W817" s="379"/>
      <c r="X817" s="379"/>
      <c r="Y817" s="379"/>
      <c r="Z817" s="379"/>
    </row>
    <row r="818" ht="12.75" customHeight="1">
      <c r="A818" s="379"/>
      <c r="B818" s="379"/>
      <c r="C818" s="379"/>
      <c r="D818" s="379"/>
      <c r="E818" s="379"/>
      <c r="F818" s="379"/>
      <c r="G818" s="379"/>
      <c r="H818" s="379"/>
      <c r="I818" s="379"/>
      <c r="J818" s="379"/>
      <c r="K818" s="379"/>
      <c r="L818" s="379"/>
      <c r="M818" s="379"/>
      <c r="N818" s="379"/>
      <c r="O818" s="379"/>
      <c r="P818" s="379"/>
      <c r="Q818" s="379"/>
      <c r="R818" s="379"/>
      <c r="S818" s="379"/>
      <c r="T818" s="379"/>
      <c r="U818" s="379"/>
      <c r="V818" s="379"/>
      <c r="W818" s="379"/>
      <c r="X818" s="379"/>
      <c r="Y818" s="379"/>
      <c r="Z818" s="379"/>
    </row>
    <row r="819" ht="12.75" customHeight="1">
      <c r="A819" s="379"/>
      <c r="B819" s="379"/>
      <c r="C819" s="379"/>
      <c r="D819" s="379"/>
      <c r="E819" s="379"/>
      <c r="F819" s="379"/>
      <c r="G819" s="379"/>
      <c r="H819" s="379"/>
      <c r="I819" s="379"/>
      <c r="J819" s="379"/>
      <c r="K819" s="379"/>
      <c r="L819" s="379"/>
      <c r="M819" s="379"/>
      <c r="N819" s="379"/>
      <c r="O819" s="379"/>
      <c r="P819" s="379"/>
      <c r="Q819" s="379"/>
      <c r="R819" s="379"/>
      <c r="S819" s="379"/>
      <c r="T819" s="379"/>
      <c r="U819" s="379"/>
      <c r="V819" s="379"/>
      <c r="W819" s="379"/>
      <c r="X819" s="379"/>
      <c r="Y819" s="379"/>
      <c r="Z819" s="379"/>
    </row>
    <row r="820" ht="12.75" customHeight="1">
      <c r="A820" s="379"/>
      <c r="B820" s="379"/>
      <c r="C820" s="379"/>
      <c r="D820" s="379"/>
      <c r="E820" s="379"/>
      <c r="F820" s="379"/>
      <c r="G820" s="379"/>
      <c r="H820" s="379"/>
      <c r="I820" s="379"/>
      <c r="J820" s="379"/>
      <c r="K820" s="379"/>
      <c r="L820" s="379"/>
      <c r="M820" s="379"/>
      <c r="N820" s="379"/>
      <c r="O820" s="379"/>
      <c r="P820" s="379"/>
      <c r="Q820" s="379"/>
      <c r="R820" s="379"/>
      <c r="S820" s="379"/>
      <c r="T820" s="379"/>
      <c r="U820" s="379"/>
      <c r="V820" s="379"/>
      <c r="W820" s="379"/>
      <c r="X820" s="379"/>
      <c r="Y820" s="379"/>
      <c r="Z820" s="379"/>
    </row>
    <row r="821" ht="12.75" customHeight="1">
      <c r="A821" s="379"/>
      <c r="B821" s="379"/>
      <c r="C821" s="379"/>
      <c r="D821" s="379"/>
      <c r="E821" s="379"/>
      <c r="F821" s="379"/>
      <c r="G821" s="379"/>
      <c r="H821" s="379"/>
      <c r="I821" s="379"/>
      <c r="J821" s="379"/>
      <c r="K821" s="379"/>
      <c r="L821" s="379"/>
      <c r="M821" s="379"/>
      <c r="N821" s="379"/>
      <c r="O821" s="379"/>
      <c r="P821" s="379"/>
      <c r="Q821" s="379"/>
      <c r="R821" s="379"/>
      <c r="S821" s="379"/>
      <c r="T821" s="379"/>
      <c r="U821" s="379"/>
      <c r="V821" s="379"/>
      <c r="W821" s="379"/>
      <c r="X821" s="379"/>
      <c r="Y821" s="379"/>
      <c r="Z821" s="379"/>
    </row>
    <row r="822" ht="12.75" customHeight="1">
      <c r="A822" s="379"/>
      <c r="B822" s="379"/>
      <c r="C822" s="379"/>
      <c r="D822" s="379"/>
      <c r="E822" s="379"/>
      <c r="F822" s="379"/>
      <c r="G822" s="379"/>
      <c r="H822" s="379"/>
      <c r="I822" s="379"/>
      <c r="J822" s="379"/>
      <c r="K822" s="379"/>
      <c r="L822" s="379"/>
      <c r="M822" s="379"/>
      <c r="N822" s="379"/>
      <c r="O822" s="379"/>
      <c r="P822" s="379"/>
      <c r="Q822" s="379"/>
      <c r="R822" s="379"/>
      <c r="S822" s="379"/>
      <c r="T822" s="379"/>
      <c r="U822" s="379"/>
      <c r="V822" s="379"/>
      <c r="W822" s="379"/>
      <c r="X822" s="379"/>
      <c r="Y822" s="379"/>
      <c r="Z822" s="379"/>
    </row>
    <row r="823" ht="12.75" customHeight="1">
      <c r="A823" s="379"/>
      <c r="B823" s="379"/>
      <c r="C823" s="379"/>
      <c r="D823" s="379"/>
      <c r="E823" s="379"/>
      <c r="F823" s="379"/>
      <c r="G823" s="379"/>
      <c r="H823" s="379"/>
      <c r="I823" s="379"/>
      <c r="J823" s="379"/>
      <c r="K823" s="379"/>
      <c r="L823" s="379"/>
      <c r="M823" s="379"/>
      <c r="N823" s="379"/>
      <c r="O823" s="379"/>
      <c r="P823" s="379"/>
      <c r="Q823" s="379"/>
      <c r="R823" s="379"/>
      <c r="S823" s="379"/>
      <c r="T823" s="379"/>
      <c r="U823" s="379"/>
      <c r="V823" s="379"/>
      <c r="W823" s="379"/>
      <c r="X823" s="379"/>
      <c r="Y823" s="379"/>
      <c r="Z823" s="379"/>
    </row>
    <row r="824" ht="12.75" customHeight="1">
      <c r="A824" s="379"/>
      <c r="B824" s="379"/>
      <c r="C824" s="379"/>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row>
    <row r="825" ht="12.75" customHeight="1">
      <c r="A825" s="379"/>
      <c r="B825" s="379"/>
      <c r="C825" s="379"/>
      <c r="D825" s="379"/>
      <c r="E825" s="379"/>
      <c r="F825" s="379"/>
      <c r="G825" s="379"/>
      <c r="H825" s="379"/>
      <c r="I825" s="379"/>
      <c r="J825" s="379"/>
      <c r="K825" s="379"/>
      <c r="L825" s="379"/>
      <c r="M825" s="379"/>
      <c r="N825" s="379"/>
      <c r="O825" s="379"/>
      <c r="P825" s="379"/>
      <c r="Q825" s="379"/>
      <c r="R825" s="379"/>
      <c r="S825" s="379"/>
      <c r="T825" s="379"/>
      <c r="U825" s="379"/>
      <c r="V825" s="379"/>
      <c r="W825" s="379"/>
      <c r="X825" s="379"/>
      <c r="Y825" s="379"/>
      <c r="Z825" s="379"/>
    </row>
    <row r="826" ht="12.75" customHeight="1">
      <c r="A826" s="379"/>
      <c r="B826" s="379"/>
      <c r="C826" s="379"/>
      <c r="D826" s="379"/>
      <c r="E826" s="379"/>
      <c r="F826" s="379"/>
      <c r="G826" s="379"/>
      <c r="H826" s="379"/>
      <c r="I826" s="379"/>
      <c r="J826" s="379"/>
      <c r="K826" s="379"/>
      <c r="L826" s="379"/>
      <c r="M826" s="379"/>
      <c r="N826" s="379"/>
      <c r="O826" s="379"/>
      <c r="P826" s="379"/>
      <c r="Q826" s="379"/>
      <c r="R826" s="379"/>
      <c r="S826" s="379"/>
      <c r="T826" s="379"/>
      <c r="U826" s="379"/>
      <c r="V826" s="379"/>
      <c r="W826" s="379"/>
      <c r="X826" s="379"/>
      <c r="Y826" s="379"/>
      <c r="Z826" s="379"/>
    </row>
    <row r="827" ht="12.75" customHeight="1">
      <c r="A827" s="379"/>
      <c r="B827" s="379"/>
      <c r="C827" s="379"/>
      <c r="D827" s="379"/>
      <c r="E827" s="379"/>
      <c r="F827" s="379"/>
      <c r="G827" s="379"/>
      <c r="H827" s="379"/>
      <c r="I827" s="379"/>
      <c r="J827" s="379"/>
      <c r="K827" s="379"/>
      <c r="L827" s="379"/>
      <c r="M827" s="379"/>
      <c r="N827" s="379"/>
      <c r="O827" s="379"/>
      <c r="P827" s="379"/>
      <c r="Q827" s="379"/>
      <c r="R827" s="379"/>
      <c r="S827" s="379"/>
      <c r="T827" s="379"/>
      <c r="U827" s="379"/>
      <c r="V827" s="379"/>
      <c r="W827" s="379"/>
      <c r="X827" s="379"/>
      <c r="Y827" s="379"/>
      <c r="Z827" s="379"/>
    </row>
    <row r="828" ht="12.75" customHeight="1">
      <c r="A828" s="379"/>
      <c r="B828" s="379"/>
      <c r="C828" s="379"/>
      <c r="D828" s="379"/>
      <c r="E828" s="379"/>
      <c r="F828" s="379"/>
      <c r="G828" s="379"/>
      <c r="H828" s="379"/>
      <c r="I828" s="379"/>
      <c r="J828" s="379"/>
      <c r="K828" s="379"/>
      <c r="L828" s="379"/>
      <c r="M828" s="379"/>
      <c r="N828" s="379"/>
      <c r="O828" s="379"/>
      <c r="P828" s="379"/>
      <c r="Q828" s="379"/>
      <c r="R828" s="379"/>
      <c r="S828" s="379"/>
      <c r="T828" s="379"/>
      <c r="U828" s="379"/>
      <c r="V828" s="379"/>
      <c r="W828" s="379"/>
      <c r="X828" s="379"/>
      <c r="Y828" s="379"/>
      <c r="Z828" s="379"/>
    </row>
    <row r="829" ht="12.75" customHeight="1">
      <c r="A829" s="379"/>
      <c r="B829" s="379"/>
      <c r="C829" s="379"/>
      <c r="D829" s="379"/>
      <c r="E829" s="379"/>
      <c r="F829" s="379"/>
      <c r="G829" s="379"/>
      <c r="H829" s="379"/>
      <c r="I829" s="379"/>
      <c r="J829" s="379"/>
      <c r="K829" s="379"/>
      <c r="L829" s="379"/>
      <c r="M829" s="379"/>
      <c r="N829" s="379"/>
      <c r="O829" s="379"/>
      <c r="P829" s="379"/>
      <c r="Q829" s="379"/>
      <c r="R829" s="379"/>
      <c r="S829" s="379"/>
      <c r="T829" s="379"/>
      <c r="U829" s="379"/>
      <c r="V829" s="379"/>
      <c r="W829" s="379"/>
      <c r="X829" s="379"/>
      <c r="Y829" s="379"/>
      <c r="Z829" s="379"/>
    </row>
    <row r="830" ht="12.75" customHeight="1">
      <c r="A830" s="379"/>
      <c r="B830" s="379"/>
      <c r="C830" s="379"/>
      <c r="D830" s="379"/>
      <c r="E830" s="379"/>
      <c r="F830" s="379"/>
      <c r="G830" s="379"/>
      <c r="H830" s="379"/>
      <c r="I830" s="379"/>
      <c r="J830" s="379"/>
      <c r="K830" s="379"/>
      <c r="L830" s="379"/>
      <c r="M830" s="379"/>
      <c r="N830" s="379"/>
      <c r="O830" s="379"/>
      <c r="P830" s="379"/>
      <c r="Q830" s="379"/>
      <c r="R830" s="379"/>
      <c r="S830" s="379"/>
      <c r="T830" s="379"/>
      <c r="U830" s="379"/>
      <c r="V830" s="379"/>
      <c r="W830" s="379"/>
      <c r="X830" s="379"/>
      <c r="Y830" s="379"/>
      <c r="Z830" s="379"/>
    </row>
    <row r="831" ht="12.75" customHeight="1">
      <c r="A831" s="379"/>
      <c r="B831" s="379"/>
      <c r="C831" s="379"/>
      <c r="D831" s="379"/>
      <c r="E831" s="379"/>
      <c r="F831" s="379"/>
      <c r="G831" s="379"/>
      <c r="H831" s="379"/>
      <c r="I831" s="379"/>
      <c r="J831" s="379"/>
      <c r="K831" s="379"/>
      <c r="L831" s="379"/>
      <c r="M831" s="379"/>
      <c r="N831" s="379"/>
      <c r="O831" s="379"/>
      <c r="P831" s="379"/>
      <c r="Q831" s="379"/>
      <c r="R831" s="379"/>
      <c r="S831" s="379"/>
      <c r="T831" s="379"/>
      <c r="U831" s="379"/>
      <c r="V831" s="379"/>
      <c r="W831" s="379"/>
      <c r="X831" s="379"/>
      <c r="Y831" s="379"/>
      <c r="Z831" s="379"/>
    </row>
    <row r="832" ht="12.75" customHeight="1">
      <c r="A832" s="379"/>
      <c r="B832" s="379"/>
      <c r="C832" s="379"/>
      <c r="D832" s="379"/>
      <c r="E832" s="379"/>
      <c r="F832" s="379"/>
      <c r="G832" s="379"/>
      <c r="H832" s="379"/>
      <c r="I832" s="379"/>
      <c r="J832" s="379"/>
      <c r="K832" s="379"/>
      <c r="L832" s="379"/>
      <c r="M832" s="379"/>
      <c r="N832" s="379"/>
      <c r="O832" s="379"/>
      <c r="P832" s="379"/>
      <c r="Q832" s="379"/>
      <c r="R832" s="379"/>
      <c r="S832" s="379"/>
      <c r="T832" s="379"/>
      <c r="U832" s="379"/>
      <c r="V832" s="379"/>
      <c r="W832" s="379"/>
      <c r="X832" s="379"/>
      <c r="Y832" s="379"/>
      <c r="Z832" s="379"/>
    </row>
    <row r="833" ht="12.75" customHeight="1">
      <c r="A833" s="379"/>
      <c r="B833" s="379"/>
      <c r="C833" s="379"/>
      <c r="D833" s="379"/>
      <c r="E833" s="379"/>
      <c r="F833" s="379"/>
      <c r="G833" s="379"/>
      <c r="H833" s="379"/>
      <c r="I833" s="379"/>
      <c r="J833" s="379"/>
      <c r="K833" s="379"/>
      <c r="L833" s="379"/>
      <c r="M833" s="379"/>
      <c r="N833" s="379"/>
      <c r="O833" s="379"/>
      <c r="P833" s="379"/>
      <c r="Q833" s="379"/>
      <c r="R833" s="379"/>
      <c r="S833" s="379"/>
      <c r="T833" s="379"/>
      <c r="U833" s="379"/>
      <c r="V833" s="379"/>
      <c r="W833" s="379"/>
      <c r="X833" s="379"/>
      <c r="Y833" s="379"/>
      <c r="Z833" s="379"/>
    </row>
    <row r="834" ht="12.75" customHeight="1">
      <c r="A834" s="379"/>
      <c r="B834" s="379"/>
      <c r="C834" s="379"/>
      <c r="D834" s="379"/>
      <c r="E834" s="379"/>
      <c r="F834" s="379"/>
      <c r="G834" s="379"/>
      <c r="H834" s="379"/>
      <c r="I834" s="379"/>
      <c r="J834" s="379"/>
      <c r="K834" s="379"/>
      <c r="L834" s="379"/>
      <c r="M834" s="379"/>
      <c r="N834" s="379"/>
      <c r="O834" s="379"/>
      <c r="P834" s="379"/>
      <c r="Q834" s="379"/>
      <c r="R834" s="379"/>
      <c r="S834" s="379"/>
      <c r="T834" s="379"/>
      <c r="U834" s="379"/>
      <c r="V834" s="379"/>
      <c r="W834" s="379"/>
      <c r="X834" s="379"/>
      <c r="Y834" s="379"/>
      <c r="Z834" s="379"/>
    </row>
    <row r="835" ht="12.75" customHeight="1">
      <c r="A835" s="379"/>
      <c r="B835" s="379"/>
      <c r="C835" s="379"/>
      <c r="D835" s="379"/>
      <c r="E835" s="379"/>
      <c r="F835" s="379"/>
      <c r="G835" s="379"/>
      <c r="H835" s="379"/>
      <c r="I835" s="379"/>
      <c r="J835" s="379"/>
      <c r="K835" s="379"/>
      <c r="L835" s="379"/>
      <c r="M835" s="379"/>
      <c r="N835" s="379"/>
      <c r="O835" s="379"/>
      <c r="P835" s="379"/>
      <c r="Q835" s="379"/>
      <c r="R835" s="379"/>
      <c r="S835" s="379"/>
      <c r="T835" s="379"/>
      <c r="U835" s="379"/>
      <c r="V835" s="379"/>
      <c r="W835" s="379"/>
      <c r="X835" s="379"/>
      <c r="Y835" s="379"/>
      <c r="Z835" s="379"/>
    </row>
    <row r="836" ht="12.75" customHeight="1">
      <c r="A836" s="379"/>
      <c r="B836" s="379"/>
      <c r="C836" s="379"/>
      <c r="D836" s="379"/>
      <c r="E836" s="379"/>
      <c r="F836" s="379"/>
      <c r="G836" s="379"/>
      <c r="H836" s="379"/>
      <c r="I836" s="379"/>
      <c r="J836" s="379"/>
      <c r="K836" s="379"/>
      <c r="L836" s="379"/>
      <c r="M836" s="379"/>
      <c r="N836" s="379"/>
      <c r="O836" s="379"/>
      <c r="P836" s="379"/>
      <c r="Q836" s="379"/>
      <c r="R836" s="379"/>
      <c r="S836" s="379"/>
      <c r="T836" s="379"/>
      <c r="U836" s="379"/>
      <c r="V836" s="379"/>
      <c r="W836" s="379"/>
      <c r="X836" s="379"/>
      <c r="Y836" s="379"/>
      <c r="Z836" s="379"/>
    </row>
    <row r="837" ht="12.75" customHeight="1">
      <c r="A837" s="379"/>
      <c r="B837" s="379"/>
      <c r="C837" s="379"/>
      <c r="D837" s="379"/>
      <c r="E837" s="379"/>
      <c r="F837" s="379"/>
      <c r="G837" s="379"/>
      <c r="H837" s="379"/>
      <c r="I837" s="379"/>
      <c r="J837" s="379"/>
      <c r="K837" s="379"/>
      <c r="L837" s="379"/>
      <c r="M837" s="379"/>
      <c r="N837" s="379"/>
      <c r="O837" s="379"/>
      <c r="P837" s="379"/>
      <c r="Q837" s="379"/>
      <c r="R837" s="379"/>
      <c r="S837" s="379"/>
      <c r="T837" s="379"/>
      <c r="U837" s="379"/>
      <c r="V837" s="379"/>
      <c r="W837" s="379"/>
      <c r="X837" s="379"/>
      <c r="Y837" s="379"/>
      <c r="Z837" s="379"/>
    </row>
    <row r="838" ht="12.75" customHeight="1">
      <c r="A838" s="379"/>
      <c r="B838" s="379"/>
      <c r="C838" s="379"/>
      <c r="D838" s="379"/>
      <c r="E838" s="379"/>
      <c r="F838" s="379"/>
      <c r="G838" s="379"/>
      <c r="H838" s="379"/>
      <c r="I838" s="379"/>
      <c r="J838" s="379"/>
      <c r="K838" s="379"/>
      <c r="L838" s="379"/>
      <c r="M838" s="379"/>
      <c r="N838" s="379"/>
      <c r="O838" s="379"/>
      <c r="P838" s="379"/>
      <c r="Q838" s="379"/>
      <c r="R838" s="379"/>
      <c r="S838" s="379"/>
      <c r="T838" s="379"/>
      <c r="U838" s="379"/>
      <c r="V838" s="379"/>
      <c r="W838" s="379"/>
      <c r="X838" s="379"/>
      <c r="Y838" s="379"/>
      <c r="Z838" s="379"/>
    </row>
    <row r="839" ht="12.75" customHeight="1">
      <c r="A839" s="379"/>
      <c r="B839" s="379"/>
      <c r="C839" s="379"/>
      <c r="D839" s="379"/>
      <c r="E839" s="379"/>
      <c r="F839" s="379"/>
      <c r="G839" s="379"/>
      <c r="H839" s="379"/>
      <c r="I839" s="379"/>
      <c r="J839" s="379"/>
      <c r="K839" s="379"/>
      <c r="L839" s="379"/>
      <c r="M839" s="379"/>
      <c r="N839" s="379"/>
      <c r="O839" s="379"/>
      <c r="P839" s="379"/>
      <c r="Q839" s="379"/>
      <c r="R839" s="379"/>
      <c r="S839" s="379"/>
      <c r="T839" s="379"/>
      <c r="U839" s="379"/>
      <c r="V839" s="379"/>
      <c r="W839" s="379"/>
      <c r="X839" s="379"/>
      <c r="Y839" s="379"/>
      <c r="Z839" s="379"/>
    </row>
    <row r="840" ht="12.75" customHeight="1">
      <c r="A840" s="379"/>
      <c r="B840" s="379"/>
      <c r="C840" s="379"/>
      <c r="D840" s="379"/>
      <c r="E840" s="379"/>
      <c r="F840" s="379"/>
      <c r="G840" s="379"/>
      <c r="H840" s="379"/>
      <c r="I840" s="379"/>
      <c r="J840" s="379"/>
      <c r="K840" s="379"/>
      <c r="L840" s="379"/>
      <c r="M840" s="379"/>
      <c r="N840" s="379"/>
      <c r="O840" s="379"/>
      <c r="P840" s="379"/>
      <c r="Q840" s="379"/>
      <c r="R840" s="379"/>
      <c r="S840" s="379"/>
      <c r="T840" s="379"/>
      <c r="U840" s="379"/>
      <c r="V840" s="379"/>
      <c r="W840" s="379"/>
      <c r="X840" s="379"/>
      <c r="Y840" s="379"/>
      <c r="Z840" s="379"/>
    </row>
    <row r="841" ht="12.75" customHeight="1">
      <c r="A841" s="379"/>
      <c r="B841" s="379"/>
      <c r="C841" s="379"/>
      <c r="D841" s="379"/>
      <c r="E841" s="379"/>
      <c r="F841" s="379"/>
      <c r="G841" s="379"/>
      <c r="H841" s="379"/>
      <c r="I841" s="379"/>
      <c r="J841" s="379"/>
      <c r="K841" s="379"/>
      <c r="L841" s="379"/>
      <c r="M841" s="379"/>
      <c r="N841" s="379"/>
      <c r="O841" s="379"/>
      <c r="P841" s="379"/>
      <c r="Q841" s="379"/>
      <c r="R841" s="379"/>
      <c r="S841" s="379"/>
      <c r="T841" s="379"/>
      <c r="U841" s="379"/>
      <c r="V841" s="379"/>
      <c r="W841" s="379"/>
      <c r="X841" s="379"/>
      <c r="Y841" s="379"/>
      <c r="Z841" s="379"/>
    </row>
    <row r="842" ht="12.75" customHeight="1">
      <c r="A842" s="379"/>
      <c r="B842" s="379"/>
      <c r="C842" s="379"/>
      <c r="D842" s="379"/>
      <c r="E842" s="379"/>
      <c r="F842" s="379"/>
      <c r="G842" s="379"/>
      <c r="H842" s="379"/>
      <c r="I842" s="379"/>
      <c r="J842" s="379"/>
      <c r="K842" s="379"/>
      <c r="L842" s="379"/>
      <c r="M842" s="379"/>
      <c r="N842" s="379"/>
      <c r="O842" s="379"/>
      <c r="P842" s="379"/>
      <c r="Q842" s="379"/>
      <c r="R842" s="379"/>
      <c r="S842" s="379"/>
      <c r="T842" s="379"/>
      <c r="U842" s="379"/>
      <c r="V842" s="379"/>
      <c r="W842" s="379"/>
      <c r="X842" s="379"/>
      <c r="Y842" s="379"/>
      <c r="Z842" s="379"/>
    </row>
    <row r="843" ht="12.75" customHeight="1">
      <c r="A843" s="379"/>
      <c r="B843" s="379"/>
      <c r="C843" s="379"/>
      <c r="D843" s="379"/>
      <c r="E843" s="379"/>
      <c r="F843" s="379"/>
      <c r="G843" s="379"/>
      <c r="H843" s="379"/>
      <c r="I843" s="379"/>
      <c r="J843" s="379"/>
      <c r="K843" s="379"/>
      <c r="L843" s="379"/>
      <c r="M843" s="379"/>
      <c r="N843" s="379"/>
      <c r="O843" s="379"/>
      <c r="P843" s="379"/>
      <c r="Q843" s="379"/>
      <c r="R843" s="379"/>
      <c r="S843" s="379"/>
      <c r="T843" s="379"/>
      <c r="U843" s="379"/>
      <c r="V843" s="379"/>
      <c r="W843" s="379"/>
      <c r="X843" s="379"/>
      <c r="Y843" s="379"/>
      <c r="Z843" s="379"/>
    </row>
    <row r="844" ht="12.75" customHeight="1">
      <c r="A844" s="379"/>
      <c r="B844" s="379"/>
      <c r="C844" s="379"/>
      <c r="D844" s="379"/>
      <c r="E844" s="379"/>
      <c r="F844" s="379"/>
      <c r="G844" s="379"/>
      <c r="H844" s="379"/>
      <c r="I844" s="379"/>
      <c r="J844" s="379"/>
      <c r="K844" s="379"/>
      <c r="L844" s="379"/>
      <c r="M844" s="379"/>
      <c r="N844" s="379"/>
      <c r="O844" s="379"/>
      <c r="P844" s="379"/>
      <c r="Q844" s="379"/>
      <c r="R844" s="379"/>
      <c r="S844" s="379"/>
      <c r="T844" s="379"/>
      <c r="U844" s="379"/>
      <c r="V844" s="379"/>
      <c r="W844" s="379"/>
      <c r="X844" s="379"/>
      <c r="Y844" s="379"/>
      <c r="Z844" s="379"/>
    </row>
    <row r="845" ht="12.75" customHeight="1">
      <c r="A845" s="379"/>
      <c r="B845" s="379"/>
      <c r="C845" s="379"/>
      <c r="D845" s="379"/>
      <c r="E845" s="379"/>
      <c r="F845" s="379"/>
      <c r="G845" s="379"/>
      <c r="H845" s="379"/>
      <c r="I845" s="379"/>
      <c r="J845" s="379"/>
      <c r="K845" s="379"/>
      <c r="L845" s="379"/>
      <c r="M845" s="379"/>
      <c r="N845" s="379"/>
      <c r="O845" s="379"/>
      <c r="P845" s="379"/>
      <c r="Q845" s="379"/>
      <c r="R845" s="379"/>
      <c r="S845" s="379"/>
      <c r="T845" s="379"/>
      <c r="U845" s="379"/>
      <c r="V845" s="379"/>
      <c r="W845" s="379"/>
      <c r="X845" s="379"/>
      <c r="Y845" s="379"/>
      <c r="Z845" s="379"/>
    </row>
    <row r="846" ht="12.75" customHeight="1">
      <c r="A846" s="379"/>
      <c r="B846" s="379"/>
      <c r="C846" s="379"/>
      <c r="D846" s="379"/>
      <c r="E846" s="379"/>
      <c r="F846" s="379"/>
      <c r="G846" s="379"/>
      <c r="H846" s="379"/>
      <c r="I846" s="379"/>
      <c r="J846" s="379"/>
      <c r="K846" s="379"/>
      <c r="L846" s="379"/>
      <c r="M846" s="379"/>
      <c r="N846" s="379"/>
      <c r="O846" s="379"/>
      <c r="P846" s="379"/>
      <c r="Q846" s="379"/>
      <c r="R846" s="379"/>
      <c r="S846" s="379"/>
      <c r="T846" s="379"/>
      <c r="U846" s="379"/>
      <c r="V846" s="379"/>
      <c r="W846" s="379"/>
      <c r="X846" s="379"/>
      <c r="Y846" s="379"/>
      <c r="Z846" s="379"/>
    </row>
    <row r="847" ht="12.75" customHeight="1">
      <c r="A847" s="379"/>
      <c r="B847" s="379"/>
      <c r="C847" s="379"/>
      <c r="D847" s="379"/>
      <c r="E847" s="379"/>
      <c r="F847" s="379"/>
      <c r="G847" s="379"/>
      <c r="H847" s="379"/>
      <c r="I847" s="379"/>
      <c r="J847" s="379"/>
      <c r="K847" s="379"/>
      <c r="L847" s="379"/>
      <c r="M847" s="379"/>
      <c r="N847" s="379"/>
      <c r="O847" s="379"/>
      <c r="P847" s="379"/>
      <c r="Q847" s="379"/>
      <c r="R847" s="379"/>
      <c r="S847" s="379"/>
      <c r="T847" s="379"/>
      <c r="U847" s="379"/>
      <c r="V847" s="379"/>
      <c r="W847" s="379"/>
      <c r="X847" s="379"/>
      <c r="Y847" s="379"/>
      <c r="Z847" s="379"/>
    </row>
    <row r="848" ht="12.75" customHeight="1">
      <c r="A848" s="379"/>
      <c r="B848" s="379"/>
      <c r="C848" s="379"/>
      <c r="D848" s="379"/>
      <c r="E848" s="379"/>
      <c r="F848" s="379"/>
      <c r="G848" s="379"/>
      <c r="H848" s="379"/>
      <c r="I848" s="379"/>
      <c r="J848" s="379"/>
      <c r="K848" s="379"/>
      <c r="L848" s="379"/>
      <c r="M848" s="379"/>
      <c r="N848" s="379"/>
      <c r="O848" s="379"/>
      <c r="P848" s="379"/>
      <c r="Q848" s="379"/>
      <c r="R848" s="379"/>
      <c r="S848" s="379"/>
      <c r="T848" s="379"/>
      <c r="U848" s="379"/>
      <c r="V848" s="379"/>
      <c r="W848" s="379"/>
      <c r="X848" s="379"/>
      <c r="Y848" s="379"/>
      <c r="Z848" s="379"/>
    </row>
    <row r="849" ht="12.75" customHeight="1">
      <c r="A849" s="379"/>
      <c r="B849" s="379"/>
      <c r="C849" s="379"/>
      <c r="D849" s="379"/>
      <c r="E849" s="379"/>
      <c r="F849" s="379"/>
      <c r="G849" s="379"/>
      <c r="H849" s="379"/>
      <c r="I849" s="379"/>
      <c r="J849" s="379"/>
      <c r="K849" s="379"/>
      <c r="L849" s="379"/>
      <c r="M849" s="379"/>
      <c r="N849" s="379"/>
      <c r="O849" s="379"/>
      <c r="P849" s="379"/>
      <c r="Q849" s="379"/>
      <c r="R849" s="379"/>
      <c r="S849" s="379"/>
      <c r="T849" s="379"/>
      <c r="U849" s="379"/>
      <c r="V849" s="379"/>
      <c r="W849" s="379"/>
      <c r="X849" s="379"/>
      <c r="Y849" s="379"/>
      <c r="Z849" s="379"/>
    </row>
    <row r="850" ht="12.75" customHeight="1">
      <c r="A850" s="379"/>
      <c r="B850" s="379"/>
      <c r="C850" s="379"/>
      <c r="D850" s="379"/>
      <c r="E850" s="379"/>
      <c r="F850" s="379"/>
      <c r="G850" s="379"/>
      <c r="H850" s="379"/>
      <c r="I850" s="379"/>
      <c r="J850" s="379"/>
      <c r="K850" s="379"/>
      <c r="L850" s="379"/>
      <c r="M850" s="379"/>
      <c r="N850" s="379"/>
      <c r="O850" s="379"/>
      <c r="P850" s="379"/>
      <c r="Q850" s="379"/>
      <c r="R850" s="379"/>
      <c r="S850" s="379"/>
      <c r="T850" s="379"/>
      <c r="U850" s="379"/>
      <c r="V850" s="379"/>
      <c r="W850" s="379"/>
      <c r="X850" s="379"/>
      <c r="Y850" s="379"/>
      <c r="Z850" s="379"/>
    </row>
    <row r="851" ht="12.75" customHeight="1">
      <c r="A851" s="379"/>
      <c r="B851" s="379"/>
      <c r="C851" s="379"/>
      <c r="D851" s="379"/>
      <c r="E851" s="379"/>
      <c r="F851" s="379"/>
      <c r="G851" s="379"/>
      <c r="H851" s="379"/>
      <c r="I851" s="379"/>
      <c r="J851" s="379"/>
      <c r="K851" s="379"/>
      <c r="L851" s="379"/>
      <c r="M851" s="379"/>
      <c r="N851" s="379"/>
      <c r="O851" s="379"/>
      <c r="P851" s="379"/>
      <c r="Q851" s="379"/>
      <c r="R851" s="379"/>
      <c r="S851" s="379"/>
      <c r="T851" s="379"/>
      <c r="U851" s="379"/>
      <c r="V851" s="379"/>
      <c r="W851" s="379"/>
      <c r="X851" s="379"/>
      <c r="Y851" s="379"/>
      <c r="Z851" s="379"/>
    </row>
    <row r="852" ht="12.75" customHeight="1">
      <c r="A852" s="379"/>
      <c r="B852" s="379"/>
      <c r="C852" s="379"/>
      <c r="D852" s="379"/>
      <c r="E852" s="379"/>
      <c r="F852" s="379"/>
      <c r="G852" s="379"/>
      <c r="H852" s="379"/>
      <c r="I852" s="379"/>
      <c r="J852" s="379"/>
      <c r="K852" s="379"/>
      <c r="L852" s="379"/>
      <c r="M852" s="379"/>
      <c r="N852" s="379"/>
      <c r="O852" s="379"/>
      <c r="P852" s="379"/>
      <c r="Q852" s="379"/>
      <c r="R852" s="379"/>
      <c r="S852" s="379"/>
      <c r="T852" s="379"/>
      <c r="U852" s="379"/>
      <c r="V852" s="379"/>
      <c r="W852" s="379"/>
      <c r="X852" s="379"/>
      <c r="Y852" s="379"/>
      <c r="Z852" s="379"/>
    </row>
    <row r="853" ht="12.75" customHeight="1">
      <c r="A853" s="379"/>
      <c r="B853" s="379"/>
      <c r="C853" s="379"/>
      <c r="D853" s="379"/>
      <c r="E853" s="379"/>
      <c r="F853" s="379"/>
      <c r="G853" s="379"/>
      <c r="H853" s="379"/>
      <c r="I853" s="379"/>
      <c r="J853" s="379"/>
      <c r="K853" s="379"/>
      <c r="L853" s="379"/>
      <c r="M853" s="379"/>
      <c r="N853" s="379"/>
      <c r="O853" s="379"/>
      <c r="P853" s="379"/>
      <c r="Q853" s="379"/>
      <c r="R853" s="379"/>
      <c r="S853" s="379"/>
      <c r="T853" s="379"/>
      <c r="U853" s="379"/>
      <c r="V853" s="379"/>
      <c r="W853" s="379"/>
      <c r="X853" s="379"/>
      <c r="Y853" s="379"/>
      <c r="Z853" s="379"/>
    </row>
    <row r="854" ht="12.75" customHeight="1">
      <c r="A854" s="379"/>
      <c r="B854" s="379"/>
      <c r="C854" s="379"/>
      <c r="D854" s="379"/>
      <c r="E854" s="379"/>
      <c r="F854" s="379"/>
      <c r="G854" s="379"/>
      <c r="H854" s="379"/>
      <c r="I854" s="379"/>
      <c r="J854" s="379"/>
      <c r="K854" s="379"/>
      <c r="L854" s="379"/>
      <c r="M854" s="379"/>
      <c r="N854" s="379"/>
      <c r="O854" s="379"/>
      <c r="P854" s="379"/>
      <c r="Q854" s="379"/>
      <c r="R854" s="379"/>
      <c r="S854" s="379"/>
      <c r="T854" s="379"/>
      <c r="U854" s="379"/>
      <c r="V854" s="379"/>
      <c r="W854" s="379"/>
      <c r="X854" s="379"/>
      <c r="Y854" s="379"/>
      <c r="Z854" s="379"/>
    </row>
    <row r="855" ht="12.75" customHeight="1">
      <c r="A855" s="379"/>
      <c r="B855" s="379"/>
      <c r="C855" s="379"/>
      <c r="D855" s="379"/>
      <c r="E855" s="379"/>
      <c r="F855" s="379"/>
      <c r="G855" s="379"/>
      <c r="H855" s="379"/>
      <c r="I855" s="379"/>
      <c r="J855" s="379"/>
      <c r="K855" s="379"/>
      <c r="L855" s="379"/>
      <c r="M855" s="379"/>
      <c r="N855" s="379"/>
      <c r="O855" s="379"/>
      <c r="P855" s="379"/>
      <c r="Q855" s="379"/>
      <c r="R855" s="379"/>
      <c r="S855" s="379"/>
      <c r="T855" s="379"/>
      <c r="U855" s="379"/>
      <c r="V855" s="379"/>
      <c r="W855" s="379"/>
      <c r="X855" s="379"/>
      <c r="Y855" s="379"/>
      <c r="Z855" s="379"/>
    </row>
    <row r="856" ht="12.75" customHeight="1">
      <c r="A856" s="379"/>
      <c r="B856" s="379"/>
      <c r="C856" s="379"/>
      <c r="D856" s="379"/>
      <c r="E856" s="379"/>
      <c r="F856" s="379"/>
      <c r="G856" s="379"/>
      <c r="H856" s="379"/>
      <c r="I856" s="379"/>
      <c r="J856" s="379"/>
      <c r="K856" s="379"/>
      <c r="L856" s="379"/>
      <c r="M856" s="379"/>
      <c r="N856" s="379"/>
      <c r="O856" s="379"/>
      <c r="P856" s="379"/>
      <c r="Q856" s="379"/>
      <c r="R856" s="379"/>
      <c r="S856" s="379"/>
      <c r="T856" s="379"/>
      <c r="U856" s="379"/>
      <c r="V856" s="379"/>
      <c r="W856" s="379"/>
      <c r="X856" s="379"/>
      <c r="Y856" s="379"/>
      <c r="Z856" s="379"/>
    </row>
    <row r="857" ht="12.75" customHeight="1">
      <c r="A857" s="379"/>
      <c r="B857" s="379"/>
      <c r="C857" s="379"/>
      <c r="D857" s="379"/>
      <c r="E857" s="379"/>
      <c r="F857" s="379"/>
      <c r="G857" s="379"/>
      <c r="H857" s="379"/>
      <c r="I857" s="379"/>
      <c r="J857" s="379"/>
      <c r="K857" s="379"/>
      <c r="L857" s="379"/>
      <c r="M857" s="379"/>
      <c r="N857" s="379"/>
      <c r="O857" s="379"/>
      <c r="P857" s="379"/>
      <c r="Q857" s="379"/>
      <c r="R857" s="379"/>
      <c r="S857" s="379"/>
      <c r="T857" s="379"/>
      <c r="U857" s="379"/>
      <c r="V857" s="379"/>
      <c r="W857" s="379"/>
      <c r="X857" s="379"/>
      <c r="Y857" s="379"/>
      <c r="Z857" s="379"/>
    </row>
    <row r="858" ht="12.75" customHeight="1">
      <c r="A858" s="379"/>
      <c r="B858" s="379"/>
      <c r="C858" s="379"/>
      <c r="D858" s="379"/>
      <c r="E858" s="379"/>
      <c r="F858" s="379"/>
      <c r="G858" s="379"/>
      <c r="H858" s="379"/>
      <c r="I858" s="379"/>
      <c r="J858" s="379"/>
      <c r="K858" s="379"/>
      <c r="L858" s="379"/>
      <c r="M858" s="379"/>
      <c r="N858" s="379"/>
      <c r="O858" s="379"/>
      <c r="P858" s="379"/>
      <c r="Q858" s="379"/>
      <c r="R858" s="379"/>
      <c r="S858" s="379"/>
      <c r="T858" s="379"/>
      <c r="U858" s="379"/>
      <c r="V858" s="379"/>
      <c r="W858" s="379"/>
      <c r="X858" s="379"/>
      <c r="Y858" s="379"/>
      <c r="Z858" s="379"/>
    </row>
    <row r="859" ht="12.75" customHeight="1">
      <c r="A859" s="379"/>
      <c r="B859" s="379"/>
      <c r="C859" s="379"/>
      <c r="D859" s="379"/>
      <c r="E859" s="379"/>
      <c r="F859" s="379"/>
      <c r="G859" s="379"/>
      <c r="H859" s="379"/>
      <c r="I859" s="379"/>
      <c r="J859" s="379"/>
      <c r="K859" s="379"/>
      <c r="L859" s="379"/>
      <c r="M859" s="379"/>
      <c r="N859" s="379"/>
      <c r="O859" s="379"/>
      <c r="P859" s="379"/>
      <c r="Q859" s="379"/>
      <c r="R859" s="379"/>
      <c r="S859" s="379"/>
      <c r="T859" s="379"/>
      <c r="U859" s="379"/>
      <c r="V859" s="379"/>
      <c r="W859" s="379"/>
      <c r="X859" s="379"/>
      <c r="Y859" s="379"/>
      <c r="Z859" s="379"/>
    </row>
    <row r="860" ht="12.75" customHeight="1">
      <c r="A860" s="379"/>
      <c r="B860" s="379"/>
      <c r="C860" s="379"/>
      <c r="D860" s="379"/>
      <c r="E860" s="379"/>
      <c r="F860" s="379"/>
      <c r="G860" s="379"/>
      <c r="H860" s="379"/>
      <c r="I860" s="379"/>
      <c r="J860" s="379"/>
      <c r="K860" s="379"/>
      <c r="L860" s="379"/>
      <c r="M860" s="379"/>
      <c r="N860" s="379"/>
      <c r="O860" s="379"/>
      <c r="P860" s="379"/>
      <c r="Q860" s="379"/>
      <c r="R860" s="379"/>
      <c r="S860" s="379"/>
      <c r="T860" s="379"/>
      <c r="U860" s="379"/>
      <c r="V860" s="379"/>
      <c r="W860" s="379"/>
      <c r="X860" s="379"/>
      <c r="Y860" s="379"/>
      <c r="Z860" s="379"/>
    </row>
    <row r="861" ht="12.75" customHeight="1">
      <c r="A861" s="379"/>
      <c r="B861" s="379"/>
      <c r="C861" s="379"/>
      <c r="D861" s="379"/>
      <c r="E861" s="379"/>
      <c r="F861" s="379"/>
      <c r="G861" s="379"/>
      <c r="H861" s="379"/>
      <c r="I861" s="379"/>
      <c r="J861" s="379"/>
      <c r="K861" s="379"/>
      <c r="L861" s="379"/>
      <c r="M861" s="379"/>
      <c r="N861" s="379"/>
      <c r="O861" s="379"/>
      <c r="P861" s="379"/>
      <c r="Q861" s="379"/>
      <c r="R861" s="379"/>
      <c r="S861" s="379"/>
      <c r="T861" s="379"/>
      <c r="U861" s="379"/>
      <c r="V861" s="379"/>
      <c r="W861" s="379"/>
      <c r="X861" s="379"/>
      <c r="Y861" s="379"/>
      <c r="Z861" s="379"/>
    </row>
    <row r="862" ht="12.75" customHeight="1">
      <c r="A862" s="379"/>
      <c r="B862" s="379"/>
      <c r="C862" s="379"/>
      <c r="D862" s="379"/>
      <c r="E862" s="379"/>
      <c r="F862" s="379"/>
      <c r="G862" s="379"/>
      <c r="H862" s="379"/>
      <c r="I862" s="379"/>
      <c r="J862" s="379"/>
      <c r="K862" s="379"/>
      <c r="L862" s="379"/>
      <c r="M862" s="379"/>
      <c r="N862" s="379"/>
      <c r="O862" s="379"/>
      <c r="P862" s="379"/>
      <c r="Q862" s="379"/>
      <c r="R862" s="379"/>
      <c r="S862" s="379"/>
      <c r="T862" s="379"/>
      <c r="U862" s="379"/>
      <c r="V862" s="379"/>
      <c r="W862" s="379"/>
      <c r="X862" s="379"/>
      <c r="Y862" s="379"/>
      <c r="Z862" s="379"/>
    </row>
    <row r="863" ht="12.75" customHeight="1">
      <c r="A863" s="379"/>
      <c r="B863" s="379"/>
      <c r="C863" s="379"/>
      <c r="D863" s="379"/>
      <c r="E863" s="379"/>
      <c r="F863" s="379"/>
      <c r="G863" s="379"/>
      <c r="H863" s="379"/>
      <c r="I863" s="379"/>
      <c r="J863" s="379"/>
      <c r="K863" s="379"/>
      <c r="L863" s="379"/>
      <c r="M863" s="379"/>
      <c r="N863" s="379"/>
      <c r="O863" s="379"/>
      <c r="P863" s="379"/>
      <c r="Q863" s="379"/>
      <c r="R863" s="379"/>
      <c r="S863" s="379"/>
      <c r="T863" s="379"/>
      <c r="U863" s="379"/>
      <c r="V863" s="379"/>
      <c r="W863" s="379"/>
      <c r="X863" s="379"/>
      <c r="Y863" s="379"/>
      <c r="Z863" s="379"/>
    </row>
    <row r="864" ht="12.75" customHeight="1">
      <c r="A864" s="379"/>
      <c r="B864" s="379"/>
      <c r="C864" s="379"/>
      <c r="D864" s="379"/>
      <c r="E864" s="379"/>
      <c r="F864" s="379"/>
      <c r="G864" s="379"/>
      <c r="H864" s="379"/>
      <c r="I864" s="379"/>
      <c r="J864" s="379"/>
      <c r="K864" s="379"/>
      <c r="L864" s="379"/>
      <c r="M864" s="379"/>
      <c r="N864" s="379"/>
      <c r="O864" s="379"/>
      <c r="P864" s="379"/>
      <c r="Q864" s="379"/>
      <c r="R864" s="379"/>
      <c r="S864" s="379"/>
      <c r="T864" s="379"/>
      <c r="U864" s="379"/>
      <c r="V864" s="379"/>
      <c r="W864" s="379"/>
      <c r="X864" s="379"/>
      <c r="Y864" s="379"/>
      <c r="Z864" s="379"/>
    </row>
    <row r="865" ht="12.75" customHeight="1">
      <c r="A865" s="379"/>
      <c r="B865" s="379"/>
      <c r="C865" s="379"/>
      <c r="D865" s="379"/>
      <c r="E865" s="379"/>
      <c r="F865" s="379"/>
      <c r="G865" s="379"/>
      <c r="H865" s="379"/>
      <c r="I865" s="379"/>
      <c r="J865" s="379"/>
      <c r="K865" s="379"/>
      <c r="L865" s="379"/>
      <c r="M865" s="379"/>
      <c r="N865" s="379"/>
      <c r="O865" s="379"/>
      <c r="P865" s="379"/>
      <c r="Q865" s="379"/>
      <c r="R865" s="379"/>
      <c r="S865" s="379"/>
      <c r="T865" s="379"/>
      <c r="U865" s="379"/>
      <c r="V865" s="379"/>
      <c r="W865" s="379"/>
      <c r="X865" s="379"/>
      <c r="Y865" s="379"/>
      <c r="Z865" s="379"/>
    </row>
    <row r="866" ht="12.75" customHeight="1">
      <c r="A866" s="379"/>
      <c r="B866" s="379"/>
      <c r="C866" s="379"/>
      <c r="D866" s="379"/>
      <c r="E866" s="379"/>
      <c r="F866" s="379"/>
      <c r="G866" s="379"/>
      <c r="H866" s="379"/>
      <c r="I866" s="379"/>
      <c r="J866" s="379"/>
      <c r="K866" s="379"/>
      <c r="L866" s="379"/>
      <c r="M866" s="379"/>
      <c r="N866" s="379"/>
      <c r="O866" s="379"/>
      <c r="P866" s="379"/>
      <c r="Q866" s="379"/>
      <c r="R866" s="379"/>
      <c r="S866" s="379"/>
      <c r="T866" s="379"/>
      <c r="U866" s="379"/>
      <c r="V866" s="379"/>
      <c r="W866" s="379"/>
      <c r="X866" s="379"/>
      <c r="Y866" s="379"/>
      <c r="Z866" s="379"/>
    </row>
    <row r="867" ht="12.75" customHeight="1">
      <c r="A867" s="379"/>
      <c r="B867" s="379"/>
      <c r="C867" s="379"/>
      <c r="D867" s="379"/>
      <c r="E867" s="379"/>
      <c r="F867" s="379"/>
      <c r="G867" s="379"/>
      <c r="H867" s="379"/>
      <c r="I867" s="379"/>
      <c r="J867" s="379"/>
      <c r="K867" s="379"/>
      <c r="L867" s="379"/>
      <c r="M867" s="379"/>
      <c r="N867" s="379"/>
      <c r="O867" s="379"/>
      <c r="P867" s="379"/>
      <c r="Q867" s="379"/>
      <c r="R867" s="379"/>
      <c r="S867" s="379"/>
      <c r="T867" s="379"/>
      <c r="U867" s="379"/>
      <c r="V867" s="379"/>
      <c r="W867" s="379"/>
      <c r="X867" s="379"/>
      <c r="Y867" s="379"/>
      <c r="Z867" s="379"/>
    </row>
    <row r="868" ht="12.75" customHeight="1">
      <c r="A868" s="379"/>
      <c r="B868" s="379"/>
      <c r="C868" s="379"/>
      <c r="D868" s="379"/>
      <c r="E868" s="379"/>
      <c r="F868" s="379"/>
      <c r="G868" s="379"/>
      <c r="H868" s="379"/>
      <c r="I868" s="379"/>
      <c r="J868" s="379"/>
      <c r="K868" s="379"/>
      <c r="L868" s="379"/>
      <c r="M868" s="379"/>
      <c r="N868" s="379"/>
      <c r="O868" s="379"/>
      <c r="P868" s="379"/>
      <c r="Q868" s="379"/>
      <c r="R868" s="379"/>
      <c r="S868" s="379"/>
      <c r="T868" s="379"/>
      <c r="U868" s="379"/>
      <c r="V868" s="379"/>
      <c r="W868" s="379"/>
      <c r="X868" s="379"/>
      <c r="Y868" s="379"/>
      <c r="Z868" s="379"/>
    </row>
    <row r="869" ht="12.75" customHeight="1">
      <c r="A869" s="379"/>
      <c r="B869" s="379"/>
      <c r="C869" s="379"/>
      <c r="D869" s="379"/>
      <c r="E869" s="379"/>
      <c r="F869" s="379"/>
      <c r="G869" s="379"/>
      <c r="H869" s="379"/>
      <c r="I869" s="379"/>
      <c r="J869" s="379"/>
      <c r="K869" s="379"/>
      <c r="L869" s="379"/>
      <c r="M869" s="379"/>
      <c r="N869" s="379"/>
      <c r="O869" s="379"/>
      <c r="P869" s="379"/>
      <c r="Q869" s="379"/>
      <c r="R869" s="379"/>
      <c r="S869" s="379"/>
      <c r="T869" s="379"/>
      <c r="U869" s="379"/>
      <c r="V869" s="379"/>
      <c r="W869" s="379"/>
      <c r="X869" s="379"/>
      <c r="Y869" s="379"/>
      <c r="Z869" s="379"/>
    </row>
    <row r="870" ht="12.75" customHeight="1">
      <c r="A870" s="379"/>
      <c r="B870" s="379"/>
      <c r="C870" s="379"/>
      <c r="D870" s="379"/>
      <c r="E870" s="379"/>
      <c r="F870" s="379"/>
      <c r="G870" s="379"/>
      <c r="H870" s="379"/>
      <c r="I870" s="379"/>
      <c r="J870" s="379"/>
      <c r="K870" s="379"/>
      <c r="L870" s="379"/>
      <c r="M870" s="379"/>
      <c r="N870" s="379"/>
      <c r="O870" s="379"/>
      <c r="P870" s="379"/>
      <c r="Q870" s="379"/>
      <c r="R870" s="379"/>
      <c r="S870" s="379"/>
      <c r="T870" s="379"/>
      <c r="U870" s="379"/>
      <c r="V870" s="379"/>
      <c r="W870" s="379"/>
      <c r="X870" s="379"/>
      <c r="Y870" s="379"/>
      <c r="Z870" s="379"/>
    </row>
    <row r="871" ht="12.75" customHeight="1">
      <c r="A871" s="379"/>
      <c r="B871" s="379"/>
      <c r="C871" s="379"/>
      <c r="D871" s="379"/>
      <c r="E871" s="379"/>
      <c r="F871" s="379"/>
      <c r="G871" s="379"/>
      <c r="H871" s="379"/>
      <c r="I871" s="379"/>
      <c r="J871" s="379"/>
      <c r="K871" s="379"/>
      <c r="L871" s="379"/>
      <c r="M871" s="379"/>
      <c r="N871" s="379"/>
      <c r="O871" s="379"/>
      <c r="P871" s="379"/>
      <c r="Q871" s="379"/>
      <c r="R871" s="379"/>
      <c r="S871" s="379"/>
      <c r="T871" s="379"/>
      <c r="U871" s="379"/>
      <c r="V871" s="379"/>
      <c r="W871" s="379"/>
      <c r="X871" s="379"/>
      <c r="Y871" s="379"/>
      <c r="Z871" s="379"/>
    </row>
    <row r="872" ht="12.75" customHeight="1">
      <c r="A872" s="379"/>
      <c r="B872" s="379"/>
      <c r="C872" s="379"/>
      <c r="D872" s="379"/>
      <c r="E872" s="379"/>
      <c r="F872" s="379"/>
      <c r="G872" s="379"/>
      <c r="H872" s="379"/>
      <c r="I872" s="379"/>
      <c r="J872" s="379"/>
      <c r="K872" s="379"/>
      <c r="L872" s="379"/>
      <c r="M872" s="379"/>
      <c r="N872" s="379"/>
      <c r="O872" s="379"/>
      <c r="P872" s="379"/>
      <c r="Q872" s="379"/>
      <c r="R872" s="379"/>
      <c r="S872" s="379"/>
      <c r="T872" s="379"/>
      <c r="U872" s="379"/>
      <c r="V872" s="379"/>
      <c r="W872" s="379"/>
      <c r="X872" s="379"/>
      <c r="Y872" s="379"/>
      <c r="Z872" s="379"/>
    </row>
    <row r="873" ht="12.75" customHeight="1">
      <c r="A873" s="379"/>
      <c r="B873" s="379"/>
      <c r="C873" s="379"/>
      <c r="D873" s="379"/>
      <c r="E873" s="379"/>
      <c r="F873" s="379"/>
      <c r="G873" s="379"/>
      <c r="H873" s="379"/>
      <c r="I873" s="379"/>
      <c r="J873" s="379"/>
      <c r="K873" s="379"/>
      <c r="L873" s="379"/>
      <c r="M873" s="379"/>
      <c r="N873" s="379"/>
      <c r="O873" s="379"/>
      <c r="P873" s="379"/>
      <c r="Q873" s="379"/>
      <c r="R873" s="379"/>
      <c r="S873" s="379"/>
      <c r="T873" s="379"/>
      <c r="U873" s="379"/>
      <c r="V873" s="379"/>
      <c r="W873" s="379"/>
      <c r="X873" s="379"/>
      <c r="Y873" s="379"/>
      <c r="Z873" s="379"/>
    </row>
    <row r="874" ht="12.75" customHeight="1">
      <c r="A874" s="379"/>
      <c r="B874" s="379"/>
      <c r="C874" s="379"/>
      <c r="D874" s="379"/>
      <c r="E874" s="379"/>
      <c r="F874" s="379"/>
      <c r="G874" s="379"/>
      <c r="H874" s="379"/>
      <c r="I874" s="379"/>
      <c r="J874" s="379"/>
      <c r="K874" s="379"/>
      <c r="L874" s="379"/>
      <c r="M874" s="379"/>
      <c r="N874" s="379"/>
      <c r="O874" s="379"/>
      <c r="P874" s="379"/>
      <c r="Q874" s="379"/>
      <c r="R874" s="379"/>
      <c r="S874" s="379"/>
      <c r="T874" s="379"/>
      <c r="U874" s="379"/>
      <c r="V874" s="379"/>
      <c r="W874" s="379"/>
      <c r="X874" s="379"/>
      <c r="Y874" s="379"/>
      <c r="Z874" s="379"/>
    </row>
    <row r="875" ht="12.75" customHeight="1">
      <c r="A875" s="379"/>
      <c r="B875" s="379"/>
      <c r="C875" s="379"/>
      <c r="D875" s="379"/>
      <c r="E875" s="379"/>
      <c r="F875" s="379"/>
      <c r="G875" s="379"/>
      <c r="H875" s="379"/>
      <c r="I875" s="379"/>
      <c r="J875" s="379"/>
      <c r="K875" s="379"/>
      <c r="L875" s="379"/>
      <c r="M875" s="379"/>
      <c r="N875" s="379"/>
      <c r="O875" s="379"/>
      <c r="P875" s="379"/>
      <c r="Q875" s="379"/>
      <c r="R875" s="379"/>
      <c r="S875" s="379"/>
      <c r="T875" s="379"/>
      <c r="U875" s="379"/>
      <c r="V875" s="379"/>
      <c r="W875" s="379"/>
      <c r="X875" s="379"/>
      <c r="Y875" s="379"/>
      <c r="Z875" s="379"/>
    </row>
    <row r="876" ht="12.75" customHeight="1">
      <c r="A876" s="379"/>
      <c r="B876" s="379"/>
      <c r="C876" s="379"/>
      <c r="D876" s="379"/>
      <c r="E876" s="379"/>
      <c r="F876" s="379"/>
      <c r="G876" s="379"/>
      <c r="H876" s="379"/>
      <c r="I876" s="379"/>
      <c r="J876" s="379"/>
      <c r="K876" s="379"/>
      <c r="L876" s="379"/>
      <c r="M876" s="379"/>
      <c r="N876" s="379"/>
      <c r="O876" s="379"/>
      <c r="P876" s="379"/>
      <c r="Q876" s="379"/>
      <c r="R876" s="379"/>
      <c r="S876" s="379"/>
      <c r="T876" s="379"/>
      <c r="U876" s="379"/>
      <c r="V876" s="379"/>
      <c r="W876" s="379"/>
      <c r="X876" s="379"/>
      <c r="Y876" s="379"/>
      <c r="Z876" s="379"/>
    </row>
    <row r="877" ht="12.75" customHeight="1">
      <c r="A877" s="379"/>
      <c r="B877" s="379"/>
      <c r="C877" s="379"/>
      <c r="D877" s="379"/>
      <c r="E877" s="379"/>
      <c r="F877" s="379"/>
      <c r="G877" s="379"/>
      <c r="H877" s="379"/>
      <c r="I877" s="379"/>
      <c r="J877" s="379"/>
      <c r="K877" s="379"/>
      <c r="L877" s="379"/>
      <c r="M877" s="379"/>
      <c r="N877" s="379"/>
      <c r="O877" s="379"/>
      <c r="P877" s="379"/>
      <c r="Q877" s="379"/>
      <c r="R877" s="379"/>
      <c r="S877" s="379"/>
      <c r="T877" s="379"/>
      <c r="U877" s="379"/>
      <c r="V877" s="379"/>
      <c r="W877" s="379"/>
      <c r="X877" s="379"/>
      <c r="Y877" s="379"/>
      <c r="Z877" s="379"/>
    </row>
    <row r="878" ht="12.75" customHeight="1">
      <c r="A878" s="379"/>
      <c r="B878" s="379"/>
      <c r="C878" s="379"/>
      <c r="D878" s="379"/>
      <c r="E878" s="379"/>
      <c r="F878" s="379"/>
      <c r="G878" s="379"/>
      <c r="H878" s="379"/>
      <c r="I878" s="379"/>
      <c r="J878" s="379"/>
      <c r="K878" s="379"/>
      <c r="L878" s="379"/>
      <c r="M878" s="379"/>
      <c r="N878" s="379"/>
      <c r="O878" s="379"/>
      <c r="P878" s="379"/>
      <c r="Q878" s="379"/>
      <c r="R878" s="379"/>
      <c r="S878" s="379"/>
      <c r="T878" s="379"/>
      <c r="U878" s="379"/>
      <c r="V878" s="379"/>
      <c r="W878" s="379"/>
      <c r="X878" s="379"/>
      <c r="Y878" s="379"/>
      <c r="Z878" s="379"/>
    </row>
    <row r="879" ht="12.75" customHeight="1">
      <c r="A879" s="379"/>
      <c r="B879" s="379"/>
      <c r="C879" s="379"/>
      <c r="D879" s="379"/>
      <c r="E879" s="379"/>
      <c r="F879" s="379"/>
      <c r="G879" s="379"/>
      <c r="H879" s="379"/>
      <c r="I879" s="379"/>
      <c r="J879" s="379"/>
      <c r="K879" s="379"/>
      <c r="L879" s="379"/>
      <c r="M879" s="379"/>
      <c r="N879" s="379"/>
      <c r="O879" s="379"/>
      <c r="P879" s="379"/>
      <c r="Q879" s="379"/>
      <c r="R879" s="379"/>
      <c r="S879" s="379"/>
      <c r="T879" s="379"/>
      <c r="U879" s="379"/>
      <c r="V879" s="379"/>
      <c r="W879" s="379"/>
      <c r="X879" s="379"/>
      <c r="Y879" s="379"/>
      <c r="Z879" s="379"/>
    </row>
    <row r="880" ht="12.75" customHeight="1">
      <c r="A880" s="379"/>
      <c r="B880" s="379"/>
      <c r="C880" s="379"/>
      <c r="D880" s="379"/>
      <c r="E880" s="379"/>
      <c r="F880" s="379"/>
      <c r="G880" s="379"/>
      <c r="H880" s="379"/>
      <c r="I880" s="379"/>
      <c r="J880" s="379"/>
      <c r="K880" s="379"/>
      <c r="L880" s="379"/>
      <c r="M880" s="379"/>
      <c r="N880" s="379"/>
      <c r="O880" s="379"/>
      <c r="P880" s="379"/>
      <c r="Q880" s="379"/>
      <c r="R880" s="379"/>
      <c r="S880" s="379"/>
      <c r="T880" s="379"/>
      <c r="U880" s="379"/>
      <c r="V880" s="379"/>
      <c r="W880" s="379"/>
      <c r="X880" s="379"/>
      <c r="Y880" s="379"/>
      <c r="Z880" s="379"/>
    </row>
    <row r="881" ht="12.75" customHeight="1">
      <c r="A881" s="379"/>
      <c r="B881" s="379"/>
      <c r="C881" s="379"/>
      <c r="D881" s="379"/>
      <c r="E881" s="379"/>
      <c r="F881" s="379"/>
      <c r="G881" s="379"/>
      <c r="H881" s="379"/>
      <c r="I881" s="379"/>
      <c r="J881" s="379"/>
      <c r="K881" s="379"/>
      <c r="L881" s="379"/>
      <c r="M881" s="379"/>
      <c r="N881" s="379"/>
      <c r="O881" s="379"/>
      <c r="P881" s="379"/>
      <c r="Q881" s="379"/>
      <c r="R881" s="379"/>
      <c r="S881" s="379"/>
      <c r="T881" s="379"/>
      <c r="U881" s="379"/>
      <c r="V881" s="379"/>
      <c r="W881" s="379"/>
      <c r="X881" s="379"/>
      <c r="Y881" s="379"/>
      <c r="Z881" s="379"/>
    </row>
    <row r="882" ht="12.75" customHeight="1">
      <c r="A882" s="379"/>
      <c r="B882" s="379"/>
      <c r="C882" s="379"/>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row>
    <row r="883" ht="12.75" customHeight="1">
      <c r="A883" s="379"/>
      <c r="B883" s="379"/>
      <c r="C883" s="379"/>
      <c r="D883" s="379"/>
      <c r="E883" s="379"/>
      <c r="F883" s="379"/>
      <c r="G883" s="379"/>
      <c r="H883" s="379"/>
      <c r="I883" s="379"/>
      <c r="J883" s="379"/>
      <c r="K883" s="379"/>
      <c r="L883" s="379"/>
      <c r="M883" s="379"/>
      <c r="N883" s="379"/>
      <c r="O883" s="379"/>
      <c r="P883" s="379"/>
      <c r="Q883" s="379"/>
      <c r="R883" s="379"/>
      <c r="S883" s="379"/>
      <c r="T883" s="379"/>
      <c r="U883" s="379"/>
      <c r="V883" s="379"/>
      <c r="W883" s="379"/>
      <c r="X883" s="379"/>
      <c r="Y883" s="379"/>
      <c r="Z883" s="379"/>
    </row>
    <row r="884" ht="12.75" customHeight="1">
      <c r="A884" s="379"/>
      <c r="B884" s="379"/>
      <c r="C884" s="379"/>
      <c r="D884" s="379"/>
      <c r="E884" s="379"/>
      <c r="F884" s="379"/>
      <c r="G884" s="379"/>
      <c r="H884" s="379"/>
      <c r="I884" s="379"/>
      <c r="J884" s="379"/>
      <c r="K884" s="379"/>
      <c r="L884" s="379"/>
      <c r="M884" s="379"/>
      <c r="N884" s="379"/>
      <c r="O884" s="379"/>
      <c r="P884" s="379"/>
      <c r="Q884" s="379"/>
      <c r="R884" s="379"/>
      <c r="S884" s="379"/>
      <c r="T884" s="379"/>
      <c r="U884" s="379"/>
      <c r="V884" s="379"/>
      <c r="W884" s="379"/>
      <c r="X884" s="379"/>
      <c r="Y884" s="379"/>
      <c r="Z884" s="379"/>
    </row>
    <row r="885" ht="12.75" customHeight="1">
      <c r="A885" s="379"/>
      <c r="B885" s="379"/>
      <c r="C885" s="379"/>
      <c r="D885" s="379"/>
      <c r="E885" s="379"/>
      <c r="F885" s="379"/>
      <c r="G885" s="379"/>
      <c r="H885" s="379"/>
      <c r="I885" s="379"/>
      <c r="J885" s="379"/>
      <c r="K885" s="379"/>
      <c r="L885" s="379"/>
      <c r="M885" s="379"/>
      <c r="N885" s="379"/>
      <c r="O885" s="379"/>
      <c r="P885" s="379"/>
      <c r="Q885" s="379"/>
      <c r="R885" s="379"/>
      <c r="S885" s="379"/>
      <c r="T885" s="379"/>
      <c r="U885" s="379"/>
      <c r="V885" s="379"/>
      <c r="W885" s="379"/>
      <c r="X885" s="379"/>
      <c r="Y885" s="379"/>
      <c r="Z885" s="379"/>
    </row>
    <row r="886" ht="12.75" customHeight="1">
      <c r="A886" s="379"/>
      <c r="B886" s="379"/>
      <c r="C886" s="379"/>
      <c r="D886" s="379"/>
      <c r="E886" s="379"/>
      <c r="F886" s="379"/>
      <c r="G886" s="379"/>
      <c r="H886" s="379"/>
      <c r="I886" s="379"/>
      <c r="J886" s="379"/>
      <c r="K886" s="379"/>
      <c r="L886" s="379"/>
      <c r="M886" s="379"/>
      <c r="N886" s="379"/>
      <c r="O886" s="379"/>
      <c r="P886" s="379"/>
      <c r="Q886" s="379"/>
      <c r="R886" s="379"/>
      <c r="S886" s="379"/>
      <c r="T886" s="379"/>
      <c r="U886" s="379"/>
      <c r="V886" s="379"/>
      <c r="W886" s="379"/>
      <c r="X886" s="379"/>
      <c r="Y886" s="379"/>
      <c r="Z886" s="379"/>
    </row>
    <row r="887" ht="12.75" customHeight="1">
      <c r="A887" s="379"/>
      <c r="B887" s="379"/>
      <c r="C887" s="379"/>
      <c r="D887" s="379"/>
      <c r="E887" s="379"/>
      <c r="F887" s="379"/>
      <c r="G887" s="379"/>
      <c r="H887" s="379"/>
      <c r="I887" s="379"/>
      <c r="J887" s="379"/>
      <c r="K887" s="379"/>
      <c r="L887" s="379"/>
      <c r="M887" s="379"/>
      <c r="N887" s="379"/>
      <c r="O887" s="379"/>
      <c r="P887" s="379"/>
      <c r="Q887" s="379"/>
      <c r="R887" s="379"/>
      <c r="S887" s="379"/>
      <c r="T887" s="379"/>
      <c r="U887" s="379"/>
      <c r="V887" s="379"/>
      <c r="W887" s="379"/>
      <c r="X887" s="379"/>
      <c r="Y887" s="379"/>
      <c r="Z887" s="379"/>
    </row>
    <row r="888" ht="12.75" customHeight="1">
      <c r="A888" s="379"/>
      <c r="B888" s="379"/>
      <c r="C888" s="379"/>
      <c r="D888" s="379"/>
      <c r="E888" s="379"/>
      <c r="F888" s="379"/>
      <c r="G888" s="379"/>
      <c r="H888" s="379"/>
      <c r="I888" s="379"/>
      <c r="J888" s="379"/>
      <c r="K888" s="379"/>
      <c r="L888" s="379"/>
      <c r="M888" s="379"/>
      <c r="N888" s="379"/>
      <c r="O888" s="379"/>
      <c r="P888" s="379"/>
      <c r="Q888" s="379"/>
      <c r="R888" s="379"/>
      <c r="S888" s="379"/>
      <c r="T888" s="379"/>
      <c r="U888" s="379"/>
      <c r="V888" s="379"/>
      <c r="W888" s="379"/>
      <c r="X888" s="379"/>
      <c r="Y888" s="379"/>
      <c r="Z888" s="379"/>
    </row>
    <row r="889" ht="12.75" customHeight="1">
      <c r="A889" s="379"/>
      <c r="B889" s="379"/>
      <c r="C889" s="379"/>
      <c r="D889" s="379"/>
      <c r="E889" s="379"/>
      <c r="F889" s="379"/>
      <c r="G889" s="379"/>
      <c r="H889" s="379"/>
      <c r="I889" s="379"/>
      <c r="J889" s="379"/>
      <c r="K889" s="379"/>
      <c r="L889" s="379"/>
      <c r="M889" s="379"/>
      <c r="N889" s="379"/>
      <c r="O889" s="379"/>
      <c r="P889" s="379"/>
      <c r="Q889" s="379"/>
      <c r="R889" s="379"/>
      <c r="S889" s="379"/>
      <c r="T889" s="379"/>
      <c r="U889" s="379"/>
      <c r="V889" s="379"/>
      <c r="W889" s="379"/>
      <c r="X889" s="379"/>
      <c r="Y889" s="379"/>
      <c r="Z889" s="379"/>
    </row>
    <row r="890" ht="12.75" customHeight="1">
      <c r="A890" s="379"/>
      <c r="B890" s="379"/>
      <c r="C890" s="379"/>
      <c r="D890" s="379"/>
      <c r="E890" s="379"/>
      <c r="F890" s="379"/>
      <c r="G890" s="379"/>
      <c r="H890" s="379"/>
      <c r="I890" s="379"/>
      <c r="J890" s="379"/>
      <c r="K890" s="379"/>
      <c r="L890" s="379"/>
      <c r="M890" s="379"/>
      <c r="N890" s="379"/>
      <c r="O890" s="379"/>
      <c r="P890" s="379"/>
      <c r="Q890" s="379"/>
      <c r="R890" s="379"/>
      <c r="S890" s="379"/>
      <c r="T890" s="379"/>
      <c r="U890" s="379"/>
      <c r="V890" s="379"/>
      <c r="W890" s="379"/>
      <c r="X890" s="379"/>
      <c r="Y890" s="379"/>
      <c r="Z890" s="379"/>
    </row>
    <row r="891" ht="12.75" customHeight="1">
      <c r="A891" s="379"/>
      <c r="B891" s="379"/>
      <c r="C891" s="379"/>
      <c r="D891" s="379"/>
      <c r="E891" s="379"/>
      <c r="F891" s="379"/>
      <c r="G891" s="379"/>
      <c r="H891" s="379"/>
      <c r="I891" s="379"/>
      <c r="J891" s="379"/>
      <c r="K891" s="379"/>
      <c r="L891" s="379"/>
      <c r="M891" s="379"/>
      <c r="N891" s="379"/>
      <c r="O891" s="379"/>
      <c r="P891" s="379"/>
      <c r="Q891" s="379"/>
      <c r="R891" s="379"/>
      <c r="S891" s="379"/>
      <c r="T891" s="379"/>
      <c r="U891" s="379"/>
      <c r="V891" s="379"/>
      <c r="W891" s="379"/>
      <c r="X891" s="379"/>
      <c r="Y891" s="379"/>
      <c r="Z891" s="379"/>
    </row>
    <row r="892" ht="12.75" customHeight="1">
      <c r="A892" s="379"/>
      <c r="B892" s="379"/>
      <c r="C892" s="379"/>
      <c r="D892" s="379"/>
      <c r="E892" s="379"/>
      <c r="F892" s="379"/>
      <c r="G892" s="379"/>
      <c r="H892" s="379"/>
      <c r="I892" s="379"/>
      <c r="J892" s="379"/>
      <c r="K892" s="379"/>
      <c r="L892" s="379"/>
      <c r="M892" s="379"/>
      <c r="N892" s="379"/>
      <c r="O892" s="379"/>
      <c r="P892" s="379"/>
      <c r="Q892" s="379"/>
      <c r="R892" s="379"/>
      <c r="S892" s="379"/>
      <c r="T892" s="379"/>
      <c r="U892" s="379"/>
      <c r="V892" s="379"/>
      <c r="W892" s="379"/>
      <c r="X892" s="379"/>
      <c r="Y892" s="379"/>
      <c r="Z892" s="379"/>
    </row>
    <row r="893" ht="12.75" customHeight="1">
      <c r="A893" s="379"/>
      <c r="B893" s="379"/>
      <c r="C893" s="379"/>
      <c r="D893" s="379"/>
      <c r="E893" s="379"/>
      <c r="F893" s="379"/>
      <c r="G893" s="379"/>
      <c r="H893" s="379"/>
      <c r="I893" s="379"/>
      <c r="J893" s="379"/>
      <c r="K893" s="379"/>
      <c r="L893" s="379"/>
      <c r="M893" s="379"/>
      <c r="N893" s="379"/>
      <c r="O893" s="379"/>
      <c r="P893" s="379"/>
      <c r="Q893" s="379"/>
      <c r="R893" s="379"/>
      <c r="S893" s="379"/>
      <c r="T893" s="379"/>
      <c r="U893" s="379"/>
      <c r="V893" s="379"/>
      <c r="W893" s="379"/>
      <c r="X893" s="379"/>
      <c r="Y893" s="379"/>
      <c r="Z893" s="379"/>
    </row>
    <row r="894" ht="12.75" customHeight="1">
      <c r="A894" s="379"/>
      <c r="B894" s="379"/>
      <c r="C894" s="379"/>
      <c r="D894" s="379"/>
      <c r="E894" s="379"/>
      <c r="F894" s="379"/>
      <c r="G894" s="379"/>
      <c r="H894" s="379"/>
      <c r="I894" s="379"/>
      <c r="J894" s="379"/>
      <c r="K894" s="379"/>
      <c r="L894" s="379"/>
      <c r="M894" s="379"/>
      <c r="N894" s="379"/>
      <c r="O894" s="379"/>
      <c r="P894" s="379"/>
      <c r="Q894" s="379"/>
      <c r="R894" s="379"/>
      <c r="S894" s="379"/>
      <c r="T894" s="379"/>
      <c r="U894" s="379"/>
      <c r="V894" s="379"/>
      <c r="W894" s="379"/>
      <c r="X894" s="379"/>
      <c r="Y894" s="379"/>
      <c r="Z894" s="379"/>
    </row>
    <row r="895" ht="12.75" customHeight="1">
      <c r="A895" s="379"/>
      <c r="B895" s="379"/>
      <c r="C895" s="379"/>
      <c r="D895" s="379"/>
      <c r="E895" s="379"/>
      <c r="F895" s="379"/>
      <c r="G895" s="379"/>
      <c r="H895" s="379"/>
      <c r="I895" s="379"/>
      <c r="J895" s="379"/>
      <c r="K895" s="379"/>
      <c r="L895" s="379"/>
      <c r="M895" s="379"/>
      <c r="N895" s="379"/>
      <c r="O895" s="379"/>
      <c r="P895" s="379"/>
      <c r="Q895" s="379"/>
      <c r="R895" s="379"/>
      <c r="S895" s="379"/>
      <c r="T895" s="379"/>
      <c r="U895" s="379"/>
      <c r="V895" s="379"/>
      <c r="W895" s="379"/>
      <c r="X895" s="379"/>
      <c r="Y895" s="379"/>
      <c r="Z895" s="379"/>
    </row>
    <row r="896" ht="12.75" customHeight="1">
      <c r="A896" s="379"/>
      <c r="B896" s="379"/>
      <c r="C896" s="379"/>
      <c r="D896" s="379"/>
      <c r="E896" s="379"/>
      <c r="F896" s="379"/>
      <c r="G896" s="379"/>
      <c r="H896" s="379"/>
      <c r="I896" s="379"/>
      <c r="J896" s="379"/>
      <c r="K896" s="379"/>
      <c r="L896" s="379"/>
      <c r="M896" s="379"/>
      <c r="N896" s="379"/>
      <c r="O896" s="379"/>
      <c r="P896" s="379"/>
      <c r="Q896" s="379"/>
      <c r="R896" s="379"/>
      <c r="S896" s="379"/>
      <c r="T896" s="379"/>
      <c r="U896" s="379"/>
      <c r="V896" s="379"/>
      <c r="W896" s="379"/>
      <c r="X896" s="379"/>
      <c r="Y896" s="379"/>
      <c r="Z896" s="379"/>
    </row>
    <row r="897" ht="12.75" customHeight="1">
      <c r="A897" s="379"/>
      <c r="B897" s="379"/>
      <c r="C897" s="379"/>
      <c r="D897" s="379"/>
      <c r="E897" s="379"/>
      <c r="F897" s="379"/>
      <c r="G897" s="379"/>
      <c r="H897" s="379"/>
      <c r="I897" s="379"/>
      <c r="J897" s="379"/>
      <c r="K897" s="379"/>
      <c r="L897" s="379"/>
      <c r="M897" s="379"/>
      <c r="N897" s="379"/>
      <c r="O897" s="379"/>
      <c r="P897" s="379"/>
      <c r="Q897" s="379"/>
      <c r="R897" s="379"/>
      <c r="S897" s="379"/>
      <c r="T897" s="379"/>
      <c r="U897" s="379"/>
      <c r="V897" s="379"/>
      <c r="W897" s="379"/>
      <c r="X897" s="379"/>
      <c r="Y897" s="379"/>
      <c r="Z897" s="379"/>
    </row>
    <row r="898" ht="12.75" customHeight="1">
      <c r="A898" s="379"/>
      <c r="B898" s="379"/>
      <c r="C898" s="379"/>
      <c r="D898" s="379"/>
      <c r="E898" s="379"/>
      <c r="F898" s="379"/>
      <c r="G898" s="379"/>
      <c r="H898" s="379"/>
      <c r="I898" s="379"/>
      <c r="J898" s="379"/>
      <c r="K898" s="379"/>
      <c r="L898" s="379"/>
      <c r="M898" s="379"/>
      <c r="N898" s="379"/>
      <c r="O898" s="379"/>
      <c r="P898" s="379"/>
      <c r="Q898" s="379"/>
      <c r="R898" s="379"/>
      <c r="S898" s="379"/>
      <c r="T898" s="379"/>
      <c r="U898" s="379"/>
      <c r="V898" s="379"/>
      <c r="W898" s="379"/>
      <c r="X898" s="379"/>
      <c r="Y898" s="379"/>
      <c r="Z898" s="379"/>
    </row>
    <row r="899" ht="12.75" customHeight="1">
      <c r="A899" s="379"/>
      <c r="B899" s="379"/>
      <c r="C899" s="379"/>
      <c r="D899" s="379"/>
      <c r="E899" s="379"/>
      <c r="F899" s="379"/>
      <c r="G899" s="379"/>
      <c r="H899" s="379"/>
      <c r="I899" s="379"/>
      <c r="J899" s="379"/>
      <c r="K899" s="379"/>
      <c r="L899" s="379"/>
      <c r="M899" s="379"/>
      <c r="N899" s="379"/>
      <c r="O899" s="379"/>
      <c r="P899" s="379"/>
      <c r="Q899" s="379"/>
      <c r="R899" s="379"/>
      <c r="S899" s="379"/>
      <c r="T899" s="379"/>
      <c r="U899" s="379"/>
      <c r="V899" s="379"/>
      <c r="W899" s="379"/>
      <c r="X899" s="379"/>
      <c r="Y899" s="379"/>
      <c r="Z899" s="379"/>
    </row>
    <row r="900" ht="12.75" customHeight="1">
      <c r="A900" s="379"/>
      <c r="B900" s="379"/>
      <c r="C900" s="379"/>
      <c r="D900" s="379"/>
      <c r="E900" s="379"/>
      <c r="F900" s="379"/>
      <c r="G900" s="379"/>
      <c r="H900" s="379"/>
      <c r="I900" s="379"/>
      <c r="J900" s="379"/>
      <c r="K900" s="379"/>
      <c r="L900" s="379"/>
      <c r="M900" s="379"/>
      <c r="N900" s="379"/>
      <c r="O900" s="379"/>
      <c r="P900" s="379"/>
      <c r="Q900" s="379"/>
      <c r="R900" s="379"/>
      <c r="S900" s="379"/>
      <c r="T900" s="379"/>
      <c r="U900" s="379"/>
      <c r="V900" s="379"/>
      <c r="W900" s="379"/>
      <c r="X900" s="379"/>
      <c r="Y900" s="379"/>
      <c r="Z900" s="379"/>
    </row>
    <row r="901" ht="12.75" customHeight="1">
      <c r="A901" s="379"/>
      <c r="B901" s="379"/>
      <c r="C901" s="379"/>
      <c r="D901" s="379"/>
      <c r="E901" s="379"/>
      <c r="F901" s="379"/>
      <c r="G901" s="379"/>
      <c r="H901" s="379"/>
      <c r="I901" s="379"/>
      <c r="J901" s="379"/>
      <c r="K901" s="379"/>
      <c r="L901" s="379"/>
      <c r="M901" s="379"/>
      <c r="N901" s="379"/>
      <c r="O901" s="379"/>
      <c r="P901" s="379"/>
      <c r="Q901" s="379"/>
      <c r="R901" s="379"/>
      <c r="S901" s="379"/>
      <c r="T901" s="379"/>
      <c r="U901" s="379"/>
      <c r="V901" s="379"/>
      <c r="W901" s="379"/>
      <c r="X901" s="379"/>
      <c r="Y901" s="379"/>
      <c r="Z901" s="379"/>
    </row>
    <row r="902" ht="12.75" customHeight="1">
      <c r="A902" s="379"/>
      <c r="B902" s="379"/>
      <c r="C902" s="379"/>
      <c r="D902" s="379"/>
      <c r="E902" s="379"/>
      <c r="F902" s="379"/>
      <c r="G902" s="379"/>
      <c r="H902" s="379"/>
      <c r="I902" s="379"/>
      <c r="J902" s="379"/>
      <c r="K902" s="379"/>
      <c r="L902" s="379"/>
      <c r="M902" s="379"/>
      <c r="N902" s="379"/>
      <c r="O902" s="379"/>
      <c r="P902" s="379"/>
      <c r="Q902" s="379"/>
      <c r="R902" s="379"/>
      <c r="S902" s="379"/>
      <c r="T902" s="379"/>
      <c r="U902" s="379"/>
      <c r="V902" s="379"/>
      <c r="W902" s="379"/>
      <c r="X902" s="379"/>
      <c r="Y902" s="379"/>
      <c r="Z902" s="379"/>
    </row>
    <row r="903" ht="12.75" customHeight="1">
      <c r="A903" s="379"/>
      <c r="B903" s="379"/>
      <c r="C903" s="379"/>
      <c r="D903" s="379"/>
      <c r="E903" s="379"/>
      <c r="F903" s="379"/>
      <c r="G903" s="379"/>
      <c r="H903" s="379"/>
      <c r="I903" s="379"/>
      <c r="J903" s="379"/>
      <c r="K903" s="379"/>
      <c r="L903" s="379"/>
      <c r="M903" s="379"/>
      <c r="N903" s="379"/>
      <c r="O903" s="379"/>
      <c r="P903" s="379"/>
      <c r="Q903" s="379"/>
      <c r="R903" s="379"/>
      <c r="S903" s="379"/>
      <c r="T903" s="379"/>
      <c r="U903" s="379"/>
      <c r="V903" s="379"/>
      <c r="W903" s="379"/>
      <c r="X903" s="379"/>
      <c r="Y903" s="379"/>
      <c r="Z903" s="379"/>
    </row>
    <row r="904" ht="12.75" customHeight="1">
      <c r="A904" s="379"/>
      <c r="B904" s="379"/>
      <c r="C904" s="379"/>
      <c r="D904" s="379"/>
      <c r="E904" s="379"/>
      <c r="F904" s="379"/>
      <c r="G904" s="379"/>
      <c r="H904" s="379"/>
      <c r="I904" s="379"/>
      <c r="J904" s="379"/>
      <c r="K904" s="379"/>
      <c r="L904" s="379"/>
      <c r="M904" s="379"/>
      <c r="N904" s="379"/>
      <c r="O904" s="379"/>
      <c r="P904" s="379"/>
      <c r="Q904" s="379"/>
      <c r="R904" s="379"/>
      <c r="S904" s="379"/>
      <c r="T904" s="379"/>
      <c r="U904" s="379"/>
      <c r="V904" s="379"/>
      <c r="W904" s="379"/>
      <c r="X904" s="379"/>
      <c r="Y904" s="379"/>
      <c r="Z904" s="379"/>
    </row>
    <row r="905" ht="12.75" customHeight="1">
      <c r="A905" s="379"/>
      <c r="B905" s="379"/>
      <c r="C905" s="379"/>
      <c r="D905" s="379"/>
      <c r="E905" s="379"/>
      <c r="F905" s="379"/>
      <c r="G905" s="379"/>
      <c r="H905" s="379"/>
      <c r="I905" s="379"/>
      <c r="J905" s="379"/>
      <c r="K905" s="379"/>
      <c r="L905" s="379"/>
      <c r="M905" s="379"/>
      <c r="N905" s="379"/>
      <c r="O905" s="379"/>
      <c r="P905" s="379"/>
      <c r="Q905" s="379"/>
      <c r="R905" s="379"/>
      <c r="S905" s="379"/>
      <c r="T905" s="379"/>
      <c r="U905" s="379"/>
      <c r="V905" s="379"/>
      <c r="W905" s="379"/>
      <c r="X905" s="379"/>
      <c r="Y905" s="379"/>
      <c r="Z905" s="379"/>
    </row>
    <row r="906" ht="12.75" customHeight="1">
      <c r="A906" s="379"/>
      <c r="B906" s="379"/>
      <c r="C906" s="379"/>
      <c r="D906" s="379"/>
      <c r="E906" s="379"/>
      <c r="F906" s="379"/>
      <c r="G906" s="379"/>
      <c r="H906" s="379"/>
      <c r="I906" s="379"/>
      <c r="J906" s="379"/>
      <c r="K906" s="379"/>
      <c r="L906" s="379"/>
      <c r="M906" s="379"/>
      <c r="N906" s="379"/>
      <c r="O906" s="379"/>
      <c r="P906" s="379"/>
      <c r="Q906" s="379"/>
      <c r="R906" s="379"/>
      <c r="S906" s="379"/>
      <c r="T906" s="379"/>
      <c r="U906" s="379"/>
      <c r="V906" s="379"/>
      <c r="W906" s="379"/>
      <c r="X906" s="379"/>
      <c r="Y906" s="379"/>
      <c r="Z906" s="379"/>
    </row>
    <row r="907" ht="12.75" customHeight="1">
      <c r="A907" s="379"/>
      <c r="B907" s="379"/>
      <c r="C907" s="379"/>
      <c r="D907" s="379"/>
      <c r="E907" s="379"/>
      <c r="F907" s="379"/>
      <c r="G907" s="379"/>
      <c r="H907" s="379"/>
      <c r="I907" s="379"/>
      <c r="J907" s="379"/>
      <c r="K907" s="379"/>
      <c r="L907" s="379"/>
      <c r="M907" s="379"/>
      <c r="N907" s="379"/>
      <c r="O907" s="379"/>
      <c r="P907" s="379"/>
      <c r="Q907" s="379"/>
      <c r="R907" s="379"/>
      <c r="S907" s="379"/>
      <c r="T907" s="379"/>
      <c r="U907" s="379"/>
      <c r="V907" s="379"/>
      <c r="W907" s="379"/>
      <c r="X907" s="379"/>
      <c r="Y907" s="379"/>
      <c r="Z907" s="379"/>
    </row>
    <row r="908" ht="12.75" customHeight="1">
      <c r="A908" s="379"/>
      <c r="B908" s="379"/>
      <c r="C908" s="379"/>
      <c r="D908" s="379"/>
      <c r="E908" s="379"/>
      <c r="F908" s="379"/>
      <c r="G908" s="379"/>
      <c r="H908" s="379"/>
      <c r="I908" s="379"/>
      <c r="J908" s="379"/>
      <c r="K908" s="379"/>
      <c r="L908" s="379"/>
      <c r="M908" s="379"/>
      <c r="N908" s="379"/>
      <c r="O908" s="379"/>
      <c r="P908" s="379"/>
      <c r="Q908" s="379"/>
      <c r="R908" s="379"/>
      <c r="S908" s="379"/>
      <c r="T908" s="379"/>
      <c r="U908" s="379"/>
      <c r="V908" s="379"/>
      <c r="W908" s="379"/>
      <c r="X908" s="379"/>
      <c r="Y908" s="379"/>
      <c r="Z908" s="379"/>
    </row>
    <row r="909" ht="12.75" customHeight="1">
      <c r="A909" s="379"/>
      <c r="B909" s="379"/>
      <c r="C909" s="379"/>
      <c r="D909" s="379"/>
      <c r="E909" s="379"/>
      <c r="F909" s="379"/>
      <c r="G909" s="379"/>
      <c r="H909" s="379"/>
      <c r="I909" s="379"/>
      <c r="J909" s="379"/>
      <c r="K909" s="379"/>
      <c r="L909" s="379"/>
      <c r="M909" s="379"/>
      <c r="N909" s="379"/>
      <c r="O909" s="379"/>
      <c r="P909" s="379"/>
      <c r="Q909" s="379"/>
      <c r="R909" s="379"/>
      <c r="S909" s="379"/>
      <c r="T909" s="379"/>
      <c r="U909" s="379"/>
      <c r="V909" s="379"/>
      <c r="W909" s="379"/>
      <c r="X909" s="379"/>
      <c r="Y909" s="379"/>
      <c r="Z909" s="379"/>
    </row>
    <row r="910" ht="12.75" customHeight="1">
      <c r="A910" s="379"/>
      <c r="B910" s="379"/>
      <c r="C910" s="379"/>
      <c r="D910" s="379"/>
      <c r="E910" s="379"/>
      <c r="F910" s="379"/>
      <c r="G910" s="379"/>
      <c r="H910" s="379"/>
      <c r="I910" s="379"/>
      <c r="J910" s="379"/>
      <c r="K910" s="379"/>
      <c r="L910" s="379"/>
      <c r="M910" s="379"/>
      <c r="N910" s="379"/>
      <c r="O910" s="379"/>
      <c r="P910" s="379"/>
      <c r="Q910" s="379"/>
      <c r="R910" s="379"/>
      <c r="S910" s="379"/>
      <c r="T910" s="379"/>
      <c r="U910" s="379"/>
      <c r="V910" s="379"/>
      <c r="W910" s="379"/>
      <c r="X910" s="379"/>
      <c r="Y910" s="379"/>
      <c r="Z910" s="379"/>
    </row>
    <row r="911" ht="12.75" customHeight="1">
      <c r="A911" s="379"/>
      <c r="B911" s="379"/>
      <c r="C911" s="379"/>
      <c r="D911" s="379"/>
      <c r="E911" s="379"/>
      <c r="F911" s="379"/>
      <c r="G911" s="379"/>
      <c r="H911" s="379"/>
      <c r="I911" s="379"/>
      <c r="J911" s="379"/>
      <c r="K911" s="379"/>
      <c r="L911" s="379"/>
      <c r="M911" s="379"/>
      <c r="N911" s="379"/>
      <c r="O911" s="379"/>
      <c r="P911" s="379"/>
      <c r="Q911" s="379"/>
      <c r="R911" s="379"/>
      <c r="S911" s="379"/>
      <c r="T911" s="379"/>
      <c r="U911" s="379"/>
      <c r="V911" s="379"/>
      <c r="W911" s="379"/>
      <c r="X911" s="379"/>
      <c r="Y911" s="379"/>
      <c r="Z911" s="379"/>
    </row>
    <row r="912" ht="12.75" customHeight="1">
      <c r="A912" s="379"/>
      <c r="B912" s="379"/>
      <c r="C912" s="379"/>
      <c r="D912" s="379"/>
      <c r="E912" s="379"/>
      <c r="F912" s="379"/>
      <c r="G912" s="379"/>
      <c r="H912" s="379"/>
      <c r="I912" s="379"/>
      <c r="J912" s="379"/>
      <c r="K912" s="379"/>
      <c r="L912" s="379"/>
      <c r="M912" s="379"/>
      <c r="N912" s="379"/>
      <c r="O912" s="379"/>
      <c r="P912" s="379"/>
      <c r="Q912" s="379"/>
      <c r="R912" s="379"/>
      <c r="S912" s="379"/>
      <c r="T912" s="379"/>
      <c r="U912" s="379"/>
      <c r="V912" s="379"/>
      <c r="W912" s="379"/>
      <c r="X912" s="379"/>
      <c r="Y912" s="379"/>
      <c r="Z912" s="379"/>
    </row>
    <row r="913" ht="12.75" customHeight="1">
      <c r="A913" s="379"/>
      <c r="B913" s="379"/>
      <c r="C913" s="379"/>
      <c r="D913" s="379"/>
      <c r="E913" s="379"/>
      <c r="F913" s="379"/>
      <c r="G913" s="379"/>
      <c r="H913" s="379"/>
      <c r="I913" s="379"/>
      <c r="J913" s="379"/>
      <c r="K913" s="379"/>
      <c r="L913" s="379"/>
      <c r="M913" s="379"/>
      <c r="N913" s="379"/>
      <c r="O913" s="379"/>
      <c r="P913" s="379"/>
      <c r="Q913" s="379"/>
      <c r="R913" s="379"/>
      <c r="S913" s="379"/>
      <c r="T913" s="379"/>
      <c r="U913" s="379"/>
      <c r="V913" s="379"/>
      <c r="W913" s="379"/>
      <c r="X913" s="379"/>
      <c r="Y913" s="379"/>
      <c r="Z913" s="379"/>
    </row>
    <row r="914" ht="12.75" customHeight="1">
      <c r="A914" s="379"/>
      <c r="B914" s="379"/>
      <c r="C914" s="379"/>
      <c r="D914" s="379"/>
      <c r="E914" s="379"/>
      <c r="F914" s="379"/>
      <c r="G914" s="379"/>
      <c r="H914" s="379"/>
      <c r="I914" s="379"/>
      <c r="J914" s="379"/>
      <c r="K914" s="379"/>
      <c r="L914" s="379"/>
      <c r="M914" s="379"/>
      <c r="N914" s="379"/>
      <c r="O914" s="379"/>
      <c r="P914" s="379"/>
      <c r="Q914" s="379"/>
      <c r="R914" s="379"/>
      <c r="S914" s="379"/>
      <c r="T914" s="379"/>
      <c r="U914" s="379"/>
      <c r="V914" s="379"/>
      <c r="W914" s="379"/>
      <c r="X914" s="379"/>
      <c r="Y914" s="379"/>
      <c r="Z914" s="379"/>
    </row>
    <row r="915" ht="12.75" customHeight="1">
      <c r="A915" s="379"/>
      <c r="B915" s="379"/>
      <c r="C915" s="379"/>
      <c r="D915" s="379"/>
      <c r="E915" s="379"/>
      <c r="F915" s="379"/>
      <c r="G915" s="379"/>
      <c r="H915" s="379"/>
      <c r="I915" s="379"/>
      <c r="J915" s="379"/>
      <c r="K915" s="379"/>
      <c r="L915" s="379"/>
      <c r="M915" s="379"/>
      <c r="N915" s="379"/>
      <c r="O915" s="379"/>
      <c r="P915" s="379"/>
      <c r="Q915" s="379"/>
      <c r="R915" s="379"/>
      <c r="S915" s="379"/>
      <c r="T915" s="379"/>
      <c r="U915" s="379"/>
      <c r="V915" s="379"/>
      <c r="W915" s="379"/>
      <c r="X915" s="379"/>
      <c r="Y915" s="379"/>
      <c r="Z915" s="379"/>
    </row>
    <row r="916" ht="12.75" customHeight="1">
      <c r="A916" s="379"/>
      <c r="B916" s="379"/>
      <c r="C916" s="379"/>
      <c r="D916" s="379"/>
      <c r="E916" s="379"/>
      <c r="F916" s="379"/>
      <c r="G916" s="379"/>
      <c r="H916" s="379"/>
      <c r="I916" s="379"/>
      <c r="J916" s="379"/>
      <c r="K916" s="379"/>
      <c r="L916" s="379"/>
      <c r="M916" s="379"/>
      <c r="N916" s="379"/>
      <c r="O916" s="379"/>
      <c r="P916" s="379"/>
      <c r="Q916" s="379"/>
      <c r="R916" s="379"/>
      <c r="S916" s="379"/>
      <c r="T916" s="379"/>
      <c r="U916" s="379"/>
      <c r="V916" s="379"/>
      <c r="W916" s="379"/>
      <c r="X916" s="379"/>
      <c r="Y916" s="379"/>
      <c r="Z916" s="379"/>
    </row>
    <row r="917" ht="12.75" customHeight="1">
      <c r="A917" s="379"/>
      <c r="B917" s="379"/>
      <c r="C917" s="379"/>
      <c r="D917" s="379"/>
      <c r="E917" s="379"/>
      <c r="F917" s="379"/>
      <c r="G917" s="379"/>
      <c r="H917" s="379"/>
      <c r="I917" s="379"/>
      <c r="J917" s="379"/>
      <c r="K917" s="379"/>
      <c r="L917" s="379"/>
      <c r="M917" s="379"/>
      <c r="N917" s="379"/>
      <c r="O917" s="379"/>
      <c r="P917" s="379"/>
      <c r="Q917" s="379"/>
      <c r="R917" s="379"/>
      <c r="S917" s="379"/>
      <c r="T917" s="379"/>
      <c r="U917" s="379"/>
      <c r="V917" s="379"/>
      <c r="W917" s="379"/>
      <c r="X917" s="379"/>
      <c r="Y917" s="379"/>
      <c r="Z917" s="379"/>
    </row>
    <row r="918" ht="12.75" customHeight="1">
      <c r="A918" s="379"/>
      <c r="B918" s="379"/>
      <c r="C918" s="379"/>
      <c r="D918" s="379"/>
      <c r="E918" s="379"/>
      <c r="F918" s="379"/>
      <c r="G918" s="379"/>
      <c r="H918" s="379"/>
      <c r="I918" s="379"/>
      <c r="J918" s="379"/>
      <c r="K918" s="379"/>
      <c r="L918" s="379"/>
      <c r="M918" s="379"/>
      <c r="N918" s="379"/>
      <c r="O918" s="379"/>
      <c r="P918" s="379"/>
      <c r="Q918" s="379"/>
      <c r="R918" s="379"/>
      <c r="S918" s="379"/>
      <c r="T918" s="379"/>
      <c r="U918" s="379"/>
      <c r="V918" s="379"/>
      <c r="W918" s="379"/>
      <c r="X918" s="379"/>
      <c r="Y918" s="379"/>
      <c r="Z918" s="379"/>
    </row>
    <row r="919" ht="12.75" customHeight="1">
      <c r="A919" s="379"/>
      <c r="B919" s="379"/>
      <c r="C919" s="379"/>
      <c r="D919" s="379"/>
      <c r="E919" s="379"/>
      <c r="F919" s="379"/>
      <c r="G919" s="379"/>
      <c r="H919" s="379"/>
      <c r="I919" s="379"/>
      <c r="J919" s="379"/>
      <c r="K919" s="379"/>
      <c r="L919" s="379"/>
      <c r="M919" s="379"/>
      <c r="N919" s="379"/>
      <c r="O919" s="379"/>
      <c r="P919" s="379"/>
      <c r="Q919" s="379"/>
      <c r="R919" s="379"/>
      <c r="S919" s="379"/>
      <c r="T919" s="379"/>
      <c r="U919" s="379"/>
      <c r="V919" s="379"/>
      <c r="W919" s="379"/>
      <c r="X919" s="379"/>
      <c r="Y919" s="379"/>
      <c r="Z919" s="379"/>
    </row>
    <row r="920" ht="12.75" customHeight="1">
      <c r="A920" s="379"/>
      <c r="B920" s="379"/>
      <c r="C920" s="379"/>
      <c r="D920" s="379"/>
      <c r="E920" s="379"/>
      <c r="F920" s="379"/>
      <c r="G920" s="379"/>
      <c r="H920" s="379"/>
      <c r="I920" s="379"/>
      <c r="J920" s="379"/>
      <c r="K920" s="379"/>
      <c r="L920" s="379"/>
      <c r="M920" s="379"/>
      <c r="N920" s="379"/>
      <c r="O920" s="379"/>
      <c r="P920" s="379"/>
      <c r="Q920" s="379"/>
      <c r="R920" s="379"/>
      <c r="S920" s="379"/>
      <c r="T920" s="379"/>
      <c r="U920" s="379"/>
      <c r="V920" s="379"/>
      <c r="W920" s="379"/>
      <c r="X920" s="379"/>
      <c r="Y920" s="379"/>
      <c r="Z920" s="379"/>
    </row>
    <row r="921" ht="12.75" customHeight="1">
      <c r="A921" s="379"/>
      <c r="B921" s="379"/>
      <c r="C921" s="379"/>
      <c r="D921" s="379"/>
      <c r="E921" s="379"/>
      <c r="F921" s="379"/>
      <c r="G921" s="379"/>
      <c r="H921" s="379"/>
      <c r="I921" s="379"/>
      <c r="J921" s="379"/>
      <c r="K921" s="379"/>
      <c r="L921" s="379"/>
      <c r="M921" s="379"/>
      <c r="N921" s="379"/>
      <c r="O921" s="379"/>
      <c r="P921" s="379"/>
      <c r="Q921" s="379"/>
      <c r="R921" s="379"/>
      <c r="S921" s="379"/>
      <c r="T921" s="379"/>
      <c r="U921" s="379"/>
      <c r="V921" s="379"/>
      <c r="W921" s="379"/>
      <c r="X921" s="379"/>
      <c r="Y921" s="379"/>
      <c r="Z921" s="379"/>
    </row>
    <row r="922" ht="12.75" customHeight="1">
      <c r="A922" s="379"/>
      <c r="B922" s="379"/>
      <c r="C922" s="379"/>
      <c r="D922" s="379"/>
      <c r="E922" s="379"/>
      <c r="F922" s="379"/>
      <c r="G922" s="379"/>
      <c r="H922" s="379"/>
      <c r="I922" s="379"/>
      <c r="J922" s="379"/>
      <c r="K922" s="379"/>
      <c r="L922" s="379"/>
      <c r="M922" s="379"/>
      <c r="N922" s="379"/>
      <c r="O922" s="379"/>
      <c r="P922" s="379"/>
      <c r="Q922" s="379"/>
      <c r="R922" s="379"/>
      <c r="S922" s="379"/>
      <c r="T922" s="379"/>
      <c r="U922" s="379"/>
      <c r="V922" s="379"/>
      <c r="W922" s="379"/>
      <c r="X922" s="379"/>
      <c r="Y922" s="379"/>
      <c r="Z922" s="379"/>
    </row>
    <row r="923" ht="12.75" customHeight="1">
      <c r="A923" s="379"/>
      <c r="B923" s="379"/>
      <c r="C923" s="379"/>
      <c r="D923" s="379"/>
      <c r="E923" s="379"/>
      <c r="F923" s="379"/>
      <c r="G923" s="379"/>
      <c r="H923" s="379"/>
      <c r="I923" s="379"/>
      <c r="J923" s="379"/>
      <c r="K923" s="379"/>
      <c r="L923" s="379"/>
      <c r="M923" s="379"/>
      <c r="N923" s="379"/>
      <c r="O923" s="379"/>
      <c r="P923" s="379"/>
      <c r="Q923" s="379"/>
      <c r="R923" s="379"/>
      <c r="S923" s="379"/>
      <c r="T923" s="379"/>
      <c r="U923" s="379"/>
      <c r="V923" s="379"/>
      <c r="W923" s="379"/>
      <c r="X923" s="379"/>
      <c r="Y923" s="379"/>
      <c r="Z923" s="379"/>
    </row>
    <row r="924" ht="12.75" customHeight="1">
      <c r="A924" s="379"/>
      <c r="B924" s="379"/>
      <c r="C924" s="379"/>
      <c r="D924" s="379"/>
      <c r="E924" s="379"/>
      <c r="F924" s="379"/>
      <c r="G924" s="379"/>
      <c r="H924" s="379"/>
      <c r="I924" s="379"/>
      <c r="J924" s="379"/>
      <c r="K924" s="379"/>
      <c r="L924" s="379"/>
      <c r="M924" s="379"/>
      <c r="N924" s="379"/>
      <c r="O924" s="379"/>
      <c r="P924" s="379"/>
      <c r="Q924" s="379"/>
      <c r="R924" s="379"/>
      <c r="S924" s="379"/>
      <c r="T924" s="379"/>
      <c r="U924" s="379"/>
      <c r="V924" s="379"/>
      <c r="W924" s="379"/>
      <c r="X924" s="379"/>
      <c r="Y924" s="379"/>
      <c r="Z924" s="379"/>
    </row>
    <row r="925" ht="12.75" customHeight="1">
      <c r="A925" s="379"/>
      <c r="B925" s="379"/>
      <c r="C925" s="379"/>
      <c r="D925" s="379"/>
      <c r="E925" s="379"/>
      <c r="F925" s="379"/>
      <c r="G925" s="379"/>
      <c r="H925" s="379"/>
      <c r="I925" s="379"/>
      <c r="J925" s="379"/>
      <c r="K925" s="379"/>
      <c r="L925" s="379"/>
      <c r="M925" s="379"/>
      <c r="N925" s="379"/>
      <c r="O925" s="379"/>
      <c r="P925" s="379"/>
      <c r="Q925" s="379"/>
      <c r="R925" s="379"/>
      <c r="S925" s="379"/>
      <c r="T925" s="379"/>
      <c r="U925" s="379"/>
      <c r="V925" s="379"/>
      <c r="W925" s="379"/>
      <c r="X925" s="379"/>
      <c r="Y925" s="379"/>
      <c r="Z925" s="379"/>
    </row>
    <row r="926" ht="12.75" customHeight="1">
      <c r="A926" s="379"/>
      <c r="B926" s="379"/>
      <c r="C926" s="379"/>
      <c r="D926" s="379"/>
      <c r="E926" s="379"/>
      <c r="F926" s="379"/>
      <c r="G926" s="379"/>
      <c r="H926" s="379"/>
      <c r="I926" s="379"/>
      <c r="J926" s="379"/>
      <c r="K926" s="379"/>
      <c r="L926" s="379"/>
      <c r="M926" s="379"/>
      <c r="N926" s="379"/>
      <c r="O926" s="379"/>
      <c r="P926" s="379"/>
      <c r="Q926" s="379"/>
      <c r="R926" s="379"/>
      <c r="S926" s="379"/>
      <c r="T926" s="379"/>
      <c r="U926" s="379"/>
      <c r="V926" s="379"/>
      <c r="W926" s="379"/>
      <c r="X926" s="379"/>
      <c r="Y926" s="379"/>
      <c r="Z926" s="379"/>
    </row>
    <row r="927" ht="12.75" customHeight="1">
      <c r="A927" s="379"/>
      <c r="B927" s="379"/>
      <c r="C927" s="379"/>
      <c r="D927" s="379"/>
      <c r="E927" s="379"/>
      <c r="F927" s="379"/>
      <c r="G927" s="379"/>
      <c r="H927" s="379"/>
      <c r="I927" s="379"/>
      <c r="J927" s="379"/>
      <c r="K927" s="379"/>
      <c r="L927" s="379"/>
      <c r="M927" s="379"/>
      <c r="N927" s="379"/>
      <c r="O927" s="379"/>
      <c r="P927" s="379"/>
      <c r="Q927" s="379"/>
      <c r="R927" s="379"/>
      <c r="S927" s="379"/>
      <c r="T927" s="379"/>
      <c r="U927" s="379"/>
      <c r="V927" s="379"/>
      <c r="W927" s="379"/>
      <c r="X927" s="379"/>
      <c r="Y927" s="379"/>
      <c r="Z927" s="379"/>
    </row>
    <row r="928" ht="12.75" customHeight="1">
      <c r="A928" s="379"/>
      <c r="B928" s="379"/>
      <c r="C928" s="379"/>
      <c r="D928" s="379"/>
      <c r="E928" s="379"/>
      <c r="F928" s="379"/>
      <c r="G928" s="379"/>
      <c r="H928" s="379"/>
      <c r="I928" s="379"/>
      <c r="J928" s="379"/>
      <c r="K928" s="379"/>
      <c r="L928" s="379"/>
      <c r="M928" s="379"/>
      <c r="N928" s="379"/>
      <c r="O928" s="379"/>
      <c r="P928" s="379"/>
      <c r="Q928" s="379"/>
      <c r="R928" s="379"/>
      <c r="S928" s="379"/>
      <c r="T928" s="379"/>
      <c r="U928" s="379"/>
      <c r="V928" s="379"/>
      <c r="W928" s="379"/>
      <c r="X928" s="379"/>
      <c r="Y928" s="379"/>
      <c r="Z928" s="379"/>
    </row>
    <row r="929" ht="12.75" customHeight="1">
      <c r="A929" s="379"/>
      <c r="B929" s="379"/>
      <c r="C929" s="379"/>
      <c r="D929" s="379"/>
      <c r="E929" s="379"/>
      <c r="F929" s="379"/>
      <c r="G929" s="379"/>
      <c r="H929" s="379"/>
      <c r="I929" s="379"/>
      <c r="J929" s="379"/>
      <c r="K929" s="379"/>
      <c r="L929" s="379"/>
      <c r="M929" s="379"/>
      <c r="N929" s="379"/>
      <c r="O929" s="379"/>
      <c r="P929" s="379"/>
      <c r="Q929" s="379"/>
      <c r="R929" s="379"/>
      <c r="S929" s="379"/>
      <c r="T929" s="379"/>
      <c r="U929" s="379"/>
      <c r="V929" s="379"/>
      <c r="W929" s="379"/>
      <c r="X929" s="379"/>
      <c r="Y929" s="379"/>
      <c r="Z929" s="379"/>
    </row>
    <row r="930" ht="12.75" customHeight="1">
      <c r="A930" s="379"/>
      <c r="B930" s="379"/>
      <c r="C930" s="379"/>
      <c r="D930" s="379"/>
      <c r="E930" s="379"/>
      <c r="F930" s="379"/>
      <c r="G930" s="379"/>
      <c r="H930" s="379"/>
      <c r="I930" s="379"/>
      <c r="J930" s="379"/>
      <c r="K930" s="379"/>
      <c r="L930" s="379"/>
      <c r="M930" s="379"/>
      <c r="N930" s="379"/>
      <c r="O930" s="379"/>
      <c r="P930" s="379"/>
      <c r="Q930" s="379"/>
      <c r="R930" s="379"/>
      <c r="S930" s="379"/>
      <c r="T930" s="379"/>
      <c r="U930" s="379"/>
      <c r="V930" s="379"/>
      <c r="W930" s="379"/>
      <c r="X930" s="379"/>
      <c r="Y930" s="379"/>
      <c r="Z930" s="379"/>
    </row>
    <row r="931" ht="12.75" customHeight="1">
      <c r="A931" s="379"/>
      <c r="B931" s="379"/>
      <c r="C931" s="379"/>
      <c r="D931" s="379"/>
      <c r="E931" s="379"/>
      <c r="F931" s="379"/>
      <c r="G931" s="379"/>
      <c r="H931" s="379"/>
      <c r="I931" s="379"/>
      <c r="J931" s="379"/>
      <c r="K931" s="379"/>
      <c r="L931" s="379"/>
      <c r="M931" s="379"/>
      <c r="N931" s="379"/>
      <c r="O931" s="379"/>
      <c r="P931" s="379"/>
      <c r="Q931" s="379"/>
      <c r="R931" s="379"/>
      <c r="S931" s="379"/>
      <c r="T931" s="379"/>
      <c r="U931" s="379"/>
      <c r="V931" s="379"/>
      <c r="W931" s="379"/>
      <c r="X931" s="379"/>
      <c r="Y931" s="379"/>
      <c r="Z931" s="379"/>
    </row>
    <row r="932" ht="12.75" customHeight="1">
      <c r="A932" s="379"/>
      <c r="B932" s="379"/>
      <c r="C932" s="379"/>
      <c r="D932" s="379"/>
      <c r="E932" s="379"/>
      <c r="F932" s="379"/>
      <c r="G932" s="379"/>
      <c r="H932" s="379"/>
      <c r="I932" s="379"/>
      <c r="J932" s="379"/>
      <c r="K932" s="379"/>
      <c r="L932" s="379"/>
      <c r="M932" s="379"/>
      <c r="N932" s="379"/>
      <c r="O932" s="379"/>
      <c r="P932" s="379"/>
      <c r="Q932" s="379"/>
      <c r="R932" s="379"/>
      <c r="S932" s="379"/>
      <c r="T932" s="379"/>
      <c r="U932" s="379"/>
      <c r="V932" s="379"/>
      <c r="W932" s="379"/>
      <c r="X932" s="379"/>
      <c r="Y932" s="379"/>
      <c r="Z932" s="379"/>
    </row>
    <row r="933" ht="12.75" customHeight="1">
      <c r="A933" s="379"/>
      <c r="B933" s="379"/>
      <c r="C933" s="379"/>
      <c r="D933" s="379"/>
      <c r="E933" s="379"/>
      <c r="F933" s="379"/>
      <c r="G933" s="379"/>
      <c r="H933" s="379"/>
      <c r="I933" s="379"/>
      <c r="J933" s="379"/>
      <c r="K933" s="379"/>
      <c r="L933" s="379"/>
      <c r="M933" s="379"/>
      <c r="N933" s="379"/>
      <c r="O933" s="379"/>
      <c r="P933" s="379"/>
      <c r="Q933" s="379"/>
      <c r="R933" s="379"/>
      <c r="S933" s="379"/>
      <c r="T933" s="379"/>
      <c r="U933" s="379"/>
      <c r="V933" s="379"/>
      <c r="W933" s="379"/>
      <c r="X933" s="379"/>
      <c r="Y933" s="379"/>
      <c r="Z933" s="379"/>
    </row>
    <row r="934" ht="12.75" customHeight="1">
      <c r="A934" s="379"/>
      <c r="B934" s="379"/>
      <c r="C934" s="379"/>
      <c r="D934" s="379"/>
      <c r="E934" s="379"/>
      <c r="F934" s="379"/>
      <c r="G934" s="379"/>
      <c r="H934" s="379"/>
      <c r="I934" s="379"/>
      <c r="J934" s="379"/>
      <c r="K934" s="379"/>
      <c r="L934" s="379"/>
      <c r="M934" s="379"/>
      <c r="N934" s="379"/>
      <c r="O934" s="379"/>
      <c r="P934" s="379"/>
      <c r="Q934" s="379"/>
      <c r="R934" s="379"/>
      <c r="S934" s="379"/>
      <c r="T934" s="379"/>
      <c r="U934" s="379"/>
      <c r="V934" s="379"/>
      <c r="W934" s="379"/>
      <c r="X934" s="379"/>
      <c r="Y934" s="379"/>
      <c r="Z934" s="379"/>
    </row>
    <row r="935" ht="12.75" customHeight="1">
      <c r="A935" s="379"/>
      <c r="B935" s="379"/>
      <c r="C935" s="379"/>
      <c r="D935" s="379"/>
      <c r="E935" s="379"/>
      <c r="F935" s="379"/>
      <c r="G935" s="379"/>
      <c r="H935" s="379"/>
      <c r="I935" s="379"/>
      <c r="J935" s="379"/>
      <c r="K935" s="379"/>
      <c r="L935" s="379"/>
      <c r="M935" s="379"/>
      <c r="N935" s="379"/>
      <c r="O935" s="379"/>
      <c r="P935" s="379"/>
      <c r="Q935" s="379"/>
      <c r="R935" s="379"/>
      <c r="S935" s="379"/>
      <c r="T935" s="379"/>
      <c r="U935" s="379"/>
      <c r="V935" s="379"/>
      <c r="W935" s="379"/>
      <c r="X935" s="379"/>
      <c r="Y935" s="379"/>
      <c r="Z935" s="379"/>
    </row>
    <row r="936" ht="12.75" customHeight="1">
      <c r="A936" s="379"/>
      <c r="B936" s="379"/>
      <c r="C936" s="379"/>
      <c r="D936" s="379"/>
      <c r="E936" s="379"/>
      <c r="F936" s="379"/>
      <c r="G936" s="379"/>
      <c r="H936" s="379"/>
      <c r="I936" s="379"/>
      <c r="J936" s="379"/>
      <c r="K936" s="379"/>
      <c r="L936" s="379"/>
      <c r="M936" s="379"/>
      <c r="N936" s="379"/>
      <c r="O936" s="379"/>
      <c r="P936" s="379"/>
      <c r="Q936" s="379"/>
      <c r="R936" s="379"/>
      <c r="S936" s="379"/>
      <c r="T936" s="379"/>
      <c r="U936" s="379"/>
      <c r="V936" s="379"/>
      <c r="W936" s="379"/>
      <c r="X936" s="379"/>
      <c r="Y936" s="379"/>
      <c r="Z936" s="379"/>
    </row>
    <row r="937" ht="12.75" customHeight="1">
      <c r="A937" s="379"/>
      <c r="B937" s="379"/>
      <c r="C937" s="379"/>
      <c r="D937" s="379"/>
      <c r="E937" s="379"/>
      <c r="F937" s="379"/>
      <c r="G937" s="379"/>
      <c r="H937" s="379"/>
      <c r="I937" s="379"/>
      <c r="J937" s="379"/>
      <c r="K937" s="379"/>
      <c r="L937" s="379"/>
      <c r="M937" s="379"/>
      <c r="N937" s="379"/>
      <c r="O937" s="379"/>
      <c r="P937" s="379"/>
      <c r="Q937" s="379"/>
      <c r="R937" s="379"/>
      <c r="S937" s="379"/>
      <c r="T937" s="379"/>
      <c r="U937" s="379"/>
      <c r="V937" s="379"/>
      <c r="W937" s="379"/>
      <c r="X937" s="379"/>
      <c r="Y937" s="379"/>
      <c r="Z937" s="379"/>
    </row>
    <row r="938" ht="12.75" customHeight="1">
      <c r="A938" s="379"/>
      <c r="B938" s="379"/>
      <c r="C938" s="379"/>
      <c r="D938" s="379"/>
      <c r="E938" s="379"/>
      <c r="F938" s="379"/>
      <c r="G938" s="379"/>
      <c r="H938" s="379"/>
      <c r="I938" s="379"/>
      <c r="J938" s="379"/>
      <c r="K938" s="379"/>
      <c r="L938" s="379"/>
      <c r="M938" s="379"/>
      <c r="N938" s="379"/>
      <c r="O938" s="379"/>
      <c r="P938" s="379"/>
      <c r="Q938" s="379"/>
      <c r="R938" s="379"/>
      <c r="S938" s="379"/>
      <c r="T938" s="379"/>
      <c r="U938" s="379"/>
      <c r="V938" s="379"/>
      <c r="W938" s="379"/>
      <c r="X938" s="379"/>
      <c r="Y938" s="379"/>
      <c r="Z938" s="379"/>
    </row>
    <row r="939" ht="12.75" customHeight="1">
      <c r="A939" s="379"/>
      <c r="B939" s="379"/>
      <c r="C939" s="379"/>
      <c r="D939" s="379"/>
      <c r="E939" s="379"/>
      <c r="F939" s="379"/>
      <c r="G939" s="379"/>
      <c r="H939" s="379"/>
      <c r="I939" s="379"/>
      <c r="J939" s="379"/>
      <c r="K939" s="379"/>
      <c r="L939" s="379"/>
      <c r="M939" s="379"/>
      <c r="N939" s="379"/>
      <c r="O939" s="379"/>
      <c r="P939" s="379"/>
      <c r="Q939" s="379"/>
      <c r="R939" s="379"/>
      <c r="S939" s="379"/>
      <c r="T939" s="379"/>
      <c r="U939" s="379"/>
      <c r="V939" s="379"/>
      <c r="W939" s="379"/>
      <c r="X939" s="379"/>
      <c r="Y939" s="379"/>
      <c r="Z939" s="379"/>
    </row>
    <row r="940" ht="12.75" customHeight="1">
      <c r="A940" s="379"/>
      <c r="B940" s="379"/>
      <c r="C940" s="379"/>
      <c r="D940" s="379"/>
      <c r="E940" s="379"/>
      <c r="F940" s="379"/>
      <c r="G940" s="379"/>
      <c r="H940" s="379"/>
      <c r="I940" s="379"/>
      <c r="J940" s="379"/>
      <c r="K940" s="379"/>
      <c r="L940" s="379"/>
      <c r="M940" s="379"/>
      <c r="N940" s="379"/>
      <c r="O940" s="379"/>
      <c r="P940" s="379"/>
      <c r="Q940" s="379"/>
      <c r="R940" s="379"/>
      <c r="S940" s="379"/>
      <c r="T940" s="379"/>
      <c r="U940" s="379"/>
      <c r="V940" s="379"/>
      <c r="W940" s="379"/>
      <c r="X940" s="379"/>
      <c r="Y940" s="379"/>
      <c r="Z940" s="379"/>
    </row>
    <row r="941" ht="12.75" customHeight="1">
      <c r="A941" s="379"/>
      <c r="B941" s="379"/>
      <c r="C941" s="379"/>
      <c r="D941" s="379"/>
      <c r="E941" s="379"/>
      <c r="F941" s="379"/>
      <c r="G941" s="379"/>
      <c r="H941" s="379"/>
      <c r="I941" s="379"/>
      <c r="J941" s="379"/>
      <c r="K941" s="379"/>
      <c r="L941" s="379"/>
      <c r="M941" s="379"/>
      <c r="N941" s="379"/>
      <c r="O941" s="379"/>
      <c r="P941" s="379"/>
      <c r="Q941" s="379"/>
      <c r="R941" s="379"/>
      <c r="S941" s="379"/>
      <c r="T941" s="379"/>
      <c r="U941" s="379"/>
      <c r="V941" s="379"/>
      <c r="W941" s="379"/>
      <c r="X941" s="379"/>
      <c r="Y941" s="379"/>
      <c r="Z941" s="379"/>
    </row>
    <row r="942" ht="12.75" customHeight="1">
      <c r="A942" s="379"/>
      <c r="B942" s="379"/>
      <c r="C942" s="379"/>
      <c r="D942" s="379"/>
      <c r="E942" s="379"/>
      <c r="F942" s="379"/>
      <c r="G942" s="379"/>
      <c r="H942" s="379"/>
      <c r="I942" s="379"/>
      <c r="J942" s="379"/>
      <c r="K942" s="379"/>
      <c r="L942" s="379"/>
      <c r="M942" s="379"/>
      <c r="N942" s="379"/>
      <c r="O942" s="379"/>
      <c r="P942" s="379"/>
      <c r="Q942" s="379"/>
      <c r="R942" s="379"/>
      <c r="S942" s="379"/>
      <c r="T942" s="379"/>
      <c r="U942" s="379"/>
      <c r="V942" s="379"/>
      <c r="W942" s="379"/>
      <c r="X942" s="379"/>
      <c r="Y942" s="379"/>
      <c r="Z942" s="379"/>
    </row>
    <row r="943" ht="12.75" customHeight="1">
      <c r="A943" s="379"/>
      <c r="B943" s="379"/>
      <c r="C943" s="379"/>
      <c r="D943" s="379"/>
      <c r="E943" s="379"/>
      <c r="F943" s="379"/>
      <c r="G943" s="379"/>
      <c r="H943" s="379"/>
      <c r="I943" s="379"/>
      <c r="J943" s="379"/>
      <c r="K943" s="379"/>
      <c r="L943" s="379"/>
      <c r="M943" s="379"/>
      <c r="N943" s="379"/>
      <c r="O943" s="379"/>
      <c r="P943" s="379"/>
      <c r="Q943" s="379"/>
      <c r="R943" s="379"/>
      <c r="S943" s="379"/>
      <c r="T943" s="379"/>
      <c r="U943" s="379"/>
      <c r="V943" s="379"/>
      <c r="W943" s="379"/>
      <c r="X943" s="379"/>
      <c r="Y943" s="379"/>
      <c r="Z943" s="379"/>
    </row>
    <row r="944" ht="12.75" customHeight="1">
      <c r="A944" s="379"/>
      <c r="B944" s="379"/>
      <c r="C944" s="379"/>
      <c r="D944" s="379"/>
      <c r="E944" s="379"/>
      <c r="F944" s="379"/>
      <c r="G944" s="379"/>
      <c r="H944" s="379"/>
      <c r="I944" s="379"/>
      <c r="J944" s="379"/>
      <c r="K944" s="379"/>
      <c r="L944" s="379"/>
      <c r="M944" s="379"/>
      <c r="N944" s="379"/>
      <c r="O944" s="379"/>
      <c r="P944" s="379"/>
      <c r="Q944" s="379"/>
      <c r="R944" s="379"/>
      <c r="S944" s="379"/>
      <c r="T944" s="379"/>
      <c r="U944" s="379"/>
      <c r="V944" s="379"/>
      <c r="W944" s="379"/>
      <c r="X944" s="379"/>
      <c r="Y944" s="379"/>
      <c r="Z944" s="379"/>
    </row>
    <row r="945" ht="12.75" customHeight="1">
      <c r="A945" s="379"/>
      <c r="B945" s="379"/>
      <c r="C945" s="379"/>
      <c r="D945" s="379"/>
      <c r="E945" s="379"/>
      <c r="F945" s="379"/>
      <c r="G945" s="379"/>
      <c r="H945" s="379"/>
      <c r="I945" s="379"/>
      <c r="J945" s="379"/>
      <c r="K945" s="379"/>
      <c r="L945" s="379"/>
      <c r="M945" s="379"/>
      <c r="N945" s="379"/>
      <c r="O945" s="379"/>
      <c r="P945" s="379"/>
      <c r="Q945" s="379"/>
      <c r="R945" s="379"/>
      <c r="S945" s="379"/>
      <c r="T945" s="379"/>
      <c r="U945" s="379"/>
      <c r="V945" s="379"/>
      <c r="W945" s="379"/>
      <c r="X945" s="379"/>
      <c r="Y945" s="379"/>
      <c r="Z945" s="379"/>
    </row>
    <row r="946" ht="12.75" customHeight="1">
      <c r="A946" s="379"/>
      <c r="B946" s="379"/>
      <c r="C946" s="379"/>
      <c r="D946" s="379"/>
      <c r="E946" s="379"/>
      <c r="F946" s="379"/>
      <c r="G946" s="379"/>
      <c r="H946" s="379"/>
      <c r="I946" s="379"/>
      <c r="J946" s="379"/>
      <c r="K946" s="379"/>
      <c r="L946" s="379"/>
      <c r="M946" s="379"/>
      <c r="N946" s="379"/>
      <c r="O946" s="379"/>
      <c r="P946" s="379"/>
      <c r="Q946" s="379"/>
      <c r="R946" s="379"/>
      <c r="S946" s="379"/>
      <c r="T946" s="379"/>
      <c r="U946" s="379"/>
      <c r="V946" s="379"/>
      <c r="W946" s="379"/>
      <c r="X946" s="379"/>
      <c r="Y946" s="379"/>
      <c r="Z946" s="379"/>
    </row>
    <row r="947" ht="12.75" customHeight="1">
      <c r="A947" s="379"/>
      <c r="B947" s="379"/>
      <c r="C947" s="379"/>
      <c r="D947" s="379"/>
      <c r="E947" s="379"/>
      <c r="F947" s="379"/>
      <c r="G947" s="379"/>
      <c r="H947" s="379"/>
      <c r="I947" s="379"/>
      <c r="J947" s="379"/>
      <c r="K947" s="379"/>
      <c r="L947" s="379"/>
      <c r="M947" s="379"/>
      <c r="N947" s="379"/>
      <c r="O947" s="379"/>
      <c r="P947" s="379"/>
      <c r="Q947" s="379"/>
      <c r="R947" s="379"/>
      <c r="S947" s="379"/>
      <c r="T947" s="379"/>
      <c r="U947" s="379"/>
      <c r="V947" s="379"/>
      <c r="W947" s="379"/>
      <c r="X947" s="379"/>
      <c r="Y947" s="379"/>
      <c r="Z947" s="379"/>
    </row>
    <row r="948" ht="12.75" customHeight="1">
      <c r="A948" s="379"/>
      <c r="B948" s="379"/>
      <c r="C948" s="379"/>
      <c r="D948" s="379"/>
      <c r="E948" s="379"/>
      <c r="F948" s="379"/>
      <c r="G948" s="379"/>
      <c r="H948" s="379"/>
      <c r="I948" s="379"/>
      <c r="J948" s="379"/>
      <c r="K948" s="379"/>
      <c r="L948" s="379"/>
      <c r="M948" s="379"/>
      <c r="N948" s="379"/>
      <c r="O948" s="379"/>
      <c r="P948" s="379"/>
      <c r="Q948" s="379"/>
      <c r="R948" s="379"/>
      <c r="S948" s="379"/>
      <c r="T948" s="379"/>
      <c r="U948" s="379"/>
      <c r="V948" s="379"/>
      <c r="W948" s="379"/>
      <c r="X948" s="379"/>
      <c r="Y948" s="379"/>
      <c r="Z948" s="379"/>
    </row>
    <row r="949" ht="12.75" customHeight="1">
      <c r="A949" s="379"/>
      <c r="B949" s="379"/>
      <c r="C949" s="379"/>
      <c r="D949" s="379"/>
      <c r="E949" s="379"/>
      <c r="F949" s="379"/>
      <c r="G949" s="379"/>
      <c r="H949" s="379"/>
      <c r="I949" s="379"/>
      <c r="J949" s="379"/>
      <c r="K949" s="379"/>
      <c r="L949" s="379"/>
      <c r="M949" s="379"/>
      <c r="N949" s="379"/>
      <c r="O949" s="379"/>
      <c r="P949" s="379"/>
      <c r="Q949" s="379"/>
      <c r="R949" s="379"/>
      <c r="S949" s="379"/>
      <c r="T949" s="379"/>
      <c r="U949" s="379"/>
      <c r="V949" s="379"/>
      <c r="W949" s="379"/>
      <c r="X949" s="379"/>
      <c r="Y949" s="379"/>
      <c r="Z949" s="379"/>
    </row>
    <row r="950" ht="12.75" customHeight="1">
      <c r="A950" s="379"/>
      <c r="B950" s="379"/>
      <c r="C950" s="379"/>
      <c r="D950" s="379"/>
      <c r="E950" s="379"/>
      <c r="F950" s="379"/>
      <c r="G950" s="379"/>
      <c r="H950" s="379"/>
      <c r="I950" s="379"/>
      <c r="J950" s="379"/>
      <c r="K950" s="379"/>
      <c r="L950" s="379"/>
      <c r="M950" s="379"/>
      <c r="N950" s="379"/>
      <c r="O950" s="379"/>
      <c r="P950" s="379"/>
      <c r="Q950" s="379"/>
      <c r="R950" s="379"/>
      <c r="S950" s="379"/>
      <c r="T950" s="379"/>
      <c r="U950" s="379"/>
      <c r="V950" s="379"/>
      <c r="W950" s="379"/>
      <c r="X950" s="379"/>
      <c r="Y950" s="379"/>
      <c r="Z950" s="379"/>
    </row>
    <row r="951" ht="12.75" customHeight="1">
      <c r="A951" s="379"/>
      <c r="B951" s="379"/>
      <c r="C951" s="379"/>
      <c r="D951" s="379"/>
      <c r="E951" s="379"/>
      <c r="F951" s="379"/>
      <c r="G951" s="379"/>
      <c r="H951" s="379"/>
      <c r="I951" s="379"/>
      <c r="J951" s="379"/>
      <c r="K951" s="379"/>
      <c r="L951" s="379"/>
      <c r="M951" s="379"/>
      <c r="N951" s="379"/>
      <c r="O951" s="379"/>
      <c r="P951" s="379"/>
      <c r="Q951" s="379"/>
      <c r="R951" s="379"/>
      <c r="S951" s="379"/>
      <c r="T951" s="379"/>
      <c r="U951" s="379"/>
      <c r="V951" s="379"/>
      <c r="W951" s="379"/>
      <c r="X951" s="379"/>
      <c r="Y951" s="379"/>
      <c r="Z951" s="379"/>
    </row>
    <row r="952" ht="12.75" customHeight="1">
      <c r="A952" s="379"/>
      <c r="B952" s="379"/>
      <c r="C952" s="379"/>
      <c r="D952" s="379"/>
      <c r="E952" s="379"/>
      <c r="F952" s="379"/>
      <c r="G952" s="379"/>
      <c r="H952" s="379"/>
      <c r="I952" s="379"/>
      <c r="J952" s="379"/>
      <c r="K952" s="379"/>
      <c r="L952" s="379"/>
      <c r="M952" s="379"/>
      <c r="N952" s="379"/>
      <c r="O952" s="379"/>
      <c r="P952" s="379"/>
      <c r="Q952" s="379"/>
      <c r="R952" s="379"/>
      <c r="S952" s="379"/>
      <c r="T952" s="379"/>
      <c r="U952" s="379"/>
      <c r="V952" s="379"/>
      <c r="W952" s="379"/>
      <c r="X952" s="379"/>
      <c r="Y952" s="379"/>
      <c r="Z952" s="379"/>
    </row>
    <row r="953" ht="12.75" customHeight="1">
      <c r="A953" s="379"/>
      <c r="B953" s="379"/>
      <c r="C953" s="379"/>
      <c r="D953" s="379"/>
      <c r="E953" s="379"/>
      <c r="F953" s="379"/>
      <c r="G953" s="379"/>
      <c r="H953" s="379"/>
      <c r="I953" s="379"/>
      <c r="J953" s="379"/>
      <c r="K953" s="379"/>
      <c r="L953" s="379"/>
      <c r="M953" s="379"/>
      <c r="N953" s="379"/>
      <c r="O953" s="379"/>
      <c r="P953" s="379"/>
      <c r="Q953" s="379"/>
      <c r="R953" s="379"/>
      <c r="S953" s="379"/>
      <c r="T953" s="379"/>
      <c r="U953" s="379"/>
      <c r="V953" s="379"/>
      <c r="W953" s="379"/>
      <c r="X953" s="379"/>
      <c r="Y953" s="379"/>
      <c r="Z953" s="379"/>
    </row>
    <row r="954" ht="12.75" customHeight="1">
      <c r="A954" s="379"/>
      <c r="B954" s="379"/>
      <c r="C954" s="379"/>
      <c r="D954" s="379"/>
      <c r="E954" s="379"/>
      <c r="F954" s="379"/>
      <c r="G954" s="379"/>
      <c r="H954" s="379"/>
      <c r="I954" s="379"/>
      <c r="J954" s="379"/>
      <c r="K954" s="379"/>
      <c r="L954" s="379"/>
      <c r="M954" s="379"/>
      <c r="N954" s="379"/>
      <c r="O954" s="379"/>
      <c r="P954" s="379"/>
      <c r="Q954" s="379"/>
      <c r="R954" s="379"/>
      <c r="S954" s="379"/>
      <c r="T954" s="379"/>
      <c r="U954" s="379"/>
      <c r="V954" s="379"/>
      <c r="W954" s="379"/>
      <c r="X954" s="379"/>
      <c r="Y954" s="379"/>
      <c r="Z954" s="379"/>
    </row>
    <row r="955" ht="12.75" customHeight="1">
      <c r="A955" s="379"/>
      <c r="B955" s="379"/>
      <c r="C955" s="379"/>
      <c r="D955" s="379"/>
      <c r="E955" s="379"/>
      <c r="F955" s="379"/>
      <c r="G955" s="379"/>
      <c r="H955" s="379"/>
      <c r="I955" s="379"/>
      <c r="J955" s="379"/>
      <c r="K955" s="379"/>
      <c r="L955" s="379"/>
      <c r="M955" s="379"/>
      <c r="N955" s="379"/>
      <c r="O955" s="379"/>
      <c r="P955" s="379"/>
      <c r="Q955" s="379"/>
      <c r="R955" s="379"/>
      <c r="S955" s="379"/>
      <c r="T955" s="379"/>
      <c r="U955" s="379"/>
      <c r="V955" s="379"/>
      <c r="W955" s="379"/>
      <c r="X955" s="379"/>
      <c r="Y955" s="379"/>
      <c r="Z955" s="379"/>
    </row>
    <row r="956" ht="12.75" customHeight="1">
      <c r="A956" s="379"/>
      <c r="B956" s="379"/>
      <c r="C956" s="379"/>
      <c r="D956" s="379"/>
      <c r="E956" s="379"/>
      <c r="F956" s="379"/>
      <c r="G956" s="379"/>
      <c r="H956" s="379"/>
      <c r="I956" s="379"/>
      <c r="J956" s="379"/>
      <c r="K956" s="379"/>
      <c r="L956" s="379"/>
      <c r="M956" s="379"/>
      <c r="N956" s="379"/>
      <c r="O956" s="379"/>
      <c r="P956" s="379"/>
      <c r="Q956" s="379"/>
      <c r="R956" s="379"/>
      <c r="S956" s="379"/>
      <c r="T956" s="379"/>
      <c r="U956" s="379"/>
      <c r="V956" s="379"/>
      <c r="W956" s="379"/>
      <c r="X956" s="379"/>
      <c r="Y956" s="379"/>
      <c r="Z956" s="379"/>
    </row>
    <row r="957" ht="12.75" customHeight="1">
      <c r="A957" s="379"/>
      <c r="B957" s="379"/>
      <c r="C957" s="379"/>
      <c r="D957" s="379"/>
      <c r="E957" s="379"/>
      <c r="F957" s="379"/>
      <c r="G957" s="379"/>
      <c r="H957" s="379"/>
      <c r="I957" s="379"/>
      <c r="J957" s="379"/>
      <c r="K957" s="379"/>
      <c r="L957" s="379"/>
      <c r="M957" s="379"/>
      <c r="N957" s="379"/>
      <c r="O957" s="379"/>
      <c r="P957" s="379"/>
      <c r="Q957" s="379"/>
      <c r="R957" s="379"/>
      <c r="S957" s="379"/>
      <c r="T957" s="379"/>
      <c r="U957" s="379"/>
      <c r="V957" s="379"/>
      <c r="W957" s="379"/>
      <c r="X957" s="379"/>
      <c r="Y957" s="379"/>
      <c r="Z957" s="379"/>
    </row>
    <row r="958" ht="12.75" customHeight="1">
      <c r="A958" s="379"/>
      <c r="B958" s="379"/>
      <c r="C958" s="379"/>
      <c r="D958" s="379"/>
      <c r="E958" s="379"/>
      <c r="F958" s="379"/>
      <c r="G958" s="379"/>
      <c r="H958" s="379"/>
      <c r="I958" s="379"/>
      <c r="J958" s="379"/>
      <c r="K958" s="379"/>
      <c r="L958" s="379"/>
      <c r="M958" s="379"/>
      <c r="N958" s="379"/>
      <c r="O958" s="379"/>
      <c r="P958" s="379"/>
      <c r="Q958" s="379"/>
      <c r="R958" s="379"/>
      <c r="S958" s="379"/>
      <c r="T958" s="379"/>
      <c r="U958" s="379"/>
      <c r="V958" s="379"/>
      <c r="W958" s="379"/>
      <c r="X958" s="379"/>
      <c r="Y958" s="379"/>
      <c r="Z958" s="379"/>
    </row>
    <row r="959" ht="12.75" customHeight="1">
      <c r="A959" s="379"/>
      <c r="B959" s="379"/>
      <c r="C959" s="379"/>
      <c r="D959" s="379"/>
      <c r="E959" s="379"/>
      <c r="F959" s="379"/>
      <c r="G959" s="379"/>
      <c r="H959" s="379"/>
      <c r="I959" s="379"/>
      <c r="J959" s="379"/>
      <c r="K959" s="379"/>
      <c r="L959" s="379"/>
      <c r="M959" s="379"/>
      <c r="N959" s="379"/>
      <c r="O959" s="379"/>
      <c r="P959" s="379"/>
      <c r="Q959" s="379"/>
      <c r="R959" s="379"/>
      <c r="S959" s="379"/>
      <c r="T959" s="379"/>
      <c r="U959" s="379"/>
      <c r="V959" s="379"/>
      <c r="W959" s="379"/>
      <c r="X959" s="379"/>
      <c r="Y959" s="379"/>
      <c r="Z959" s="379"/>
    </row>
    <row r="960" ht="12.75" customHeight="1">
      <c r="A960" s="379"/>
      <c r="B960" s="379"/>
      <c r="C960" s="379"/>
      <c r="D960" s="379"/>
      <c r="E960" s="379"/>
      <c r="F960" s="379"/>
      <c r="G960" s="379"/>
      <c r="H960" s="379"/>
      <c r="I960" s="379"/>
      <c r="J960" s="379"/>
      <c r="K960" s="379"/>
      <c r="L960" s="379"/>
      <c r="M960" s="379"/>
      <c r="N960" s="379"/>
      <c r="O960" s="379"/>
      <c r="P960" s="379"/>
      <c r="Q960" s="379"/>
      <c r="R960" s="379"/>
      <c r="S960" s="379"/>
      <c r="T960" s="379"/>
      <c r="U960" s="379"/>
      <c r="V960" s="379"/>
      <c r="W960" s="379"/>
      <c r="X960" s="379"/>
      <c r="Y960" s="379"/>
      <c r="Z960" s="379"/>
    </row>
    <row r="961" ht="12.75" customHeight="1">
      <c r="A961" s="379"/>
      <c r="B961" s="379"/>
      <c r="C961" s="379"/>
      <c r="D961" s="379"/>
      <c r="E961" s="379"/>
      <c r="F961" s="379"/>
      <c r="G961" s="379"/>
      <c r="H961" s="379"/>
      <c r="I961" s="379"/>
      <c r="J961" s="379"/>
      <c r="K961" s="379"/>
      <c r="L961" s="379"/>
      <c r="M961" s="379"/>
      <c r="N961" s="379"/>
      <c r="O961" s="379"/>
      <c r="P961" s="379"/>
      <c r="Q961" s="379"/>
      <c r="R961" s="379"/>
      <c r="S961" s="379"/>
      <c r="T961" s="379"/>
      <c r="U961" s="379"/>
      <c r="V961" s="379"/>
      <c r="W961" s="379"/>
      <c r="X961" s="379"/>
      <c r="Y961" s="379"/>
      <c r="Z961" s="379"/>
    </row>
    <row r="962" ht="12.75" customHeight="1">
      <c r="A962" s="379"/>
      <c r="B962" s="379"/>
      <c r="C962" s="379"/>
      <c r="D962" s="379"/>
      <c r="E962" s="379"/>
      <c r="F962" s="379"/>
      <c r="G962" s="379"/>
      <c r="H962" s="379"/>
      <c r="I962" s="379"/>
      <c r="J962" s="379"/>
      <c r="K962" s="379"/>
      <c r="L962" s="379"/>
      <c r="M962" s="379"/>
      <c r="N962" s="379"/>
      <c r="O962" s="379"/>
      <c r="P962" s="379"/>
      <c r="Q962" s="379"/>
      <c r="R962" s="379"/>
      <c r="S962" s="379"/>
      <c r="T962" s="379"/>
      <c r="U962" s="379"/>
      <c r="V962" s="379"/>
      <c r="W962" s="379"/>
      <c r="X962" s="379"/>
      <c r="Y962" s="379"/>
      <c r="Z962" s="379"/>
    </row>
    <row r="963" ht="12.75" customHeight="1">
      <c r="A963" s="379"/>
      <c r="B963" s="379"/>
      <c r="C963" s="379"/>
      <c r="D963" s="379"/>
      <c r="E963" s="379"/>
      <c r="F963" s="379"/>
      <c r="G963" s="379"/>
      <c r="H963" s="379"/>
      <c r="I963" s="379"/>
      <c r="J963" s="379"/>
      <c r="K963" s="379"/>
      <c r="L963" s="379"/>
      <c r="M963" s="379"/>
      <c r="N963" s="379"/>
      <c r="O963" s="379"/>
      <c r="P963" s="379"/>
      <c r="Q963" s="379"/>
      <c r="R963" s="379"/>
      <c r="S963" s="379"/>
      <c r="T963" s="379"/>
      <c r="U963" s="379"/>
      <c r="V963" s="379"/>
      <c r="W963" s="379"/>
      <c r="X963" s="379"/>
      <c r="Y963" s="379"/>
      <c r="Z963" s="379"/>
    </row>
    <row r="964" ht="12.75" customHeight="1">
      <c r="A964" s="379"/>
      <c r="B964" s="379"/>
      <c r="C964" s="379"/>
      <c r="D964" s="379"/>
      <c r="E964" s="379"/>
      <c r="F964" s="379"/>
      <c r="G964" s="379"/>
      <c r="H964" s="379"/>
      <c r="I964" s="379"/>
      <c r="J964" s="379"/>
      <c r="K964" s="379"/>
      <c r="L964" s="379"/>
      <c r="M964" s="379"/>
      <c r="N964" s="379"/>
      <c r="O964" s="379"/>
      <c r="P964" s="379"/>
      <c r="Q964" s="379"/>
      <c r="R964" s="379"/>
      <c r="S964" s="379"/>
      <c r="T964" s="379"/>
      <c r="U964" s="379"/>
      <c r="V964" s="379"/>
      <c r="W964" s="379"/>
      <c r="X964" s="379"/>
      <c r="Y964" s="379"/>
      <c r="Z964" s="379"/>
    </row>
    <row r="965" ht="12.75" customHeight="1">
      <c r="A965" s="379"/>
      <c r="B965" s="379"/>
      <c r="C965" s="379"/>
      <c r="D965" s="379"/>
      <c r="E965" s="379"/>
      <c r="F965" s="379"/>
      <c r="G965" s="379"/>
      <c r="H965" s="379"/>
      <c r="I965" s="379"/>
      <c r="J965" s="379"/>
      <c r="K965" s="379"/>
      <c r="L965" s="379"/>
      <c r="M965" s="379"/>
      <c r="N965" s="379"/>
      <c r="O965" s="379"/>
      <c r="P965" s="379"/>
      <c r="Q965" s="379"/>
      <c r="R965" s="379"/>
      <c r="S965" s="379"/>
      <c r="T965" s="379"/>
      <c r="U965" s="379"/>
      <c r="V965" s="379"/>
      <c r="W965" s="379"/>
      <c r="X965" s="379"/>
      <c r="Y965" s="379"/>
      <c r="Z965" s="379"/>
    </row>
    <row r="966" ht="12.75" customHeight="1">
      <c r="A966" s="379"/>
      <c r="B966" s="379"/>
      <c r="C966" s="379"/>
      <c r="D966" s="379"/>
      <c r="E966" s="379"/>
      <c r="F966" s="379"/>
      <c r="G966" s="379"/>
      <c r="H966" s="379"/>
      <c r="I966" s="379"/>
      <c r="J966" s="379"/>
      <c r="K966" s="379"/>
      <c r="L966" s="379"/>
      <c r="M966" s="379"/>
      <c r="N966" s="379"/>
      <c r="O966" s="379"/>
      <c r="P966" s="379"/>
      <c r="Q966" s="379"/>
      <c r="R966" s="379"/>
      <c r="S966" s="379"/>
      <c r="T966" s="379"/>
      <c r="U966" s="379"/>
      <c r="V966" s="379"/>
      <c r="W966" s="379"/>
      <c r="X966" s="379"/>
      <c r="Y966" s="379"/>
      <c r="Z966" s="379"/>
    </row>
    <row r="967" ht="12.75" customHeight="1">
      <c r="A967" s="379"/>
      <c r="B967" s="379"/>
      <c r="C967" s="379"/>
      <c r="D967" s="379"/>
      <c r="E967" s="379"/>
      <c r="F967" s="379"/>
      <c r="G967" s="379"/>
      <c r="H967" s="379"/>
      <c r="I967" s="379"/>
      <c r="J967" s="379"/>
      <c r="K967" s="379"/>
      <c r="L967" s="379"/>
      <c r="M967" s="379"/>
      <c r="N967" s="379"/>
      <c r="O967" s="379"/>
      <c r="P967" s="379"/>
      <c r="Q967" s="379"/>
      <c r="R967" s="379"/>
      <c r="S967" s="379"/>
      <c r="T967" s="379"/>
      <c r="U967" s="379"/>
      <c r="V967" s="379"/>
      <c r="W967" s="379"/>
      <c r="X967" s="379"/>
      <c r="Y967" s="379"/>
      <c r="Z967" s="379"/>
    </row>
    <row r="968" ht="12.75" customHeight="1">
      <c r="A968" s="379"/>
      <c r="B968" s="379"/>
      <c r="C968" s="379"/>
      <c r="D968" s="379"/>
      <c r="E968" s="379"/>
      <c r="F968" s="379"/>
      <c r="G968" s="379"/>
      <c r="H968" s="379"/>
      <c r="I968" s="379"/>
      <c r="J968" s="379"/>
      <c r="K968" s="379"/>
      <c r="L968" s="379"/>
      <c r="M968" s="379"/>
      <c r="N968" s="379"/>
      <c r="O968" s="379"/>
      <c r="P968" s="379"/>
      <c r="Q968" s="379"/>
      <c r="R968" s="379"/>
      <c r="S968" s="379"/>
      <c r="T968" s="379"/>
      <c r="U968" s="379"/>
      <c r="V968" s="379"/>
      <c r="W968" s="379"/>
      <c r="X968" s="379"/>
      <c r="Y968" s="379"/>
      <c r="Z968" s="379"/>
    </row>
    <row r="969" ht="12.75" customHeight="1">
      <c r="A969" s="379"/>
      <c r="B969" s="379"/>
      <c r="C969" s="379"/>
      <c r="D969" s="379"/>
      <c r="E969" s="379"/>
      <c r="F969" s="379"/>
      <c r="G969" s="379"/>
      <c r="H969" s="379"/>
      <c r="I969" s="379"/>
      <c r="J969" s="379"/>
      <c r="K969" s="379"/>
      <c r="L969" s="379"/>
      <c r="M969" s="379"/>
      <c r="N969" s="379"/>
      <c r="O969" s="379"/>
      <c r="P969" s="379"/>
      <c r="Q969" s="379"/>
      <c r="R969" s="379"/>
      <c r="S969" s="379"/>
      <c r="T969" s="379"/>
      <c r="U969" s="379"/>
      <c r="V969" s="379"/>
      <c r="W969" s="379"/>
      <c r="X969" s="379"/>
      <c r="Y969" s="379"/>
      <c r="Z969" s="379"/>
    </row>
    <row r="970" ht="12.75" customHeight="1">
      <c r="A970" s="379"/>
      <c r="B970" s="379"/>
      <c r="C970" s="379"/>
      <c r="D970" s="379"/>
      <c r="E970" s="379"/>
      <c r="F970" s="379"/>
      <c r="G970" s="379"/>
      <c r="H970" s="379"/>
      <c r="I970" s="379"/>
      <c r="J970" s="379"/>
      <c r="K970" s="379"/>
      <c r="L970" s="379"/>
      <c r="M970" s="379"/>
      <c r="N970" s="379"/>
      <c r="O970" s="379"/>
      <c r="P970" s="379"/>
      <c r="Q970" s="379"/>
      <c r="R970" s="379"/>
      <c r="S970" s="379"/>
      <c r="T970" s="379"/>
      <c r="U970" s="379"/>
      <c r="V970" s="379"/>
      <c r="W970" s="379"/>
      <c r="X970" s="379"/>
      <c r="Y970" s="379"/>
      <c r="Z970" s="379"/>
    </row>
    <row r="971" ht="12.75" customHeight="1">
      <c r="A971" s="379"/>
      <c r="B971" s="379"/>
      <c r="C971" s="379"/>
      <c r="D971" s="379"/>
      <c r="E971" s="379"/>
      <c r="F971" s="379"/>
      <c r="G971" s="379"/>
      <c r="H971" s="379"/>
      <c r="I971" s="379"/>
      <c r="J971" s="379"/>
      <c r="K971" s="379"/>
      <c r="L971" s="379"/>
      <c r="M971" s="379"/>
      <c r="N971" s="379"/>
      <c r="O971" s="379"/>
      <c r="P971" s="379"/>
      <c r="Q971" s="379"/>
      <c r="R971" s="379"/>
      <c r="S971" s="379"/>
      <c r="T971" s="379"/>
      <c r="U971" s="379"/>
      <c r="V971" s="379"/>
      <c r="W971" s="379"/>
      <c r="X971" s="379"/>
      <c r="Y971" s="379"/>
      <c r="Z971" s="379"/>
    </row>
    <row r="972" ht="12.75" customHeight="1">
      <c r="A972" s="379"/>
      <c r="B972" s="379"/>
      <c r="C972" s="379"/>
      <c r="D972" s="379"/>
      <c r="E972" s="379"/>
      <c r="F972" s="379"/>
      <c r="G972" s="379"/>
      <c r="H972" s="379"/>
      <c r="I972" s="379"/>
      <c r="J972" s="379"/>
      <c r="K972" s="379"/>
      <c r="L972" s="379"/>
      <c r="M972" s="379"/>
      <c r="N972" s="379"/>
      <c r="O972" s="379"/>
      <c r="P972" s="379"/>
      <c r="Q972" s="379"/>
      <c r="R972" s="379"/>
      <c r="S972" s="379"/>
      <c r="T972" s="379"/>
      <c r="U972" s="379"/>
      <c r="V972" s="379"/>
      <c r="W972" s="379"/>
      <c r="X972" s="379"/>
      <c r="Y972" s="379"/>
      <c r="Z972" s="379"/>
    </row>
    <row r="973" ht="12.75" customHeight="1">
      <c r="A973" s="379"/>
      <c r="B973" s="379"/>
      <c r="C973" s="379"/>
      <c r="D973" s="379"/>
      <c r="E973" s="379"/>
      <c r="F973" s="379"/>
      <c r="G973" s="379"/>
      <c r="H973" s="379"/>
      <c r="I973" s="379"/>
      <c r="J973" s="379"/>
      <c r="K973" s="379"/>
      <c r="L973" s="379"/>
      <c r="M973" s="379"/>
      <c r="N973" s="379"/>
      <c r="O973" s="379"/>
      <c r="P973" s="379"/>
      <c r="Q973" s="379"/>
      <c r="R973" s="379"/>
      <c r="S973" s="379"/>
      <c r="T973" s="379"/>
      <c r="U973" s="379"/>
      <c r="V973" s="379"/>
      <c r="W973" s="379"/>
      <c r="X973" s="379"/>
      <c r="Y973" s="379"/>
      <c r="Z973" s="379"/>
    </row>
    <row r="974" ht="12.75" customHeight="1">
      <c r="A974" s="379"/>
      <c r="B974" s="379"/>
      <c r="C974" s="379"/>
      <c r="D974" s="379"/>
      <c r="E974" s="379"/>
      <c r="F974" s="379"/>
      <c r="G974" s="379"/>
      <c r="H974" s="379"/>
      <c r="I974" s="379"/>
      <c r="J974" s="379"/>
      <c r="K974" s="379"/>
      <c r="L974" s="379"/>
      <c r="M974" s="379"/>
      <c r="N974" s="379"/>
      <c r="O974" s="379"/>
      <c r="P974" s="379"/>
      <c r="Q974" s="379"/>
      <c r="R974" s="379"/>
      <c r="S974" s="379"/>
      <c r="T974" s="379"/>
      <c r="U974" s="379"/>
      <c r="V974" s="379"/>
      <c r="W974" s="379"/>
      <c r="X974" s="379"/>
      <c r="Y974" s="379"/>
      <c r="Z974" s="379"/>
    </row>
    <row r="975" ht="12.75" customHeight="1">
      <c r="A975" s="379"/>
      <c r="B975" s="379"/>
      <c r="C975" s="379"/>
      <c r="D975" s="379"/>
      <c r="E975" s="379"/>
      <c r="F975" s="379"/>
      <c r="G975" s="379"/>
      <c r="H975" s="379"/>
      <c r="I975" s="379"/>
      <c r="J975" s="379"/>
      <c r="K975" s="379"/>
      <c r="L975" s="379"/>
      <c r="M975" s="379"/>
      <c r="N975" s="379"/>
      <c r="O975" s="379"/>
      <c r="P975" s="379"/>
      <c r="Q975" s="379"/>
      <c r="R975" s="379"/>
      <c r="S975" s="379"/>
      <c r="T975" s="379"/>
      <c r="U975" s="379"/>
      <c r="V975" s="379"/>
      <c r="W975" s="379"/>
      <c r="X975" s="379"/>
      <c r="Y975" s="379"/>
      <c r="Z975" s="379"/>
    </row>
    <row r="976" ht="12.75" customHeight="1">
      <c r="A976" s="379"/>
      <c r="B976" s="379"/>
      <c r="C976" s="379"/>
      <c r="D976" s="379"/>
      <c r="E976" s="379"/>
      <c r="F976" s="379"/>
      <c r="G976" s="379"/>
      <c r="H976" s="379"/>
      <c r="I976" s="379"/>
      <c r="J976" s="379"/>
      <c r="K976" s="379"/>
      <c r="L976" s="379"/>
      <c r="M976" s="379"/>
      <c r="N976" s="379"/>
      <c r="O976" s="379"/>
      <c r="P976" s="379"/>
      <c r="Q976" s="379"/>
      <c r="R976" s="379"/>
      <c r="S976" s="379"/>
      <c r="T976" s="379"/>
      <c r="U976" s="379"/>
      <c r="V976" s="379"/>
      <c r="W976" s="379"/>
      <c r="X976" s="379"/>
      <c r="Y976" s="379"/>
      <c r="Z976" s="379"/>
    </row>
    <row r="977" ht="12.75" customHeight="1">
      <c r="A977" s="379"/>
      <c r="B977" s="379"/>
      <c r="C977" s="379"/>
      <c r="D977" s="379"/>
      <c r="E977" s="379"/>
      <c r="F977" s="379"/>
      <c r="G977" s="379"/>
      <c r="H977" s="379"/>
      <c r="I977" s="379"/>
      <c r="J977" s="379"/>
      <c r="K977" s="379"/>
      <c r="L977" s="379"/>
      <c r="M977" s="379"/>
      <c r="N977" s="379"/>
      <c r="O977" s="379"/>
      <c r="P977" s="379"/>
      <c r="Q977" s="379"/>
      <c r="R977" s="379"/>
      <c r="S977" s="379"/>
      <c r="T977" s="379"/>
      <c r="U977" s="379"/>
      <c r="V977" s="379"/>
      <c r="W977" s="379"/>
      <c r="X977" s="379"/>
      <c r="Y977" s="379"/>
      <c r="Z977" s="379"/>
    </row>
    <row r="978" ht="12.75" customHeight="1">
      <c r="A978" s="379"/>
      <c r="B978" s="379"/>
      <c r="C978" s="379"/>
      <c r="D978" s="379"/>
      <c r="E978" s="379"/>
      <c r="F978" s="379"/>
      <c r="G978" s="379"/>
      <c r="H978" s="379"/>
      <c r="I978" s="379"/>
      <c r="J978" s="379"/>
      <c r="K978" s="379"/>
      <c r="L978" s="379"/>
      <c r="M978" s="379"/>
      <c r="N978" s="379"/>
      <c r="O978" s="379"/>
      <c r="P978" s="379"/>
      <c r="Q978" s="379"/>
      <c r="R978" s="379"/>
      <c r="S978" s="379"/>
      <c r="T978" s="379"/>
      <c r="U978" s="379"/>
      <c r="V978" s="379"/>
      <c r="W978" s="379"/>
      <c r="X978" s="379"/>
      <c r="Y978" s="379"/>
      <c r="Z978" s="379"/>
    </row>
    <row r="979" ht="12.75" customHeight="1">
      <c r="A979" s="379"/>
      <c r="B979" s="379"/>
      <c r="C979" s="379"/>
      <c r="D979" s="379"/>
      <c r="E979" s="379"/>
      <c r="F979" s="379"/>
      <c r="G979" s="379"/>
      <c r="H979" s="379"/>
      <c r="I979" s="379"/>
      <c r="J979" s="379"/>
      <c r="K979" s="379"/>
      <c r="L979" s="379"/>
      <c r="M979" s="379"/>
      <c r="N979" s="379"/>
      <c r="O979" s="379"/>
      <c r="P979" s="379"/>
      <c r="Q979" s="379"/>
      <c r="R979" s="379"/>
      <c r="S979" s="379"/>
      <c r="T979" s="379"/>
      <c r="U979" s="379"/>
      <c r="V979" s="379"/>
      <c r="W979" s="379"/>
      <c r="X979" s="379"/>
      <c r="Y979" s="379"/>
      <c r="Z979" s="379"/>
    </row>
    <row r="980" ht="12.75" customHeight="1">
      <c r="A980" s="379"/>
      <c r="B980" s="379"/>
      <c r="C980" s="379"/>
      <c r="D980" s="379"/>
      <c r="E980" s="379"/>
      <c r="F980" s="379"/>
      <c r="G980" s="379"/>
      <c r="H980" s="379"/>
      <c r="I980" s="379"/>
      <c r="J980" s="379"/>
      <c r="K980" s="379"/>
      <c r="L980" s="379"/>
      <c r="M980" s="379"/>
      <c r="N980" s="379"/>
      <c r="O980" s="379"/>
      <c r="P980" s="379"/>
      <c r="Q980" s="379"/>
      <c r="R980" s="379"/>
      <c r="S980" s="379"/>
      <c r="T980" s="379"/>
      <c r="U980" s="379"/>
      <c r="V980" s="379"/>
      <c r="W980" s="379"/>
      <c r="X980" s="379"/>
      <c r="Y980" s="379"/>
      <c r="Z980" s="379"/>
    </row>
    <row r="981" ht="12.75" customHeight="1">
      <c r="A981" s="379"/>
      <c r="B981" s="379"/>
      <c r="C981" s="379"/>
      <c r="D981" s="379"/>
      <c r="E981" s="379"/>
      <c r="F981" s="379"/>
      <c r="G981" s="379"/>
      <c r="H981" s="379"/>
      <c r="I981" s="379"/>
      <c r="J981" s="379"/>
      <c r="K981" s="379"/>
      <c r="L981" s="379"/>
      <c r="M981" s="379"/>
      <c r="N981" s="379"/>
      <c r="O981" s="379"/>
      <c r="P981" s="379"/>
      <c r="Q981" s="379"/>
      <c r="R981" s="379"/>
      <c r="S981" s="379"/>
      <c r="T981" s="379"/>
      <c r="U981" s="379"/>
      <c r="V981" s="379"/>
      <c r="W981" s="379"/>
      <c r="X981" s="379"/>
      <c r="Y981" s="379"/>
      <c r="Z981" s="379"/>
    </row>
    <row r="982" ht="12.75" customHeight="1">
      <c r="A982" s="379"/>
      <c r="B982" s="379"/>
      <c r="C982" s="379"/>
      <c r="D982" s="379"/>
      <c r="E982" s="379"/>
      <c r="F982" s="379"/>
      <c r="G982" s="379"/>
      <c r="H982" s="379"/>
      <c r="I982" s="379"/>
      <c r="J982" s="379"/>
      <c r="K982" s="379"/>
      <c r="L982" s="379"/>
      <c r="M982" s="379"/>
      <c r="N982" s="379"/>
      <c r="O982" s="379"/>
      <c r="P982" s="379"/>
      <c r="Q982" s="379"/>
      <c r="R982" s="379"/>
      <c r="S982" s="379"/>
      <c r="T982" s="379"/>
      <c r="U982" s="379"/>
      <c r="V982" s="379"/>
      <c r="W982" s="379"/>
      <c r="X982" s="379"/>
      <c r="Y982" s="379"/>
      <c r="Z982" s="379"/>
    </row>
    <row r="983" ht="12.75" customHeight="1">
      <c r="A983" s="379"/>
      <c r="B983" s="379"/>
      <c r="C983" s="379"/>
      <c r="D983" s="379"/>
      <c r="E983" s="379"/>
      <c r="F983" s="379"/>
      <c r="G983" s="379"/>
      <c r="H983" s="379"/>
      <c r="I983" s="379"/>
      <c r="J983" s="379"/>
      <c r="K983" s="379"/>
      <c r="L983" s="379"/>
      <c r="M983" s="379"/>
      <c r="N983" s="379"/>
      <c r="O983" s="379"/>
      <c r="P983" s="379"/>
      <c r="Q983" s="379"/>
      <c r="R983" s="379"/>
      <c r="S983" s="379"/>
      <c r="T983" s="379"/>
      <c r="U983" s="379"/>
      <c r="V983" s="379"/>
      <c r="W983" s="379"/>
      <c r="X983" s="379"/>
      <c r="Y983" s="379"/>
      <c r="Z983" s="379"/>
    </row>
    <row r="984" ht="12.75" customHeight="1">
      <c r="A984" s="379"/>
      <c r="B984" s="379"/>
      <c r="C984" s="379"/>
      <c r="D984" s="379"/>
      <c r="E984" s="379"/>
      <c r="F984" s="379"/>
      <c r="G984" s="379"/>
      <c r="H984" s="379"/>
      <c r="I984" s="379"/>
      <c r="J984" s="379"/>
      <c r="K984" s="379"/>
      <c r="L984" s="379"/>
      <c r="M984" s="379"/>
      <c r="N984" s="379"/>
      <c r="O984" s="379"/>
      <c r="P984" s="379"/>
      <c r="Q984" s="379"/>
      <c r="R984" s="379"/>
      <c r="S984" s="379"/>
      <c r="T984" s="379"/>
      <c r="U984" s="379"/>
      <c r="V984" s="379"/>
      <c r="W984" s="379"/>
      <c r="X984" s="379"/>
      <c r="Y984" s="379"/>
      <c r="Z984" s="379"/>
    </row>
    <row r="985" ht="12.75" customHeight="1">
      <c r="A985" s="379"/>
      <c r="B985" s="379"/>
      <c r="C985" s="379"/>
      <c r="D985" s="379"/>
      <c r="E985" s="379"/>
      <c r="F985" s="379"/>
      <c r="G985" s="379"/>
      <c r="H985" s="379"/>
      <c r="I985" s="379"/>
      <c r="J985" s="379"/>
      <c r="K985" s="379"/>
      <c r="L985" s="379"/>
      <c r="M985" s="379"/>
      <c r="N985" s="379"/>
      <c r="O985" s="379"/>
      <c r="P985" s="379"/>
      <c r="Q985" s="379"/>
      <c r="R985" s="379"/>
      <c r="S985" s="379"/>
      <c r="T985" s="379"/>
      <c r="U985" s="379"/>
      <c r="V985" s="379"/>
      <c r="W985" s="379"/>
      <c r="X985" s="379"/>
      <c r="Y985" s="379"/>
      <c r="Z985" s="379"/>
    </row>
    <row r="986" ht="12.75" customHeight="1">
      <c r="A986" s="379"/>
      <c r="B986" s="379"/>
      <c r="C986" s="379"/>
      <c r="D986" s="379"/>
      <c r="E986" s="379"/>
      <c r="F986" s="379"/>
      <c r="G986" s="379"/>
      <c r="H986" s="379"/>
      <c r="I986" s="379"/>
      <c r="J986" s="379"/>
      <c r="K986" s="379"/>
      <c r="L986" s="379"/>
      <c r="M986" s="379"/>
      <c r="N986" s="379"/>
      <c r="O986" s="379"/>
      <c r="P986" s="379"/>
      <c r="Q986" s="379"/>
      <c r="R986" s="379"/>
      <c r="S986" s="379"/>
      <c r="T986" s="379"/>
      <c r="U986" s="379"/>
      <c r="V986" s="379"/>
      <c r="W986" s="379"/>
      <c r="X986" s="379"/>
      <c r="Y986" s="379"/>
      <c r="Z986" s="379"/>
    </row>
    <row r="987" ht="12.75" customHeight="1">
      <c r="A987" s="379"/>
      <c r="B987" s="379"/>
      <c r="C987" s="379"/>
      <c r="D987" s="379"/>
      <c r="E987" s="379"/>
      <c r="F987" s="379"/>
      <c r="G987" s="379"/>
      <c r="H987" s="379"/>
      <c r="I987" s="379"/>
      <c r="J987" s="379"/>
      <c r="K987" s="379"/>
      <c r="L987" s="379"/>
      <c r="M987" s="379"/>
      <c r="N987" s="379"/>
      <c r="O987" s="379"/>
      <c r="P987" s="379"/>
      <c r="Q987" s="379"/>
      <c r="R987" s="379"/>
      <c r="S987" s="379"/>
      <c r="T987" s="379"/>
      <c r="U987" s="379"/>
      <c r="V987" s="379"/>
      <c r="W987" s="379"/>
      <c r="X987" s="379"/>
      <c r="Y987" s="379"/>
      <c r="Z987" s="379"/>
    </row>
    <row r="988" ht="12.75" customHeight="1">
      <c r="A988" s="379"/>
      <c r="B988" s="379"/>
      <c r="C988" s="379"/>
      <c r="D988" s="379"/>
      <c r="E988" s="379"/>
      <c r="F988" s="379"/>
      <c r="G988" s="379"/>
      <c r="H988" s="379"/>
      <c r="I988" s="379"/>
      <c r="J988" s="379"/>
      <c r="K988" s="379"/>
      <c r="L988" s="379"/>
      <c r="M988" s="379"/>
      <c r="N988" s="379"/>
      <c r="O988" s="379"/>
      <c r="P988" s="379"/>
      <c r="Q988" s="379"/>
      <c r="R988" s="379"/>
      <c r="S988" s="379"/>
      <c r="T988" s="379"/>
      <c r="U988" s="379"/>
      <c r="V988" s="379"/>
      <c r="W988" s="379"/>
      <c r="X988" s="379"/>
      <c r="Y988" s="379"/>
      <c r="Z988" s="379"/>
    </row>
    <row r="989" ht="12.75" customHeight="1">
      <c r="A989" s="379"/>
      <c r="B989" s="379"/>
      <c r="C989" s="379"/>
      <c r="D989" s="379"/>
      <c r="E989" s="379"/>
      <c r="F989" s="379"/>
      <c r="G989" s="379"/>
      <c r="H989" s="379"/>
      <c r="I989" s="379"/>
      <c r="J989" s="379"/>
      <c r="K989" s="379"/>
      <c r="L989" s="379"/>
      <c r="M989" s="379"/>
      <c r="N989" s="379"/>
      <c r="O989" s="379"/>
      <c r="P989" s="379"/>
      <c r="Q989" s="379"/>
      <c r="R989" s="379"/>
      <c r="S989" s="379"/>
      <c r="T989" s="379"/>
      <c r="U989" s="379"/>
      <c r="V989" s="379"/>
      <c r="W989" s="379"/>
      <c r="X989" s="379"/>
      <c r="Y989" s="379"/>
      <c r="Z989" s="379"/>
    </row>
    <row r="990" ht="12.75" customHeight="1">
      <c r="A990" s="379"/>
      <c r="B990" s="379"/>
      <c r="C990" s="379"/>
      <c r="D990" s="379"/>
      <c r="E990" s="379"/>
      <c r="F990" s="379"/>
      <c r="G990" s="379"/>
      <c r="H990" s="379"/>
      <c r="I990" s="379"/>
      <c r="J990" s="379"/>
      <c r="K990" s="379"/>
      <c r="L990" s="379"/>
      <c r="M990" s="379"/>
      <c r="N990" s="379"/>
      <c r="O990" s="379"/>
      <c r="P990" s="379"/>
      <c r="Q990" s="379"/>
      <c r="R990" s="379"/>
      <c r="S990" s="379"/>
      <c r="T990" s="379"/>
      <c r="U990" s="379"/>
      <c r="V990" s="379"/>
      <c r="W990" s="379"/>
      <c r="X990" s="379"/>
      <c r="Y990" s="379"/>
      <c r="Z990" s="379"/>
    </row>
    <row r="991" ht="12.75" customHeight="1">
      <c r="A991" s="379"/>
      <c r="B991" s="379"/>
      <c r="C991" s="379"/>
      <c r="D991" s="379"/>
      <c r="E991" s="379"/>
      <c r="F991" s="379"/>
      <c r="G991" s="379"/>
      <c r="H991" s="379"/>
      <c r="I991" s="379"/>
      <c r="J991" s="379"/>
      <c r="K991" s="379"/>
      <c r="L991" s="379"/>
      <c r="M991" s="379"/>
      <c r="N991" s="379"/>
      <c r="O991" s="379"/>
      <c r="P991" s="379"/>
      <c r="Q991" s="379"/>
      <c r="R991" s="379"/>
      <c r="S991" s="379"/>
      <c r="T991" s="379"/>
      <c r="U991" s="379"/>
      <c r="V991" s="379"/>
      <c r="W991" s="379"/>
      <c r="X991" s="379"/>
      <c r="Y991" s="379"/>
      <c r="Z991" s="379"/>
    </row>
    <row r="992" ht="12.75" customHeight="1">
      <c r="A992" s="379"/>
      <c r="B992" s="379"/>
      <c r="C992" s="379"/>
      <c r="D992" s="379"/>
      <c r="E992" s="379"/>
      <c r="F992" s="379"/>
      <c r="G992" s="379"/>
      <c r="H992" s="379"/>
      <c r="I992" s="379"/>
      <c r="J992" s="379"/>
      <c r="K992" s="379"/>
      <c r="L992" s="379"/>
      <c r="M992" s="379"/>
      <c r="N992" s="379"/>
      <c r="O992" s="379"/>
      <c r="P992" s="379"/>
      <c r="Q992" s="379"/>
      <c r="R992" s="379"/>
      <c r="S992" s="379"/>
      <c r="T992" s="379"/>
      <c r="U992" s="379"/>
      <c r="V992" s="379"/>
      <c r="W992" s="379"/>
      <c r="X992" s="379"/>
      <c r="Y992" s="379"/>
      <c r="Z992" s="379"/>
    </row>
    <row r="993" ht="12.75" customHeight="1">
      <c r="A993" s="379"/>
      <c r="B993" s="379"/>
      <c r="C993" s="379"/>
      <c r="D993" s="379"/>
      <c r="E993" s="379"/>
      <c r="F993" s="379"/>
      <c r="G993" s="379"/>
      <c r="H993" s="379"/>
      <c r="I993" s="379"/>
      <c r="J993" s="379"/>
      <c r="K993" s="379"/>
      <c r="L993" s="379"/>
      <c r="M993" s="379"/>
      <c r="N993" s="379"/>
      <c r="O993" s="379"/>
      <c r="P993" s="379"/>
      <c r="Q993" s="379"/>
      <c r="R993" s="379"/>
      <c r="S993" s="379"/>
      <c r="T993" s="379"/>
      <c r="U993" s="379"/>
      <c r="V993" s="379"/>
      <c r="W993" s="379"/>
      <c r="X993" s="379"/>
      <c r="Y993" s="379"/>
      <c r="Z993" s="379"/>
    </row>
    <row r="994" ht="12.75" customHeight="1">
      <c r="A994" s="379"/>
      <c r="B994" s="379"/>
      <c r="C994" s="379"/>
      <c r="D994" s="379"/>
      <c r="E994" s="379"/>
      <c r="F994" s="379"/>
      <c r="G994" s="379"/>
      <c r="H994" s="379"/>
      <c r="I994" s="379"/>
      <c r="J994" s="379"/>
      <c r="K994" s="379"/>
      <c r="L994" s="379"/>
      <c r="M994" s="379"/>
      <c r="N994" s="379"/>
      <c r="O994" s="379"/>
      <c r="P994" s="379"/>
      <c r="Q994" s="379"/>
      <c r="R994" s="379"/>
      <c r="S994" s="379"/>
      <c r="T994" s="379"/>
      <c r="U994" s="379"/>
      <c r="V994" s="379"/>
      <c r="W994" s="379"/>
      <c r="X994" s="379"/>
      <c r="Y994" s="379"/>
      <c r="Z994" s="379"/>
    </row>
    <row r="995" ht="12.75" customHeight="1">
      <c r="A995" s="379"/>
      <c r="B995" s="379"/>
      <c r="C995" s="379"/>
      <c r="D995" s="379"/>
      <c r="E995" s="379"/>
      <c r="F995" s="379"/>
      <c r="G995" s="379"/>
      <c r="H995" s="379"/>
      <c r="I995" s="379"/>
      <c r="J995" s="379"/>
      <c r="K995" s="379"/>
      <c r="L995" s="379"/>
      <c r="M995" s="379"/>
      <c r="N995" s="379"/>
      <c r="O995" s="379"/>
      <c r="P995" s="379"/>
      <c r="Q995" s="379"/>
      <c r="R995" s="379"/>
      <c r="S995" s="379"/>
      <c r="T995" s="379"/>
      <c r="U995" s="379"/>
      <c r="V995" s="379"/>
      <c r="W995" s="379"/>
      <c r="X995" s="379"/>
      <c r="Y995" s="379"/>
      <c r="Z995" s="379"/>
    </row>
    <row r="996" ht="12.75" customHeight="1">
      <c r="A996" s="379"/>
      <c r="B996" s="379"/>
      <c r="C996" s="379"/>
      <c r="D996" s="379"/>
      <c r="E996" s="379"/>
      <c r="F996" s="379"/>
      <c r="G996" s="379"/>
      <c r="H996" s="379"/>
      <c r="I996" s="379"/>
      <c r="J996" s="379"/>
      <c r="K996" s="379"/>
      <c r="L996" s="379"/>
      <c r="M996" s="379"/>
      <c r="N996" s="379"/>
      <c r="O996" s="379"/>
      <c r="P996" s="379"/>
      <c r="Q996" s="379"/>
      <c r="R996" s="379"/>
      <c r="S996" s="379"/>
      <c r="T996" s="379"/>
      <c r="U996" s="379"/>
      <c r="V996" s="379"/>
      <c r="W996" s="379"/>
      <c r="X996" s="379"/>
      <c r="Y996" s="379"/>
      <c r="Z996" s="379"/>
    </row>
    <row r="997" ht="12.75" customHeight="1">
      <c r="A997" s="379"/>
      <c r="B997" s="379"/>
      <c r="C997" s="379"/>
      <c r="D997" s="379"/>
      <c r="E997" s="379"/>
      <c r="F997" s="379"/>
      <c r="G997" s="379"/>
      <c r="H997" s="379"/>
      <c r="I997" s="379"/>
      <c r="J997" s="379"/>
      <c r="K997" s="379"/>
      <c r="L997" s="379"/>
      <c r="M997" s="379"/>
      <c r="N997" s="379"/>
      <c r="O997" s="379"/>
      <c r="P997" s="379"/>
      <c r="Q997" s="379"/>
      <c r="R997" s="379"/>
      <c r="S997" s="379"/>
      <c r="T997" s="379"/>
      <c r="U997" s="379"/>
      <c r="V997" s="379"/>
      <c r="W997" s="379"/>
      <c r="X997" s="379"/>
      <c r="Y997" s="379"/>
      <c r="Z997" s="379"/>
    </row>
    <row r="998" ht="12.75" customHeight="1">
      <c r="A998" s="379"/>
      <c r="B998" s="379"/>
      <c r="C998" s="379"/>
      <c r="D998" s="379"/>
      <c r="E998" s="379"/>
      <c r="F998" s="379"/>
      <c r="G998" s="379"/>
      <c r="H998" s="379"/>
      <c r="I998" s="379"/>
      <c r="J998" s="379"/>
      <c r="K998" s="379"/>
      <c r="L998" s="379"/>
      <c r="M998" s="379"/>
      <c r="N998" s="379"/>
      <c r="O998" s="379"/>
      <c r="P998" s="379"/>
      <c r="Q998" s="379"/>
      <c r="R998" s="379"/>
      <c r="S998" s="379"/>
      <c r="T998" s="379"/>
      <c r="U998" s="379"/>
      <c r="V998" s="379"/>
      <c r="W998" s="379"/>
      <c r="X998" s="379"/>
      <c r="Y998" s="379"/>
      <c r="Z998" s="379"/>
    </row>
    <row r="999" ht="12.75" customHeight="1">
      <c r="A999" s="379"/>
      <c r="B999" s="379"/>
      <c r="C999" s="379"/>
      <c r="D999" s="379"/>
      <c r="E999" s="379"/>
      <c r="F999" s="379"/>
      <c r="G999" s="379"/>
      <c r="H999" s="379"/>
      <c r="I999" s="379"/>
      <c r="J999" s="379"/>
      <c r="K999" s="379"/>
      <c r="L999" s="379"/>
      <c r="M999" s="379"/>
      <c r="N999" s="379"/>
      <c r="O999" s="379"/>
      <c r="P999" s="379"/>
      <c r="Q999" s="379"/>
      <c r="R999" s="379"/>
      <c r="S999" s="379"/>
      <c r="T999" s="379"/>
      <c r="U999" s="379"/>
      <c r="V999" s="379"/>
      <c r="W999" s="379"/>
      <c r="X999" s="379"/>
      <c r="Y999" s="379"/>
      <c r="Z999" s="379"/>
    </row>
    <row r="1000" ht="12.75" customHeight="1">
      <c r="A1000" s="379"/>
      <c r="B1000" s="379"/>
      <c r="C1000" s="379"/>
      <c r="D1000" s="379"/>
      <c r="E1000" s="379"/>
      <c r="F1000" s="379"/>
      <c r="G1000" s="379"/>
      <c r="H1000" s="379"/>
      <c r="I1000" s="379"/>
      <c r="J1000" s="379"/>
      <c r="K1000" s="379"/>
      <c r="L1000" s="379"/>
      <c r="M1000" s="379"/>
      <c r="N1000" s="379"/>
      <c r="O1000" s="379"/>
      <c r="P1000" s="379"/>
      <c r="Q1000" s="379"/>
      <c r="R1000" s="379"/>
      <c r="S1000" s="379"/>
      <c r="T1000" s="379"/>
      <c r="U1000" s="379"/>
      <c r="V1000" s="379"/>
      <c r="W1000" s="379"/>
      <c r="X1000" s="379"/>
      <c r="Y1000" s="379"/>
      <c r="Z1000" s="379"/>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2" width="18.57"/>
    <col customWidth="1" min="3" max="6" width="17.29"/>
    <col customWidth="1" min="7" max="7" width="3.0"/>
    <col customWidth="1" min="8" max="26" width="9.71"/>
  </cols>
  <sheetData>
    <row r="1" ht="16.5" customHeight="1">
      <c r="A1" s="222" t="str">
        <f>[1]Status!C1</f>
        <v>#ERROR!</v>
      </c>
      <c r="B1" s="433"/>
      <c r="C1" s="222"/>
      <c r="D1" s="222"/>
      <c r="E1" s="222"/>
      <c r="F1" s="609"/>
      <c r="G1" s="222"/>
      <c r="H1" s="222"/>
      <c r="I1" s="222"/>
      <c r="J1" s="222"/>
      <c r="K1" s="222"/>
      <c r="L1" s="222"/>
      <c r="M1" s="222"/>
      <c r="N1" s="222"/>
      <c r="O1" s="222"/>
      <c r="P1" s="222"/>
      <c r="Q1" s="222"/>
      <c r="R1" s="222"/>
      <c r="S1" s="222"/>
      <c r="T1" s="222"/>
      <c r="U1" s="222"/>
      <c r="V1" s="222"/>
      <c r="W1" s="222"/>
      <c r="X1" s="222"/>
      <c r="Y1" s="222"/>
      <c r="Z1" s="222"/>
    </row>
    <row r="2" ht="16.5" customHeight="1">
      <c r="A2" s="222" t="s">
        <v>237</v>
      </c>
      <c r="B2" s="433"/>
      <c r="C2" s="222"/>
      <c r="D2" s="222"/>
      <c r="E2" s="222"/>
      <c r="F2" s="609"/>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10"/>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238</v>
      </c>
      <c r="G5" s="222"/>
      <c r="H5" s="222"/>
      <c r="I5" s="222"/>
      <c r="J5" s="222"/>
      <c r="K5" s="222"/>
      <c r="L5" s="222"/>
      <c r="M5" s="222"/>
      <c r="N5" s="222"/>
      <c r="O5" s="222"/>
      <c r="P5" s="222"/>
      <c r="Q5" s="222"/>
      <c r="R5" s="222"/>
      <c r="S5" s="222"/>
      <c r="T5" s="222"/>
      <c r="U5" s="222"/>
      <c r="V5" s="222"/>
      <c r="W5" s="222"/>
      <c r="X5" s="222"/>
      <c r="Y5" s="222"/>
      <c r="Z5" s="222"/>
    </row>
    <row r="6" ht="30.0" customHeight="1">
      <c r="A6" s="611" t="str">
        <f>[1]Status!A6</f>
        <v>#ERROR!</v>
      </c>
      <c r="B6" s="298"/>
      <c r="C6" s="298"/>
      <c r="D6" s="298"/>
      <c r="E6" s="298"/>
      <c r="F6" s="298"/>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1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518">
        <v>3150805.58</v>
      </c>
      <c r="C8" s="519">
        <f>3150806</f>
        <v>3150806</v>
      </c>
      <c r="D8" s="519"/>
      <c r="E8" s="519">
        <v>0.0</v>
      </c>
      <c r="F8" s="616">
        <f t="shared" ref="F8:F50" si="1">B8-C8-D8-E8</f>
        <v>-0.4199999999</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522">
        <v>1832846.66</v>
      </c>
      <c r="C9" s="522">
        <v>1832846.66</v>
      </c>
      <c r="D9" s="523">
        <v>0.0</v>
      </c>
      <c r="E9" s="523">
        <v>0.0</v>
      </c>
      <c r="F9" s="618">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522">
        <v>7684.89164893386</v>
      </c>
      <c r="C10" s="523">
        <v>0.0</v>
      </c>
      <c r="D10" s="523">
        <v>0.0</v>
      </c>
      <c r="E10" s="523">
        <v>0.0</v>
      </c>
      <c r="F10" s="618">
        <f t="shared" si="1"/>
        <v>7684.891649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522">
        <v>36503.24</v>
      </c>
      <c r="C11" s="523"/>
      <c r="D11" s="523">
        <v>0.0</v>
      </c>
      <c r="E11" s="523">
        <v>0.0</v>
      </c>
      <c r="F11" s="618">
        <f t="shared" si="1"/>
        <v>36503.24</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522">
        <v>2186351.67</v>
      </c>
      <c r="C12" s="523">
        <f>2186352</f>
        <v>2186352</v>
      </c>
      <c r="D12" s="523">
        <v>0.0</v>
      </c>
      <c r="E12" s="523">
        <v>0.0</v>
      </c>
      <c r="F12" s="618">
        <f t="shared" si="1"/>
        <v>-0.3300000001</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522">
        <v>24975.9</v>
      </c>
      <c r="C13" s="523">
        <v>24975.9</v>
      </c>
      <c r="D13" s="523">
        <v>0.0</v>
      </c>
      <c r="E13" s="523">
        <v>0.0</v>
      </c>
      <c r="F13" s="618">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522">
        <v>4954833.89</v>
      </c>
      <c r="C14" s="523">
        <f>(275881.77-28902.47)+3963867+158374-222845</f>
        <v>4146375.3</v>
      </c>
      <c r="D14" s="523">
        <f>329960+478499</f>
        <v>808459</v>
      </c>
      <c r="E14" s="523">
        <v>0.0</v>
      </c>
      <c r="F14" s="618">
        <f t="shared" si="1"/>
        <v>-0.4100000001</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522">
        <v>330450.34</v>
      </c>
      <c r="C15" s="522">
        <f>330450.34-66090</f>
        <v>264360.34</v>
      </c>
      <c r="D15" s="523">
        <v>66090.0</v>
      </c>
      <c r="E15" s="523">
        <v>0.0</v>
      </c>
      <c r="F15" s="618">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522">
        <v>1450523.3</v>
      </c>
      <c r="C16" s="523">
        <v>1450523.0</v>
      </c>
      <c r="D16" s="523">
        <v>0.0</v>
      </c>
      <c r="E16" s="523">
        <v>0.0</v>
      </c>
      <c r="F16" s="618">
        <f t="shared" si="1"/>
        <v>0.3</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522">
        <v>19212.23</v>
      </c>
      <c r="C17" s="523">
        <v>19212.0</v>
      </c>
      <c r="D17" s="523">
        <v>0.0</v>
      </c>
      <c r="E17" s="523">
        <v>0.0</v>
      </c>
      <c r="F17" s="618">
        <f t="shared" si="1"/>
        <v>0.23</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522">
        <v>1010563.25</v>
      </c>
      <c r="C18" s="522">
        <v>1010563.25</v>
      </c>
      <c r="D18" s="523">
        <v>0.0</v>
      </c>
      <c r="E18" s="523"/>
      <c r="F18" s="618">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522">
        <v>1.2518689E7</v>
      </c>
      <c r="C19" s="523">
        <v>1.2484064E7</v>
      </c>
      <c r="D19" s="523">
        <v>0.0</v>
      </c>
      <c r="E19" s="619">
        <v>0.0</v>
      </c>
      <c r="F19" s="618">
        <f t="shared" si="1"/>
        <v>34625</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522">
        <v>1.891443957E7</v>
      </c>
      <c r="C20" s="523">
        <f>3900473+2404340.57+6304813.19+6304813.19-1904825</f>
        <v>17009614.95</v>
      </c>
      <c r="D20" s="523">
        <f>2969479+847393-33984+1904825</f>
        <v>5687713</v>
      </c>
      <c r="E20" s="523">
        <f>18914440-3900473-2404340.57-6304813.19-6304813.19</f>
        <v>0.04999999888</v>
      </c>
      <c r="F20" s="618">
        <f t="shared" si="1"/>
        <v>-3782888.43</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522">
        <v>1043224.04</v>
      </c>
      <c r="C21" s="523">
        <f>567054.44+967797.91</f>
        <v>1534852.35</v>
      </c>
      <c r="D21" s="523">
        <v>0.0</v>
      </c>
      <c r="E21" s="523">
        <v>0.0</v>
      </c>
      <c r="F21" s="618">
        <f t="shared" si="1"/>
        <v>-491628.31</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522">
        <v>232468.0</v>
      </c>
      <c r="C22" s="523">
        <f>186000+46468-46494</f>
        <v>185974</v>
      </c>
      <c r="D22" s="523">
        <v>46494.0</v>
      </c>
      <c r="E22" s="523">
        <v>0.0</v>
      </c>
      <c r="F22" s="618">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522">
        <v>63400.36</v>
      </c>
      <c r="C23" s="522">
        <v>63400.36</v>
      </c>
      <c r="D23" s="523">
        <v>0.0</v>
      </c>
      <c r="E23" s="523">
        <v>0.0</v>
      </c>
      <c r="F23" s="618">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154</v>
      </c>
      <c r="B24" s="522">
        <v>570603.2</v>
      </c>
      <c r="C24" s="523">
        <v>570603.0</v>
      </c>
      <c r="D24" s="523">
        <v>0.0</v>
      </c>
      <c r="E24" s="523">
        <v>0.0</v>
      </c>
      <c r="F24" s="618">
        <f t="shared" si="1"/>
        <v>0.2</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522">
        <v>803071.18</v>
      </c>
      <c r="C25" s="523">
        <v>70024.0</v>
      </c>
      <c r="D25" s="523">
        <v>0.0</v>
      </c>
      <c r="E25" s="523">
        <v>0.0</v>
      </c>
      <c r="F25" s="618">
        <f t="shared" si="1"/>
        <v>733047.18</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235</v>
      </c>
      <c r="B26" s="522">
        <v>9805921.74</v>
      </c>
      <c r="C26" s="523">
        <v>7844737.0</v>
      </c>
      <c r="D26" s="523">
        <v>1961184.74</v>
      </c>
      <c r="E26" s="523">
        <v>0.0</v>
      </c>
      <c r="F26" s="618">
        <f t="shared" si="1"/>
        <v>0.0000000002328306437</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522">
        <v>3.476E7</v>
      </c>
      <c r="C27" s="523">
        <v>3.4721722E7</v>
      </c>
      <c r="D27" s="523">
        <v>38278.0</v>
      </c>
      <c r="E27" s="523">
        <v>0.0</v>
      </c>
      <c r="F27" s="618">
        <f t="shared" si="1"/>
        <v>0</v>
      </c>
      <c r="G27" s="617"/>
      <c r="H27" s="222"/>
      <c r="I27" s="222"/>
      <c r="J27" s="222"/>
      <c r="K27" s="222"/>
      <c r="L27" s="222"/>
      <c r="M27" s="222"/>
      <c r="N27" s="222"/>
      <c r="O27" s="222"/>
      <c r="P27" s="222"/>
      <c r="Q27" s="222"/>
      <c r="R27" s="222"/>
      <c r="S27" s="222"/>
      <c r="T27" s="222"/>
      <c r="U27" s="222"/>
      <c r="V27" s="222"/>
      <c r="W27" s="222"/>
      <c r="X27" s="222"/>
      <c r="Y27" s="222"/>
      <c r="Z27" s="222"/>
    </row>
    <row r="28">
      <c r="A28" s="278" t="s">
        <v>110</v>
      </c>
      <c r="B28" s="420">
        <v>0.0</v>
      </c>
      <c r="C28" s="321">
        <v>0.0</v>
      </c>
      <c r="D28" s="405"/>
      <c r="E28" s="405"/>
      <c r="F28" s="618">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522">
        <v>19212.23</v>
      </c>
      <c r="C29" s="522">
        <v>19212.23</v>
      </c>
      <c r="D29" s="523">
        <v>0.0</v>
      </c>
      <c r="E29" s="523">
        <v>0.0</v>
      </c>
      <c r="F29" s="618">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522">
        <v>11527.34</v>
      </c>
      <c r="C30" s="523">
        <v>11527.0</v>
      </c>
      <c r="D30" s="523">
        <v>0.0</v>
      </c>
      <c r="E30" s="523">
        <v>0.0</v>
      </c>
      <c r="F30" s="618">
        <f t="shared" si="1"/>
        <v>0.34</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522">
        <v>32660.79</v>
      </c>
      <c r="C31" s="522"/>
      <c r="D31" s="523">
        <v>0.0</v>
      </c>
      <c r="E31" s="523">
        <v>0.0</v>
      </c>
      <c r="F31" s="618">
        <f t="shared" si="1"/>
        <v>32660.79</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522">
        <v>153697.83</v>
      </c>
      <c r="C32" s="522">
        <v>153697.83</v>
      </c>
      <c r="D32" s="523">
        <v>0.0</v>
      </c>
      <c r="E32" s="523">
        <v>0.0</v>
      </c>
      <c r="F32" s="618">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522">
        <v>7684.89</v>
      </c>
      <c r="C33" s="523">
        <v>7704.89</v>
      </c>
      <c r="D33" s="523">
        <v>0.0</v>
      </c>
      <c r="E33" s="523">
        <v>0.0</v>
      </c>
      <c r="F33" s="618">
        <f t="shared" si="1"/>
        <v>-20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522">
        <v>3364061.32</v>
      </c>
      <c r="C34" s="523">
        <v>3364061.32</v>
      </c>
      <c r="D34" s="523">
        <v>0.0</v>
      </c>
      <c r="E34" s="523">
        <f>10092194-3364061-6728133</f>
        <v>0</v>
      </c>
      <c r="F34" s="618">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522">
        <v>466857.17</v>
      </c>
      <c r="C35" s="522">
        <v>466857.17</v>
      </c>
      <c r="D35" s="523">
        <v>0.0</v>
      </c>
      <c r="E35" s="523">
        <v>0.0</v>
      </c>
      <c r="F35" s="618">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522">
        <v>1252637.34</v>
      </c>
      <c r="C36" s="522">
        <v>1252637.34</v>
      </c>
      <c r="D36" s="523">
        <v>0.0</v>
      </c>
      <c r="E36" s="523">
        <v>0.0</v>
      </c>
      <c r="F36" s="618">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522">
        <v>612870.11</v>
      </c>
      <c r="C37" s="523">
        <f>150000+462870</f>
        <v>612870</v>
      </c>
      <c r="D37" s="523">
        <v>0.0</v>
      </c>
      <c r="E37" s="523">
        <v>0.0</v>
      </c>
      <c r="F37" s="618">
        <f t="shared" si="1"/>
        <v>0.11</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522">
        <v>895289.88</v>
      </c>
      <c r="C38" s="523">
        <f>58843.5+3272.36+518616.36+314557.66</f>
        <v>895289.88</v>
      </c>
      <c r="D38" s="523">
        <v>0.0</v>
      </c>
      <c r="E38" s="523">
        <v>0.0</v>
      </c>
      <c r="F38" s="618">
        <f t="shared" si="1"/>
        <v>0.0000000001164153218</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522">
        <v>2305467.49</v>
      </c>
      <c r="C39" s="523">
        <v>0.0</v>
      </c>
      <c r="D39" s="523">
        <v>0.0</v>
      </c>
      <c r="E39" s="523">
        <v>0.0</v>
      </c>
      <c r="F39" s="618">
        <f t="shared" si="1"/>
        <v>2305467.49</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522">
        <v>82613.0</v>
      </c>
      <c r="C40" s="523">
        <f>82613-16523</f>
        <v>66090</v>
      </c>
      <c r="D40" s="523">
        <v>16523.0</v>
      </c>
      <c r="E40" s="523">
        <v>0.0</v>
      </c>
      <c r="F40" s="618">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522">
        <v>155619.06</v>
      </c>
      <c r="C41" s="523">
        <v>155619.0</v>
      </c>
      <c r="D41" s="523">
        <v>0.0</v>
      </c>
      <c r="E41" s="523">
        <v>0.0</v>
      </c>
      <c r="F41" s="618">
        <f t="shared" si="1"/>
        <v>0.06</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522">
        <v>4877985.0</v>
      </c>
      <c r="C42" s="523">
        <f>3902388+975597</f>
        <v>4877985</v>
      </c>
      <c r="D42" s="523">
        <v>0.0</v>
      </c>
      <c r="E42" s="523">
        <v>0.0</v>
      </c>
      <c r="F42" s="618">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156</v>
      </c>
      <c r="B43" s="522">
        <v>1988465.71</v>
      </c>
      <c r="C43" s="523">
        <f>1590772.67+49926+114046</f>
        <v>1754744.67</v>
      </c>
      <c r="D43" s="523">
        <f>49450+73450+217364-49926-114046</f>
        <v>176292</v>
      </c>
      <c r="E43" s="523"/>
      <c r="F43" s="618">
        <f t="shared" si="1"/>
        <v>57429.04</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522">
        <v>2447637.99</v>
      </c>
      <c r="C44" s="523">
        <f>2428749.87+18888.12</f>
        <v>2447637.99</v>
      </c>
      <c r="D44" s="523">
        <v>0.0</v>
      </c>
      <c r="E44" s="523">
        <v>0.0</v>
      </c>
      <c r="F44" s="618">
        <f t="shared" si="1"/>
        <v>0</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522">
        <v>1921.22</v>
      </c>
      <c r="C45" s="523">
        <v>0.0</v>
      </c>
      <c r="D45" s="523">
        <v>0.0</v>
      </c>
      <c r="E45" s="523">
        <v>0.0</v>
      </c>
      <c r="F45" s="618">
        <f t="shared" si="1"/>
        <v>1921.22</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522">
        <v>5763.67</v>
      </c>
      <c r="C46" s="523">
        <v>0.0</v>
      </c>
      <c r="D46" s="523">
        <v>0.0</v>
      </c>
      <c r="E46" s="523">
        <v>0.0</v>
      </c>
      <c r="F46" s="618">
        <f t="shared" si="1"/>
        <v>5763.67</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522">
        <v>101824.81</v>
      </c>
      <c r="C47" s="523">
        <v>0.0</v>
      </c>
      <c r="D47" s="523">
        <v>0.0</v>
      </c>
      <c r="E47" s="523">
        <v>0.0</v>
      </c>
      <c r="F47" s="618">
        <f t="shared" si="1"/>
        <v>101824.81</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522">
        <v>1.071850263E7</v>
      </c>
      <c r="C48" s="523">
        <f>2134436.88-348019+1786417.11+3572834.21+3572834.21-0.37</f>
        <v>10718503.04</v>
      </c>
      <c r="D48" s="523">
        <v>0.0</v>
      </c>
      <c r="E48" s="523">
        <f>8584066+348019-1786417-3572834-3572834</f>
        <v>0</v>
      </c>
      <c r="F48" s="618">
        <f t="shared" si="1"/>
        <v>-0.4100000001</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522">
        <v>3.476E7</v>
      </c>
      <c r="C49" s="523">
        <f>1246098+3000000-543832+17000000+3000000+(5000000-1877366)+3000000+4935100</f>
        <v>34760000</v>
      </c>
      <c r="D49" s="523">
        <v>0.0</v>
      </c>
      <c r="E49" s="523">
        <v>0.0</v>
      </c>
      <c r="F49" s="618">
        <f t="shared" si="1"/>
        <v>0</v>
      </c>
      <c r="G49" s="617"/>
      <c r="H49" s="222"/>
      <c r="I49" s="222" t="s">
        <v>239</v>
      </c>
      <c r="J49" s="222"/>
      <c r="K49" s="222"/>
      <c r="L49" s="222"/>
      <c r="M49" s="222"/>
      <c r="N49" s="222"/>
      <c r="O49" s="222"/>
      <c r="P49" s="222"/>
      <c r="Q49" s="222"/>
      <c r="R49" s="222"/>
      <c r="S49" s="222"/>
      <c r="T49" s="222"/>
      <c r="U49" s="222"/>
      <c r="V49" s="222"/>
      <c r="W49" s="222"/>
      <c r="X49" s="222"/>
      <c r="Y49" s="222"/>
      <c r="Z49" s="222"/>
    </row>
    <row r="50" ht="18.0" customHeight="1">
      <c r="A50" s="497" t="s">
        <v>140</v>
      </c>
      <c r="B50" s="522">
        <v>21133.45</v>
      </c>
      <c r="C50" s="620">
        <v>21133.0</v>
      </c>
      <c r="D50" s="620">
        <v>0.0</v>
      </c>
      <c r="E50" s="620">
        <v>0.0</v>
      </c>
      <c r="F50" s="621">
        <f t="shared" si="1"/>
        <v>0.45</v>
      </c>
      <c r="G50" s="617"/>
      <c r="H50" s="222"/>
      <c r="I50" s="622">
        <f>C49-3702266</f>
        <v>31057734</v>
      </c>
      <c r="J50" s="222"/>
      <c r="K50" s="222"/>
      <c r="L50" s="222"/>
      <c r="M50" s="222"/>
      <c r="N50" s="222"/>
      <c r="O50" s="222"/>
      <c r="P50" s="222"/>
      <c r="Q50" s="222"/>
      <c r="R50" s="222"/>
      <c r="S50" s="222"/>
      <c r="T50" s="222"/>
      <c r="U50" s="222"/>
      <c r="V50" s="222"/>
      <c r="W50" s="222"/>
      <c r="X50" s="222"/>
      <c r="Y50" s="222"/>
      <c r="Z50" s="222"/>
    </row>
    <row r="51" ht="20.25" customHeight="1">
      <c r="A51" s="531" t="s">
        <v>143</v>
      </c>
      <c r="B51" s="623">
        <f t="shared" ref="B51:F51" si="2">SUM(B8:B50)</f>
        <v>158000001</v>
      </c>
      <c r="C51" s="624">
        <f t="shared" si="2"/>
        <v>150156576.5</v>
      </c>
      <c r="D51" s="624">
        <f t="shared" si="2"/>
        <v>8801033.74</v>
      </c>
      <c r="E51" s="624">
        <f t="shared" si="2"/>
        <v>0.04999999888</v>
      </c>
      <c r="F51" s="625">
        <f t="shared" si="2"/>
        <v>-957609.2884</v>
      </c>
      <c r="G51" s="617"/>
      <c r="H51" s="222"/>
      <c r="I51" s="222"/>
      <c r="J51" s="222"/>
      <c r="K51" s="222"/>
      <c r="L51" s="222"/>
      <c r="M51" s="222"/>
      <c r="N51" s="222"/>
      <c r="O51" s="222"/>
      <c r="P51" s="222"/>
      <c r="Q51" s="222"/>
      <c r="R51" s="222"/>
      <c r="S51" s="222"/>
      <c r="T51" s="222"/>
      <c r="U51" s="222"/>
      <c r="V51" s="222"/>
      <c r="W51" s="222"/>
      <c r="X51" s="222"/>
      <c r="Y51" s="222"/>
      <c r="Z51" s="222"/>
    </row>
    <row r="52">
      <c r="A52" s="626" t="s">
        <v>236</v>
      </c>
      <c r="B52" s="139"/>
      <c r="C52" s="139"/>
      <c r="D52" s="139"/>
      <c r="E52" s="139"/>
      <c r="F52" s="627"/>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627"/>
      <c r="G53" s="617"/>
      <c r="H53" s="222"/>
      <c r="I53" s="523"/>
      <c r="J53" s="222"/>
      <c r="K53" s="222"/>
      <c r="L53" s="222"/>
      <c r="M53" s="222"/>
      <c r="N53" s="222"/>
      <c r="O53" s="222"/>
      <c r="P53" s="222"/>
      <c r="Q53" s="222"/>
      <c r="R53" s="222"/>
      <c r="S53" s="222"/>
      <c r="T53" s="222"/>
      <c r="U53" s="222"/>
      <c r="V53" s="222"/>
      <c r="W53" s="222"/>
      <c r="X53" s="222"/>
      <c r="Y53" s="222"/>
      <c r="Z53" s="222"/>
    </row>
    <row r="54" ht="25.5" customHeight="1">
      <c r="A54" s="628"/>
      <c r="B54" s="139"/>
      <c r="C54" s="139"/>
      <c r="D54" s="139"/>
      <c r="E54" s="139"/>
      <c r="F54" s="627"/>
      <c r="G54" s="617"/>
      <c r="H54" s="222"/>
      <c r="I54" s="222"/>
      <c r="J54" s="222"/>
      <c r="K54" s="222"/>
      <c r="L54" s="222"/>
      <c r="M54" s="222"/>
      <c r="N54" s="222"/>
      <c r="O54" s="222"/>
      <c r="P54" s="222"/>
      <c r="Q54" s="222"/>
      <c r="R54" s="222"/>
      <c r="S54" s="222"/>
      <c r="T54" s="222"/>
      <c r="U54" s="222"/>
      <c r="V54" s="222"/>
      <c r="W54" s="222"/>
      <c r="X54" s="222"/>
      <c r="Y54" s="222"/>
      <c r="Z54" s="222"/>
    </row>
    <row r="55">
      <c r="A55" s="222"/>
      <c r="B55" s="222"/>
      <c r="C55" s="222"/>
      <c r="D55" s="222"/>
      <c r="E55" s="222"/>
      <c r="F55" s="609"/>
      <c r="G55" s="222"/>
      <c r="H55" s="222"/>
      <c r="I55" s="222"/>
      <c r="J55" s="222"/>
      <c r="K55" s="222"/>
      <c r="L55" s="222"/>
      <c r="M55" s="222"/>
      <c r="N55" s="222"/>
      <c r="O55" s="222"/>
      <c r="P55" s="222"/>
      <c r="Q55" s="222"/>
      <c r="R55" s="222"/>
      <c r="S55" s="222"/>
      <c r="T55" s="222"/>
      <c r="U55" s="222"/>
      <c r="V55" s="222"/>
      <c r="W55" s="222"/>
      <c r="X55" s="222"/>
      <c r="Y55" s="222"/>
      <c r="Z55" s="222"/>
    </row>
    <row r="56">
      <c r="A56" s="139"/>
      <c r="B56" s="139"/>
      <c r="C56" s="139"/>
      <c r="D56" s="139"/>
      <c r="E56" s="139"/>
      <c r="F56" s="627"/>
      <c r="G56" s="617"/>
      <c r="H56" s="222"/>
      <c r="I56" s="222"/>
      <c r="J56" s="222"/>
      <c r="K56" s="222"/>
      <c r="L56" s="222"/>
      <c r="M56" s="222"/>
      <c r="N56" s="222"/>
      <c r="O56" s="222"/>
      <c r="P56" s="222"/>
      <c r="Q56" s="222"/>
      <c r="R56" s="222"/>
      <c r="S56" s="222"/>
      <c r="T56" s="222"/>
      <c r="U56" s="222"/>
      <c r="V56" s="222"/>
      <c r="W56" s="222"/>
      <c r="X56" s="222"/>
      <c r="Y56" s="222"/>
      <c r="Z56" s="222"/>
    </row>
    <row r="57" ht="16.5" customHeight="1">
      <c r="A57" s="629" t="s">
        <v>159</v>
      </c>
      <c r="B57" s="509">
        <f t="shared" ref="B57:E57" si="3">B10+B11+B13+B15+B17+B22+B29+B31+B37+B39+B40+B41+B45+B46+B47+B50</f>
        <v>3990380.432</v>
      </c>
      <c r="C57" s="509">
        <f t="shared" si="3"/>
        <v>1369446.47</v>
      </c>
      <c r="D57" s="509">
        <f t="shared" si="3"/>
        <v>129107</v>
      </c>
      <c r="E57" s="509">
        <f t="shared" si="3"/>
        <v>0</v>
      </c>
      <c r="F57" s="630">
        <f>B57-C57-D57-E57</f>
        <v>2491826.962</v>
      </c>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609"/>
      <c r="G58" s="617"/>
      <c r="H58" s="222"/>
      <c r="I58" s="222"/>
      <c r="J58" s="222"/>
      <c r="K58" s="222"/>
      <c r="L58" s="222"/>
      <c r="M58" s="222"/>
      <c r="N58" s="222"/>
      <c r="O58" s="222"/>
      <c r="P58" s="222"/>
      <c r="Q58" s="222"/>
      <c r="R58" s="222"/>
      <c r="S58" s="222"/>
      <c r="T58" s="222"/>
      <c r="U58" s="222"/>
      <c r="V58" s="222"/>
      <c r="W58" s="222"/>
      <c r="X58" s="222"/>
      <c r="Y58" s="222"/>
      <c r="Z58" s="222"/>
    </row>
    <row r="59">
      <c r="A59" s="631"/>
      <c r="B59" s="222"/>
      <c r="C59" s="222"/>
      <c r="D59" s="222"/>
      <c r="E59" s="222"/>
      <c r="F59" s="609"/>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609"/>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609"/>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609"/>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609"/>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609"/>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609"/>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609"/>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609"/>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609"/>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609"/>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609"/>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609"/>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609"/>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609"/>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609"/>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609"/>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609"/>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609"/>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609"/>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609"/>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609"/>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609"/>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609"/>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609"/>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609"/>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609"/>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609"/>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609"/>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609"/>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609"/>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609"/>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609"/>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609"/>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609"/>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609"/>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609"/>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609"/>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609"/>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609"/>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609"/>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609"/>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609"/>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609"/>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609"/>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609"/>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609"/>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609"/>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609"/>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609"/>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609"/>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609"/>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609"/>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609"/>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609"/>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609"/>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609"/>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609"/>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609"/>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609"/>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609"/>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609"/>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609"/>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609"/>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609"/>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609"/>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609"/>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609"/>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609"/>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609"/>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609"/>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609"/>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609"/>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609"/>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609"/>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609"/>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609"/>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609"/>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609"/>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609"/>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609"/>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609"/>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609"/>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609"/>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609"/>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609"/>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609"/>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609"/>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609"/>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609"/>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609"/>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609"/>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609"/>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609"/>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609"/>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609"/>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609"/>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609"/>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609"/>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609"/>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609"/>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609"/>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609"/>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609"/>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609"/>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609"/>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609"/>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609"/>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609"/>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609"/>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609"/>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609"/>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609"/>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609"/>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609"/>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609"/>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609"/>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609"/>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609"/>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609"/>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609"/>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609"/>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609"/>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609"/>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609"/>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609"/>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609"/>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609"/>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609"/>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609"/>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609"/>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609"/>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609"/>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609"/>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609"/>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609"/>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609"/>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609"/>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609"/>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609"/>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609"/>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609"/>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609"/>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609"/>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609"/>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609"/>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609"/>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609"/>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609"/>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609"/>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609"/>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609"/>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609"/>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609"/>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609"/>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609"/>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609"/>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609"/>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609"/>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609"/>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609"/>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609"/>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609"/>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609"/>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609"/>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609"/>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609"/>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609"/>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609"/>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609"/>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609"/>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609"/>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609"/>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609"/>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609"/>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609"/>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609"/>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609"/>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609"/>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609"/>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609"/>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609"/>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609"/>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609"/>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609"/>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609"/>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609"/>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609"/>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609"/>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609"/>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609"/>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609"/>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609"/>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609"/>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609"/>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609"/>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609"/>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609"/>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609"/>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609"/>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609"/>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609"/>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609"/>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609"/>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609"/>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609"/>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609"/>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609"/>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609"/>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609"/>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609"/>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609"/>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609"/>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609"/>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609"/>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609"/>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609"/>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609"/>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609"/>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609"/>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609"/>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609"/>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609"/>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609"/>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609"/>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609"/>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609"/>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609"/>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609"/>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609"/>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609"/>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609"/>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609"/>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609"/>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609"/>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609"/>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609"/>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609"/>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609"/>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609"/>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609"/>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609"/>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609"/>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609"/>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609"/>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609"/>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609"/>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609"/>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609"/>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609"/>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609"/>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609"/>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609"/>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609"/>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609"/>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609"/>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609"/>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609"/>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609"/>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609"/>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609"/>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609"/>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609"/>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609"/>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609"/>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609"/>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609"/>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609"/>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609"/>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609"/>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609"/>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609"/>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609"/>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609"/>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609"/>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609"/>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609"/>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609"/>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609"/>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609"/>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609"/>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609"/>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609"/>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609"/>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609"/>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609"/>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609"/>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609"/>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609"/>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609"/>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609"/>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609"/>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609"/>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609"/>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609"/>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609"/>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609"/>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609"/>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609"/>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609"/>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609"/>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609"/>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609"/>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609"/>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609"/>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609"/>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609"/>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609"/>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609"/>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609"/>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609"/>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609"/>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609"/>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609"/>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609"/>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609"/>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609"/>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609"/>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609"/>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609"/>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609"/>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609"/>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609"/>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609"/>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609"/>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609"/>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609"/>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609"/>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609"/>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609"/>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609"/>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609"/>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609"/>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609"/>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609"/>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609"/>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609"/>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609"/>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609"/>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609"/>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609"/>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609"/>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609"/>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609"/>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609"/>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609"/>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609"/>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609"/>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609"/>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609"/>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609"/>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609"/>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609"/>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609"/>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609"/>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609"/>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609"/>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609"/>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609"/>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609"/>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609"/>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609"/>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609"/>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609"/>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609"/>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609"/>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609"/>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609"/>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609"/>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609"/>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609"/>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609"/>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609"/>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609"/>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609"/>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609"/>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609"/>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609"/>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609"/>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609"/>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609"/>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609"/>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609"/>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609"/>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609"/>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609"/>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609"/>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609"/>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609"/>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609"/>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609"/>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609"/>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609"/>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609"/>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609"/>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609"/>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609"/>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609"/>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609"/>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609"/>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609"/>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609"/>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609"/>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609"/>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609"/>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609"/>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609"/>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609"/>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609"/>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609"/>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609"/>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609"/>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609"/>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609"/>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609"/>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609"/>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609"/>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609"/>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609"/>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609"/>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609"/>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609"/>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609"/>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609"/>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609"/>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609"/>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609"/>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609"/>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609"/>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609"/>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609"/>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609"/>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609"/>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609"/>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609"/>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609"/>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609"/>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609"/>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609"/>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609"/>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609"/>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609"/>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609"/>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609"/>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609"/>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609"/>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609"/>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609"/>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609"/>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609"/>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609"/>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609"/>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609"/>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609"/>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609"/>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609"/>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609"/>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609"/>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609"/>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609"/>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609"/>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609"/>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609"/>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609"/>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609"/>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609"/>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609"/>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609"/>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609"/>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609"/>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609"/>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609"/>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609"/>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609"/>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609"/>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609"/>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609"/>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609"/>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609"/>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609"/>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609"/>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609"/>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609"/>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609"/>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609"/>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609"/>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609"/>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609"/>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609"/>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609"/>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609"/>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609"/>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609"/>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609"/>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609"/>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609"/>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609"/>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609"/>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609"/>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609"/>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609"/>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609"/>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609"/>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609"/>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609"/>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609"/>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609"/>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609"/>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609"/>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609"/>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609"/>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609"/>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609"/>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609"/>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609"/>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609"/>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609"/>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609"/>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609"/>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609"/>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609"/>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609"/>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609"/>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609"/>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609"/>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609"/>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609"/>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609"/>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609"/>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609"/>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609"/>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609"/>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609"/>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609"/>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609"/>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609"/>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609"/>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609"/>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609"/>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609"/>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609"/>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609"/>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609"/>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609"/>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609"/>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609"/>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609"/>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609"/>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609"/>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609"/>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609"/>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609"/>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609"/>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609"/>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609"/>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609"/>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609"/>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609"/>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609"/>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609"/>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609"/>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609"/>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609"/>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609"/>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609"/>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609"/>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609"/>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609"/>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609"/>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609"/>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609"/>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609"/>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609"/>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609"/>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609"/>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609"/>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609"/>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609"/>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609"/>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609"/>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609"/>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609"/>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609"/>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609"/>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609"/>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609"/>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609"/>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609"/>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609"/>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609"/>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609"/>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609"/>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609"/>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609"/>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609"/>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609"/>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609"/>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609"/>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609"/>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609"/>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609"/>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609"/>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609"/>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609"/>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609"/>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609"/>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609"/>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609"/>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609"/>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609"/>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609"/>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609"/>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609"/>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609"/>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609"/>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609"/>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609"/>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609"/>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609"/>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609"/>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609"/>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609"/>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609"/>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609"/>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609"/>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609"/>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609"/>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609"/>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609"/>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609"/>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609"/>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609"/>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609"/>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609"/>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609"/>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609"/>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609"/>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609"/>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609"/>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609"/>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609"/>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609"/>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609"/>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609"/>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609"/>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609"/>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609"/>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609"/>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609"/>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609"/>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609"/>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609"/>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609"/>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609"/>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609"/>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609"/>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609"/>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609"/>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609"/>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609"/>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609"/>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609"/>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609"/>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609"/>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609"/>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609"/>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609"/>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609"/>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609"/>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609"/>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609"/>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609"/>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609"/>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609"/>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609"/>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609"/>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609"/>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609"/>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609"/>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609"/>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609"/>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609"/>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609"/>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609"/>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609"/>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609"/>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609"/>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609"/>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609"/>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609"/>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609"/>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609"/>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609"/>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609"/>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609"/>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609"/>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609"/>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609"/>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609"/>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609"/>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609"/>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609"/>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609"/>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609"/>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609"/>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609"/>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609"/>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609"/>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609"/>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609"/>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609"/>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609"/>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609"/>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609"/>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609"/>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609"/>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609"/>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609"/>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609"/>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609"/>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609"/>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609"/>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609"/>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609"/>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609"/>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609"/>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609"/>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609"/>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609"/>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609"/>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609"/>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609"/>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609"/>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609"/>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609"/>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609"/>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609"/>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609"/>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609"/>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609"/>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609"/>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609"/>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609"/>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609"/>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609"/>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609"/>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609"/>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609"/>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609"/>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609"/>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609"/>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609"/>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609"/>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609"/>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609"/>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609"/>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609"/>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609"/>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609"/>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609"/>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609"/>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609"/>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609"/>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609"/>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609"/>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609"/>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609"/>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609"/>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609"/>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609"/>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609"/>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609"/>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609"/>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609"/>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609"/>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609"/>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609"/>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609"/>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609"/>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609"/>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609"/>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609"/>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609"/>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609"/>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609"/>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609"/>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609"/>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609"/>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609"/>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609"/>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609"/>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609"/>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609"/>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609"/>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609"/>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609"/>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609"/>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609"/>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609"/>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609"/>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609"/>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609"/>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609"/>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609"/>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609"/>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609"/>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609"/>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609"/>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609"/>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609"/>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609"/>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609"/>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609"/>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609"/>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609"/>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609"/>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609"/>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609"/>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609"/>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609"/>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609"/>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609"/>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609"/>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609"/>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609"/>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609"/>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609"/>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609"/>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609"/>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609"/>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609"/>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609"/>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609"/>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609"/>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609"/>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609"/>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609"/>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609"/>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609"/>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609"/>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609"/>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609"/>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609"/>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609"/>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609"/>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609"/>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609"/>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609"/>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609"/>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609"/>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609"/>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609"/>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609"/>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609"/>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609"/>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609"/>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609"/>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609"/>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609"/>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609"/>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609"/>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609"/>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609"/>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609"/>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609"/>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609"/>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609"/>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609"/>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609"/>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609"/>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609"/>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609"/>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609"/>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609"/>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609"/>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609"/>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609"/>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609"/>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609"/>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609"/>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609"/>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609"/>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609"/>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609"/>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609"/>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609"/>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609"/>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609"/>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609"/>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609"/>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609"/>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609"/>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609"/>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609"/>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609"/>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609"/>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609"/>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609"/>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609"/>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609"/>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609"/>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609"/>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609"/>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609"/>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609"/>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609"/>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609"/>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609"/>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609"/>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609"/>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609"/>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609"/>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609"/>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609"/>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609"/>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609"/>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609"/>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609"/>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609"/>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609"/>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609"/>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609"/>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609"/>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609"/>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609"/>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609"/>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609"/>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609"/>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609"/>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609"/>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609"/>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609"/>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609"/>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609"/>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609"/>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609"/>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609"/>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609"/>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609"/>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609"/>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609"/>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609"/>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7.29"/>
    <col customWidth="1" min="3" max="3" width="16.29"/>
    <col customWidth="1" min="4" max="4" width="13.71"/>
    <col customWidth="1" min="5" max="5" width="16.71"/>
    <col customWidth="1" min="6" max="6" width="16.29"/>
    <col customWidth="1" min="7" max="7" width="1.71"/>
    <col customWidth="1" min="8" max="26" width="9.71"/>
  </cols>
  <sheetData>
    <row r="1" ht="16.5" customHeight="1">
      <c r="A1" s="222"/>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222"/>
      <c r="B2" s="433"/>
      <c r="C2" s="222"/>
      <c r="D2" s="222"/>
      <c r="E2" s="222"/>
      <c r="F2" s="632" t="s">
        <v>240</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241</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484" t="s">
        <v>150</v>
      </c>
      <c r="B8" s="519">
        <f>'YR2000'!B8+'YR2001'!B8+'YR2002'!B8</f>
        <v>7446783</v>
      </c>
      <c r="C8" s="519">
        <f>'YR2000'!C8+'YR2001'!C8+'YR2002'!C8+69300.25</f>
        <v>6913302.99</v>
      </c>
      <c r="D8" s="519">
        <f>'YR2000'!D8+'YR2001'!D8+'YR2002'!D8</f>
        <v>533480</v>
      </c>
      <c r="E8" s="519">
        <f>'YR2000'!E8+'YR2001'!E8+'YR2002'!E8</f>
        <v>0</v>
      </c>
      <c r="F8" s="635">
        <f t="shared" ref="F8:F50" si="1">B8-C8-D8-E8</f>
        <v>0.009999999776</v>
      </c>
      <c r="G8" s="222"/>
      <c r="H8" s="222"/>
      <c r="I8" s="222"/>
      <c r="J8" s="222"/>
      <c r="K8" s="222"/>
      <c r="L8" s="222"/>
      <c r="M8" s="222"/>
      <c r="N8" s="222"/>
      <c r="O8" s="222"/>
      <c r="P8" s="222"/>
      <c r="Q8" s="222"/>
      <c r="R8" s="222"/>
      <c r="S8" s="222"/>
      <c r="T8" s="222"/>
      <c r="U8" s="222"/>
      <c r="V8" s="222"/>
      <c r="W8" s="222"/>
      <c r="X8" s="222"/>
      <c r="Y8" s="222"/>
      <c r="Z8" s="222"/>
    </row>
    <row r="9" ht="18.0" customHeight="1">
      <c r="A9" s="488" t="s">
        <v>88</v>
      </c>
      <c r="B9" s="523">
        <f>'YR2000'!B9+'YR2001'!B9+'YR2002'!B9</f>
        <v>4728354</v>
      </c>
      <c r="C9" s="523">
        <f>'YR2000'!C9+'YR2001'!C9+'YR2002'!C9</f>
        <v>4728354</v>
      </c>
      <c r="D9" s="523">
        <f>'YR2000'!D9+'YR2001'!D9+'YR2002'!D9</f>
        <v>0</v>
      </c>
      <c r="E9" s="523">
        <f>'YR2000'!E9+'YR2001'!E9+'YR2002'!E9</f>
        <v>0</v>
      </c>
      <c r="F9" s="636">
        <f t="shared" si="1"/>
        <v>0</v>
      </c>
      <c r="G9" s="222"/>
      <c r="H9" s="222"/>
      <c r="I9" s="222"/>
      <c r="J9" s="222"/>
      <c r="K9" s="222"/>
      <c r="L9" s="222"/>
      <c r="M9" s="222"/>
      <c r="N9" s="222"/>
      <c r="O9" s="222"/>
      <c r="P9" s="222"/>
      <c r="Q9" s="222"/>
      <c r="R9" s="222"/>
      <c r="S9" s="222"/>
      <c r="T9" s="222"/>
      <c r="U9" s="222"/>
      <c r="V9" s="222"/>
      <c r="W9" s="222"/>
      <c r="X9" s="222"/>
      <c r="Y9" s="222"/>
      <c r="Z9" s="222"/>
    </row>
    <row r="10" ht="18.0" customHeight="1">
      <c r="A10" s="491" t="s">
        <v>89</v>
      </c>
      <c r="B10" s="523">
        <f>'YR2000'!B10+'YR2001'!B10+'YR2002'!B10</f>
        <v>110547</v>
      </c>
      <c r="C10" s="523">
        <f>'YR2000'!C10+'YR2001'!C10+'YR2002'!C10</f>
        <v>0</v>
      </c>
      <c r="D10" s="523">
        <f>'YR2000'!D10+'YR2001'!D10+'YR2002'!D10</f>
        <v>0</v>
      </c>
      <c r="E10" s="523">
        <f>'YR2000'!E10+'YR2001'!E10+'YR2002'!E10</f>
        <v>0</v>
      </c>
      <c r="F10" s="636">
        <f t="shared" si="1"/>
        <v>110547</v>
      </c>
      <c r="G10" s="222"/>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523">
        <f>'YR2000'!B11+'YR2001'!B11+'YR2002'!B11</f>
        <v>412035</v>
      </c>
      <c r="C11" s="523">
        <f>'YR2000'!C11+'YR2001'!C11+'YR2002'!C11</f>
        <v>0</v>
      </c>
      <c r="D11" s="523">
        <f>'YR2000'!D11+'YR2001'!D11+'YR2002'!D11</f>
        <v>0</v>
      </c>
      <c r="E11" s="523">
        <f>'YR2000'!E11+'YR2001'!E11+'YR2002'!E11</f>
        <v>0</v>
      </c>
      <c r="F11" s="636">
        <f t="shared" si="1"/>
        <v>412035</v>
      </c>
      <c r="G11" s="222"/>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523">
        <f>'YR2000'!B12+'YR2001'!B12+'YR2002'!B12</f>
        <v>5542377</v>
      </c>
      <c r="C12" s="523">
        <f>'YR2000'!C12+'YR2001'!C12+'YR2002'!C12</f>
        <v>5542377</v>
      </c>
      <c r="D12" s="523">
        <f>'YR2000'!D12+'YR2001'!D12+'YR2002'!D12</f>
        <v>0</v>
      </c>
      <c r="E12" s="523">
        <f>'YR2000'!E12+'YR2001'!E12+'YR2002'!E12</f>
        <v>0</v>
      </c>
      <c r="F12" s="636">
        <f t="shared" si="1"/>
        <v>0</v>
      </c>
      <c r="G12" s="222"/>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523">
        <f>'YR2000'!B13+'YR2001'!B13+'YR2002'!B13</f>
        <v>95472</v>
      </c>
      <c r="C13" s="523">
        <f>'YR2000'!C13+'YR2001'!C13+'YR2002'!C13</f>
        <v>95472</v>
      </c>
      <c r="D13" s="523">
        <f>'YR2000'!D13+'YR2001'!D13+'YR2002'!D13</f>
        <v>0</v>
      </c>
      <c r="E13" s="523">
        <f>'YR2000'!E13+'YR2001'!E13+'YR2002'!E13</f>
        <v>0</v>
      </c>
      <c r="F13" s="636">
        <f t="shared" si="1"/>
        <v>0</v>
      </c>
      <c r="G13" s="222"/>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523">
        <f>'YR2000'!B14+'YR2001'!B14+'YR2002'!B14</f>
        <v>13838352</v>
      </c>
      <c r="C14" s="523">
        <f>'YR2000'!C14+'YR2001'!C14+'YR2002'!C14</f>
        <v>11517099</v>
      </c>
      <c r="D14" s="523">
        <f>'YR2000'!D14+'YR2001'!D14+'YR2002'!D14</f>
        <v>2321253</v>
      </c>
      <c r="E14" s="523">
        <f>'YR2000'!E14+'YR2001'!E14+'YR2002'!E14</f>
        <v>0</v>
      </c>
      <c r="F14" s="636">
        <f t="shared" si="1"/>
        <v>0</v>
      </c>
      <c r="G14" s="222"/>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523">
        <f>'YR2000'!B15+'YR2001'!B15+'YR2002'!B15</f>
        <v>608004</v>
      </c>
      <c r="C15" s="523">
        <f>'YR2000'!C15+'YR2001'!C15+'YR2002'!C15</f>
        <v>608004</v>
      </c>
      <c r="D15" s="523">
        <f>'YR2000'!D15+'YR2001'!D15+'YR2002'!D15</f>
        <v>0</v>
      </c>
      <c r="E15" s="523">
        <f>'YR2000'!E15+'YR2001'!E15+'YR2002'!E15</f>
        <v>0</v>
      </c>
      <c r="F15" s="636">
        <f t="shared" si="1"/>
        <v>0</v>
      </c>
      <c r="G15" s="222"/>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523">
        <f>'YR2000'!B16+'YR2001'!B16+'YR2002'!B16</f>
        <v>3472149</v>
      </c>
      <c r="C16" s="523">
        <f>'YR2000'!C16+'YR2001'!C16+'YR2002'!C16</f>
        <v>3472149</v>
      </c>
      <c r="D16" s="523">
        <f>'YR2000'!D16+'YR2001'!D16+'YR2002'!D16</f>
        <v>0</v>
      </c>
      <c r="E16" s="523">
        <f>'YR2000'!E16+'YR2001'!E16+'YR2002'!E16</f>
        <v>0</v>
      </c>
      <c r="F16" s="636">
        <f t="shared" si="1"/>
        <v>0</v>
      </c>
      <c r="G16" s="222"/>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523">
        <f>'YR2000'!B17+'YR2001'!B17+'YR2002'!B17</f>
        <v>75372</v>
      </c>
      <c r="C17" s="523">
        <f>'YR2000'!C17+'YR2001'!C17+'YR2002'!C17</f>
        <v>75372</v>
      </c>
      <c r="D17" s="523">
        <f>'YR2000'!D17+'YR2001'!D17+'YR2002'!D17</f>
        <v>0</v>
      </c>
      <c r="E17" s="523">
        <f>'YR2000'!E17+'YR2001'!E17+'YR2002'!E17</f>
        <v>0</v>
      </c>
      <c r="F17" s="636">
        <f t="shared" si="1"/>
        <v>0</v>
      </c>
      <c r="G17" s="222"/>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523">
        <f>'YR2000'!B18+'YR2001'!B18+'YR2002'!B18</f>
        <v>2723451</v>
      </c>
      <c r="C18" s="523">
        <f>'YR2000'!C18+'YR2001'!C18+'YR2002'!C18</f>
        <v>2723451</v>
      </c>
      <c r="D18" s="523">
        <f>'YR2000'!D18+'YR2001'!D18+'YR2002'!D18</f>
        <v>0</v>
      </c>
      <c r="E18" s="523">
        <f>'YR2000'!E18+'YR2001'!E18+'YR2002'!E18</f>
        <v>0</v>
      </c>
      <c r="F18" s="636">
        <f t="shared" si="1"/>
        <v>0</v>
      </c>
      <c r="G18" s="222"/>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523">
        <f>'YR2000'!B19+'YR2001'!B19+'YR2002'!B19</f>
        <v>32862321</v>
      </c>
      <c r="C19" s="523">
        <f>'YR2000'!C19+'YR2001'!C19+'YR2002'!C19</f>
        <v>32122086</v>
      </c>
      <c r="D19" s="523">
        <f>'YR2000'!D19+'YR2001'!D19+'YR2002'!D19</f>
        <v>774860</v>
      </c>
      <c r="E19" s="523">
        <f>'YR2000'!E19+'YR2001'!E19+'YR2002'!E19</f>
        <v>0</v>
      </c>
      <c r="F19" s="636">
        <f t="shared" si="1"/>
        <v>-34625</v>
      </c>
      <c r="G19" s="222"/>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523">
        <f>'YR2000'!B20+'YR2001'!B20+'YR2002'!B20</f>
        <v>49283430</v>
      </c>
      <c r="C20" s="523">
        <f>'YR2000'!C20+'YR2001'!C20+'YR2002'!C20</f>
        <v>38064112</v>
      </c>
      <c r="D20" s="523">
        <f>'YR2000'!D20+'YR2001'!D20+'YR2002'!D20</f>
        <v>11219318</v>
      </c>
      <c r="E20" s="523">
        <f>'YR2000'!E20+'YR2001'!E20+'YR2002'!E20</f>
        <v>0</v>
      </c>
      <c r="F20" s="636">
        <f t="shared" si="1"/>
        <v>0</v>
      </c>
      <c r="G20" s="222"/>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523">
        <f>'YR2000'!B21+'YR2001'!B21+'YR2002'!B21</f>
        <v>1763712</v>
      </c>
      <c r="C21" s="523">
        <f>'YR2000'!C21+'YR2001'!C21+'YR2002'!C21</f>
        <v>1814083.29</v>
      </c>
      <c r="D21" s="523">
        <f>'YR2000'!D21+'YR2001'!D21+'YR2002'!D21</f>
        <v>0</v>
      </c>
      <c r="E21" s="523">
        <f>'YR2000'!E21+'YR2001'!E21+'YR2002'!E21</f>
        <v>0</v>
      </c>
      <c r="F21" s="636">
        <f t="shared" si="1"/>
        <v>-50371.29</v>
      </c>
      <c r="G21" s="222"/>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523">
        <f>'YR2000'!B22+'YR2001'!B22+'YR2002'!B22</f>
        <v>602979</v>
      </c>
      <c r="C22" s="523">
        <f>'YR2000'!C22+'YR2001'!C22+'YR2002'!C22</f>
        <v>602979</v>
      </c>
      <c r="D22" s="523">
        <f>'YR2000'!D22+'YR2001'!D22+'YR2002'!D22</f>
        <v>0</v>
      </c>
      <c r="E22" s="523">
        <f>'YR2000'!E22+'YR2001'!E22+'YR2002'!E22</f>
        <v>0</v>
      </c>
      <c r="F22" s="636">
        <f t="shared" si="1"/>
        <v>0</v>
      </c>
      <c r="G22" s="222"/>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523">
        <f>'YR2000'!B23+'YR2001'!B23+'YR2002'!B23</f>
        <v>160794</v>
      </c>
      <c r="C23" s="523">
        <f>'YR2000'!C23+'YR2001'!C23+'YR2002'!C23</f>
        <v>160794</v>
      </c>
      <c r="D23" s="523">
        <f>'YR2000'!D23+'YR2001'!D23+'YR2002'!D23</f>
        <v>0</v>
      </c>
      <c r="E23" s="523">
        <f>'YR2000'!E23+'YR2001'!E23+'YR2002'!E23</f>
        <v>0</v>
      </c>
      <c r="F23" s="636">
        <f t="shared" si="1"/>
        <v>0</v>
      </c>
      <c r="G23" s="222"/>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523">
        <f>'YR2000'!B24+'YR2001'!B24+'YR2002'!B24</f>
        <v>1125558</v>
      </c>
      <c r="C24" s="523">
        <f>'YR2000'!C24+'YR2001'!C24+'YR2002'!C24</f>
        <v>1125558</v>
      </c>
      <c r="D24" s="523">
        <f>'YR2000'!D24+'YR2001'!D24+'YR2002'!D24</f>
        <v>0</v>
      </c>
      <c r="E24" s="523">
        <f>'YR2000'!E24+'YR2001'!E24+'YR2002'!E24</f>
        <v>0</v>
      </c>
      <c r="F24" s="636">
        <f t="shared" si="1"/>
        <v>0</v>
      </c>
      <c r="G24" s="222"/>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523">
        <f>'YR2000'!B25+'YR2001'!B25+'YR2002'!B25</f>
        <v>1733562</v>
      </c>
      <c r="C25" s="523">
        <f>'YR2000'!C25+'YR2001'!C25+'YR2002'!C25</f>
        <v>705345</v>
      </c>
      <c r="D25" s="523">
        <f>'YR2000'!D25+'YR2001'!D25+'YR2002'!D25</f>
        <v>38106</v>
      </c>
      <c r="E25" s="523">
        <f>'YR2000'!E25+'YR2001'!E25+'YR2002'!E25</f>
        <v>0</v>
      </c>
      <c r="F25" s="636">
        <f t="shared" si="1"/>
        <v>990111</v>
      </c>
      <c r="G25" s="222"/>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523">
        <f>'YR2000'!B26+'YR2001'!B26+'YR2002'!B26</f>
        <v>27294819</v>
      </c>
      <c r="C26" s="523">
        <f>'YR2000'!C26+'YR2001'!C26+'YR2002'!C26</f>
        <v>22072579.22</v>
      </c>
      <c r="D26" s="523">
        <f>'YR2000'!D26+'YR2001'!D26+'YR2002'!D26</f>
        <v>5222239.78</v>
      </c>
      <c r="E26" s="523">
        <f>'YR2000'!E26+'YR2001'!E26+'YR2002'!E26</f>
        <v>0</v>
      </c>
      <c r="F26" s="636">
        <f t="shared" si="1"/>
        <v>0.0000000009313225746</v>
      </c>
      <c r="G26" s="222"/>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523">
        <f>'YR2000'!B27+'YR2001'!B27+'YR2002'!B27</f>
        <v>100415994</v>
      </c>
      <c r="C27" s="523">
        <f>'YR2000'!C27+'YR2001'!C27+'YR2002'!C27</f>
        <v>98909847.53</v>
      </c>
      <c r="D27" s="523">
        <f>'YR2000'!D27+'YR2001'!D27+'YR2002'!D27</f>
        <v>1506149.47</v>
      </c>
      <c r="E27" s="523">
        <f>'YR2000'!E27+'YR2001'!E27+'YR2002'!E27</f>
        <v>0</v>
      </c>
      <c r="F27" s="636">
        <f t="shared" si="1"/>
        <v>-3.000000001</v>
      </c>
      <c r="G27" s="222"/>
      <c r="H27" s="222"/>
      <c r="I27" s="222"/>
      <c r="J27" s="222"/>
      <c r="K27" s="222"/>
      <c r="L27" s="222"/>
      <c r="M27" s="222"/>
      <c r="N27" s="222"/>
      <c r="O27" s="222"/>
      <c r="P27" s="222"/>
      <c r="Q27" s="222"/>
      <c r="R27" s="222"/>
      <c r="S27" s="222"/>
      <c r="T27" s="222"/>
      <c r="U27" s="222"/>
      <c r="V27" s="222"/>
      <c r="W27" s="222"/>
      <c r="X27" s="222"/>
      <c r="Y27" s="222"/>
      <c r="Z27" s="222"/>
    </row>
    <row r="28">
      <c r="A28" s="488" t="s">
        <v>110</v>
      </c>
      <c r="B28" s="523">
        <f>'YR2001'!B28+'YR2002'!B28</f>
        <v>0</v>
      </c>
      <c r="C28" s="523">
        <f>'YR2001'!C28+'YR2002'!C28</f>
        <v>0</v>
      </c>
      <c r="D28" s="523">
        <f>'YR2001'!D28+'YR2002'!D28</f>
        <v>0</v>
      </c>
      <c r="E28" s="523">
        <f>'YR2001'!E28+'YR2002'!E28</f>
        <v>0</v>
      </c>
      <c r="F28" s="636">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523">
        <f>'YR2000'!B28+'YR2001'!B29+'YR2002'!B29</f>
        <v>120597</v>
      </c>
      <c r="C29" s="523">
        <f>'YR2000'!C28+'YR2001'!C29+'YR2002'!C29</f>
        <v>120597</v>
      </c>
      <c r="D29" s="523">
        <f>'YR2000'!D28+'YR2001'!D29+'YR2002'!D29</f>
        <v>0</v>
      </c>
      <c r="E29" s="523">
        <f>'YR2000'!E28+'YR2001'!E29+'YR2002'!E29</f>
        <v>0</v>
      </c>
      <c r="F29" s="636">
        <f t="shared" si="1"/>
        <v>0</v>
      </c>
      <c r="G29" s="222"/>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523">
        <f>'YR2000'!B29+'YR2001'!B30+'YR2002'!B30</f>
        <v>30150</v>
      </c>
      <c r="C30" s="523">
        <f>'YR2000'!C29+'YR2001'!C30+'YR2002'!C30</f>
        <v>30150</v>
      </c>
      <c r="D30" s="523">
        <f>'YR2000'!D29+'YR2001'!D30+'YR2002'!D30</f>
        <v>0</v>
      </c>
      <c r="E30" s="523">
        <f>'YR2000'!E29+'YR2001'!E30+'YR2002'!E30</f>
        <v>0</v>
      </c>
      <c r="F30" s="636">
        <f t="shared" si="1"/>
        <v>0</v>
      </c>
      <c r="G30" s="222"/>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523">
        <f>'YR2000'!B30+'YR2001'!B31+'YR2002'!B31</f>
        <v>110547</v>
      </c>
      <c r="C31" s="523">
        <f>'YR2000'!C30+'YR2001'!C31+'YR2002'!C31</f>
        <v>0</v>
      </c>
      <c r="D31" s="523">
        <f>'YR2000'!D30+'YR2001'!D31+'YR2002'!D31</f>
        <v>0</v>
      </c>
      <c r="E31" s="523">
        <f>'YR2000'!E30+'YR2001'!E31+'YR2002'!E31</f>
        <v>0</v>
      </c>
      <c r="F31" s="636">
        <f t="shared" si="1"/>
        <v>110547</v>
      </c>
      <c r="G31" s="222"/>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523">
        <f>'YR2000'!B31+'YR2001'!B32+'YR2002'!B32</f>
        <v>341688</v>
      </c>
      <c r="C32" s="523">
        <f>'YR2000'!C31+'YR2001'!C32+'YR2002'!C32</f>
        <v>341688</v>
      </c>
      <c r="D32" s="523">
        <f>'YR2000'!D31+'YR2001'!D32+'YR2002'!D32</f>
        <v>0</v>
      </c>
      <c r="E32" s="523">
        <f>'YR2000'!E31+'YR2001'!E32+'YR2002'!E32</f>
        <v>0</v>
      </c>
      <c r="F32" s="636">
        <f t="shared" si="1"/>
        <v>0</v>
      </c>
      <c r="G32" s="222"/>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523">
        <f>'YR2000'!B32+'YR2001'!B33+'YR2002'!B33</f>
        <v>20100</v>
      </c>
      <c r="C33" s="523">
        <f>'YR2000'!C32+'YR2001'!C33+'YR2002'!C33</f>
        <v>20080</v>
      </c>
      <c r="D33" s="523">
        <f>'YR2000'!D32+'YR2001'!D33+'YR2002'!D33</f>
        <v>0</v>
      </c>
      <c r="E33" s="523">
        <f>'YR2000'!E32+'YR2001'!E33+'YR2002'!E33</f>
        <v>0</v>
      </c>
      <c r="F33" s="636">
        <f t="shared" si="1"/>
        <v>20</v>
      </c>
      <c r="G33" s="222"/>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523">
        <f>'YR2000'!B33+'YR2001'!B34+'YR2002'!B34</f>
        <v>8195481</v>
      </c>
      <c r="C34" s="523">
        <f>'YR2000'!C33+'YR2001'!C34+'YR2002'!C34</f>
        <v>8195481</v>
      </c>
      <c r="D34" s="523">
        <f>'YR2000'!D33+'YR2001'!D34+'YR2002'!D34</f>
        <v>0</v>
      </c>
      <c r="E34" s="523">
        <f>'YR2000'!E33+'YR2001'!E34+'YR2002'!E34</f>
        <v>0</v>
      </c>
      <c r="F34" s="636">
        <f t="shared" si="1"/>
        <v>0</v>
      </c>
      <c r="G34" s="222"/>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523">
        <f>'YR2000'!B34+'YR2001'!B35+'YR2002'!B35</f>
        <v>1110486</v>
      </c>
      <c r="C35" s="523">
        <f>'YR2000'!C34+'YR2001'!C35+'YR2002'!C35</f>
        <v>1110486</v>
      </c>
      <c r="D35" s="523">
        <f>'YR2000'!D34+'YR2001'!D35+'YR2002'!D35</f>
        <v>0</v>
      </c>
      <c r="E35" s="523">
        <f>'YR2000'!E34+'YR2001'!E35+'YR2002'!E35</f>
        <v>0</v>
      </c>
      <c r="F35" s="636">
        <f t="shared" si="1"/>
        <v>0</v>
      </c>
      <c r="G35" s="222"/>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523">
        <f>'YR2000'!B35+'YR2001'!B36+'YR2002'!B36</f>
        <v>3065139</v>
      </c>
      <c r="C36" s="523">
        <f>'YR2000'!C35+'YR2001'!C36+'YR2002'!C36</f>
        <v>3065139</v>
      </c>
      <c r="D36" s="523">
        <f>'YR2000'!D35+'YR2001'!D36+'YR2002'!D36</f>
        <v>0</v>
      </c>
      <c r="E36" s="523">
        <f>'YR2000'!E35+'YR2001'!E36+'YR2002'!E36</f>
        <v>0</v>
      </c>
      <c r="F36" s="636">
        <f t="shared" si="1"/>
        <v>0</v>
      </c>
      <c r="G36" s="222"/>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523">
        <f>'YR2000'!B36+'YR2001'!B37+'YR2002'!B37</f>
        <v>1040136</v>
      </c>
      <c r="C37" s="523">
        <f>'YR2000'!C36+'YR2001'!C37+'YR2002'!C37</f>
        <v>927136</v>
      </c>
      <c r="D37" s="523">
        <f>'YR2000'!D36+'YR2001'!D37+'YR2002'!D37</f>
        <v>113000</v>
      </c>
      <c r="E37" s="523">
        <f>'YR2000'!E36+'YR2001'!E37+'YR2002'!E37</f>
        <v>0</v>
      </c>
      <c r="F37" s="636">
        <f t="shared" si="1"/>
        <v>0</v>
      </c>
      <c r="G37" s="222"/>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523">
        <f>'YR2000'!B37+'YR2001'!B38+'YR2002'!B38</f>
        <v>2095350</v>
      </c>
      <c r="C38" s="523">
        <f>'YR2000'!C37+'YR2001'!C38+'YR2002'!C38</f>
        <v>2095350</v>
      </c>
      <c r="D38" s="523">
        <f>'YR2000'!D37+'YR2001'!D38+'YR2002'!D38</f>
        <v>0</v>
      </c>
      <c r="E38" s="523">
        <f>'YR2000'!E37+'YR2001'!E38+'YR2002'!E38</f>
        <v>0</v>
      </c>
      <c r="F38" s="636">
        <f t="shared" si="1"/>
        <v>0</v>
      </c>
      <c r="G38" s="222"/>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523">
        <f>'YR2000'!B38+'YR2001'!B39+'YR2002'!B39</f>
        <v>7471905</v>
      </c>
      <c r="C39" s="523">
        <f>'YR2000'!C38+'YR2001'!C39+'YR2002'!C39</f>
        <v>0</v>
      </c>
      <c r="D39" s="523">
        <f>'YR2000'!D38+'YR2001'!D39+'YR2002'!D39</f>
        <v>0</v>
      </c>
      <c r="E39" s="523">
        <f>'YR2000'!E38+'YR2001'!E39+'YR2002'!E39</f>
        <v>0</v>
      </c>
      <c r="F39" s="636">
        <f t="shared" si="1"/>
        <v>7471905</v>
      </c>
      <c r="G39" s="222"/>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523">
        <f>'YR2000'!B39+'YR2001'!B40+'YR2002'!B40</f>
        <v>195969</v>
      </c>
      <c r="C40" s="523">
        <f>'YR2000'!C39+'YR2001'!C40+'YR2002'!C40</f>
        <v>195969</v>
      </c>
      <c r="D40" s="523">
        <f>'YR2000'!D39+'YR2001'!D40+'YR2002'!D40</f>
        <v>0</v>
      </c>
      <c r="E40" s="523">
        <f>'YR2000'!E39+'YR2001'!E40+'YR2002'!E40</f>
        <v>0</v>
      </c>
      <c r="F40" s="636">
        <f t="shared" si="1"/>
        <v>0</v>
      </c>
      <c r="G40" s="222"/>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523">
        <f>'YR2000'!B40+'YR2001'!B41+'YR2002'!B41</f>
        <v>0</v>
      </c>
      <c r="C41" s="523">
        <f>'YR2000'!C40+'YR2001'!C41+'YR2002'!C41</f>
        <v>0</v>
      </c>
      <c r="D41" s="523">
        <f>'YR2000'!D40+'YR2001'!D41+'YR2002'!D41</f>
        <v>0</v>
      </c>
      <c r="E41" s="523">
        <f>'YR2000'!E40+'YR2001'!E41+'YR2002'!E41</f>
        <v>0</v>
      </c>
      <c r="F41" s="636">
        <f t="shared" si="1"/>
        <v>0</v>
      </c>
      <c r="G41" s="222"/>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523">
        <f>'YR2000'!B41+'YR2001'!B42+'YR2002'!B42</f>
        <v>13009257</v>
      </c>
      <c r="C42" s="523">
        <f>'YR2000'!C41+'YR2001'!C42+'YR2002'!C42</f>
        <v>13009257</v>
      </c>
      <c r="D42" s="523">
        <f>'YR2000'!D41+'YR2001'!D42+'YR2002'!D42</f>
        <v>0</v>
      </c>
      <c r="E42" s="523">
        <f>'YR2000'!E41+'YR2001'!E42+'YR2002'!E42</f>
        <v>0</v>
      </c>
      <c r="F42" s="636">
        <f t="shared" si="1"/>
        <v>0</v>
      </c>
      <c r="G42" s="222"/>
      <c r="H42" s="222"/>
      <c r="I42" s="222"/>
      <c r="J42" s="222"/>
      <c r="K42" s="222"/>
      <c r="L42" s="222"/>
      <c r="M42" s="222"/>
      <c r="N42" s="222"/>
      <c r="O42" s="222"/>
      <c r="P42" s="222"/>
      <c r="Q42" s="222"/>
      <c r="R42" s="222"/>
      <c r="S42" s="222"/>
      <c r="T42" s="222"/>
      <c r="U42" s="222"/>
      <c r="V42" s="222"/>
      <c r="W42" s="222"/>
      <c r="X42" s="222"/>
      <c r="Y42" s="222"/>
      <c r="Z42" s="222"/>
    </row>
    <row r="43" ht="18.0" customHeight="1">
      <c r="A43" s="488" t="s">
        <v>132</v>
      </c>
      <c r="B43" s="523">
        <f>'YR2000'!B42+'YR2001'!B43+'YR2002'!B43</f>
        <v>5446905</v>
      </c>
      <c r="C43" s="523">
        <f>'YR2000'!C42+'YR2001'!C43+'YR2002'!C43</f>
        <v>4735239</v>
      </c>
      <c r="D43" s="523">
        <f>'YR2000'!D42+'YR2001'!D43+'YR2002'!D43</f>
        <v>711666</v>
      </c>
      <c r="E43" s="523">
        <f>'YR2000'!E42+'YR2001'!E43+'YR2002'!E43</f>
        <v>0</v>
      </c>
      <c r="F43" s="636">
        <f t="shared" si="1"/>
        <v>0</v>
      </c>
      <c r="G43" s="222"/>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523">
        <f>'YR2000'!B43+'YR2001'!B44+'YR2002'!B44</f>
        <v>6105156</v>
      </c>
      <c r="C44" s="523">
        <f>'YR2000'!C43+'YR2001'!C44+'YR2002'!C44</f>
        <v>5953926</v>
      </c>
      <c r="D44" s="523">
        <f>'YR2000'!D43+'YR2001'!D44+'YR2002'!D44</f>
        <v>151230</v>
      </c>
      <c r="E44" s="523">
        <f>'YR2000'!E43+'YR2001'!E44+'YR2002'!E44</f>
        <v>0</v>
      </c>
      <c r="F44" s="636">
        <f t="shared" si="1"/>
        <v>0</v>
      </c>
      <c r="G44" s="222"/>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523">
        <f>'YR2000'!B44+'YR2001'!B45+'YR2002'!B45</f>
        <v>25125</v>
      </c>
      <c r="C45" s="523">
        <f>'YR2000'!C44+'YR2001'!C45+'YR2002'!C45</f>
        <v>0</v>
      </c>
      <c r="D45" s="523">
        <f>'YR2000'!D44+'YR2001'!D45+'YR2002'!D45</f>
        <v>0</v>
      </c>
      <c r="E45" s="523">
        <f>'YR2000'!E44+'YR2001'!E45+'YR2002'!E45</f>
        <v>0</v>
      </c>
      <c r="F45" s="636">
        <f t="shared" si="1"/>
        <v>25125</v>
      </c>
      <c r="G45" s="222"/>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523">
        <f>'YR2000'!B45+'YR2001'!B46+'YR2002'!B46</f>
        <v>40197</v>
      </c>
      <c r="C46" s="523">
        <f>'YR2000'!C45+'YR2001'!C46+'YR2002'!C46</f>
        <v>0</v>
      </c>
      <c r="D46" s="523">
        <f>'YR2000'!D45+'YR2001'!D46+'YR2002'!D46</f>
        <v>0</v>
      </c>
      <c r="E46" s="523">
        <f>'YR2000'!E45+'YR2001'!E46+'YR2002'!E46</f>
        <v>0</v>
      </c>
      <c r="F46" s="636">
        <f t="shared" si="1"/>
        <v>40197</v>
      </c>
      <c r="G46" s="222"/>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523">
        <f>'YR2000'!B46+'YR2001'!B47+'YR2002'!B47</f>
        <v>1517496</v>
      </c>
      <c r="C47" s="523">
        <f>'YR2000'!C46+'YR2001'!C47+'YR2002'!C47</f>
        <v>0</v>
      </c>
      <c r="D47" s="523">
        <f>'YR2000'!D46+'YR2001'!D47+'YR2002'!D47</f>
        <v>0</v>
      </c>
      <c r="E47" s="523">
        <f>'YR2000'!E46+'YR2001'!E47+'YR2002'!E47</f>
        <v>0</v>
      </c>
      <c r="F47" s="636">
        <f t="shared" si="1"/>
        <v>1517496</v>
      </c>
      <c r="G47" s="222"/>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523">
        <f>'YR2000'!B47+'YR2001'!B48+'YR2002'!B48</f>
        <v>25576332</v>
      </c>
      <c r="C48" s="523">
        <f>'YR2000'!C47+'YR2001'!C48+'YR2002'!C48</f>
        <v>25576332</v>
      </c>
      <c r="D48" s="523">
        <f>'YR2000'!D47+'YR2001'!D48+'YR2002'!D48</f>
        <v>0</v>
      </c>
      <c r="E48" s="523">
        <f>'YR2000'!E47+'YR2001'!E48+'YR2002'!E48</f>
        <v>0</v>
      </c>
      <c r="F48" s="636">
        <f t="shared" si="1"/>
        <v>0</v>
      </c>
      <c r="G48" s="222"/>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523">
        <f>'YR2000'!B48+'YR2001'!B49+'YR2002'!B49</f>
        <v>110000001</v>
      </c>
      <c r="C49" s="523">
        <f>'YR2000'!C48+'YR2001'!C49+'YR2002'!C49</f>
        <v>110000001</v>
      </c>
      <c r="D49" s="523">
        <f>'YR2000'!D48+'YR2001'!D49+'YR2002'!D49</f>
        <v>0</v>
      </c>
      <c r="E49" s="523">
        <f>'YR2000'!E48+'YR2001'!E49+'YR2002'!E49</f>
        <v>0</v>
      </c>
      <c r="F49" s="636">
        <f t="shared" si="1"/>
        <v>0</v>
      </c>
      <c r="G49" s="222"/>
      <c r="H49" s="222"/>
      <c r="I49" s="222"/>
      <c r="J49" s="222"/>
      <c r="K49" s="222"/>
      <c r="L49" s="222"/>
      <c r="M49" s="222"/>
      <c r="N49" s="222"/>
      <c r="O49" s="222"/>
      <c r="P49" s="222"/>
      <c r="Q49" s="222"/>
      <c r="R49" s="222"/>
      <c r="S49" s="222"/>
      <c r="T49" s="222"/>
      <c r="U49" s="222"/>
      <c r="V49" s="222"/>
      <c r="W49" s="222"/>
      <c r="X49" s="222"/>
      <c r="Y49" s="222"/>
      <c r="Z49" s="222"/>
    </row>
    <row r="50" ht="18.0" customHeight="1">
      <c r="A50" s="497" t="s">
        <v>140</v>
      </c>
      <c r="B50" s="523">
        <f>'YR2000'!B49+'YR2001'!B50+'YR2002'!B50</f>
        <v>185919</v>
      </c>
      <c r="C50" s="523">
        <f>'YR2000'!C49+'YR2001'!C50+'YR2002'!C50</f>
        <v>61973</v>
      </c>
      <c r="D50" s="523">
        <f>'YR2000'!D49+'YR2001'!D50+'YR2002'!D50</f>
        <v>0</v>
      </c>
      <c r="E50" s="523">
        <f>'YR2000'!E49+'YR2001'!E50+'YR2002'!E50</f>
        <v>0</v>
      </c>
      <c r="F50" s="636">
        <f t="shared" si="1"/>
        <v>123946</v>
      </c>
      <c r="G50" s="222"/>
      <c r="H50" s="222"/>
      <c r="I50" s="222"/>
      <c r="J50" s="222"/>
      <c r="K50" s="222"/>
      <c r="L50" s="222"/>
      <c r="M50" s="222"/>
      <c r="N50" s="222"/>
      <c r="O50" s="222"/>
      <c r="P50" s="222"/>
      <c r="Q50" s="222"/>
      <c r="R50" s="222"/>
      <c r="S50" s="222"/>
      <c r="T50" s="222"/>
      <c r="U50" s="222"/>
      <c r="V50" s="222"/>
      <c r="W50" s="222"/>
      <c r="X50" s="222"/>
      <c r="Y50" s="222"/>
      <c r="Z50" s="222"/>
    </row>
    <row r="51" ht="20.25" customHeight="1">
      <c r="A51" s="531" t="s">
        <v>143</v>
      </c>
      <c r="B51" s="624">
        <f t="shared" ref="B51:F51" si="2">SUM(B8:B50)</f>
        <v>440000001</v>
      </c>
      <c r="C51" s="624">
        <f t="shared" si="2"/>
        <v>406691769</v>
      </c>
      <c r="D51" s="624">
        <f t="shared" si="2"/>
        <v>22591302.25</v>
      </c>
      <c r="E51" s="624">
        <f t="shared" si="2"/>
        <v>0</v>
      </c>
      <c r="F51" s="624">
        <f t="shared" si="2"/>
        <v>10716929.72</v>
      </c>
      <c r="G51" s="222"/>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222"/>
      <c r="H52" s="222"/>
      <c r="I52" s="222"/>
      <c r="J52" s="222"/>
      <c r="K52" s="222"/>
      <c r="L52" s="222"/>
      <c r="M52" s="222"/>
      <c r="N52" s="222"/>
      <c r="O52" s="222"/>
      <c r="P52" s="222"/>
      <c r="Q52" s="222"/>
      <c r="R52" s="222"/>
      <c r="S52" s="222"/>
      <c r="T52" s="222"/>
      <c r="U52" s="222"/>
      <c r="V52" s="222"/>
      <c r="W52" s="222"/>
      <c r="X52" s="222"/>
      <c r="Y52" s="222"/>
      <c r="Z52" s="222"/>
    </row>
    <row r="53">
      <c r="A53" s="628"/>
      <c r="B53" s="637"/>
      <c r="C53" s="637"/>
      <c r="D53" s="637"/>
      <c r="E53" s="637"/>
      <c r="F53" s="637"/>
      <c r="G53" s="222"/>
      <c r="H53" s="222"/>
      <c r="I53" s="222"/>
      <c r="J53" s="222"/>
      <c r="K53" s="222"/>
      <c r="L53" s="222"/>
      <c r="M53" s="222"/>
      <c r="N53" s="222"/>
      <c r="O53" s="222"/>
      <c r="P53" s="222"/>
      <c r="Q53" s="222"/>
      <c r="R53" s="222"/>
      <c r="S53" s="222"/>
      <c r="T53" s="222"/>
      <c r="U53" s="222"/>
      <c r="V53" s="222"/>
      <c r="W53" s="222"/>
      <c r="X53" s="222"/>
      <c r="Y53" s="222"/>
      <c r="Z53" s="222"/>
    </row>
    <row r="54">
      <c r="A54" s="628"/>
      <c r="B54" s="637"/>
      <c r="C54" s="637"/>
      <c r="D54" s="637"/>
      <c r="E54" s="637"/>
      <c r="F54" s="637"/>
      <c r="G54" s="222"/>
      <c r="H54" s="222"/>
      <c r="I54" s="222"/>
      <c r="J54" s="222"/>
      <c r="K54" s="222"/>
      <c r="L54" s="222"/>
      <c r="M54" s="222"/>
      <c r="N54" s="222"/>
      <c r="O54" s="222"/>
      <c r="P54" s="222"/>
      <c r="Q54" s="222"/>
      <c r="R54" s="222"/>
      <c r="S54" s="222"/>
      <c r="T54" s="222"/>
      <c r="U54" s="222"/>
      <c r="V54" s="222"/>
      <c r="W54" s="222"/>
      <c r="X54" s="222"/>
      <c r="Y54" s="222"/>
      <c r="Z54" s="222"/>
    </row>
    <row r="55">
      <c r="A55" s="433"/>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row>
    <row r="56">
      <c r="A56" s="638"/>
      <c r="B56" s="139"/>
      <c r="C56" s="139"/>
      <c r="D56" s="139"/>
      <c r="E56" s="139"/>
      <c r="F56" s="139"/>
      <c r="G56" s="222"/>
      <c r="H56" s="222"/>
      <c r="I56" s="222"/>
      <c r="J56" s="222"/>
      <c r="K56" s="222"/>
      <c r="L56" s="222"/>
      <c r="M56" s="222"/>
      <c r="N56" s="222"/>
      <c r="O56" s="222"/>
      <c r="P56" s="222"/>
      <c r="Q56" s="222"/>
      <c r="R56" s="222"/>
      <c r="S56" s="222"/>
      <c r="T56" s="222"/>
      <c r="U56" s="222"/>
      <c r="V56" s="222"/>
      <c r="W56" s="222"/>
      <c r="X56" s="222"/>
      <c r="Y56" s="222"/>
      <c r="Z56" s="222"/>
    </row>
    <row r="57" ht="16.5" customHeight="1">
      <c r="A57" s="639" t="s">
        <v>159</v>
      </c>
      <c r="B57" s="509">
        <f t="shared" ref="B57:E57" si="3">B10+B11+B13+B15+B17+B22+B29+B31+B37+B39+B40+B41+B45+B46+B47+B50</f>
        <v>12612300</v>
      </c>
      <c r="C57" s="509">
        <f t="shared" si="3"/>
        <v>2687502</v>
      </c>
      <c r="D57" s="509">
        <f t="shared" si="3"/>
        <v>113000</v>
      </c>
      <c r="E57" s="509">
        <f t="shared" si="3"/>
        <v>0</v>
      </c>
      <c r="F57" s="640">
        <f>B57-C57-D57-E57</f>
        <v>9811798</v>
      </c>
      <c r="G57" s="617"/>
      <c r="H57" s="222"/>
      <c r="I57" s="222"/>
      <c r="J57" s="222"/>
      <c r="K57" s="222"/>
      <c r="L57" s="222"/>
      <c r="M57" s="222"/>
      <c r="N57" s="222"/>
      <c r="O57" s="222"/>
      <c r="P57" s="222"/>
      <c r="Q57" s="222"/>
      <c r="R57" s="222"/>
      <c r="S57" s="222"/>
      <c r="T57" s="222"/>
      <c r="U57" s="222"/>
      <c r="V57" s="222"/>
      <c r="W57" s="222"/>
      <c r="X57" s="222"/>
      <c r="Y57" s="222"/>
      <c r="Z57" s="222"/>
    </row>
    <row r="58">
      <c r="A58" s="139"/>
      <c r="B58" s="139"/>
      <c r="C58" s="139"/>
      <c r="D58" s="139"/>
      <c r="E58" s="139"/>
      <c r="F58" s="139"/>
      <c r="G58" s="222"/>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7" width="3.0"/>
    <col customWidth="1" min="8" max="26" width="9.71"/>
  </cols>
  <sheetData>
    <row r="1" ht="16.5" customHeight="1">
      <c r="A1" s="433" t="s">
        <v>242</v>
      </c>
      <c r="B1" s="433"/>
      <c r="C1" s="222"/>
      <c r="D1" s="222"/>
      <c r="E1" s="222"/>
      <c r="F1" s="222"/>
      <c r="G1" s="222"/>
      <c r="H1" s="222"/>
      <c r="I1" s="222"/>
      <c r="J1" s="222"/>
      <c r="K1" s="222"/>
      <c r="L1" s="222"/>
      <c r="M1" s="222"/>
      <c r="N1" s="222"/>
      <c r="O1" s="222"/>
      <c r="P1" s="222"/>
      <c r="Q1" s="222"/>
      <c r="R1" s="222"/>
      <c r="S1" s="222"/>
      <c r="T1" s="222"/>
      <c r="U1" s="222"/>
      <c r="V1" s="222"/>
      <c r="W1" s="222"/>
      <c r="X1" s="222"/>
      <c r="Y1" s="222"/>
      <c r="Z1" s="222"/>
    </row>
    <row r="2" ht="16.5" customHeight="1">
      <c r="A2" s="433" t="s">
        <v>243</v>
      </c>
      <c r="B2" s="433"/>
      <c r="C2" s="222"/>
      <c r="D2" s="222"/>
      <c r="E2" s="222"/>
      <c r="F2" s="22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244</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641">
        <v>2482261.0</v>
      </c>
      <c r="C8" s="641">
        <f>1940246+288692</f>
        <v>2228938</v>
      </c>
      <c r="D8" s="641">
        <v>184023.0</v>
      </c>
      <c r="E8" s="641">
        <v>0.0</v>
      </c>
      <c r="F8" s="642">
        <f t="shared" ref="F8:F50" si="1">B8-C8-D8-E8</f>
        <v>69300</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643">
        <v>1576118.0</v>
      </c>
      <c r="C9" s="643">
        <f>1437101+139017</f>
        <v>1576118</v>
      </c>
      <c r="D9" s="643">
        <v>0.0</v>
      </c>
      <c r="E9" s="643">
        <v>0.0</v>
      </c>
      <c r="F9" s="487">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643">
        <v>36849.0</v>
      </c>
      <c r="C10" s="643"/>
      <c r="D10" s="643">
        <v>0.0</v>
      </c>
      <c r="E10" s="643">
        <v>0.0</v>
      </c>
      <c r="F10" s="487">
        <f t="shared" si="1"/>
        <v>36849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43">
        <v>137345.0</v>
      </c>
      <c r="C11" s="643">
        <v>0.0</v>
      </c>
      <c r="D11" s="643">
        <v>0.0</v>
      </c>
      <c r="E11" s="643">
        <v>0.0</v>
      </c>
      <c r="F11" s="487">
        <f t="shared" si="1"/>
        <v>137345</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43">
        <v>1847459.0</v>
      </c>
      <c r="C12" s="643">
        <f>1710909+136550</f>
        <v>1847459</v>
      </c>
      <c r="D12" s="643">
        <v>0.0</v>
      </c>
      <c r="E12" s="643">
        <v>0.0</v>
      </c>
      <c r="F12" s="487">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643">
        <v>31824.0</v>
      </c>
      <c r="C13" s="643">
        <f>31824</f>
        <v>31824</v>
      </c>
      <c r="D13" s="643">
        <v>0.0</v>
      </c>
      <c r="E13" s="643">
        <v>0.0</v>
      </c>
      <c r="F13" s="487">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245</v>
      </c>
      <c r="B14" s="643">
        <v>4612784.0</v>
      </c>
      <c r="C14" s="643">
        <f>613066+3690228-828765+30</f>
        <v>3474559</v>
      </c>
      <c r="D14" s="643">
        <f>1138255-30</f>
        <v>1138225</v>
      </c>
      <c r="E14" s="643">
        <f>3690228-3619394-70834</f>
        <v>0</v>
      </c>
      <c r="F14" s="487">
        <f t="shared" si="1"/>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643">
        <v>202668.0</v>
      </c>
      <c r="C15" s="643">
        <f>202668</f>
        <v>202668</v>
      </c>
      <c r="D15" s="643">
        <v>0.0</v>
      </c>
      <c r="E15" s="643">
        <v>0.0</v>
      </c>
      <c r="F15" s="487">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643">
        <v>1157383.0</v>
      </c>
      <c r="C16" s="643">
        <f>1157383</f>
        <v>1157383</v>
      </c>
      <c r="D16" s="643">
        <v>0.0</v>
      </c>
      <c r="E16" s="643">
        <v>0.0</v>
      </c>
      <c r="F16" s="487">
        <f t="shared" si="1"/>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643">
        <v>25124.0</v>
      </c>
      <c r="C17" s="643">
        <f>12735+12389</f>
        <v>25124</v>
      </c>
      <c r="D17" s="643">
        <v>0.0</v>
      </c>
      <c r="E17" s="643">
        <v>0.0</v>
      </c>
      <c r="F17" s="487">
        <f t="shared" si="1"/>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643">
        <v>907817.0</v>
      </c>
      <c r="C18" s="643">
        <f>840494+67323</f>
        <v>907817</v>
      </c>
      <c r="D18" s="643">
        <v>0.0</v>
      </c>
      <c r="E18" s="643">
        <v>0.0</v>
      </c>
      <c r="F18" s="487">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643">
        <v>1.0954107E7</v>
      </c>
      <c r="C19" s="643">
        <f>9922239-116111+1156086</f>
        <v>10962214</v>
      </c>
      <c r="D19" s="643">
        <f>1187874-1156086</f>
        <v>31788</v>
      </c>
      <c r="E19" s="643">
        <f>9922239-116111-9806128</f>
        <v>0</v>
      </c>
      <c r="F19" s="487">
        <f t="shared" si="1"/>
        <v>-39895</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643">
        <v>1.642781E7</v>
      </c>
      <c r="C20" s="643">
        <f>547595+3833156-3+1095187.69+1095187.31+4504898</f>
        <v>11076021</v>
      </c>
      <c r="D20" s="643">
        <f>9856687-4504898</f>
        <v>5351789</v>
      </c>
      <c r="E20" s="643">
        <f>5662119-3471744-1095187.69-1095187.31</f>
        <v>0</v>
      </c>
      <c r="F20" s="487">
        <f t="shared" si="1"/>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643">
        <v>587904.0</v>
      </c>
      <c r="C21" s="643">
        <f>206840.61+431434.68</f>
        <v>638275.29</v>
      </c>
      <c r="D21" s="643">
        <v>0.0</v>
      </c>
      <c r="E21" s="643">
        <v>0.0</v>
      </c>
      <c r="F21" s="487">
        <f t="shared" si="1"/>
        <v>-50371.29</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643">
        <v>200993.0</v>
      </c>
      <c r="C22" s="643">
        <v>200993.0</v>
      </c>
      <c r="D22" s="643">
        <v>0.0</v>
      </c>
      <c r="E22" s="643">
        <v>0.0</v>
      </c>
      <c r="F22" s="487">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643">
        <v>53598.0</v>
      </c>
      <c r="C23" s="643">
        <f>42916+10682</f>
        <v>53598</v>
      </c>
      <c r="D23" s="643">
        <v>0.0</v>
      </c>
      <c r="E23" s="643">
        <v>0.0</v>
      </c>
      <c r="F23" s="487">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643">
        <v>375186.0</v>
      </c>
      <c r="C24" s="643">
        <f>307709+67477</f>
        <v>375186</v>
      </c>
      <c r="D24" s="643">
        <v>0.0</v>
      </c>
      <c r="E24" s="643">
        <v>0.0</v>
      </c>
      <c r="F24" s="487">
        <f t="shared" si="1"/>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643">
        <v>577854.0</v>
      </c>
      <c r="C25" s="643">
        <v>0.0</v>
      </c>
      <c r="D25" s="643">
        <f>108130-70024</f>
        <v>38106</v>
      </c>
      <c r="E25" s="643">
        <v>0.0</v>
      </c>
      <c r="F25" s="487">
        <f t="shared" si="1"/>
        <v>539748</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643">
        <v>9098273.0</v>
      </c>
      <c r="C26" s="643">
        <f>6546820+466979+134474</f>
        <v>7148273</v>
      </c>
      <c r="D26" s="643">
        <f>1950000</f>
        <v>1950000</v>
      </c>
      <c r="E26" s="643">
        <v>0.0</v>
      </c>
      <c r="F26" s="487">
        <f t="shared" si="1"/>
        <v>0</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643">
        <v>3.3471998E7</v>
      </c>
      <c r="C27" s="643">
        <f>33471998-(294247+218090)+1038.53+68816</f>
        <v>33029515.53</v>
      </c>
      <c r="D27" s="643">
        <f>294247+218090-1038.53-68816</f>
        <v>442482.47</v>
      </c>
      <c r="E27" s="643">
        <v>0.0</v>
      </c>
      <c r="F27" s="487">
        <f t="shared" si="1"/>
        <v>-0.000000001164153218</v>
      </c>
      <c r="G27" s="617"/>
      <c r="H27" s="222"/>
      <c r="I27" s="222"/>
      <c r="J27" s="222"/>
      <c r="K27" s="222"/>
      <c r="L27" s="222"/>
      <c r="M27" s="222"/>
      <c r="N27" s="222"/>
      <c r="O27" s="222"/>
      <c r="P27" s="222"/>
      <c r="Q27" s="222"/>
      <c r="R27" s="222"/>
      <c r="S27" s="222"/>
      <c r="T27" s="222"/>
      <c r="U27" s="222"/>
      <c r="V27" s="222"/>
      <c r="W27" s="222"/>
      <c r="X27" s="222"/>
      <c r="Y27" s="222"/>
      <c r="Z27" s="222"/>
    </row>
    <row r="28">
      <c r="A28" s="488" t="s">
        <v>110</v>
      </c>
      <c r="B28" s="644">
        <v>0.0</v>
      </c>
      <c r="C28" s="643">
        <v>0.0</v>
      </c>
      <c r="D28" s="405"/>
      <c r="E28" s="405"/>
      <c r="F28" s="487">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643">
        <v>40199.0</v>
      </c>
      <c r="C29" s="643">
        <f>5996+34203</f>
        <v>40199</v>
      </c>
      <c r="D29" s="643">
        <v>0.0</v>
      </c>
      <c r="E29" s="643">
        <v>0.0</v>
      </c>
      <c r="F29" s="487">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643">
        <v>10050.0</v>
      </c>
      <c r="C30" s="643">
        <f>10050</f>
        <v>10050</v>
      </c>
      <c r="D30" s="643">
        <v>0.0</v>
      </c>
      <c r="E30" s="643">
        <v>0.0</v>
      </c>
      <c r="F30" s="487">
        <f t="shared" si="1"/>
        <v>0</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643">
        <v>36849.0</v>
      </c>
      <c r="C31" s="643"/>
      <c r="D31" s="643">
        <v>0.0</v>
      </c>
      <c r="E31" s="643">
        <v>0.0</v>
      </c>
      <c r="F31" s="487">
        <f t="shared" si="1"/>
        <v>36849</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643">
        <v>113896.0</v>
      </c>
      <c r="C32" s="643">
        <f>100531+13365</f>
        <v>113896</v>
      </c>
      <c r="D32" s="643">
        <v>0.0</v>
      </c>
      <c r="E32" s="643">
        <v>0.0</v>
      </c>
      <c r="F32" s="487">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643">
        <v>6700.0</v>
      </c>
      <c r="C33" s="643">
        <v>6680.0</v>
      </c>
      <c r="D33" s="643">
        <v>0.0</v>
      </c>
      <c r="E33" s="643">
        <v>0.0</v>
      </c>
      <c r="F33" s="487">
        <f t="shared" si="1"/>
        <v>20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643">
        <v>2731827.0</v>
      </c>
      <c r="C34" s="643">
        <f>2731827</f>
        <v>2731827</v>
      </c>
      <c r="D34" s="643">
        <v>0.0</v>
      </c>
      <c r="E34" s="643">
        <f>0</f>
        <v>0</v>
      </c>
      <c r="F34" s="487">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643">
        <v>370162.0</v>
      </c>
      <c r="C35" s="643">
        <f>370162</f>
        <v>370162</v>
      </c>
      <c r="D35" s="643">
        <v>0.0</v>
      </c>
      <c r="E35" s="643">
        <v>0.0</v>
      </c>
      <c r="F35" s="487">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643">
        <v>1021713.0</v>
      </c>
      <c r="C36" s="643">
        <f>1130258-108545</f>
        <v>1021713</v>
      </c>
      <c r="D36" s="643">
        <v>0.0</v>
      </c>
      <c r="E36" s="643">
        <v>0.0</v>
      </c>
      <c r="F36" s="487">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643">
        <v>346712.0</v>
      </c>
      <c r="C37" s="643">
        <v>346712.0</v>
      </c>
      <c r="D37" s="643">
        <v>0.0</v>
      </c>
      <c r="E37" s="643">
        <v>0.0</v>
      </c>
      <c r="F37" s="487">
        <f t="shared" si="1"/>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643">
        <v>698450.0</v>
      </c>
      <c r="C38" s="643">
        <f>295744.68+63313.27+339392.05</f>
        <v>698450</v>
      </c>
      <c r="D38" s="643">
        <v>0.0</v>
      </c>
      <c r="E38" s="643">
        <v>0.0</v>
      </c>
      <c r="F38" s="487">
        <f t="shared" si="1"/>
        <v>0</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643">
        <v>2490635.0</v>
      </c>
      <c r="C39" s="643">
        <v>0.0</v>
      </c>
      <c r="D39" s="643">
        <v>0.0</v>
      </c>
      <c r="E39" s="643">
        <v>0.0</v>
      </c>
      <c r="F39" s="487">
        <f t="shared" si="1"/>
        <v>2490635</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643">
        <v>65323.0</v>
      </c>
      <c r="C40" s="643">
        <v>65323.0</v>
      </c>
      <c r="D40" s="643">
        <v>0.0</v>
      </c>
      <c r="E40" s="643">
        <v>0.0</v>
      </c>
      <c r="F40" s="487">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643">
        <v>0.0</v>
      </c>
      <c r="C41" s="643">
        <v>0.0</v>
      </c>
      <c r="D41" s="643">
        <v>0.0</v>
      </c>
      <c r="E41" s="643">
        <v>0.0</v>
      </c>
      <c r="F41" s="487">
        <f t="shared" si="1"/>
        <v>0</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643">
        <v>4336419.0</v>
      </c>
      <c r="C42" s="643">
        <f>4336419</f>
        <v>4336419</v>
      </c>
      <c r="D42" s="643">
        <v>0.0</v>
      </c>
      <c r="E42" s="643">
        <v>0.0</v>
      </c>
      <c r="F42" s="487">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156</v>
      </c>
      <c r="B43" s="643">
        <v>1815635.0</v>
      </c>
      <c r="C43" s="645">
        <f>1165014+287559-43604</f>
        <v>1408969</v>
      </c>
      <c r="D43" s="645">
        <f>16950+163716+226000</f>
        <v>406666</v>
      </c>
      <c r="E43" s="643">
        <v>0.0</v>
      </c>
      <c r="F43" s="487">
        <f t="shared" si="1"/>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643">
        <v>2035052.0</v>
      </c>
      <c r="C44" s="643">
        <f>((125285)+(15034))+((1890699)+(4034))</f>
        <v>2035052</v>
      </c>
      <c r="D44" s="643">
        <v>0.0</v>
      </c>
      <c r="E44" s="643">
        <v>0.0</v>
      </c>
      <c r="F44" s="487">
        <f t="shared" si="1"/>
        <v>0</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643">
        <v>8375.0</v>
      </c>
      <c r="C45" s="643">
        <v>0.0</v>
      </c>
      <c r="D45" s="643">
        <v>0.0</v>
      </c>
      <c r="E45" s="643">
        <v>0.0</v>
      </c>
      <c r="F45" s="487">
        <f t="shared" si="1"/>
        <v>8375</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643">
        <v>13399.0</v>
      </c>
      <c r="C46" s="643">
        <v>0.0</v>
      </c>
      <c r="D46" s="643">
        <v>0.0</v>
      </c>
      <c r="E46" s="643">
        <v>0.0</v>
      </c>
      <c r="F46" s="487">
        <f t="shared" si="1"/>
        <v>13399</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643">
        <v>505832.0</v>
      </c>
      <c r="C47" s="643">
        <v>0.0</v>
      </c>
      <c r="D47" s="643">
        <v>0.0</v>
      </c>
      <c r="E47" s="643">
        <v>0.0</v>
      </c>
      <c r="F47" s="487">
        <f t="shared" si="1"/>
        <v>505832</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643">
        <v>8525444.0</v>
      </c>
      <c r="C48" s="643">
        <f>7420453+1104991</f>
        <v>8525444</v>
      </c>
      <c r="D48" s="643">
        <v>0.0</v>
      </c>
      <c r="E48" s="643">
        <f>8390119+135325-7420453-1104991</f>
        <v>0</v>
      </c>
      <c r="F48" s="487">
        <f t="shared" si="1"/>
        <v>0</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643">
        <v>3.6666667E7</v>
      </c>
      <c r="C49" s="643">
        <f>28666667+5000000-2000000+3000000+2000000</f>
        <v>36666667</v>
      </c>
      <c r="D49" s="643">
        <v>0.0</v>
      </c>
      <c r="E49" s="643">
        <f>8000000-3000000-3000000-2000000</f>
        <v>0</v>
      </c>
      <c r="F49" s="487">
        <f t="shared" si="1"/>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497" t="s">
        <v>140</v>
      </c>
      <c r="B50" s="643">
        <v>61973.0</v>
      </c>
      <c r="C50" s="643">
        <v>0.0</v>
      </c>
      <c r="D50" s="643">
        <v>0.0</v>
      </c>
      <c r="E50" s="643">
        <v>0.0</v>
      </c>
      <c r="F50" s="646">
        <f t="shared" si="1"/>
        <v>61973</v>
      </c>
      <c r="G50" s="617"/>
      <c r="H50" s="222"/>
      <c r="I50" s="222"/>
      <c r="J50" s="222"/>
      <c r="K50" s="222"/>
      <c r="L50" s="222"/>
      <c r="M50" s="222"/>
      <c r="N50" s="222"/>
      <c r="O50" s="222"/>
      <c r="P50" s="222"/>
      <c r="Q50" s="222"/>
      <c r="R50" s="222"/>
      <c r="S50" s="222"/>
      <c r="T50" s="222"/>
      <c r="U50" s="222"/>
      <c r="V50" s="222"/>
      <c r="W50" s="222"/>
      <c r="X50" s="222"/>
      <c r="Y50" s="222"/>
      <c r="Z50" s="222"/>
    </row>
    <row r="51" ht="20.25" customHeight="1">
      <c r="A51" s="531" t="s">
        <v>143</v>
      </c>
      <c r="B51" s="624">
        <f t="shared" ref="B51:F51" si="2">SUM(B8:B50)</f>
        <v>146666667</v>
      </c>
      <c r="C51" s="624">
        <f t="shared" si="2"/>
        <v>133313528.8</v>
      </c>
      <c r="D51" s="624">
        <f t="shared" si="2"/>
        <v>9543079.47</v>
      </c>
      <c r="E51" s="624">
        <f t="shared" si="2"/>
        <v>0</v>
      </c>
      <c r="F51" s="647">
        <f t="shared" si="2"/>
        <v>3810058.71</v>
      </c>
      <c r="G51" s="617"/>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139"/>
      <c r="G53" s="617"/>
      <c r="H53" s="222"/>
      <c r="I53" s="222"/>
      <c r="J53" s="222"/>
      <c r="K53" s="222"/>
      <c r="L53" s="222"/>
      <c r="M53" s="222"/>
      <c r="N53" s="222"/>
      <c r="O53" s="222"/>
      <c r="P53" s="222"/>
      <c r="Q53" s="222"/>
      <c r="R53" s="222"/>
      <c r="S53" s="222"/>
      <c r="T53" s="222"/>
      <c r="U53" s="222"/>
      <c r="V53" s="222"/>
      <c r="W53" s="222"/>
      <c r="X53" s="222"/>
      <c r="Y53" s="222"/>
      <c r="Z53" s="222"/>
    </row>
    <row r="54" ht="20.25" customHeight="1">
      <c r="A54" s="628"/>
      <c r="B54" s="139"/>
      <c r="C54" s="139"/>
      <c r="D54" s="139"/>
      <c r="E54" s="139"/>
      <c r="F54" s="139"/>
      <c r="G54" s="617"/>
      <c r="H54" s="222"/>
      <c r="I54" s="222"/>
      <c r="J54" s="222"/>
      <c r="K54" s="222"/>
      <c r="L54" s="222"/>
      <c r="M54" s="222"/>
      <c r="N54" s="222"/>
      <c r="O54" s="222"/>
      <c r="P54" s="222"/>
      <c r="Q54" s="222"/>
      <c r="R54" s="222"/>
      <c r="S54" s="222"/>
      <c r="T54" s="222"/>
      <c r="U54" s="222"/>
      <c r="V54" s="222"/>
      <c r="W54" s="222"/>
      <c r="X54" s="222"/>
      <c r="Y54" s="222"/>
      <c r="Z54" s="222"/>
    </row>
    <row r="55">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row>
    <row r="56">
      <c r="A56" s="139"/>
      <c r="B56" s="139"/>
      <c r="C56" s="139"/>
      <c r="D56" s="139"/>
      <c r="E56" s="139"/>
      <c r="F56" s="139"/>
      <c r="G56" s="617"/>
      <c r="H56" s="222"/>
      <c r="I56" s="222"/>
      <c r="J56" s="222"/>
      <c r="K56" s="222"/>
      <c r="L56" s="222"/>
      <c r="M56" s="222"/>
      <c r="N56" s="222"/>
      <c r="O56" s="222"/>
      <c r="P56" s="222"/>
      <c r="Q56" s="222"/>
      <c r="R56" s="222"/>
      <c r="S56" s="222"/>
      <c r="T56" s="222"/>
      <c r="U56" s="222"/>
      <c r="V56" s="222"/>
      <c r="W56" s="222"/>
      <c r="X56" s="222"/>
      <c r="Y56" s="222"/>
      <c r="Z56" s="222"/>
    </row>
    <row r="57" ht="16.5" customHeight="1">
      <c r="A57" s="629" t="s">
        <v>159</v>
      </c>
      <c r="B57" s="509">
        <f t="shared" ref="B57:E57" si="3">B10+B11+B13+B15+B17+B22+B29+B31+B37+B39+B40+B41+B45+B46+B47+B50</f>
        <v>4204100</v>
      </c>
      <c r="C57" s="509">
        <f t="shared" si="3"/>
        <v>912843</v>
      </c>
      <c r="D57" s="509">
        <f t="shared" si="3"/>
        <v>0</v>
      </c>
      <c r="E57" s="509">
        <f t="shared" si="3"/>
        <v>0</v>
      </c>
      <c r="F57" s="640">
        <f>B57-C57-D57-E57</f>
        <v>3291257</v>
      </c>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222"/>
      <c r="G58" s="617"/>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7" width="3.0"/>
    <col customWidth="1" min="8" max="26" width="9.71"/>
  </cols>
  <sheetData>
    <row r="1" ht="16.5" customHeight="1">
      <c r="A1" s="222"/>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222"/>
      <c r="B2" s="433"/>
      <c r="C2" s="222"/>
      <c r="D2" s="222"/>
      <c r="E2" s="222"/>
      <c r="F2" s="632" t="s">
        <v>246</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247</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641">
        <v>2482261.0</v>
      </c>
      <c r="C8" s="648">
        <f>(460687.78+7589+1198533.17+299694.38)+(26626.86+525.74+291846.06+68900.75)</f>
        <v>2354403.74</v>
      </c>
      <c r="D8" s="641">
        <f>127857</f>
        <v>127857</v>
      </c>
      <c r="E8" s="641">
        <v>0.0</v>
      </c>
      <c r="F8" s="642">
        <f t="shared" ref="F8:F50" si="1">B8-C8-D8-E8</f>
        <v>0.2599999998</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643">
        <v>1576118.0</v>
      </c>
      <c r="C9" s="643">
        <f>1344465+231653</f>
        <v>1576118</v>
      </c>
      <c r="D9" s="643">
        <v>0.0</v>
      </c>
      <c r="E9" s="643">
        <v>0.0</v>
      </c>
      <c r="F9" s="487">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643">
        <v>36849.0</v>
      </c>
      <c r="C10" s="643"/>
      <c r="D10" s="643">
        <v>0.0</v>
      </c>
      <c r="E10" s="643">
        <v>0.0</v>
      </c>
      <c r="F10" s="487">
        <f t="shared" si="1"/>
        <v>36849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43">
        <v>137345.0</v>
      </c>
      <c r="C11" s="643">
        <v>0.0</v>
      </c>
      <c r="D11" s="643">
        <v>0.0</v>
      </c>
      <c r="E11" s="643">
        <v>0.0</v>
      </c>
      <c r="F11" s="487">
        <f t="shared" si="1"/>
        <v>137345</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43">
        <v>1847459.0</v>
      </c>
      <c r="C12" s="643">
        <f>1527915+319544</f>
        <v>1847459</v>
      </c>
      <c r="D12" s="643">
        <v>0.0</v>
      </c>
      <c r="E12" s="643">
        <v>0.0</v>
      </c>
      <c r="F12" s="487">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643">
        <v>31824.0</v>
      </c>
      <c r="C13" s="643">
        <f>31824</f>
        <v>31824</v>
      </c>
      <c r="D13" s="643">
        <v>0.0</v>
      </c>
      <c r="E13" s="643">
        <v>0.0</v>
      </c>
      <c r="F13" s="487">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643">
        <v>4612784.0</v>
      </c>
      <c r="C14" s="643">
        <v>4218583.0</v>
      </c>
      <c r="D14" s="643">
        <v>394201.0</v>
      </c>
      <c r="E14" s="643">
        <v>0.0</v>
      </c>
      <c r="F14" s="487">
        <f t="shared" si="1"/>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643">
        <v>202668.0</v>
      </c>
      <c r="C15" s="643">
        <f>177050+25618</f>
        <v>202668</v>
      </c>
      <c r="D15" s="643">
        <v>0.0</v>
      </c>
      <c r="E15" s="643">
        <v>0.0</v>
      </c>
      <c r="F15" s="487">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643">
        <v>1157383.0</v>
      </c>
      <c r="C16" s="643">
        <f>926551+230832</f>
        <v>1157383</v>
      </c>
      <c r="D16" s="643">
        <v>0.0</v>
      </c>
      <c r="E16" s="643">
        <v>0.0</v>
      </c>
      <c r="F16" s="487">
        <f t="shared" si="1"/>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643">
        <v>25124.0</v>
      </c>
      <c r="C17" s="643">
        <f>25124</f>
        <v>25124</v>
      </c>
      <c r="D17" s="643">
        <v>0.0</v>
      </c>
      <c r="E17" s="643">
        <v>0.0</v>
      </c>
      <c r="F17" s="487">
        <f t="shared" si="1"/>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643">
        <v>907817.0</v>
      </c>
      <c r="C18" s="643">
        <f>766321+141496</f>
        <v>907817</v>
      </c>
      <c r="D18" s="643">
        <v>0.0</v>
      </c>
      <c r="E18" s="643">
        <v>0.0</v>
      </c>
      <c r="F18" s="487">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643">
        <v>1.0954107E7</v>
      </c>
      <c r="C19" s="643">
        <f>10392435+65076+12703</f>
        <v>10470214</v>
      </c>
      <c r="D19" s="643">
        <f>561672-65076-12703</f>
        <v>483893</v>
      </c>
      <c r="E19" s="643">
        <f>10392435-10392435</f>
        <v>0</v>
      </c>
      <c r="F19" s="487">
        <f t="shared" si="1"/>
        <v>0</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643">
        <v>1.642781E7</v>
      </c>
      <c r="C20" s="643">
        <f>16427810-2695672</f>
        <v>13732138</v>
      </c>
      <c r="D20" s="643">
        <v>2695672.0</v>
      </c>
      <c r="E20" s="643">
        <f>16427810-3821310-6645064-7127474+1166038</f>
        <v>0</v>
      </c>
      <c r="F20" s="487">
        <f t="shared" si="1"/>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643">
        <v>587904.0</v>
      </c>
      <c r="C21" s="643">
        <f>528756+19458+39690</f>
        <v>587904</v>
      </c>
      <c r="D21" s="643">
        <v>0.0</v>
      </c>
      <c r="E21" s="643">
        <v>0.0</v>
      </c>
      <c r="F21" s="487">
        <f t="shared" si="1"/>
        <v>0</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643">
        <v>200993.0</v>
      </c>
      <c r="C22" s="643">
        <v>200993.0</v>
      </c>
      <c r="D22" s="643">
        <v>0.0</v>
      </c>
      <c r="E22" s="643">
        <v>0.0</v>
      </c>
      <c r="F22" s="487">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643">
        <v>53598.0</v>
      </c>
      <c r="C23" s="643">
        <f>33594+20004</f>
        <v>53598</v>
      </c>
      <c r="D23" s="643">
        <v>0.0</v>
      </c>
      <c r="E23" s="643">
        <v>0.0</v>
      </c>
      <c r="F23" s="487">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643">
        <v>375186.0</v>
      </c>
      <c r="C24" s="643">
        <f>307204+67982</f>
        <v>375186</v>
      </c>
      <c r="D24" s="643">
        <v>0.0</v>
      </c>
      <c r="E24" s="643">
        <v>0.0</v>
      </c>
      <c r="F24" s="487">
        <f t="shared" si="1"/>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643">
        <v>577854.0</v>
      </c>
      <c r="C25" s="643">
        <f>100000</f>
        <v>100000</v>
      </c>
      <c r="D25" s="643">
        <v>0.0</v>
      </c>
      <c r="E25" s="643">
        <v>0.0</v>
      </c>
      <c r="F25" s="487">
        <f t="shared" si="1"/>
        <v>477854</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643">
        <v>9098273.0</v>
      </c>
      <c r="C26" s="643">
        <f>(5874936+1403682)+(247189+17632)+21193.92+2604.3+78451</f>
        <v>7645688.22</v>
      </c>
      <c r="D26" s="643">
        <f>1414794+140040-21193.92-2604.3-78451</f>
        <v>1452584.78</v>
      </c>
      <c r="E26" s="643">
        <v>0.0</v>
      </c>
      <c r="F26" s="487">
        <f t="shared" si="1"/>
        <v>0.0000000002328306437</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643">
        <v>3.3471998E7</v>
      </c>
      <c r="C27" s="643">
        <f>33304193-84750+19542</f>
        <v>33238985</v>
      </c>
      <c r="D27" s="643">
        <f>148500+19305+(75000*1.13)-19542</f>
        <v>233013</v>
      </c>
      <c r="E27" s="643">
        <v>0.0</v>
      </c>
      <c r="F27" s="487">
        <f t="shared" si="1"/>
        <v>0</v>
      </c>
      <c r="G27" s="617"/>
      <c r="H27" s="222"/>
      <c r="I27" s="222"/>
      <c r="J27" s="222"/>
      <c r="K27" s="222"/>
      <c r="L27" s="222"/>
      <c r="M27" s="222"/>
      <c r="N27" s="222"/>
      <c r="O27" s="222"/>
      <c r="P27" s="222"/>
      <c r="Q27" s="222"/>
      <c r="R27" s="222"/>
      <c r="S27" s="222"/>
      <c r="T27" s="222"/>
      <c r="U27" s="222"/>
      <c r="V27" s="222"/>
      <c r="W27" s="222"/>
      <c r="X27" s="222"/>
      <c r="Y27" s="222"/>
      <c r="Z27" s="222"/>
    </row>
    <row r="28">
      <c r="A28" s="278" t="s">
        <v>110</v>
      </c>
      <c r="B28" s="420"/>
      <c r="C28" s="321">
        <v>0.0</v>
      </c>
      <c r="D28" s="405"/>
      <c r="E28" s="405"/>
      <c r="F28" s="487">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643">
        <v>40199.0</v>
      </c>
      <c r="C29" s="643">
        <f>6495+33704</f>
        <v>40199</v>
      </c>
      <c r="D29" s="643">
        <v>0.0</v>
      </c>
      <c r="E29" s="643">
        <v>0.0</v>
      </c>
      <c r="F29" s="487">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643">
        <v>10050.0</v>
      </c>
      <c r="C30" s="643">
        <f>10050</f>
        <v>10050</v>
      </c>
      <c r="D30" s="643">
        <v>0.0</v>
      </c>
      <c r="E30" s="643">
        <v>0.0</v>
      </c>
      <c r="F30" s="487">
        <f t="shared" si="1"/>
        <v>0</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643">
        <v>36849.0</v>
      </c>
      <c r="C31" s="643"/>
      <c r="D31" s="643">
        <v>0.0</v>
      </c>
      <c r="E31" s="643">
        <v>0.0</v>
      </c>
      <c r="F31" s="487">
        <f t="shared" si="1"/>
        <v>36849</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643">
        <v>113896.0</v>
      </c>
      <c r="C32" s="643">
        <f>92844+21052</f>
        <v>113896</v>
      </c>
      <c r="D32" s="643">
        <v>0.0</v>
      </c>
      <c r="E32" s="643">
        <v>0.0</v>
      </c>
      <c r="F32" s="487">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643">
        <v>6700.0</v>
      </c>
      <c r="C33" s="643">
        <f>6700</f>
        <v>6700</v>
      </c>
      <c r="D33" s="643">
        <v>0.0</v>
      </c>
      <c r="E33" s="643">
        <v>0.0</v>
      </c>
      <c r="F33" s="487">
        <f t="shared" si="1"/>
        <v>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643">
        <v>2731827.0</v>
      </c>
      <c r="C34" s="643">
        <f>2731827</f>
        <v>2731827</v>
      </c>
      <c r="D34" s="643">
        <v>0.0</v>
      </c>
      <c r="E34" s="643">
        <v>0.0</v>
      </c>
      <c r="F34" s="487">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643">
        <v>370162.0</v>
      </c>
      <c r="C35" s="643">
        <f>(57219+289678)+(8288+14977)</f>
        <v>370162</v>
      </c>
      <c r="D35" s="643">
        <v>0.0</v>
      </c>
      <c r="E35" s="643">
        <v>0.0</v>
      </c>
      <c r="F35" s="487">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643">
        <v>1021713.0</v>
      </c>
      <c r="C36" s="643">
        <f>878286+143427</f>
        <v>1021713</v>
      </c>
      <c r="D36" s="643">
        <v>0.0</v>
      </c>
      <c r="E36" s="643">
        <v>0.0</v>
      </c>
      <c r="F36" s="487">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643">
        <v>346712.0</v>
      </c>
      <c r="C37" s="643">
        <f>74930+158782</f>
        <v>233712</v>
      </c>
      <c r="D37" s="643">
        <f>100000+13000</f>
        <v>113000</v>
      </c>
      <c r="E37" s="643">
        <v>0.0</v>
      </c>
      <c r="F37" s="487">
        <f t="shared" si="1"/>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643">
        <v>698450.0</v>
      </c>
      <c r="C38" s="643">
        <f>(549077+113496)+(29343+6534)</f>
        <v>698450</v>
      </c>
      <c r="D38" s="643">
        <v>0.0</v>
      </c>
      <c r="E38" s="643">
        <v>0.0</v>
      </c>
      <c r="F38" s="487">
        <f t="shared" si="1"/>
        <v>0</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643">
        <v>2490635.0</v>
      </c>
      <c r="C39" s="643">
        <v>0.0</v>
      </c>
      <c r="D39" s="643">
        <v>0.0</v>
      </c>
      <c r="E39" s="643">
        <v>0.0</v>
      </c>
      <c r="F39" s="487">
        <f t="shared" si="1"/>
        <v>2490635</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643">
        <v>65323.0</v>
      </c>
      <c r="C40" s="643">
        <f>65323</f>
        <v>65323</v>
      </c>
      <c r="D40" s="643">
        <v>0.0</v>
      </c>
      <c r="E40" s="643">
        <v>0.0</v>
      </c>
      <c r="F40" s="487">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643">
        <v>0.0</v>
      </c>
      <c r="C41" s="643">
        <v>0.0</v>
      </c>
      <c r="D41" s="643">
        <v>0.0</v>
      </c>
      <c r="E41" s="643">
        <v>0.0</v>
      </c>
      <c r="F41" s="487">
        <f t="shared" si="1"/>
        <v>0</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643">
        <v>4336419.0</v>
      </c>
      <c r="C42" s="643">
        <f>4336419</f>
        <v>4336419</v>
      </c>
      <c r="D42" s="643">
        <v>0.0</v>
      </c>
      <c r="E42" s="643">
        <v>0.0</v>
      </c>
      <c r="F42" s="487">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156</v>
      </c>
      <c r="B43" s="643">
        <v>1815635.0</v>
      </c>
      <c r="C43" s="643">
        <f>1173786+278787+58062</f>
        <v>1510635</v>
      </c>
      <c r="D43" s="643">
        <f>305000+0</f>
        <v>305000</v>
      </c>
      <c r="E43" s="643">
        <v>0.0</v>
      </c>
      <c r="F43" s="487">
        <f t="shared" si="1"/>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643">
        <v>2035052.0</v>
      </c>
      <c r="C44" s="643">
        <f>(69828+1746976)+(10172+136846)</f>
        <v>1963822</v>
      </c>
      <c r="D44" s="643">
        <f>71230</f>
        <v>71230</v>
      </c>
      <c r="E44" s="643">
        <v>0.0</v>
      </c>
      <c r="F44" s="487">
        <f t="shared" si="1"/>
        <v>0</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643">
        <v>8375.0</v>
      </c>
      <c r="C45" s="643">
        <v>0.0</v>
      </c>
      <c r="D45" s="643">
        <v>0.0</v>
      </c>
      <c r="E45" s="643">
        <v>0.0</v>
      </c>
      <c r="F45" s="487">
        <f t="shared" si="1"/>
        <v>8375</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643">
        <v>13399.0</v>
      </c>
      <c r="C46" s="643">
        <v>0.0</v>
      </c>
      <c r="D46" s="643">
        <v>0.0</v>
      </c>
      <c r="E46" s="643">
        <v>0.0</v>
      </c>
      <c r="F46" s="487">
        <f t="shared" si="1"/>
        <v>13399</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643">
        <v>505832.0</v>
      </c>
      <c r="C47" s="643">
        <v>0.0</v>
      </c>
      <c r="D47" s="643">
        <v>0.0</v>
      </c>
      <c r="E47" s="643">
        <v>0.0</v>
      </c>
      <c r="F47" s="487">
        <f t="shared" si="1"/>
        <v>505832</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643">
        <v>8525444.0</v>
      </c>
      <c r="C48" s="643">
        <f>1247708+1393507+173200+27401+5683628</f>
        <v>8525444</v>
      </c>
      <c r="D48" s="643">
        <v>0.0</v>
      </c>
      <c r="E48" s="643">
        <f>5593411+90217-5683628</f>
        <v>0</v>
      </c>
      <c r="F48" s="487">
        <f t="shared" si="1"/>
        <v>0</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643">
        <v>3.6666667E7</v>
      </c>
      <c r="C49" s="643">
        <f>23125139-10159473+1406865+575861+12142475+3575800+3000000+3000000</f>
        <v>36666667</v>
      </c>
      <c r="D49" s="643">
        <v>0.0</v>
      </c>
      <c r="E49" s="643">
        <f>3000000-3000000</f>
        <v>0</v>
      </c>
      <c r="F49" s="487">
        <f t="shared" si="1"/>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497" t="s">
        <v>140</v>
      </c>
      <c r="B50" s="643">
        <v>61973.0</v>
      </c>
      <c r="C50" s="620">
        <v>0.0</v>
      </c>
      <c r="D50" s="643">
        <v>0.0</v>
      </c>
      <c r="E50" s="643">
        <v>0.0</v>
      </c>
      <c r="F50" s="646">
        <f t="shared" si="1"/>
        <v>61973</v>
      </c>
      <c r="G50" s="617"/>
      <c r="H50" s="222"/>
      <c r="I50" s="222"/>
      <c r="J50" s="222"/>
      <c r="K50" s="222"/>
      <c r="L50" s="222"/>
      <c r="M50" s="222"/>
      <c r="N50" s="222"/>
      <c r="O50" s="222"/>
      <c r="P50" s="222"/>
      <c r="Q50" s="222"/>
      <c r="R50" s="222"/>
      <c r="S50" s="222"/>
      <c r="T50" s="222"/>
      <c r="U50" s="222"/>
      <c r="V50" s="222"/>
      <c r="W50" s="222"/>
      <c r="X50" s="222"/>
      <c r="Y50" s="222"/>
      <c r="Z50" s="222"/>
    </row>
    <row r="51" ht="20.25" customHeight="1">
      <c r="A51" s="531" t="s">
        <v>143</v>
      </c>
      <c r="B51" s="624">
        <f t="shared" ref="B51:F51" si="2">SUM(B8:B50)</f>
        <v>146666667</v>
      </c>
      <c r="C51" s="624">
        <f t="shared" si="2"/>
        <v>137021105</v>
      </c>
      <c r="D51" s="624">
        <f t="shared" si="2"/>
        <v>5876450.78</v>
      </c>
      <c r="E51" s="624">
        <f t="shared" si="2"/>
        <v>0</v>
      </c>
      <c r="F51" s="647">
        <f t="shared" si="2"/>
        <v>3769111.26</v>
      </c>
      <c r="G51" s="617"/>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139"/>
      <c r="G53" s="617"/>
      <c r="H53" s="222"/>
      <c r="I53" s="222"/>
      <c r="J53" s="222"/>
      <c r="K53" s="222"/>
      <c r="L53" s="222"/>
      <c r="M53" s="222"/>
      <c r="N53" s="222"/>
      <c r="O53" s="222"/>
      <c r="P53" s="222"/>
      <c r="Q53" s="222"/>
      <c r="R53" s="222"/>
      <c r="S53" s="222"/>
      <c r="T53" s="222"/>
      <c r="U53" s="222"/>
      <c r="V53" s="222"/>
      <c r="W53" s="222"/>
      <c r="X53" s="222"/>
      <c r="Y53" s="222"/>
      <c r="Z53" s="222"/>
    </row>
    <row r="54">
      <c r="A54" s="628"/>
      <c r="B54" s="139"/>
      <c r="C54" s="139"/>
      <c r="D54" s="139"/>
      <c r="E54" s="139"/>
      <c r="F54" s="139"/>
      <c r="G54" s="617"/>
      <c r="H54" s="222"/>
      <c r="I54" s="222"/>
      <c r="J54" s="222"/>
      <c r="K54" s="222"/>
      <c r="L54" s="222"/>
      <c r="M54" s="222"/>
      <c r="N54" s="222"/>
      <c r="O54" s="222"/>
      <c r="P54" s="222"/>
      <c r="Q54" s="222"/>
      <c r="R54" s="222"/>
      <c r="S54" s="222"/>
      <c r="T54" s="222"/>
      <c r="U54" s="222"/>
      <c r="V54" s="222"/>
      <c r="W54" s="222"/>
      <c r="X54" s="222"/>
      <c r="Y54" s="222"/>
      <c r="Z54" s="222"/>
    </row>
    <row r="55">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row>
    <row r="56">
      <c r="A56" s="139"/>
      <c r="B56" s="139"/>
      <c r="C56" s="139"/>
      <c r="D56" s="139"/>
      <c r="E56" s="139"/>
      <c r="F56" s="139"/>
      <c r="G56" s="617"/>
      <c r="H56" s="222"/>
      <c r="I56" s="222"/>
      <c r="J56" s="222"/>
      <c r="K56" s="222"/>
      <c r="L56" s="222"/>
      <c r="M56" s="222"/>
      <c r="N56" s="222"/>
      <c r="O56" s="222"/>
      <c r="P56" s="222"/>
      <c r="Q56" s="222"/>
      <c r="R56" s="222"/>
      <c r="S56" s="222"/>
      <c r="T56" s="222"/>
      <c r="U56" s="222"/>
      <c r="V56" s="222"/>
      <c r="W56" s="222"/>
      <c r="X56" s="222"/>
      <c r="Y56" s="222"/>
      <c r="Z56" s="222"/>
    </row>
    <row r="57" ht="16.5" customHeight="1">
      <c r="A57" s="629" t="s">
        <v>159</v>
      </c>
      <c r="B57" s="509">
        <f t="shared" ref="B57:F57" si="3">B10+B11+B13+B15+B17+B22+B29+B31+B37+B39+B40+B41+B45+B46+B47+B50</f>
        <v>4204100</v>
      </c>
      <c r="C57" s="509">
        <f t="shared" si="3"/>
        <v>799843</v>
      </c>
      <c r="D57" s="509">
        <f t="shared" si="3"/>
        <v>113000</v>
      </c>
      <c r="E57" s="509">
        <f t="shared" si="3"/>
        <v>0</v>
      </c>
      <c r="F57" s="509">
        <f t="shared" si="3"/>
        <v>3291257</v>
      </c>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222"/>
      <c r="G58" s="617"/>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7.29"/>
    <col customWidth="1" min="3" max="3" width="16.29"/>
    <col customWidth="1" min="4" max="4" width="13.71"/>
    <col customWidth="1" min="5" max="5" width="16.71"/>
    <col customWidth="1" min="6" max="6" width="16.29"/>
    <col customWidth="1" min="7" max="7" width="3.0"/>
    <col customWidth="1" min="8" max="26" width="9.71"/>
  </cols>
  <sheetData>
    <row r="1" ht="16.5" customHeight="1">
      <c r="A1" s="433" t="str">
        <f>[1]Status!C1</f>
        <v>#ERROR!</v>
      </c>
      <c r="B1" s="433"/>
      <c r="C1" s="222"/>
      <c r="D1" s="222"/>
      <c r="E1" s="222"/>
      <c r="F1" s="222"/>
      <c r="G1" s="222"/>
      <c r="H1" s="222"/>
      <c r="I1" s="222"/>
      <c r="J1" s="222"/>
      <c r="K1" s="222"/>
      <c r="L1" s="222"/>
      <c r="M1" s="222"/>
      <c r="N1" s="222"/>
      <c r="O1" s="222"/>
      <c r="P1" s="222"/>
      <c r="Q1" s="222"/>
      <c r="R1" s="222"/>
      <c r="S1" s="222"/>
      <c r="T1" s="222"/>
      <c r="U1" s="222"/>
      <c r="V1" s="222"/>
      <c r="W1" s="222"/>
      <c r="X1" s="222"/>
      <c r="Y1" s="222"/>
      <c r="Z1" s="222"/>
    </row>
    <row r="2" ht="16.5" customHeight="1">
      <c r="A2" s="433" t="s">
        <v>248</v>
      </c>
      <c r="B2" s="433"/>
      <c r="C2" s="222"/>
      <c r="D2" s="222"/>
      <c r="E2" s="222"/>
      <c r="F2" s="22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249</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641">
        <v>2482261.0</v>
      </c>
      <c r="C8" s="641">
        <f>2114355.37+122205.63+24100</f>
        <v>2260661</v>
      </c>
      <c r="D8" s="641">
        <f>245700-24100</f>
        <v>221600</v>
      </c>
      <c r="E8" s="641">
        <v>0.0</v>
      </c>
      <c r="F8" s="642">
        <f t="shared" ref="F8:F49" si="1">+B8-C8-D8-E8</f>
        <v>0</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643">
        <v>1576118.0</v>
      </c>
      <c r="C9" s="643">
        <f>1275385+300733</f>
        <v>1576118</v>
      </c>
      <c r="D9" s="643">
        <v>0.0</v>
      </c>
      <c r="E9" s="643">
        <v>0.0</v>
      </c>
      <c r="F9" s="487">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643">
        <v>36849.0</v>
      </c>
      <c r="C10" s="643"/>
      <c r="D10" s="643">
        <v>0.0</v>
      </c>
      <c r="E10" s="643">
        <v>0.0</v>
      </c>
      <c r="F10" s="487">
        <f t="shared" si="1"/>
        <v>36849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43">
        <v>137345.0</v>
      </c>
      <c r="C11" s="643">
        <v>0.0</v>
      </c>
      <c r="D11" s="643">
        <v>0.0</v>
      </c>
      <c r="E11" s="643">
        <v>0.0</v>
      </c>
      <c r="F11" s="487">
        <f t="shared" si="1"/>
        <v>137345</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43">
        <v>1847459.0</v>
      </c>
      <c r="C12" s="643">
        <f>1564829+282630</f>
        <v>1847459</v>
      </c>
      <c r="D12" s="643">
        <v>0.0</v>
      </c>
      <c r="E12" s="643">
        <v>0.0</v>
      </c>
      <c r="F12" s="487">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643">
        <v>31824.0</v>
      </c>
      <c r="C13" s="643">
        <v>31824.0</v>
      </c>
      <c r="D13" s="643">
        <v>0.0</v>
      </c>
      <c r="E13" s="643">
        <v>0.0</v>
      </c>
      <c r="F13" s="487">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643">
        <v>4612784.0</v>
      </c>
      <c r="C14" s="643">
        <f>3648666+175291</f>
        <v>3823957</v>
      </c>
      <c r="D14" s="643">
        <v>788827.0</v>
      </c>
      <c r="E14" s="643">
        <v>0.0</v>
      </c>
      <c r="F14" s="487">
        <f t="shared" si="1"/>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643">
        <v>202668.0</v>
      </c>
      <c r="C15" s="643">
        <f>188771+13897</f>
        <v>202668</v>
      </c>
      <c r="D15" s="643">
        <v>0.0</v>
      </c>
      <c r="E15" s="643">
        <v>0.0</v>
      </c>
      <c r="F15" s="487">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643">
        <v>1157383.0</v>
      </c>
      <c r="C16" s="643">
        <f>1019235+138148</f>
        <v>1157383</v>
      </c>
      <c r="D16" s="643">
        <v>0.0</v>
      </c>
      <c r="E16" s="643">
        <v>0.0</v>
      </c>
      <c r="F16" s="487">
        <f t="shared" si="1"/>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643">
        <v>25124.0</v>
      </c>
      <c r="C17" s="643">
        <v>25124.0</v>
      </c>
      <c r="D17" s="643">
        <v>0.0</v>
      </c>
      <c r="E17" s="643">
        <v>0.0</v>
      </c>
      <c r="F17" s="487">
        <f t="shared" si="1"/>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643">
        <v>907817.0</v>
      </c>
      <c r="C18" s="643">
        <f>791927+115890</f>
        <v>907817</v>
      </c>
      <c r="D18" s="643">
        <v>0.0</v>
      </c>
      <c r="E18" s="643">
        <v>0.0</v>
      </c>
      <c r="F18" s="487">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643">
        <v>1.0954107E7</v>
      </c>
      <c r="C19" s="643">
        <f>10694928-5270</f>
        <v>10689658</v>
      </c>
      <c r="D19" s="643">
        <v>259179.0</v>
      </c>
      <c r="E19" s="643">
        <f>10694928-10694928</f>
        <v>0</v>
      </c>
      <c r="F19" s="487">
        <f t="shared" si="1"/>
        <v>5270</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643">
        <v>1.642781E7</v>
      </c>
      <c r="C20" s="643">
        <f>16427810-3171857</f>
        <v>13255953</v>
      </c>
      <c r="D20" s="643">
        <v>3171857.0</v>
      </c>
      <c r="E20" s="643">
        <v>0.0</v>
      </c>
      <c r="F20" s="487">
        <f t="shared" si="1"/>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643">
        <v>587904.0</v>
      </c>
      <c r="C21" s="643">
        <f>101763+287584+198557</f>
        <v>587904</v>
      </c>
      <c r="D21" s="643">
        <v>0.0</v>
      </c>
      <c r="E21" s="643">
        <v>0.0</v>
      </c>
      <c r="F21" s="487">
        <f t="shared" si="1"/>
        <v>0</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643">
        <v>200993.0</v>
      </c>
      <c r="C22" s="643">
        <v>200993.0</v>
      </c>
      <c r="D22" s="643">
        <v>0.0</v>
      </c>
      <c r="E22" s="643">
        <v>0.0</v>
      </c>
      <c r="F22" s="487">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643">
        <v>53598.0</v>
      </c>
      <c r="C23" s="643">
        <v>53598.0</v>
      </c>
      <c r="D23" s="643">
        <v>0.0</v>
      </c>
      <c r="E23" s="643">
        <v>0.0</v>
      </c>
      <c r="F23" s="487">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643">
        <v>375186.0</v>
      </c>
      <c r="C24" s="643">
        <f>301807+73379</f>
        <v>375186</v>
      </c>
      <c r="D24" s="643">
        <v>0.0</v>
      </c>
      <c r="E24" s="643">
        <v>0.0</v>
      </c>
      <c r="F24" s="487">
        <f t="shared" si="1"/>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643">
        <v>577854.0</v>
      </c>
      <c r="C25" s="643">
        <f>390244+35077+70024+110000</f>
        <v>605345</v>
      </c>
      <c r="D25" s="643">
        <v>0.0</v>
      </c>
      <c r="E25" s="643">
        <v>0.0</v>
      </c>
      <c r="F25" s="487">
        <f t="shared" si="1"/>
        <v>-27491</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643">
        <v>9098273.0</v>
      </c>
      <c r="C26" s="643">
        <f>5874936+1403682</f>
        <v>7278618</v>
      </c>
      <c r="D26" s="643">
        <f>1607825+211830</f>
        <v>1819655</v>
      </c>
      <c r="E26" s="643">
        <v>0.0</v>
      </c>
      <c r="F26" s="487">
        <f t="shared" si="1"/>
        <v>0</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643">
        <v>3.3471998E7</v>
      </c>
      <c r="C27" s="643">
        <f>33471998+3-D27</f>
        <v>32641347</v>
      </c>
      <c r="D27" s="643">
        <f>350000+485833-5179</f>
        <v>830654</v>
      </c>
      <c r="E27" s="643">
        <v>0.0</v>
      </c>
      <c r="F27" s="487">
        <f t="shared" si="1"/>
        <v>-3</v>
      </c>
      <c r="G27" s="617"/>
      <c r="H27" s="222"/>
      <c r="I27" s="222"/>
      <c r="J27" s="222"/>
      <c r="K27" s="222"/>
      <c r="L27" s="222"/>
      <c r="M27" s="222"/>
      <c r="N27" s="222"/>
      <c r="O27" s="222"/>
      <c r="P27" s="222"/>
      <c r="Q27" s="222"/>
      <c r="R27" s="222"/>
      <c r="S27" s="222"/>
      <c r="T27" s="222"/>
      <c r="U27" s="222"/>
      <c r="V27" s="222"/>
      <c r="W27" s="222"/>
      <c r="X27" s="222"/>
      <c r="Y27" s="222"/>
      <c r="Z27" s="222"/>
    </row>
    <row r="28" ht="18.0" customHeight="1">
      <c r="A28" s="488" t="s">
        <v>112</v>
      </c>
      <c r="B28" s="643">
        <v>40199.0</v>
      </c>
      <c r="C28" s="643">
        <f>6495+33704</f>
        <v>40199</v>
      </c>
      <c r="D28" s="643">
        <v>0.0</v>
      </c>
      <c r="E28" s="643">
        <v>0.0</v>
      </c>
      <c r="F28" s="487">
        <f t="shared" si="1"/>
        <v>0</v>
      </c>
      <c r="G28" s="617"/>
      <c r="H28" s="222"/>
      <c r="I28" s="222"/>
      <c r="J28" s="222"/>
      <c r="K28" s="222"/>
      <c r="L28" s="222"/>
      <c r="M28" s="222"/>
      <c r="N28" s="222"/>
      <c r="O28" s="222"/>
      <c r="P28" s="222"/>
      <c r="Q28" s="222"/>
      <c r="R28" s="222"/>
      <c r="S28" s="222"/>
      <c r="T28" s="222"/>
      <c r="U28" s="222"/>
      <c r="V28" s="222"/>
      <c r="W28" s="222"/>
      <c r="X28" s="222"/>
      <c r="Y28" s="222"/>
      <c r="Z28" s="222"/>
    </row>
    <row r="29" ht="18.0" customHeight="1">
      <c r="A29" s="488" t="s">
        <v>113</v>
      </c>
      <c r="B29" s="643">
        <v>10050.0</v>
      </c>
      <c r="C29" s="643">
        <f>10025+25</f>
        <v>10050</v>
      </c>
      <c r="D29" s="643">
        <v>0.0</v>
      </c>
      <c r="E29" s="643">
        <v>0.0</v>
      </c>
      <c r="F29" s="487">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114</v>
      </c>
      <c r="B30" s="643">
        <v>36849.0</v>
      </c>
      <c r="C30" s="643"/>
      <c r="D30" s="643">
        <v>0.0</v>
      </c>
      <c r="E30" s="643">
        <v>0.0</v>
      </c>
      <c r="F30" s="487">
        <f t="shared" si="1"/>
        <v>36849</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115</v>
      </c>
      <c r="B31" s="643">
        <v>113896.0</v>
      </c>
      <c r="C31" s="643">
        <f>95592+18304</f>
        <v>113896</v>
      </c>
      <c r="D31" s="643">
        <v>0.0</v>
      </c>
      <c r="E31" s="643">
        <v>0.0</v>
      </c>
      <c r="F31" s="487">
        <f t="shared" si="1"/>
        <v>0</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117</v>
      </c>
      <c r="B32" s="643">
        <v>6700.0</v>
      </c>
      <c r="C32" s="643">
        <f>5620-20+1100</f>
        <v>6700</v>
      </c>
      <c r="D32" s="643">
        <v>0.0</v>
      </c>
      <c r="E32" s="643">
        <v>0.0</v>
      </c>
      <c r="F32" s="487">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118</v>
      </c>
      <c r="B33" s="643">
        <v>2731827.0</v>
      </c>
      <c r="C33" s="643">
        <f>2731827</f>
        <v>2731827</v>
      </c>
      <c r="D33" s="643">
        <v>0.0</v>
      </c>
      <c r="E33" s="643">
        <v>0.0</v>
      </c>
      <c r="F33" s="487">
        <f t="shared" si="1"/>
        <v>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119</v>
      </c>
      <c r="B34" s="643">
        <v>370162.0</v>
      </c>
      <c r="C34" s="643">
        <f>13209+311790+45163</f>
        <v>370162</v>
      </c>
      <c r="D34" s="643">
        <v>0.0</v>
      </c>
      <c r="E34" s="643">
        <v>0.0</v>
      </c>
      <c r="F34" s="487">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120</v>
      </c>
      <c r="B35" s="643">
        <v>1021713.0</v>
      </c>
      <c r="C35" s="643">
        <f>884274+137439</f>
        <v>1021713</v>
      </c>
      <c r="D35" s="643">
        <v>0.0</v>
      </c>
      <c r="E35" s="643">
        <v>0.0</v>
      </c>
      <c r="F35" s="487">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122</v>
      </c>
      <c r="B36" s="643">
        <v>346712.0</v>
      </c>
      <c r="C36" s="643">
        <v>346712.0</v>
      </c>
      <c r="D36" s="643">
        <v>0.0</v>
      </c>
      <c r="E36" s="643">
        <v>0.0</v>
      </c>
      <c r="F36" s="487">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123</v>
      </c>
      <c r="B37" s="643">
        <v>698450.0</v>
      </c>
      <c r="C37" s="643">
        <f>101405+111160+402655+83230</f>
        <v>698450</v>
      </c>
      <c r="D37" s="643">
        <v>0.0</v>
      </c>
      <c r="E37" s="643">
        <v>0.0</v>
      </c>
      <c r="F37" s="487">
        <f t="shared" si="1"/>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125</v>
      </c>
      <c r="B38" s="643">
        <v>2490635.0</v>
      </c>
      <c r="C38" s="643">
        <v>0.0</v>
      </c>
      <c r="D38" s="643">
        <v>0.0</v>
      </c>
      <c r="E38" s="643">
        <v>0.0</v>
      </c>
      <c r="F38" s="487">
        <f t="shared" si="1"/>
        <v>2490635</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95" t="s">
        <v>128</v>
      </c>
      <c r="B39" s="643">
        <v>65323.0</v>
      </c>
      <c r="C39" s="643">
        <v>65323.0</v>
      </c>
      <c r="D39" s="643">
        <v>0.0</v>
      </c>
      <c r="E39" s="643">
        <v>0.0</v>
      </c>
      <c r="F39" s="487">
        <f t="shared" si="1"/>
        <v>0</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88" t="s">
        <v>129</v>
      </c>
      <c r="B40" s="643">
        <v>0.0</v>
      </c>
      <c r="C40" s="643">
        <v>0.0</v>
      </c>
      <c r="D40" s="643">
        <v>0.0</v>
      </c>
      <c r="E40" s="643">
        <v>0.0</v>
      </c>
      <c r="F40" s="487">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131</v>
      </c>
      <c r="B41" s="643">
        <v>4336419.0</v>
      </c>
      <c r="C41" s="643">
        <v>4336419.0</v>
      </c>
      <c r="D41" s="643">
        <v>0.0</v>
      </c>
      <c r="E41" s="643">
        <v>0.0</v>
      </c>
      <c r="F41" s="487">
        <f t="shared" si="1"/>
        <v>0</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156</v>
      </c>
      <c r="B42" s="643">
        <v>1815635.0</v>
      </c>
      <c r="C42" s="643">
        <f>(1452508-99748)+(107103-7355)+363127</f>
        <v>1815635</v>
      </c>
      <c r="D42" s="643">
        <v>0.0</v>
      </c>
      <c r="E42" s="643">
        <v>0.0</v>
      </c>
      <c r="F42" s="487">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133</v>
      </c>
      <c r="B43" s="643">
        <v>2035052.0</v>
      </c>
      <c r="C43" s="643">
        <f>(1714846+77147)+(151821+11238)</f>
        <v>1955052</v>
      </c>
      <c r="D43" s="643">
        <f>80000</f>
        <v>80000</v>
      </c>
      <c r="E43" s="643">
        <v>0.0</v>
      </c>
      <c r="F43" s="487">
        <f t="shared" si="1"/>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134</v>
      </c>
      <c r="B44" s="643">
        <v>8375.0</v>
      </c>
      <c r="C44" s="643">
        <v>0.0</v>
      </c>
      <c r="D44" s="643">
        <v>0.0</v>
      </c>
      <c r="E44" s="643">
        <v>0.0</v>
      </c>
      <c r="F44" s="487">
        <f t="shared" si="1"/>
        <v>8375</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230</v>
      </c>
      <c r="B45" s="643">
        <v>13399.0</v>
      </c>
      <c r="C45" s="643">
        <v>0.0</v>
      </c>
      <c r="D45" s="643">
        <v>0.0</v>
      </c>
      <c r="E45" s="643">
        <v>0.0</v>
      </c>
      <c r="F45" s="487">
        <f t="shared" si="1"/>
        <v>13399</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136</v>
      </c>
      <c r="B46" s="643">
        <v>505832.0</v>
      </c>
      <c r="C46" s="643">
        <v>0.0</v>
      </c>
      <c r="D46" s="643">
        <v>0.0</v>
      </c>
      <c r="E46" s="643">
        <v>0.0</v>
      </c>
      <c r="F46" s="487">
        <f t="shared" si="1"/>
        <v>505832</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138</v>
      </c>
      <c r="B47" s="643">
        <v>8525444.0</v>
      </c>
      <c r="C47" s="643">
        <f>1258869+546273+716972+1247708+1393507+162038+68179+89484+173200+27401+2796705+45108</f>
        <v>8525444</v>
      </c>
      <c r="D47" s="643">
        <v>0.0</v>
      </c>
      <c r="E47" s="643">
        <v>0.0</v>
      </c>
      <c r="F47" s="487">
        <f t="shared" si="1"/>
        <v>0</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139</v>
      </c>
      <c r="B48" s="643">
        <v>3.6666667E7</v>
      </c>
      <c r="C48" s="643">
        <f>11328778+153430+1450000+900000+1674986+10159473+2200000+2200000+2200000+2200000+2200000</f>
        <v>36666667</v>
      </c>
      <c r="D48" s="643">
        <v>0.0</v>
      </c>
      <c r="E48" s="643">
        <f>6600000-2200000-2200000-2200000</f>
        <v>0</v>
      </c>
      <c r="F48" s="487">
        <f t="shared" si="1"/>
        <v>0</v>
      </c>
      <c r="G48" s="617"/>
      <c r="H48" s="222"/>
      <c r="I48" s="222"/>
      <c r="J48" s="222"/>
      <c r="K48" s="643">
        <f>2796705+45108</f>
        <v>2841813</v>
      </c>
      <c r="L48" s="222"/>
      <c r="M48" s="222"/>
      <c r="N48" s="222"/>
      <c r="O48" s="222"/>
      <c r="P48" s="222"/>
      <c r="Q48" s="222"/>
      <c r="R48" s="222"/>
      <c r="S48" s="222"/>
      <c r="T48" s="222"/>
      <c r="U48" s="222"/>
      <c r="V48" s="222"/>
      <c r="W48" s="222"/>
      <c r="X48" s="222"/>
      <c r="Y48" s="222"/>
      <c r="Z48" s="222"/>
    </row>
    <row r="49" ht="18.0" customHeight="1">
      <c r="A49" s="497" t="s">
        <v>140</v>
      </c>
      <c r="B49" s="643">
        <v>61973.0</v>
      </c>
      <c r="C49" s="643">
        <v>61973.0</v>
      </c>
      <c r="D49" s="643">
        <v>0.0</v>
      </c>
      <c r="E49" s="643">
        <v>0.0</v>
      </c>
      <c r="F49" s="646">
        <f t="shared" si="1"/>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531" t="s">
        <v>143</v>
      </c>
      <c r="B50" s="624">
        <f t="shared" ref="B50:F50" si="2">SUM(B8:B49)</f>
        <v>146666667</v>
      </c>
      <c r="C50" s="624">
        <f t="shared" si="2"/>
        <v>136287835</v>
      </c>
      <c r="D50" s="624">
        <f t="shared" si="2"/>
        <v>7171772</v>
      </c>
      <c r="E50" s="624">
        <f t="shared" si="2"/>
        <v>0</v>
      </c>
      <c r="F50" s="647">
        <f t="shared" si="2"/>
        <v>3207060</v>
      </c>
      <c r="G50" s="617"/>
      <c r="H50" s="222"/>
      <c r="I50" s="222"/>
      <c r="J50" s="222"/>
      <c r="K50" s="222"/>
      <c r="L50" s="222"/>
      <c r="M50" s="222"/>
      <c r="N50" s="222"/>
      <c r="O50" s="222"/>
      <c r="P50" s="222"/>
      <c r="Q50" s="222"/>
      <c r="R50" s="222"/>
      <c r="S50" s="222"/>
      <c r="T50" s="222"/>
      <c r="U50" s="222"/>
      <c r="V50" s="222"/>
      <c r="W50" s="222"/>
      <c r="X50" s="222"/>
      <c r="Y50" s="222"/>
      <c r="Z50" s="222"/>
    </row>
    <row r="51">
      <c r="A51" s="628"/>
      <c r="B51" s="139"/>
      <c r="C51" s="139"/>
      <c r="D51" s="139"/>
      <c r="E51" s="139"/>
      <c r="F51" s="139"/>
      <c r="G51" s="617"/>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139"/>
      <c r="G53" s="617"/>
      <c r="H53" s="222"/>
      <c r="I53" s="222"/>
      <c r="J53" s="222"/>
      <c r="K53" s="222"/>
      <c r="L53" s="222"/>
      <c r="M53" s="222"/>
      <c r="N53" s="222"/>
      <c r="O53" s="222"/>
      <c r="P53" s="222"/>
      <c r="Q53" s="222"/>
      <c r="R53" s="222"/>
      <c r="S53" s="222"/>
      <c r="T53" s="222"/>
      <c r="U53" s="222"/>
      <c r="V53" s="222"/>
      <c r="W53" s="222"/>
      <c r="X53" s="222"/>
      <c r="Y53" s="222"/>
      <c r="Z53" s="222"/>
    </row>
    <row r="54">
      <c r="A54" s="222"/>
      <c r="B54" s="222"/>
      <c r="C54" s="222"/>
      <c r="D54" s="222"/>
      <c r="E54" s="222"/>
      <c r="F54" s="222"/>
      <c r="G54" s="222"/>
      <c r="H54" s="222"/>
      <c r="I54" s="222"/>
      <c r="J54" s="222"/>
      <c r="K54" s="222"/>
      <c r="L54" s="222"/>
      <c r="M54" s="222"/>
      <c r="N54" s="222"/>
      <c r="O54" s="222"/>
      <c r="P54" s="222"/>
      <c r="Q54" s="222"/>
      <c r="R54" s="222"/>
      <c r="S54" s="222"/>
      <c r="T54" s="222"/>
      <c r="U54" s="222"/>
      <c r="V54" s="222"/>
      <c r="W54" s="222"/>
      <c r="X54" s="222"/>
      <c r="Y54" s="222"/>
      <c r="Z54" s="222"/>
    </row>
    <row r="55">
      <c r="A55" s="139"/>
      <c r="B55" s="139"/>
      <c r="C55" s="139"/>
      <c r="D55" s="139"/>
      <c r="E55" s="139"/>
      <c r="F55" s="139"/>
      <c r="G55" s="617"/>
      <c r="H55" s="222"/>
      <c r="I55" s="222"/>
      <c r="J55" s="222"/>
      <c r="K55" s="222"/>
      <c r="L55" s="222"/>
      <c r="M55" s="222"/>
      <c r="N55" s="222"/>
      <c r="O55" s="222"/>
      <c r="P55" s="222"/>
      <c r="Q55" s="222"/>
      <c r="R55" s="222"/>
      <c r="S55" s="222"/>
      <c r="T55" s="222"/>
      <c r="U55" s="222"/>
      <c r="V55" s="222"/>
      <c r="W55" s="222"/>
      <c r="X55" s="222"/>
      <c r="Y55" s="222"/>
      <c r="Z55" s="222"/>
    </row>
    <row r="56" ht="16.5" customHeight="1">
      <c r="A56" s="629" t="s">
        <v>159</v>
      </c>
      <c r="B56" s="509">
        <f t="shared" ref="B56:F56" si="3">B10+B11+B13+B15+B17+B22+B28+B30+B36+B38+B39+B40+B44+B45+B46+B49</f>
        <v>4204100</v>
      </c>
      <c r="C56" s="509">
        <f t="shared" si="3"/>
        <v>974816</v>
      </c>
      <c r="D56" s="509">
        <f t="shared" si="3"/>
        <v>0</v>
      </c>
      <c r="E56" s="509">
        <f t="shared" si="3"/>
        <v>0</v>
      </c>
      <c r="F56" s="509">
        <f t="shared" si="3"/>
        <v>3229284</v>
      </c>
      <c r="G56" s="617"/>
      <c r="H56" s="222"/>
      <c r="I56" s="222"/>
      <c r="J56" s="222"/>
      <c r="K56" s="222"/>
      <c r="L56" s="222"/>
      <c r="M56" s="222"/>
      <c r="N56" s="222"/>
      <c r="O56" s="222"/>
      <c r="P56" s="222"/>
      <c r="Q56" s="222"/>
      <c r="R56" s="222"/>
      <c r="S56" s="222"/>
      <c r="T56" s="222"/>
      <c r="U56" s="222"/>
      <c r="V56" s="222"/>
      <c r="W56" s="222"/>
      <c r="X56" s="222"/>
      <c r="Y56" s="222"/>
      <c r="Z56" s="222"/>
    </row>
    <row r="57">
      <c r="A57" s="222"/>
      <c r="B57" s="222"/>
      <c r="C57" s="222"/>
      <c r="D57" s="222"/>
      <c r="E57" s="222"/>
      <c r="F57" s="222"/>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222"/>
      <c r="G58" s="222"/>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7.29"/>
    <col customWidth="1" min="3" max="3" width="16.29"/>
    <col customWidth="1" min="4" max="4" width="13.71"/>
    <col customWidth="1" min="5" max="5" width="16.71"/>
    <col customWidth="1" min="6" max="6" width="16.29"/>
    <col customWidth="1" min="7" max="7" width="12.29"/>
    <col customWidth="1" hidden="1" min="8" max="8" width="15.29"/>
    <col customWidth="1" hidden="1" min="9" max="9" width="11.29"/>
    <col customWidth="1" hidden="1" min="10" max="10" width="9.71"/>
    <col customWidth="1" hidden="1" min="11" max="12" width="14.57"/>
    <col customWidth="1" hidden="1" min="13" max="13" width="13.57"/>
    <col customWidth="1" hidden="1" min="14" max="14" width="9.71"/>
    <col customWidth="1" hidden="1" min="15" max="15" width="13.57"/>
    <col customWidth="1" min="16" max="26" width="9.71"/>
  </cols>
  <sheetData>
    <row r="1" ht="16.5" customHeight="1">
      <c r="A1" s="222" t="str">
        <f>[1]Status!C1</f>
        <v>#ERROR!</v>
      </c>
      <c r="B1" s="433"/>
      <c r="C1" s="222"/>
      <c r="D1" s="222"/>
      <c r="E1" s="222"/>
      <c r="F1" s="222"/>
      <c r="G1" s="222"/>
      <c r="H1" s="381"/>
      <c r="I1" s="381"/>
      <c r="J1" s="222"/>
      <c r="K1" s="222"/>
      <c r="L1" s="222"/>
      <c r="M1" s="222"/>
      <c r="N1" s="222"/>
      <c r="O1" s="222"/>
      <c r="P1" s="222"/>
      <c r="Q1" s="222"/>
      <c r="R1" s="222"/>
      <c r="S1" s="222"/>
      <c r="T1" s="222"/>
      <c r="U1" s="222"/>
      <c r="V1" s="222"/>
      <c r="W1" s="222"/>
      <c r="X1" s="222"/>
      <c r="Y1" s="222"/>
      <c r="Z1" s="222"/>
    </row>
    <row r="2" ht="16.5" customHeight="1">
      <c r="A2" s="222" t="s">
        <v>250</v>
      </c>
      <c r="B2" s="433"/>
      <c r="C2" s="222"/>
      <c r="D2" s="222"/>
      <c r="E2" s="222"/>
      <c r="F2" s="222"/>
      <c r="G2" s="222"/>
      <c r="H2" s="381"/>
      <c r="I2" s="381"/>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381"/>
      <c r="I3" s="381"/>
      <c r="J3" s="222"/>
      <c r="K3" s="222"/>
      <c r="L3" s="222"/>
      <c r="M3" s="222"/>
      <c r="N3" s="222"/>
      <c r="O3" s="222"/>
      <c r="P3" s="222"/>
      <c r="Q3" s="222"/>
      <c r="R3" s="222"/>
      <c r="S3" s="222"/>
      <c r="T3" s="222"/>
      <c r="U3" s="222"/>
      <c r="V3" s="222"/>
      <c r="W3" s="222"/>
      <c r="X3" s="222"/>
      <c r="Y3" s="222"/>
      <c r="Z3" s="222"/>
    </row>
    <row r="4" ht="20.25" customHeight="1">
      <c r="A4" s="223" t="s">
        <v>148</v>
      </c>
      <c r="G4" s="222"/>
      <c r="H4" s="381"/>
      <c r="I4" s="381"/>
      <c r="J4" s="222"/>
      <c r="K4" s="222"/>
      <c r="L4" s="222"/>
      <c r="M4" s="222"/>
      <c r="N4" s="222"/>
      <c r="O4" s="222"/>
      <c r="P4" s="222"/>
      <c r="Q4" s="222"/>
      <c r="R4" s="222"/>
      <c r="S4" s="222"/>
      <c r="T4" s="222"/>
      <c r="U4" s="222"/>
      <c r="V4" s="222"/>
      <c r="W4" s="222"/>
      <c r="X4" s="222"/>
      <c r="Y4" s="222"/>
      <c r="Z4" s="222"/>
    </row>
    <row r="5" ht="20.25" customHeight="1">
      <c r="A5" s="224" t="s">
        <v>251</v>
      </c>
      <c r="G5" s="222"/>
      <c r="H5" s="381"/>
      <c r="I5" s="381"/>
      <c r="J5" s="222"/>
      <c r="K5" s="222"/>
      <c r="L5" s="222"/>
      <c r="M5" s="222"/>
      <c r="N5" s="222"/>
      <c r="O5" s="222"/>
      <c r="P5" s="222"/>
      <c r="Q5" s="222"/>
      <c r="R5" s="222"/>
      <c r="S5" s="222"/>
      <c r="T5" s="222"/>
      <c r="U5" s="222"/>
      <c r="V5" s="222"/>
      <c r="W5" s="222"/>
      <c r="X5" s="222"/>
      <c r="Y5" s="222"/>
      <c r="Z5" s="222"/>
    </row>
    <row r="6" ht="30.0" customHeight="1">
      <c r="A6" s="633" t="str">
        <f>[1]Status!A6</f>
        <v>#ERROR!</v>
      </c>
      <c r="G6" s="222"/>
      <c r="H6" s="381"/>
      <c r="I6" s="381"/>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381"/>
      <c r="I7" s="381"/>
      <c r="J7" s="222" t="s">
        <v>79</v>
      </c>
      <c r="K7" s="222" t="s">
        <v>80</v>
      </c>
      <c r="L7" s="222" t="s">
        <v>81</v>
      </c>
      <c r="M7" s="222" t="s">
        <v>82</v>
      </c>
      <c r="N7" s="222" t="s">
        <v>83</v>
      </c>
      <c r="O7" s="222" t="s">
        <v>84</v>
      </c>
      <c r="P7" s="222"/>
      <c r="Q7" s="222"/>
      <c r="R7" s="222"/>
      <c r="S7" s="222"/>
      <c r="T7" s="222"/>
      <c r="U7" s="222"/>
      <c r="V7" s="222"/>
      <c r="W7" s="222"/>
      <c r="X7" s="222"/>
      <c r="Y7" s="222"/>
      <c r="Z7" s="222"/>
    </row>
    <row r="8" ht="18.0" customHeight="1">
      <c r="A8" s="484" t="s">
        <v>150</v>
      </c>
      <c r="B8" s="519">
        <f>'YR1997'!B8+'YR1998'!B8+'YR1999'!B8</f>
        <v>8158353</v>
      </c>
      <c r="C8" s="519">
        <f>'YR1997'!C8+'YR1998'!C8+'YR1999'!C8</f>
        <v>8158353</v>
      </c>
      <c r="D8" s="519">
        <f>'YR1997'!D8+'YR1998'!D8+'YR1999'!D8</f>
        <v>0</v>
      </c>
      <c r="E8" s="519">
        <f>'YR1997'!E8+'YR1998'!E8+'YR1999'!E8</f>
        <v>0</v>
      </c>
      <c r="F8" s="635">
        <f t="shared" ref="F8:F12" si="2">B8-C8-D8-E8</f>
        <v>0</v>
      </c>
      <c r="G8" s="222"/>
      <c r="H8" s="381">
        <f t="shared" ref="H8:I8" si="1">C8-L8</f>
        <v>0</v>
      </c>
      <c r="I8" s="381">
        <f t="shared" si="1"/>
        <v>0</v>
      </c>
      <c r="J8" s="222" t="s">
        <v>150</v>
      </c>
      <c r="K8" s="381">
        <v>8158353.0</v>
      </c>
      <c r="L8" s="381">
        <v>8158353.0</v>
      </c>
      <c r="M8" s="381">
        <v>0.0</v>
      </c>
      <c r="N8" s="381">
        <v>0.0</v>
      </c>
      <c r="O8" s="381">
        <v>0.0</v>
      </c>
      <c r="P8" s="222"/>
      <c r="Q8" s="222"/>
      <c r="R8" s="222"/>
      <c r="S8" s="222"/>
      <c r="T8" s="222"/>
      <c r="U8" s="222"/>
      <c r="V8" s="222"/>
      <c r="W8" s="222"/>
      <c r="X8" s="222"/>
      <c r="Y8" s="222"/>
      <c r="Z8" s="222"/>
    </row>
    <row r="9" ht="18.0" customHeight="1">
      <c r="A9" s="488" t="s">
        <v>88</v>
      </c>
      <c r="B9" s="519">
        <f>'YR1997'!B9+'YR1998'!B9+'YR1999'!B9</f>
        <v>4768227</v>
      </c>
      <c r="C9" s="519">
        <f>'YR1997'!C9+'YR1998'!C9+'YR1999'!C9</f>
        <v>4753065</v>
      </c>
      <c r="D9" s="519">
        <f>'YR1997'!D9+'YR1998'!D9+'YR1999'!D9</f>
        <v>15162</v>
      </c>
      <c r="E9" s="519">
        <f>'YR1997'!E9+'YR1998'!E9+'YR1999'!E9</f>
        <v>0</v>
      </c>
      <c r="F9" s="636">
        <f t="shared" si="2"/>
        <v>0</v>
      </c>
      <c r="G9" s="222"/>
      <c r="H9" s="381">
        <f t="shared" ref="H9:I9" si="3">C9-L9</f>
        <v>0</v>
      </c>
      <c r="I9" s="381">
        <f t="shared" si="3"/>
        <v>0</v>
      </c>
      <c r="J9" s="222" t="s">
        <v>88</v>
      </c>
      <c r="K9" s="381">
        <v>4768227.0</v>
      </c>
      <c r="L9" s="381">
        <v>4753065.0</v>
      </c>
      <c r="M9" s="381">
        <v>15162.0</v>
      </c>
      <c r="N9" s="381">
        <v>0.0</v>
      </c>
      <c r="O9" s="381">
        <v>0.0</v>
      </c>
      <c r="P9" s="222"/>
      <c r="Q9" s="222"/>
      <c r="R9" s="222"/>
      <c r="S9" s="222"/>
      <c r="T9" s="222"/>
      <c r="U9" s="222"/>
      <c r="V9" s="222"/>
      <c r="W9" s="222"/>
      <c r="X9" s="222"/>
      <c r="Y9" s="222"/>
      <c r="Z9" s="222"/>
    </row>
    <row r="10" ht="18.0" customHeight="1">
      <c r="A10" s="491" t="s">
        <v>89</v>
      </c>
      <c r="B10" s="519">
        <f>'YR1997'!B10+'YR1998'!B10+'YR1999'!B10</f>
        <v>647706</v>
      </c>
      <c r="C10" s="519">
        <v>248500.66999999998</v>
      </c>
      <c r="D10" s="519">
        <v>0.0</v>
      </c>
      <c r="E10" s="519">
        <v>0.0</v>
      </c>
      <c r="F10" s="636">
        <f t="shared" si="2"/>
        <v>399205.33</v>
      </c>
      <c r="G10" s="649" t="s">
        <v>252</v>
      </c>
      <c r="H10" s="381">
        <f t="shared" ref="H10:I10" si="4">C10-L10</f>
        <v>0</v>
      </c>
      <c r="I10" s="381">
        <f t="shared" si="4"/>
        <v>0</v>
      </c>
      <c r="J10" s="222" t="s">
        <v>89</v>
      </c>
      <c r="K10" s="381">
        <v>647706.0</v>
      </c>
      <c r="L10" s="650">
        <v>248500.66999999998</v>
      </c>
      <c r="M10" s="381">
        <v>0.0</v>
      </c>
      <c r="N10" s="381">
        <v>0.0</v>
      </c>
      <c r="O10" s="381">
        <v>399205.33</v>
      </c>
      <c r="P10" s="222"/>
      <c r="Q10" s="222"/>
      <c r="R10" s="222"/>
      <c r="S10" s="222"/>
      <c r="T10" s="222"/>
      <c r="U10" s="222"/>
      <c r="V10" s="222"/>
      <c r="W10" s="222"/>
      <c r="X10" s="222"/>
      <c r="Y10" s="222"/>
      <c r="Z10" s="222"/>
    </row>
    <row r="11" ht="18.0" customHeight="1">
      <c r="A11" s="488" t="s">
        <v>90</v>
      </c>
      <c r="B11" s="519">
        <f>'YR1997'!B11+'YR1998'!B11+'YR1999'!B11</f>
        <v>1612377</v>
      </c>
      <c r="C11" s="519">
        <f>'YR1997'!C11+'YR1998'!C11+'YR1999'!C11</f>
        <v>0</v>
      </c>
      <c r="D11" s="519">
        <f>'YR1997'!D11+'YR1998'!D11+'YR1999'!D11</f>
        <v>0</v>
      </c>
      <c r="E11" s="519">
        <f>'YR1997'!E11+'YR1998'!E11+'YR1999'!E11</f>
        <v>0</v>
      </c>
      <c r="F11" s="636">
        <f t="shared" si="2"/>
        <v>1612377</v>
      </c>
      <c r="G11" s="222"/>
      <c r="H11" s="381">
        <f t="shared" ref="H11:I11" si="5">C11-L11</f>
        <v>0</v>
      </c>
      <c r="I11" s="381">
        <f t="shared" si="5"/>
        <v>0</v>
      </c>
      <c r="J11" s="222" t="s">
        <v>90</v>
      </c>
      <c r="K11" s="381">
        <v>1612377.0</v>
      </c>
      <c r="L11" s="381">
        <v>0.0</v>
      </c>
      <c r="M11" s="381">
        <v>0.0</v>
      </c>
      <c r="N11" s="381">
        <v>0.0</v>
      </c>
      <c r="O11" s="381">
        <v>1612377.0</v>
      </c>
      <c r="P11" s="222"/>
      <c r="Q11" s="222"/>
      <c r="R11" s="222"/>
      <c r="S11" s="222"/>
      <c r="T11" s="222"/>
      <c r="U11" s="222"/>
      <c r="V11" s="222"/>
      <c r="W11" s="222"/>
      <c r="X11" s="222"/>
      <c r="Y11" s="222"/>
      <c r="Z11" s="222"/>
    </row>
    <row r="12" ht="18.0" customHeight="1">
      <c r="A12" s="488" t="s">
        <v>91</v>
      </c>
      <c r="B12" s="519">
        <f>'YR1997'!B12+'YR1998'!B12+'YR1999'!B12</f>
        <v>5553744</v>
      </c>
      <c r="C12" s="519">
        <f>'YR1997'!C12+'YR1998'!C12+'YR1999'!C12+108480</f>
        <v>5553744</v>
      </c>
      <c r="D12" s="519">
        <f>'YR1997'!D12+'YR1998'!D12+'YR1999'!D12-108480</f>
        <v>0</v>
      </c>
      <c r="E12" s="519">
        <f>'YR1997'!E12+'YR1998'!E12+'YR1999'!E12</f>
        <v>0</v>
      </c>
      <c r="F12" s="636">
        <f t="shared" si="2"/>
        <v>0</v>
      </c>
      <c r="G12" s="222"/>
      <c r="H12" s="381">
        <f t="shared" ref="H12:I12" si="6">C12-L12</f>
        <v>0</v>
      </c>
      <c r="I12" s="381">
        <f t="shared" si="6"/>
        <v>0</v>
      </c>
      <c r="J12" s="222" t="s">
        <v>253</v>
      </c>
      <c r="K12" s="381">
        <v>5553744.0</v>
      </c>
      <c r="L12" s="381">
        <v>5553744.0</v>
      </c>
      <c r="M12" s="381">
        <v>0.0</v>
      </c>
      <c r="N12" s="381">
        <v>0.0</v>
      </c>
      <c r="O12" s="381">
        <v>0.0</v>
      </c>
      <c r="P12" s="222"/>
      <c r="Q12" s="222"/>
      <c r="R12" s="222"/>
      <c r="S12" s="222"/>
      <c r="T12" s="222"/>
      <c r="U12" s="222"/>
      <c r="V12" s="222"/>
      <c r="W12" s="222"/>
      <c r="X12" s="222"/>
      <c r="Y12" s="222"/>
      <c r="Z12" s="222"/>
    </row>
    <row r="13" ht="18.0" customHeight="1">
      <c r="A13" s="488" t="s">
        <v>254</v>
      </c>
      <c r="B13" s="519">
        <f>'YR1997'!B13+'YR1998'!B13+'YR1999'!B13</f>
        <v>0</v>
      </c>
      <c r="C13" s="519">
        <f>'YR1997'!C13+'YR1998'!C13+'YR1999'!C13</f>
        <v>0</v>
      </c>
      <c r="D13" s="519">
        <f>'YR1997'!D13+'YR1998'!D13+'YR1999'!D13</f>
        <v>0</v>
      </c>
      <c r="E13" s="519">
        <f>'YR1997'!E13+'YR1998'!E13+'YR1999'!E13</f>
        <v>0</v>
      </c>
      <c r="F13" s="636"/>
      <c r="G13" s="222"/>
      <c r="H13" s="381"/>
      <c r="I13" s="381"/>
      <c r="J13" s="222"/>
      <c r="K13" s="381"/>
      <c r="L13" s="381"/>
      <c r="M13" s="381"/>
      <c r="N13" s="381"/>
      <c r="O13" s="381"/>
      <c r="P13" s="222"/>
      <c r="Q13" s="222"/>
      <c r="R13" s="222"/>
      <c r="S13" s="222"/>
      <c r="T13" s="222"/>
      <c r="U13" s="222"/>
      <c r="V13" s="222"/>
      <c r="W13" s="222"/>
      <c r="X13" s="222"/>
      <c r="Y13" s="222"/>
      <c r="Z13" s="222"/>
    </row>
    <row r="14" ht="18.0" customHeight="1">
      <c r="A14" s="488" t="s">
        <v>92</v>
      </c>
      <c r="B14" s="519">
        <f>'YR1997'!B14+'YR1998'!B14+'YR1999'!B14</f>
        <v>68000</v>
      </c>
      <c r="C14" s="519">
        <f>'YR1997'!C14+'YR1998'!C14+'YR1999'!C14</f>
        <v>68000</v>
      </c>
      <c r="D14" s="519">
        <f>'YR1997'!D14+'YR1998'!D14+'YR1999'!D14</f>
        <v>0</v>
      </c>
      <c r="E14" s="519">
        <f>'YR1997'!E14+'YR1998'!E14+'YR1999'!E14</f>
        <v>0</v>
      </c>
      <c r="F14" s="636">
        <f t="shared" ref="F14:F58" si="8">B14-C14-D14-E14</f>
        <v>0</v>
      </c>
      <c r="G14" s="222"/>
      <c r="H14" s="381">
        <f t="shared" ref="H14:I14" si="7">C14-L14</f>
        <v>0</v>
      </c>
      <c r="I14" s="381">
        <f t="shared" si="7"/>
        <v>0</v>
      </c>
      <c r="J14" s="222" t="s">
        <v>92</v>
      </c>
      <c r="K14" s="381">
        <v>68000.0</v>
      </c>
      <c r="L14" s="381">
        <v>68000.0</v>
      </c>
      <c r="M14" s="381">
        <v>0.0</v>
      </c>
      <c r="N14" s="381">
        <v>0.0</v>
      </c>
      <c r="O14" s="381">
        <v>0.0</v>
      </c>
      <c r="P14" s="222"/>
      <c r="Q14" s="222"/>
      <c r="R14" s="222"/>
      <c r="S14" s="222"/>
      <c r="T14" s="222"/>
      <c r="U14" s="222"/>
      <c r="V14" s="222"/>
      <c r="W14" s="222"/>
      <c r="X14" s="222"/>
      <c r="Y14" s="222"/>
      <c r="Z14" s="222"/>
    </row>
    <row r="15" ht="18.0" customHeight="1">
      <c r="A15" s="488" t="s">
        <v>151</v>
      </c>
      <c r="B15" s="519">
        <f>'YR1997'!B15+'YR1998'!B15+'YR1999'!B15</f>
        <v>17102223</v>
      </c>
      <c r="C15" s="519">
        <f>'YR1997'!C15+'YR1998'!C15+'YR1999'!C15</f>
        <v>15062418</v>
      </c>
      <c r="D15" s="519">
        <f>'YR1997'!D15+'YR1998'!D15+'YR1999'!D15</f>
        <v>2039805</v>
      </c>
      <c r="E15" s="519">
        <f>'YR1997'!E15+'YR1998'!E15+'YR1999'!E15</f>
        <v>0</v>
      </c>
      <c r="F15" s="636">
        <f t="shared" si="8"/>
        <v>0</v>
      </c>
      <c r="G15" s="222"/>
      <c r="H15" s="381">
        <f t="shared" ref="H15:I15" si="9">C15-L15</f>
        <v>0.3899999987</v>
      </c>
      <c r="I15" s="381">
        <f t="shared" si="9"/>
        <v>0</v>
      </c>
      <c r="J15" s="222" t="s">
        <v>151</v>
      </c>
      <c r="K15" s="381">
        <v>1.7102223E7</v>
      </c>
      <c r="L15" s="381">
        <v>1.5062417610000001E7</v>
      </c>
      <c r="M15" s="381">
        <v>2039805.0</v>
      </c>
      <c r="N15" s="381">
        <v>0.0</v>
      </c>
      <c r="O15" s="381">
        <v>0.3899999987334013</v>
      </c>
      <c r="P15" s="222"/>
      <c r="Q15" s="222"/>
      <c r="R15" s="222"/>
      <c r="S15" s="222"/>
      <c r="T15" s="222"/>
      <c r="U15" s="222"/>
      <c r="V15" s="222"/>
      <c r="W15" s="222"/>
      <c r="X15" s="222"/>
      <c r="Y15" s="222"/>
      <c r="Z15" s="222"/>
    </row>
    <row r="16" ht="18.0" customHeight="1">
      <c r="A16" s="488" t="s">
        <v>95</v>
      </c>
      <c r="B16" s="519">
        <f>'YR1997'!B16+'YR1998'!B16+'YR1999'!B16</f>
        <v>0</v>
      </c>
      <c r="C16" s="519">
        <f>'YR1997'!C16+'YR1998'!C16+'YR1999'!C16</f>
        <v>0</v>
      </c>
      <c r="D16" s="519">
        <f>'YR1997'!D16+'YR1998'!D16+'YR1999'!D16</f>
        <v>0</v>
      </c>
      <c r="E16" s="519">
        <f>'YR1997'!E16+'YR1998'!E16+'YR1999'!E16</f>
        <v>0</v>
      </c>
      <c r="F16" s="636">
        <f t="shared" si="8"/>
        <v>0</v>
      </c>
      <c r="G16" s="222"/>
      <c r="H16" s="381"/>
      <c r="I16" s="381"/>
      <c r="J16" s="222"/>
      <c r="K16" s="381"/>
      <c r="L16" s="381"/>
      <c r="M16" s="381"/>
      <c r="N16" s="381"/>
      <c r="O16" s="381"/>
      <c r="P16" s="222"/>
      <c r="Q16" s="222"/>
      <c r="R16" s="222"/>
      <c r="S16" s="222"/>
      <c r="T16" s="222"/>
      <c r="U16" s="222"/>
      <c r="V16" s="222"/>
      <c r="W16" s="222"/>
      <c r="X16" s="222"/>
      <c r="Y16" s="222"/>
      <c r="Z16" s="222"/>
    </row>
    <row r="17" ht="18.0" customHeight="1">
      <c r="A17" s="488" t="s">
        <v>96</v>
      </c>
      <c r="B17" s="519">
        <f>'YR1997'!B17+'YR1998'!B17+'YR1999'!B17</f>
        <v>1332440</v>
      </c>
      <c r="C17" s="519">
        <f>'YR1997'!C17+'YR1998'!C17+'YR1999'!C17</f>
        <v>1332440</v>
      </c>
      <c r="D17" s="519">
        <f>'YR1997'!D17+'YR1998'!D17+'YR1999'!D17</f>
        <v>0</v>
      </c>
      <c r="E17" s="519">
        <f>'YR1997'!E17+'YR1998'!E17+'YR1999'!E17</f>
        <v>0</v>
      </c>
      <c r="F17" s="636">
        <f t="shared" si="8"/>
        <v>0</v>
      </c>
      <c r="G17" s="222"/>
      <c r="H17" s="381">
        <f t="shared" ref="H17:I17" si="10">C17-L17</f>
        <v>0</v>
      </c>
      <c r="I17" s="381">
        <f t="shared" si="10"/>
        <v>0</v>
      </c>
      <c r="J17" s="222" t="s">
        <v>96</v>
      </c>
      <c r="K17" s="381">
        <v>1332440.0</v>
      </c>
      <c r="L17" s="381">
        <v>1332440.0</v>
      </c>
      <c r="M17" s="381">
        <v>0.0</v>
      </c>
      <c r="N17" s="381">
        <v>0.0</v>
      </c>
      <c r="O17" s="381">
        <v>0.0</v>
      </c>
      <c r="P17" s="222"/>
      <c r="Q17" s="222"/>
      <c r="R17" s="222"/>
      <c r="S17" s="222"/>
      <c r="T17" s="222"/>
      <c r="U17" s="222"/>
      <c r="V17" s="222"/>
      <c r="W17" s="222"/>
      <c r="X17" s="222"/>
      <c r="Y17" s="222"/>
      <c r="Z17" s="222"/>
    </row>
    <row r="18" ht="18.0" customHeight="1">
      <c r="A18" s="488" t="s">
        <v>97</v>
      </c>
      <c r="B18" s="519">
        <f>'YR1997'!B18+'YR1998'!B18+'YR1999'!B18</f>
        <v>3955149</v>
      </c>
      <c r="C18" s="519">
        <f>'YR1997'!C18+'YR1998'!C18+'YR1999'!C18</f>
        <v>3955149</v>
      </c>
      <c r="D18" s="519">
        <f>'YR1997'!D18+'YR1998'!D18+'YR1999'!D18</f>
        <v>0</v>
      </c>
      <c r="E18" s="519">
        <f>'YR1997'!E18+'YR1998'!E18+'YR1999'!E18</f>
        <v>0</v>
      </c>
      <c r="F18" s="636">
        <f t="shared" si="8"/>
        <v>0</v>
      </c>
      <c r="G18" s="222"/>
      <c r="H18" s="381">
        <f t="shared" ref="H18:I18" si="11">C18-L18</f>
        <v>0</v>
      </c>
      <c r="I18" s="381">
        <f t="shared" si="11"/>
        <v>0</v>
      </c>
      <c r="J18" s="222" t="s">
        <v>97</v>
      </c>
      <c r="K18" s="381">
        <v>3955149.0</v>
      </c>
      <c r="L18" s="381">
        <v>3955149.0</v>
      </c>
      <c r="M18" s="381">
        <v>0.0</v>
      </c>
      <c r="N18" s="381">
        <v>0.0</v>
      </c>
      <c r="O18" s="381">
        <v>0.0</v>
      </c>
      <c r="P18" s="222"/>
      <c r="Q18" s="222"/>
      <c r="R18" s="222"/>
      <c r="S18" s="222"/>
      <c r="T18" s="222"/>
      <c r="U18" s="222"/>
      <c r="V18" s="222"/>
      <c r="W18" s="222"/>
      <c r="X18" s="222"/>
      <c r="Y18" s="222"/>
      <c r="Z18" s="222"/>
    </row>
    <row r="19" ht="18.0" customHeight="1">
      <c r="A19" s="488" t="s">
        <v>98</v>
      </c>
      <c r="B19" s="519">
        <f>'YR1997'!B19+'YR1998'!B19+'YR1999'!B19</f>
        <v>0</v>
      </c>
      <c r="C19" s="519">
        <f>'YR1997'!C19+'YR1998'!C19+'YR1999'!C19</f>
        <v>0</v>
      </c>
      <c r="D19" s="519">
        <f>'YR1997'!D19+'YR1998'!D19+'YR1999'!D19</f>
        <v>0</v>
      </c>
      <c r="E19" s="519">
        <f>'YR1997'!E19+'YR1998'!E19+'YR1999'!E19</f>
        <v>0</v>
      </c>
      <c r="F19" s="636">
        <f t="shared" si="8"/>
        <v>0</v>
      </c>
      <c r="G19" s="222"/>
      <c r="H19" s="381">
        <f t="shared" ref="H19:I19" si="12">C19-L19</f>
        <v>0</v>
      </c>
      <c r="I19" s="381">
        <f t="shared" si="12"/>
        <v>0</v>
      </c>
      <c r="J19" s="222" t="s">
        <v>98</v>
      </c>
      <c r="K19" s="381">
        <v>0.0</v>
      </c>
      <c r="L19" s="381">
        <v>0.0</v>
      </c>
      <c r="M19" s="381">
        <v>0.0</v>
      </c>
      <c r="N19" s="381">
        <v>0.0</v>
      </c>
      <c r="O19" s="381">
        <v>0.0</v>
      </c>
      <c r="P19" s="222"/>
      <c r="Q19" s="222"/>
      <c r="R19" s="222"/>
      <c r="S19" s="222"/>
      <c r="T19" s="222"/>
      <c r="U19" s="222"/>
      <c r="V19" s="222"/>
      <c r="W19" s="222"/>
      <c r="X19" s="222"/>
      <c r="Y19" s="222"/>
      <c r="Z19" s="222"/>
    </row>
    <row r="20" ht="18.0" customHeight="1">
      <c r="A20" s="488" t="s">
        <v>99</v>
      </c>
      <c r="B20" s="519">
        <f>'YR1997'!B20+'YR1998'!B20+'YR1999'!B20</f>
        <v>3403908</v>
      </c>
      <c r="C20" s="519">
        <f>'YR1997'!C20+'YR1998'!C20+'YR1999'!C20+103927+52712</f>
        <v>3185045</v>
      </c>
      <c r="D20" s="519">
        <f>'YR1997'!D20+'YR1998'!D20+'YR1999'!D20-52712</f>
        <v>218863</v>
      </c>
      <c r="E20" s="519">
        <f>'YR1997'!E20+'YR1998'!E20+'YR1999'!E20</f>
        <v>0</v>
      </c>
      <c r="F20" s="636">
        <f t="shared" si="8"/>
        <v>0</v>
      </c>
      <c r="G20" s="649" t="s">
        <v>255</v>
      </c>
      <c r="H20" s="381">
        <f t="shared" ref="H20:I20" si="13">C20-L20</f>
        <v>76855</v>
      </c>
      <c r="I20" s="381">
        <f t="shared" si="13"/>
        <v>-76855</v>
      </c>
      <c r="J20" s="222" t="s">
        <v>99</v>
      </c>
      <c r="K20" s="381">
        <v>3403908.0</v>
      </c>
      <c r="L20" s="381">
        <v>3108190.0</v>
      </c>
      <c r="M20" s="381">
        <v>295718.0</v>
      </c>
      <c r="N20" s="381">
        <v>0.0</v>
      </c>
      <c r="O20" s="381">
        <v>0.0</v>
      </c>
      <c r="P20" s="222"/>
      <c r="Q20" s="222"/>
      <c r="R20" s="222"/>
      <c r="S20" s="222"/>
      <c r="T20" s="222"/>
      <c r="U20" s="222"/>
      <c r="V20" s="222"/>
      <c r="W20" s="222"/>
      <c r="X20" s="222"/>
      <c r="Y20" s="222"/>
      <c r="Z20" s="222"/>
    </row>
    <row r="21" ht="18.0" customHeight="1">
      <c r="A21" s="488" t="s">
        <v>100</v>
      </c>
      <c r="B21" s="519">
        <f>'YR1997'!B21+'YR1998'!B21+'YR1999'!B21</f>
        <v>35320710</v>
      </c>
      <c r="C21" s="519">
        <f>2874845.7+20572620+718898.31+1847409.25-269965+4318435+103155+196214+1696+200961+87847+300531+27982</f>
        <v>30980629.26</v>
      </c>
      <c r="D21" s="519">
        <f>5258467-103155-196214-1696-200961-87847-300531-27982</f>
        <v>4340081</v>
      </c>
      <c r="E21" s="519">
        <v>0.0</v>
      </c>
      <c r="F21" s="636">
        <f t="shared" si="8"/>
        <v>-0.2599999979</v>
      </c>
      <c r="G21" s="649" t="s">
        <v>256</v>
      </c>
      <c r="H21" s="381">
        <f t="shared" ref="H21:I21" si="14">C21-L21</f>
        <v>328513</v>
      </c>
      <c r="I21" s="381">
        <f t="shared" si="14"/>
        <v>-328513</v>
      </c>
      <c r="J21" s="222" t="s">
        <v>100</v>
      </c>
      <c r="K21" s="381">
        <v>3.532071E7</v>
      </c>
      <c r="L21" s="381">
        <v>3.0652116259999998E7</v>
      </c>
      <c r="M21" s="381">
        <v>4668594.0</v>
      </c>
      <c r="N21" s="381">
        <v>0.0</v>
      </c>
      <c r="O21" s="381">
        <v>-0.25999999791383743</v>
      </c>
      <c r="P21" s="222"/>
      <c r="Q21" s="222"/>
      <c r="R21" s="222"/>
      <c r="S21" s="222"/>
      <c r="T21" s="222"/>
      <c r="U21" s="222"/>
      <c r="V21" s="222"/>
      <c r="W21" s="222"/>
      <c r="X21" s="222"/>
      <c r="Y21" s="222"/>
      <c r="Z21" s="222"/>
    </row>
    <row r="22" ht="18.0" customHeight="1">
      <c r="A22" s="488" t="s">
        <v>257</v>
      </c>
      <c r="B22" s="519">
        <f>'YR1997'!B22+'YR1998'!B22+'YR1999'!B22</f>
        <v>0</v>
      </c>
      <c r="C22" s="519">
        <f>'YR1997'!C22+'YR1998'!C22+'YR1999'!C22</f>
        <v>0</v>
      </c>
      <c r="D22" s="519">
        <f>'YR1997'!D22+'YR1998'!D22+'YR1999'!D22</f>
        <v>0</v>
      </c>
      <c r="E22" s="519">
        <f>'YR1997'!E22+'YR1998'!E22+'YR1999'!E22</f>
        <v>0</v>
      </c>
      <c r="F22" s="636">
        <f t="shared" si="8"/>
        <v>0</v>
      </c>
      <c r="G22" s="649"/>
      <c r="H22" s="381"/>
      <c r="I22" s="381"/>
      <c r="J22" s="222"/>
      <c r="K22" s="381"/>
      <c r="L22" s="381"/>
      <c r="M22" s="381"/>
      <c r="N22" s="381"/>
      <c r="O22" s="381"/>
      <c r="P22" s="222"/>
      <c r="Q22" s="222"/>
      <c r="R22" s="222"/>
      <c r="S22" s="222"/>
      <c r="T22" s="222"/>
      <c r="U22" s="222"/>
      <c r="V22" s="222"/>
      <c r="W22" s="222"/>
      <c r="X22" s="222"/>
      <c r="Y22" s="222"/>
      <c r="Z22" s="222"/>
    </row>
    <row r="23" ht="18.0" customHeight="1">
      <c r="A23" s="488" t="s">
        <v>101</v>
      </c>
      <c r="B23" s="519">
        <f>'YR1997'!B23+'YR1998'!B23+'YR1999'!B23</f>
        <v>49845885</v>
      </c>
      <c r="C23" s="519">
        <f>'YR1997'!C23+'YR1998'!C23+'YR1999'!C23+2215374</f>
        <v>39979888</v>
      </c>
      <c r="D23" s="519">
        <f>'YR1997'!D23+'YR1998'!D23+'YR1999'!D23</f>
        <v>9865997</v>
      </c>
      <c r="E23" s="519">
        <f>'YR1997'!E23+'YR1998'!E23+'YR1999'!E23-2215374</f>
        <v>0</v>
      </c>
      <c r="F23" s="636">
        <f t="shared" si="8"/>
        <v>0</v>
      </c>
      <c r="G23" s="649" t="s">
        <v>256</v>
      </c>
      <c r="H23" s="381">
        <f t="shared" ref="H23:I23" si="15">C23-L23</f>
        <v>103180</v>
      </c>
      <c r="I23" s="381">
        <f t="shared" si="15"/>
        <v>-103180</v>
      </c>
      <c r="J23" s="222" t="s">
        <v>101</v>
      </c>
      <c r="K23" s="381">
        <v>4.9845885E7</v>
      </c>
      <c r="L23" s="381">
        <v>3.9876708E7</v>
      </c>
      <c r="M23" s="381">
        <v>9969177.0</v>
      </c>
      <c r="N23" s="381">
        <v>0.0</v>
      </c>
      <c r="O23" s="381">
        <v>0.0</v>
      </c>
      <c r="P23" s="222"/>
      <c r="Q23" s="222"/>
      <c r="R23" s="222"/>
      <c r="S23" s="222"/>
      <c r="T23" s="222"/>
      <c r="U23" s="222"/>
      <c r="V23" s="222"/>
      <c r="W23" s="222"/>
      <c r="X23" s="222"/>
      <c r="Y23" s="222"/>
      <c r="Z23" s="222"/>
    </row>
    <row r="24" ht="18.0" customHeight="1">
      <c r="A24" s="488" t="s">
        <v>102</v>
      </c>
      <c r="B24" s="519">
        <f>'YR1997'!B24+'YR1998'!B24+'YR1999'!B24</f>
        <v>2094711</v>
      </c>
      <c r="C24" s="519">
        <f>'YR1997'!C24+'YR1998'!C24+'YR1999'!C24</f>
        <v>2094711</v>
      </c>
      <c r="D24" s="519">
        <f>'YR1997'!D24+'YR1998'!D24+'YR1999'!D24</f>
        <v>0</v>
      </c>
      <c r="E24" s="519">
        <f>'YR1997'!E24+'YR1998'!E24+'YR1999'!E24</f>
        <v>0</v>
      </c>
      <c r="F24" s="636">
        <f t="shared" si="8"/>
        <v>0</v>
      </c>
      <c r="G24" s="222"/>
      <c r="H24" s="381">
        <f t="shared" ref="H24:I24" si="16">C24-L24</f>
        <v>0.24</v>
      </c>
      <c r="I24" s="381">
        <f t="shared" si="16"/>
        <v>0</v>
      </c>
      <c r="J24" s="222" t="s">
        <v>102</v>
      </c>
      <c r="K24" s="381">
        <v>2094711.0</v>
      </c>
      <c r="L24" s="381">
        <v>2094710.76</v>
      </c>
      <c r="M24" s="381">
        <v>0.0</v>
      </c>
      <c r="N24" s="381">
        <v>0.0</v>
      </c>
      <c r="O24" s="381">
        <v>0.23999999999068677</v>
      </c>
      <c r="P24" s="222"/>
      <c r="Q24" s="222"/>
      <c r="R24" s="222"/>
      <c r="S24" s="222"/>
      <c r="T24" s="222"/>
      <c r="U24" s="222"/>
      <c r="V24" s="222"/>
      <c r="W24" s="222"/>
      <c r="X24" s="222"/>
      <c r="Y24" s="222"/>
      <c r="Z24" s="222"/>
    </row>
    <row r="25" ht="18.0" customHeight="1">
      <c r="A25" s="488" t="s">
        <v>104</v>
      </c>
      <c r="B25" s="519">
        <f>'YR1997'!B25+'YR1998'!B25+'YR1999'!B25</f>
        <v>771735</v>
      </c>
      <c r="C25" s="519">
        <f>'YR1997'!C25+'YR1998'!C25+'YR1999'!C25</f>
        <v>771735</v>
      </c>
      <c r="D25" s="519">
        <f>'YR1997'!D25+'YR1998'!D25+'YR1999'!D25</f>
        <v>0</v>
      </c>
      <c r="E25" s="519">
        <f>'YR1997'!E25+'YR1998'!E25+'YR1999'!E25</f>
        <v>0</v>
      </c>
      <c r="F25" s="636">
        <f t="shared" si="8"/>
        <v>0</v>
      </c>
      <c r="G25" s="222"/>
      <c r="H25" s="381">
        <f t="shared" ref="H25:I25" si="17">C25-L25</f>
        <v>0</v>
      </c>
      <c r="I25" s="381">
        <f t="shared" si="17"/>
        <v>0</v>
      </c>
      <c r="J25" s="222" t="s">
        <v>104</v>
      </c>
      <c r="K25" s="381">
        <v>771735.0</v>
      </c>
      <c r="L25" s="381">
        <v>771735.0</v>
      </c>
      <c r="M25" s="381">
        <v>0.0</v>
      </c>
      <c r="N25" s="381">
        <v>0.0</v>
      </c>
      <c r="O25" s="381">
        <v>0.0</v>
      </c>
      <c r="P25" s="222"/>
      <c r="Q25" s="222"/>
      <c r="R25" s="222"/>
      <c r="S25" s="222"/>
      <c r="T25" s="222"/>
      <c r="U25" s="222"/>
      <c r="V25" s="222"/>
      <c r="W25" s="222"/>
      <c r="X25" s="222"/>
      <c r="Y25" s="222"/>
      <c r="Z25" s="222"/>
    </row>
    <row r="26" ht="18.0" customHeight="1">
      <c r="A26" s="488" t="s">
        <v>105</v>
      </c>
      <c r="B26" s="519">
        <f>'YR1997'!B26+'YR1998'!B26+'YR1999'!B26</f>
        <v>165372</v>
      </c>
      <c r="C26" s="519">
        <f>'YR1997'!C26+'YR1998'!C26+'YR1999'!C26</f>
        <v>165372</v>
      </c>
      <c r="D26" s="519">
        <f>'YR1997'!D26+'YR1998'!D26+'YR1999'!D26</f>
        <v>0</v>
      </c>
      <c r="E26" s="519">
        <f>'YR1997'!E26+'YR1998'!E26+'YR1999'!E26</f>
        <v>0</v>
      </c>
      <c r="F26" s="636">
        <f t="shared" si="8"/>
        <v>0</v>
      </c>
      <c r="G26" s="222"/>
      <c r="H26" s="381">
        <f t="shared" ref="H26:I26" si="18">C26-L26</f>
        <v>0</v>
      </c>
      <c r="I26" s="381">
        <f t="shared" si="18"/>
        <v>0</v>
      </c>
      <c r="J26" s="222" t="s">
        <v>105</v>
      </c>
      <c r="K26" s="381">
        <v>165372.0</v>
      </c>
      <c r="L26" s="381">
        <v>165372.0</v>
      </c>
      <c r="M26" s="381">
        <v>0.0</v>
      </c>
      <c r="N26" s="381">
        <v>0.0</v>
      </c>
      <c r="O26" s="381">
        <v>0.0</v>
      </c>
      <c r="P26" s="222"/>
      <c r="Q26" s="222"/>
      <c r="R26" s="222"/>
      <c r="S26" s="222"/>
      <c r="T26" s="222"/>
      <c r="U26" s="222"/>
      <c r="V26" s="222"/>
      <c r="W26" s="222"/>
      <c r="X26" s="222"/>
      <c r="Y26" s="222"/>
      <c r="Z26" s="222"/>
    </row>
    <row r="27" ht="18.0" customHeight="1">
      <c r="A27" s="488" t="s">
        <v>106</v>
      </c>
      <c r="B27" s="519">
        <f>'YR1997'!B27+'YR1998'!B27+'YR1999'!B27</f>
        <v>1157604</v>
      </c>
      <c r="C27" s="519">
        <f>'YR1997'!C27+'YR1998'!C27+'YR1999'!C27</f>
        <v>1157604</v>
      </c>
      <c r="D27" s="519">
        <f>'YR1997'!D27+'YR1998'!D27+'YR1999'!D27</f>
        <v>0</v>
      </c>
      <c r="E27" s="519">
        <f>'YR1997'!E27+'YR1998'!E27+'YR1999'!E27</f>
        <v>0</v>
      </c>
      <c r="F27" s="636">
        <f t="shared" si="8"/>
        <v>0</v>
      </c>
      <c r="G27" s="222"/>
      <c r="H27" s="381">
        <f t="shared" ref="H27:I27" si="19">C27-L27</f>
        <v>0</v>
      </c>
      <c r="I27" s="381">
        <f t="shared" si="19"/>
        <v>0</v>
      </c>
      <c r="J27" s="222" t="s">
        <v>106</v>
      </c>
      <c r="K27" s="381">
        <v>1157604.0</v>
      </c>
      <c r="L27" s="381">
        <v>1157604.0</v>
      </c>
      <c r="M27" s="381">
        <v>0.0</v>
      </c>
      <c r="N27" s="381">
        <v>0.0</v>
      </c>
      <c r="O27" s="381">
        <v>0.0</v>
      </c>
      <c r="P27" s="222"/>
      <c r="Q27" s="222"/>
      <c r="R27" s="222"/>
      <c r="S27" s="222"/>
      <c r="T27" s="222"/>
      <c r="U27" s="222"/>
      <c r="V27" s="222"/>
      <c r="W27" s="222"/>
      <c r="X27" s="222"/>
      <c r="Y27" s="222"/>
      <c r="Z27" s="222"/>
    </row>
    <row r="28" ht="18.0" customHeight="1">
      <c r="A28" s="488" t="s">
        <v>107</v>
      </c>
      <c r="B28" s="519">
        <f>'YR1997'!B28+'YR1998'!B28+'YR1999'!B28</f>
        <v>1474566</v>
      </c>
      <c r="C28" s="519">
        <f>'YR1997'!C28+'YR1998'!C28+'YR1999'!C28</f>
        <v>1474566</v>
      </c>
      <c r="D28" s="519">
        <f>'YR1997'!D28+'YR1998'!D28+'YR1999'!D28</f>
        <v>0</v>
      </c>
      <c r="E28" s="519">
        <f>'YR1997'!E28+'YR1998'!E28+'YR1999'!E28</f>
        <v>0</v>
      </c>
      <c r="F28" s="636">
        <f t="shared" si="8"/>
        <v>0</v>
      </c>
      <c r="G28" s="222"/>
      <c r="H28" s="381">
        <f t="shared" ref="H28:I28" si="20">C28-L28</f>
        <v>0</v>
      </c>
      <c r="I28" s="381">
        <f t="shared" si="20"/>
        <v>0</v>
      </c>
      <c r="J28" s="222" t="s">
        <v>107</v>
      </c>
      <c r="K28" s="381">
        <v>1474566.0</v>
      </c>
      <c r="L28" s="381">
        <v>1474566.0</v>
      </c>
      <c r="M28" s="381">
        <v>0.0</v>
      </c>
      <c r="N28" s="381">
        <v>0.0</v>
      </c>
      <c r="O28" s="381">
        <v>0.0</v>
      </c>
      <c r="P28" s="222"/>
      <c r="Q28" s="222"/>
      <c r="R28" s="222"/>
      <c r="S28" s="222"/>
      <c r="T28" s="222"/>
      <c r="U28" s="222"/>
      <c r="V28" s="222"/>
      <c r="W28" s="222"/>
      <c r="X28" s="222"/>
      <c r="Y28" s="222"/>
      <c r="Z28" s="222"/>
    </row>
    <row r="29" ht="18.0" customHeight="1">
      <c r="A29" s="488" t="s">
        <v>108</v>
      </c>
      <c r="B29" s="519">
        <f>'YR1997'!B29+'YR1998'!B29+'YR1999'!B29</f>
        <v>28650705</v>
      </c>
      <c r="C29" s="519">
        <f>'YR1997'!C29+'YR1998'!C29+'YR1999'!C29</f>
        <v>28650705</v>
      </c>
      <c r="D29" s="519">
        <f>'YR1997'!D29+'YR1998'!D29+'YR1999'!D29</f>
        <v>0</v>
      </c>
      <c r="E29" s="519">
        <f>'YR1997'!E29+'YR1998'!E29+'YR1999'!E29</f>
        <v>0</v>
      </c>
      <c r="F29" s="636">
        <f t="shared" si="8"/>
        <v>0</v>
      </c>
      <c r="G29" s="222"/>
      <c r="H29" s="381">
        <f t="shared" ref="H29:I29" si="21">C29-L29</f>
        <v>0</v>
      </c>
      <c r="I29" s="381">
        <f t="shared" si="21"/>
        <v>0</v>
      </c>
      <c r="J29" s="222" t="s">
        <v>108</v>
      </c>
      <c r="K29" s="381">
        <v>2.8650705E7</v>
      </c>
      <c r="L29" s="381">
        <v>2.8650705E7</v>
      </c>
      <c r="M29" s="381">
        <v>0.0</v>
      </c>
      <c r="N29" s="381">
        <v>0.0</v>
      </c>
      <c r="O29" s="381">
        <v>0.0</v>
      </c>
      <c r="P29" s="222"/>
      <c r="Q29" s="222"/>
      <c r="R29" s="222"/>
      <c r="S29" s="222"/>
      <c r="T29" s="222"/>
      <c r="U29" s="222"/>
      <c r="V29" s="222"/>
      <c r="W29" s="222"/>
      <c r="X29" s="222"/>
      <c r="Y29" s="222"/>
      <c r="Z29" s="222"/>
    </row>
    <row r="30" ht="18.0" customHeight="1">
      <c r="A30" s="488" t="s">
        <v>109</v>
      </c>
      <c r="B30" s="519">
        <f>'YR1997'!B30+'YR1998'!B30+'YR1999'!B30</f>
        <v>85083909</v>
      </c>
      <c r="C30" s="519">
        <f>'YR1997'!C30+'YR1998'!C30+'YR1999'!C30+34935.8+12615</f>
        <v>82397959.8</v>
      </c>
      <c r="D30" s="519">
        <f>'YR1997'!D30+'YR1998'!D30+'YR1999'!D30-34935.8-12615</f>
        <v>2685949.2</v>
      </c>
      <c r="E30" s="519">
        <f>'YR1997'!E30+'YR1998'!E30+'YR1999'!E30</f>
        <v>0</v>
      </c>
      <c r="F30" s="636">
        <f t="shared" si="8"/>
        <v>0.000000002793967724</v>
      </c>
      <c r="G30" s="649" t="s">
        <v>258</v>
      </c>
      <c r="H30" s="381">
        <f t="shared" ref="H30:I30" si="22">C30-L30</f>
        <v>12615</v>
      </c>
      <c r="I30" s="381">
        <f t="shared" si="22"/>
        <v>-12615</v>
      </c>
      <c r="J30" s="222" t="s">
        <v>109</v>
      </c>
      <c r="K30" s="381">
        <v>8.5083909E7</v>
      </c>
      <c r="L30" s="381">
        <v>8.23853448E7</v>
      </c>
      <c r="M30" s="381">
        <v>2698564.2</v>
      </c>
      <c r="N30" s="381">
        <v>0.0</v>
      </c>
      <c r="O30" s="381">
        <v>2.7939677238464355E-9</v>
      </c>
      <c r="P30" s="222"/>
      <c r="Q30" s="222"/>
      <c r="R30" s="222"/>
      <c r="S30" s="222"/>
      <c r="T30" s="222"/>
      <c r="U30" s="222"/>
      <c r="V30" s="222"/>
      <c r="W30" s="222"/>
      <c r="X30" s="222"/>
      <c r="Y30" s="222"/>
      <c r="Z30" s="222"/>
    </row>
    <row r="31" ht="18.0" customHeight="1">
      <c r="A31" s="488" t="s">
        <v>111</v>
      </c>
      <c r="B31" s="519">
        <f>'YR1997'!B31+'YR1998'!B31+'YR1999'!B31</f>
        <v>0</v>
      </c>
      <c r="C31" s="519">
        <f>'YR1997'!C31+'YR1998'!C31+'YR1999'!C31</f>
        <v>0</v>
      </c>
      <c r="D31" s="519">
        <f>'YR1997'!D31+'YR1998'!D31+'YR1999'!D31</f>
        <v>0</v>
      </c>
      <c r="E31" s="519">
        <f>'YR1997'!E31+'YR1998'!E31+'YR1999'!E31</f>
        <v>0</v>
      </c>
      <c r="F31" s="636">
        <f t="shared" si="8"/>
        <v>0</v>
      </c>
      <c r="G31" s="649"/>
      <c r="H31" s="381"/>
      <c r="I31" s="381"/>
      <c r="J31" s="222"/>
      <c r="K31" s="381"/>
      <c r="L31" s="381"/>
      <c r="M31" s="381"/>
      <c r="N31" s="381"/>
      <c r="O31" s="381"/>
      <c r="P31" s="222"/>
      <c r="Q31" s="222"/>
      <c r="R31" s="222"/>
      <c r="S31" s="222"/>
      <c r="T31" s="222"/>
      <c r="U31" s="222"/>
      <c r="V31" s="222"/>
      <c r="W31" s="222"/>
      <c r="X31" s="222"/>
      <c r="Y31" s="222"/>
      <c r="Z31" s="222"/>
    </row>
    <row r="32" ht="18.0" customHeight="1">
      <c r="A32" s="488" t="s">
        <v>112</v>
      </c>
      <c r="B32" s="519">
        <f>'YR1997'!B32+'YR1998'!B32+'YR1999'!B32</f>
        <v>139131</v>
      </c>
      <c r="C32" s="519">
        <f>'YR1997'!C32+'YR1998'!C32+'YR1999'!C32</f>
        <v>139131</v>
      </c>
      <c r="D32" s="519">
        <f>'YR1997'!D32+'YR1998'!D32+'YR1999'!D32</f>
        <v>0</v>
      </c>
      <c r="E32" s="519">
        <f>'YR1997'!E32+'YR1998'!E32+'YR1999'!E32</f>
        <v>0</v>
      </c>
      <c r="F32" s="636">
        <f t="shared" si="8"/>
        <v>0</v>
      </c>
      <c r="G32" s="222"/>
      <c r="H32" s="381">
        <f t="shared" ref="H32:I32" si="23">C32-L32</f>
        <v>0</v>
      </c>
      <c r="I32" s="381">
        <f t="shared" si="23"/>
        <v>0</v>
      </c>
      <c r="J32" s="222" t="s">
        <v>112</v>
      </c>
      <c r="K32" s="381">
        <v>139131.0</v>
      </c>
      <c r="L32" s="381">
        <v>139131.0</v>
      </c>
      <c r="M32" s="381">
        <v>0.0</v>
      </c>
      <c r="N32" s="381">
        <v>0.0</v>
      </c>
      <c r="O32" s="381">
        <v>0.0</v>
      </c>
      <c r="P32" s="222"/>
      <c r="Q32" s="222"/>
      <c r="R32" s="222"/>
      <c r="S32" s="222"/>
      <c r="T32" s="222"/>
      <c r="U32" s="222"/>
      <c r="V32" s="222"/>
      <c r="W32" s="222"/>
      <c r="X32" s="222"/>
      <c r="Y32" s="222"/>
      <c r="Z32" s="222"/>
    </row>
    <row r="33" ht="18.0" customHeight="1">
      <c r="A33" s="488" t="s">
        <v>113</v>
      </c>
      <c r="B33" s="519">
        <f>'YR1997'!B33+'YR1998'!B33+'YR1999'!B33</f>
        <v>55125</v>
      </c>
      <c r="C33" s="519">
        <f>'YR1997'!C33+'YR1998'!C33+'YR1999'!C33</f>
        <v>55125</v>
      </c>
      <c r="D33" s="519">
        <f>'YR1997'!D33+'YR1998'!D33+'YR1999'!D33</f>
        <v>0</v>
      </c>
      <c r="E33" s="519">
        <f>'YR1997'!E33+'YR1998'!E33+'YR1999'!E33</f>
        <v>0</v>
      </c>
      <c r="F33" s="636">
        <f t="shared" si="8"/>
        <v>0</v>
      </c>
      <c r="G33" s="222"/>
      <c r="H33" s="381">
        <f t="shared" ref="H33:I33" si="24">C33-L33</f>
        <v>0</v>
      </c>
      <c r="I33" s="381">
        <f t="shared" si="24"/>
        <v>0</v>
      </c>
      <c r="J33" s="222" t="s">
        <v>113</v>
      </c>
      <c r="K33" s="381">
        <v>55125.0</v>
      </c>
      <c r="L33" s="381">
        <v>55125.0</v>
      </c>
      <c r="M33" s="381">
        <v>0.0</v>
      </c>
      <c r="N33" s="381">
        <v>0.0</v>
      </c>
      <c r="O33" s="381">
        <v>0.0</v>
      </c>
      <c r="P33" s="222"/>
      <c r="Q33" s="222"/>
      <c r="R33" s="222"/>
      <c r="S33" s="222"/>
      <c r="T33" s="222"/>
      <c r="U33" s="222"/>
      <c r="V33" s="222"/>
      <c r="W33" s="222"/>
      <c r="X33" s="222"/>
      <c r="Y33" s="222"/>
      <c r="Z33" s="222"/>
    </row>
    <row r="34" ht="18.0" customHeight="1">
      <c r="A34" s="488" t="s">
        <v>114</v>
      </c>
      <c r="B34" s="519">
        <f>'YR1997'!B34+'YR1998'!B34+'YR1999'!B34</f>
        <v>259310</v>
      </c>
      <c r="C34" s="519">
        <f>'YR1997'!C34+'YR1998'!C34+'YR1999'!C34</f>
        <v>14975</v>
      </c>
      <c r="D34" s="519">
        <f>'YR1997'!D34+'YR1998'!D34+'YR1999'!D34</f>
        <v>0</v>
      </c>
      <c r="E34" s="519">
        <f>'YR1997'!E34+'YR1998'!E34+'YR1999'!E34</f>
        <v>0</v>
      </c>
      <c r="F34" s="636">
        <f t="shared" si="8"/>
        <v>244335</v>
      </c>
      <c r="G34" s="649"/>
      <c r="H34" s="381">
        <f t="shared" ref="H34:I34" si="25">C34-L34</f>
        <v>-244335</v>
      </c>
      <c r="I34" s="381">
        <f t="shared" si="25"/>
        <v>0</v>
      </c>
      <c r="J34" s="222" t="s">
        <v>114</v>
      </c>
      <c r="K34" s="381">
        <v>259310.0</v>
      </c>
      <c r="L34" s="381">
        <v>259310.00000000003</v>
      </c>
      <c r="M34" s="381">
        <v>0.0</v>
      </c>
      <c r="N34" s="381">
        <v>0.0</v>
      </c>
      <c r="O34" s="381">
        <v>-2.9103830456733704E-11</v>
      </c>
      <c r="P34" s="222"/>
      <c r="Q34" s="222"/>
      <c r="R34" s="222"/>
      <c r="S34" s="222"/>
      <c r="T34" s="222"/>
      <c r="U34" s="222"/>
      <c r="V34" s="222"/>
      <c r="W34" s="222"/>
      <c r="X34" s="222"/>
      <c r="Y34" s="222"/>
      <c r="Z34" s="222"/>
    </row>
    <row r="35" ht="18.0" customHeight="1">
      <c r="A35" s="488" t="s">
        <v>115</v>
      </c>
      <c r="B35" s="519">
        <f>'YR1997'!B35+'YR1998'!B35+'YR1999'!B35</f>
        <v>385869</v>
      </c>
      <c r="C35" s="519">
        <f>'YR1997'!C35+'YR1998'!C35+'YR1999'!C35</f>
        <v>385869</v>
      </c>
      <c r="D35" s="519">
        <f>'YR1997'!D35+'YR1998'!D35+'YR1999'!D35</f>
        <v>0</v>
      </c>
      <c r="E35" s="519">
        <f>'YR1997'!E35+'YR1998'!E35+'YR1999'!E35</f>
        <v>0</v>
      </c>
      <c r="F35" s="636">
        <f t="shared" si="8"/>
        <v>0</v>
      </c>
      <c r="G35" s="222"/>
      <c r="H35" s="381">
        <f t="shared" ref="H35:I35" si="26">C35-L35</f>
        <v>0</v>
      </c>
      <c r="I35" s="381">
        <f t="shared" si="26"/>
        <v>0</v>
      </c>
      <c r="J35" s="222" t="s">
        <v>115</v>
      </c>
      <c r="K35" s="381">
        <v>385869.0</v>
      </c>
      <c r="L35" s="381">
        <v>385869.0</v>
      </c>
      <c r="M35" s="381">
        <v>0.0</v>
      </c>
      <c r="N35" s="381">
        <v>0.0</v>
      </c>
      <c r="O35" s="381">
        <v>0.0</v>
      </c>
      <c r="P35" s="222"/>
      <c r="Q35" s="222"/>
      <c r="R35" s="222"/>
      <c r="S35" s="222"/>
      <c r="T35" s="222"/>
      <c r="U35" s="222"/>
      <c r="V35" s="222"/>
      <c r="W35" s="222"/>
      <c r="X35" s="222"/>
      <c r="Y35" s="222"/>
      <c r="Z35" s="222"/>
    </row>
    <row r="36" ht="18.0" customHeight="1">
      <c r="A36" s="488" t="s">
        <v>116</v>
      </c>
      <c r="B36" s="519">
        <f>'YR1997'!B36+'YR1998'!B36+'YR1999'!B36</f>
        <v>0</v>
      </c>
      <c r="C36" s="519">
        <f>'YR1997'!C36+'YR1998'!C36+'YR1999'!C36</f>
        <v>0</v>
      </c>
      <c r="D36" s="519">
        <f>'YR1997'!D36+'YR1998'!D36+'YR1999'!D36</f>
        <v>0</v>
      </c>
      <c r="E36" s="519">
        <f>'YR1997'!E36+'YR1998'!E36+'YR1999'!E36</f>
        <v>0</v>
      </c>
      <c r="F36" s="636">
        <f t="shared" si="8"/>
        <v>0</v>
      </c>
      <c r="G36" s="222"/>
      <c r="H36" s="381"/>
      <c r="I36" s="381"/>
      <c r="J36" s="222"/>
      <c r="K36" s="381"/>
      <c r="L36" s="381"/>
      <c r="M36" s="381"/>
      <c r="N36" s="381"/>
      <c r="O36" s="381"/>
      <c r="P36" s="222"/>
      <c r="Q36" s="222"/>
      <c r="R36" s="222"/>
      <c r="S36" s="222"/>
      <c r="T36" s="222"/>
      <c r="U36" s="222"/>
      <c r="V36" s="222"/>
      <c r="W36" s="222"/>
      <c r="X36" s="222"/>
      <c r="Y36" s="222"/>
      <c r="Z36" s="222"/>
    </row>
    <row r="37" ht="18.0" customHeight="1">
      <c r="A37" s="488" t="s">
        <v>117</v>
      </c>
      <c r="B37" s="519">
        <f>'YR1997'!B37+'YR1998'!B37+'YR1999'!B37</f>
        <v>55125</v>
      </c>
      <c r="C37" s="523">
        <v>55125.0</v>
      </c>
      <c r="D37" s="523">
        <v>0.0</v>
      </c>
      <c r="E37" s="523">
        <v>0.0</v>
      </c>
      <c r="F37" s="636">
        <f t="shared" si="8"/>
        <v>0</v>
      </c>
      <c r="G37" s="222"/>
      <c r="H37" s="381">
        <f t="shared" ref="H37:I37" si="27">C37-L37</f>
        <v>0</v>
      </c>
      <c r="I37" s="381">
        <f t="shared" si="27"/>
        <v>0</v>
      </c>
      <c r="J37" s="222" t="s">
        <v>117</v>
      </c>
      <c r="K37" s="381">
        <v>55125.0</v>
      </c>
      <c r="L37" s="381">
        <v>55125.0</v>
      </c>
      <c r="M37" s="381">
        <v>0.0</v>
      </c>
      <c r="N37" s="381">
        <v>0.0</v>
      </c>
      <c r="O37" s="381">
        <v>0.0</v>
      </c>
      <c r="P37" s="222"/>
      <c r="Q37" s="222"/>
      <c r="R37" s="222"/>
      <c r="S37" s="222"/>
      <c r="T37" s="222"/>
      <c r="U37" s="222"/>
      <c r="V37" s="222"/>
      <c r="W37" s="222"/>
      <c r="X37" s="222"/>
      <c r="Y37" s="222"/>
      <c r="Z37" s="222"/>
    </row>
    <row r="38" ht="18.0" customHeight="1">
      <c r="A38" s="488" t="s">
        <v>118</v>
      </c>
      <c r="B38" s="519">
        <f>'YR1997'!B38+'YR1998'!B38+'YR1999'!B38</f>
        <v>8750937</v>
      </c>
      <c r="C38" s="523">
        <v>8750937.0</v>
      </c>
      <c r="D38" s="523">
        <v>0.0</v>
      </c>
      <c r="E38" s="523">
        <v>0.0</v>
      </c>
      <c r="F38" s="636">
        <f t="shared" si="8"/>
        <v>0</v>
      </c>
      <c r="G38" s="222"/>
      <c r="H38" s="381">
        <f t="shared" ref="H38:I38" si="28">C38-L38</f>
        <v>0</v>
      </c>
      <c r="I38" s="381">
        <f t="shared" si="28"/>
        <v>0</v>
      </c>
      <c r="J38" s="222" t="s">
        <v>118</v>
      </c>
      <c r="K38" s="381">
        <v>8750937.0</v>
      </c>
      <c r="L38" s="381">
        <v>8750937.0</v>
      </c>
      <c r="M38" s="381">
        <v>0.0</v>
      </c>
      <c r="N38" s="381">
        <v>0.0</v>
      </c>
      <c r="O38" s="381">
        <v>0.0</v>
      </c>
      <c r="P38" s="222"/>
      <c r="Q38" s="222"/>
      <c r="R38" s="222"/>
      <c r="S38" s="222"/>
      <c r="T38" s="222"/>
      <c r="U38" s="222"/>
      <c r="V38" s="222"/>
      <c r="W38" s="222"/>
      <c r="X38" s="222"/>
      <c r="Y38" s="222"/>
      <c r="Z38" s="222"/>
    </row>
    <row r="39" ht="18.0" customHeight="1">
      <c r="A39" s="488" t="s">
        <v>119</v>
      </c>
      <c r="B39" s="519">
        <f>'YR1997'!B39+'YR1998'!B39+'YR1999'!B39</f>
        <v>1322976</v>
      </c>
      <c r="C39" s="523">
        <v>1322975.6</v>
      </c>
      <c r="D39" s="523">
        <v>0.0</v>
      </c>
      <c r="E39" s="523">
        <v>0.0</v>
      </c>
      <c r="F39" s="636">
        <f t="shared" si="8"/>
        <v>0.3999999999</v>
      </c>
      <c r="G39" s="222"/>
      <c r="H39" s="381">
        <f t="shared" ref="H39:I39" si="29">C39-L39</f>
        <v>0</v>
      </c>
      <c r="I39" s="381">
        <f t="shared" si="29"/>
        <v>0</v>
      </c>
      <c r="J39" s="222" t="s">
        <v>119</v>
      </c>
      <c r="K39" s="381">
        <v>1322976.0</v>
      </c>
      <c r="L39" s="381">
        <v>1322975.6</v>
      </c>
      <c r="M39" s="381">
        <v>0.0</v>
      </c>
      <c r="N39" s="381">
        <v>0.0</v>
      </c>
      <c r="O39" s="381">
        <v>0.39999999990686774</v>
      </c>
      <c r="P39" s="222"/>
      <c r="Q39" s="222"/>
      <c r="R39" s="222"/>
      <c r="S39" s="222"/>
      <c r="T39" s="222"/>
      <c r="U39" s="222"/>
      <c r="V39" s="222"/>
      <c r="W39" s="222"/>
      <c r="X39" s="222"/>
      <c r="Y39" s="222"/>
      <c r="Z39" s="222"/>
    </row>
    <row r="40" ht="18.0" customHeight="1">
      <c r="A40" s="488" t="s">
        <v>120</v>
      </c>
      <c r="B40" s="519">
        <f>'YR1997'!B40+'YR1998'!B40+'YR1999'!B40</f>
        <v>3086946</v>
      </c>
      <c r="C40" s="523">
        <v>3086946.0</v>
      </c>
      <c r="D40" s="523">
        <v>0.0</v>
      </c>
      <c r="E40" s="523">
        <v>0.0</v>
      </c>
      <c r="F40" s="636">
        <f t="shared" si="8"/>
        <v>0</v>
      </c>
      <c r="G40" s="222"/>
      <c r="H40" s="381">
        <f t="shared" ref="H40:I40" si="30">C40-L40</f>
        <v>0</v>
      </c>
      <c r="I40" s="381">
        <f t="shared" si="30"/>
        <v>0</v>
      </c>
      <c r="J40" s="222" t="s">
        <v>120</v>
      </c>
      <c r="K40" s="381">
        <v>3086946.0</v>
      </c>
      <c r="L40" s="381">
        <v>3086946.0</v>
      </c>
      <c r="M40" s="381">
        <v>0.0</v>
      </c>
      <c r="N40" s="381">
        <v>0.0</v>
      </c>
      <c r="O40" s="381">
        <v>0.0</v>
      </c>
      <c r="P40" s="222"/>
      <c r="Q40" s="222"/>
      <c r="R40" s="222"/>
      <c r="S40" s="222"/>
      <c r="T40" s="222"/>
      <c r="U40" s="222"/>
      <c r="V40" s="222"/>
      <c r="W40" s="222"/>
      <c r="X40" s="222"/>
      <c r="Y40" s="222"/>
      <c r="Z40" s="222"/>
    </row>
    <row r="41" ht="18.0" customHeight="1">
      <c r="A41" s="488" t="s">
        <v>121</v>
      </c>
      <c r="B41" s="519">
        <f>'YR1997'!B41+'YR1998'!B41+'YR1999'!B41</f>
        <v>0</v>
      </c>
      <c r="C41" s="519">
        <f>'YR1997'!C41+'YR1998'!C41+'YR1999'!C41</f>
        <v>0</v>
      </c>
      <c r="D41" s="519">
        <f>'YR1997'!D41+'YR1998'!D41+'YR1999'!D41</f>
        <v>0</v>
      </c>
      <c r="E41" s="519">
        <f>'YR1997'!E41+'YR1998'!E41+'YR1999'!E41</f>
        <v>0</v>
      </c>
      <c r="F41" s="636">
        <f t="shared" si="8"/>
        <v>0</v>
      </c>
      <c r="G41" s="222"/>
      <c r="H41" s="381"/>
      <c r="I41" s="381"/>
      <c r="J41" s="222"/>
      <c r="K41" s="381"/>
      <c r="L41" s="381"/>
      <c r="M41" s="381"/>
      <c r="N41" s="381"/>
      <c r="O41" s="381"/>
      <c r="P41" s="222"/>
      <c r="Q41" s="222"/>
      <c r="R41" s="222"/>
      <c r="S41" s="222"/>
      <c r="T41" s="222"/>
      <c r="U41" s="222"/>
      <c r="V41" s="222"/>
      <c r="W41" s="222"/>
      <c r="X41" s="222"/>
      <c r="Y41" s="222"/>
      <c r="Z41" s="222"/>
    </row>
    <row r="42" ht="18.0" customHeight="1">
      <c r="A42" s="488" t="s">
        <v>122</v>
      </c>
      <c r="B42" s="519">
        <f>'YR1997'!B42+'YR1998'!B42+'YR1999'!B42</f>
        <v>1860435</v>
      </c>
      <c r="C42" s="523">
        <v>1860435.0</v>
      </c>
      <c r="D42" s="523">
        <v>0.0</v>
      </c>
      <c r="E42" s="523">
        <v>0.0</v>
      </c>
      <c r="F42" s="636">
        <f t="shared" si="8"/>
        <v>0</v>
      </c>
      <c r="G42" s="222"/>
      <c r="H42" s="381">
        <f t="shared" ref="H42:I42" si="31">C42-L42</f>
        <v>0</v>
      </c>
      <c r="I42" s="381">
        <f t="shared" si="31"/>
        <v>0</v>
      </c>
      <c r="J42" s="222" t="s">
        <v>122</v>
      </c>
      <c r="K42" s="381">
        <v>1860435.0</v>
      </c>
      <c r="L42" s="381">
        <v>1860435.0</v>
      </c>
      <c r="M42" s="381">
        <v>0.0</v>
      </c>
      <c r="N42" s="381">
        <v>0.0</v>
      </c>
      <c r="O42" s="381">
        <v>0.0</v>
      </c>
      <c r="P42" s="222"/>
      <c r="Q42" s="222"/>
      <c r="R42" s="222"/>
      <c r="S42" s="222"/>
      <c r="T42" s="222"/>
      <c r="U42" s="222"/>
      <c r="V42" s="222"/>
      <c r="W42" s="222"/>
      <c r="X42" s="222"/>
      <c r="Y42" s="222"/>
      <c r="Z42" s="222"/>
    </row>
    <row r="43" ht="18.0" customHeight="1">
      <c r="A43" s="488" t="s">
        <v>123</v>
      </c>
      <c r="B43" s="519">
        <f>'YR1997'!B43+'YR1998'!B43+'YR1999'!B43</f>
        <v>1515909</v>
      </c>
      <c r="C43" s="523">
        <v>1515909.0</v>
      </c>
      <c r="D43" s="523">
        <v>0.0</v>
      </c>
      <c r="E43" s="523">
        <v>0.0</v>
      </c>
      <c r="F43" s="636">
        <f t="shared" si="8"/>
        <v>0</v>
      </c>
      <c r="G43" s="222"/>
      <c r="H43" s="381">
        <f t="shared" ref="H43:I43" si="32">C43-L43</f>
        <v>0</v>
      </c>
      <c r="I43" s="381">
        <f t="shared" si="32"/>
        <v>0</v>
      </c>
      <c r="J43" s="222" t="s">
        <v>123</v>
      </c>
      <c r="K43" s="381">
        <v>1515909.0</v>
      </c>
      <c r="L43" s="381">
        <v>1515909.0</v>
      </c>
      <c r="M43" s="381">
        <v>0.0</v>
      </c>
      <c r="N43" s="381">
        <v>0.0</v>
      </c>
      <c r="O43" s="381">
        <v>0.0</v>
      </c>
      <c r="P43" s="222"/>
      <c r="Q43" s="222"/>
      <c r="R43" s="222"/>
      <c r="S43" s="222"/>
      <c r="T43" s="222"/>
      <c r="U43" s="222"/>
      <c r="V43" s="222"/>
      <c r="W43" s="222"/>
      <c r="X43" s="222"/>
      <c r="Y43" s="222"/>
      <c r="Z43" s="222"/>
    </row>
    <row r="44" ht="18.0" customHeight="1">
      <c r="A44" s="488" t="s">
        <v>125</v>
      </c>
      <c r="B44" s="519">
        <f>'YR1997'!B44+'YR1998'!B44+'YR1999'!B44</f>
        <v>24530184</v>
      </c>
      <c r="C44" s="523">
        <v>0.0</v>
      </c>
      <c r="D44" s="523">
        <v>0.0</v>
      </c>
      <c r="E44" s="523">
        <v>0.0</v>
      </c>
      <c r="F44" s="636">
        <f t="shared" si="8"/>
        <v>24530184</v>
      </c>
      <c r="G44" s="222"/>
      <c r="H44" s="381">
        <f t="shared" ref="H44:I44" si="33">C44-L44</f>
        <v>0</v>
      </c>
      <c r="I44" s="381">
        <f t="shared" si="33"/>
        <v>0</v>
      </c>
      <c r="J44" s="222" t="s">
        <v>125</v>
      </c>
      <c r="K44" s="381">
        <v>2.4530184E7</v>
      </c>
      <c r="L44" s="381">
        <v>0.0</v>
      </c>
      <c r="M44" s="381">
        <v>0.0</v>
      </c>
      <c r="N44" s="381">
        <v>0.0</v>
      </c>
      <c r="O44" s="381">
        <v>2.4530184E7</v>
      </c>
      <c r="P44" s="222"/>
      <c r="Q44" s="222"/>
      <c r="R44" s="222"/>
      <c r="S44" s="222"/>
      <c r="T44" s="222"/>
      <c r="U44" s="222"/>
      <c r="V44" s="222"/>
      <c r="W44" s="222"/>
      <c r="X44" s="222"/>
      <c r="Y44" s="222"/>
      <c r="Z44" s="222"/>
    </row>
    <row r="45" ht="18.0" customHeight="1">
      <c r="A45" s="488" t="s">
        <v>127</v>
      </c>
      <c r="B45" s="519">
        <f>'YR1997'!B45+'YR1998'!B45+'YR1999'!B45</f>
        <v>0</v>
      </c>
      <c r="C45" s="519">
        <f>'YR1997'!C45+'YR1998'!C45+'YR1999'!C45</f>
        <v>0</v>
      </c>
      <c r="D45" s="519">
        <f>'YR1997'!D45+'YR1998'!D45+'YR1999'!D45</f>
        <v>0</v>
      </c>
      <c r="E45" s="519">
        <f>'YR1997'!E45+'YR1998'!E45+'YR1999'!E45</f>
        <v>0</v>
      </c>
      <c r="F45" s="636">
        <f t="shared" si="8"/>
        <v>0</v>
      </c>
      <c r="G45" s="222"/>
      <c r="H45" s="381"/>
      <c r="I45" s="381"/>
      <c r="J45" s="222"/>
      <c r="K45" s="381"/>
      <c r="L45" s="381"/>
      <c r="M45" s="381"/>
      <c r="N45" s="381"/>
      <c r="O45" s="381"/>
      <c r="P45" s="222"/>
      <c r="Q45" s="222"/>
      <c r="R45" s="222"/>
      <c r="S45" s="222"/>
      <c r="T45" s="222"/>
      <c r="U45" s="222"/>
      <c r="V45" s="222"/>
      <c r="W45" s="222"/>
      <c r="X45" s="222"/>
      <c r="Y45" s="222"/>
      <c r="Z45" s="222"/>
    </row>
    <row r="46" ht="18.0" customHeight="1">
      <c r="A46" s="495" t="s">
        <v>128</v>
      </c>
      <c r="B46" s="519">
        <v>454773.0</v>
      </c>
      <c r="C46" s="523">
        <v>454773.0</v>
      </c>
      <c r="D46" s="523">
        <v>0.0</v>
      </c>
      <c r="E46" s="523">
        <v>0.0</v>
      </c>
      <c r="F46" s="636">
        <f t="shared" si="8"/>
        <v>0</v>
      </c>
      <c r="G46" s="222"/>
      <c r="H46" s="381">
        <f t="shared" ref="H46:I46" si="34">C46-L46</f>
        <v>0</v>
      </c>
      <c r="I46" s="381">
        <f t="shared" si="34"/>
        <v>0</v>
      </c>
      <c r="J46" s="222" t="s">
        <v>128</v>
      </c>
      <c r="K46" s="381">
        <v>454773.0</v>
      </c>
      <c r="L46" s="381">
        <v>454773.0</v>
      </c>
      <c r="M46" s="381">
        <v>0.0</v>
      </c>
      <c r="N46" s="381">
        <v>0.0</v>
      </c>
      <c r="O46" s="381">
        <v>0.0</v>
      </c>
      <c r="P46" s="222"/>
      <c r="Q46" s="222"/>
      <c r="R46" s="222"/>
      <c r="S46" s="222"/>
      <c r="T46" s="222"/>
      <c r="U46" s="222"/>
      <c r="V46" s="222"/>
      <c r="W46" s="222"/>
      <c r="X46" s="222"/>
      <c r="Y46" s="222"/>
      <c r="Z46" s="222"/>
    </row>
    <row r="47" ht="18.0" customHeight="1">
      <c r="A47" s="488" t="s">
        <v>129</v>
      </c>
      <c r="B47" s="519">
        <f>'YR1997'!B47+'YR1998'!B47+'YR1999'!B47</f>
        <v>0</v>
      </c>
      <c r="C47" s="519">
        <f>'YR1997'!C47+'YR1998'!C47+'YR1999'!C47</f>
        <v>0</v>
      </c>
      <c r="D47" s="519">
        <f>'YR1997'!D47+'YR1998'!D47+'YR1999'!D47</f>
        <v>0</v>
      </c>
      <c r="E47" s="519">
        <f>'YR1997'!E47+'YR1998'!E47+'YR1999'!E47</f>
        <v>0</v>
      </c>
      <c r="F47" s="636">
        <f t="shared" si="8"/>
        <v>0</v>
      </c>
      <c r="G47" s="222"/>
      <c r="H47" s="381">
        <f t="shared" ref="H47:I47" si="35">C47-L47</f>
        <v>0</v>
      </c>
      <c r="I47" s="381">
        <f t="shared" si="35"/>
        <v>0</v>
      </c>
      <c r="J47" s="222" t="s">
        <v>129</v>
      </c>
      <c r="K47" s="381">
        <v>0.0</v>
      </c>
      <c r="L47" s="381">
        <v>0.0</v>
      </c>
      <c r="M47" s="381">
        <v>0.0</v>
      </c>
      <c r="N47" s="381">
        <v>0.0</v>
      </c>
      <c r="O47" s="381">
        <v>0.0</v>
      </c>
      <c r="P47" s="222"/>
      <c r="Q47" s="222"/>
      <c r="R47" s="222"/>
      <c r="S47" s="222"/>
      <c r="T47" s="222"/>
      <c r="U47" s="222"/>
      <c r="V47" s="222"/>
      <c r="W47" s="222"/>
      <c r="X47" s="222"/>
      <c r="Y47" s="222"/>
      <c r="Z47" s="222"/>
    </row>
    <row r="48" ht="18.0" customHeight="1">
      <c r="A48" s="488" t="s">
        <v>130</v>
      </c>
      <c r="B48" s="519">
        <f>'YR1997'!B48+'YR1998'!B48+'YR1999'!B48</f>
        <v>592583</v>
      </c>
      <c r="C48" s="523">
        <v>592583.0</v>
      </c>
      <c r="D48" s="523">
        <v>0.0</v>
      </c>
      <c r="E48" s="523">
        <v>0.0</v>
      </c>
      <c r="F48" s="636">
        <f t="shared" si="8"/>
        <v>0</v>
      </c>
      <c r="G48" s="222"/>
      <c r="H48" s="381">
        <f t="shared" ref="H48:I48" si="36">C48-L48</f>
        <v>0</v>
      </c>
      <c r="I48" s="381">
        <f t="shared" si="36"/>
        <v>0</v>
      </c>
      <c r="J48" s="222" t="s">
        <v>130</v>
      </c>
      <c r="K48" s="381">
        <v>592583.0</v>
      </c>
      <c r="L48" s="381">
        <v>592583.0</v>
      </c>
      <c r="M48" s="381">
        <v>0.0</v>
      </c>
      <c r="N48" s="381">
        <v>0.0</v>
      </c>
      <c r="O48" s="381">
        <v>0.0</v>
      </c>
      <c r="P48" s="222"/>
      <c r="Q48" s="222"/>
      <c r="R48" s="222"/>
      <c r="S48" s="222"/>
      <c r="T48" s="222"/>
      <c r="U48" s="222"/>
      <c r="V48" s="222"/>
      <c r="W48" s="222"/>
      <c r="X48" s="222"/>
      <c r="Y48" s="222"/>
      <c r="Z48" s="222"/>
    </row>
    <row r="49" ht="18.0" customHeight="1">
      <c r="A49" s="488" t="s">
        <v>131</v>
      </c>
      <c r="B49" s="519">
        <f>'YR1997'!B49+'YR1998'!B49+'YR1999'!B49</f>
        <v>13023048</v>
      </c>
      <c r="C49" s="523">
        <v>1.3023048E7</v>
      </c>
      <c r="D49" s="523">
        <v>0.0</v>
      </c>
      <c r="E49" s="523">
        <v>0.0</v>
      </c>
      <c r="F49" s="636">
        <f t="shared" si="8"/>
        <v>0</v>
      </c>
      <c r="G49" s="222"/>
      <c r="H49" s="381">
        <f t="shared" ref="H49:I49" si="37">C49-L49</f>
        <v>0</v>
      </c>
      <c r="I49" s="381">
        <f t="shared" si="37"/>
        <v>0</v>
      </c>
      <c r="J49" s="222" t="s">
        <v>131</v>
      </c>
      <c r="K49" s="381">
        <v>1.3023048E7</v>
      </c>
      <c r="L49" s="381">
        <v>1.3023048E7</v>
      </c>
      <c r="M49" s="381">
        <v>0.0</v>
      </c>
      <c r="N49" s="381">
        <v>0.0</v>
      </c>
      <c r="O49" s="381">
        <v>0.0</v>
      </c>
      <c r="P49" s="222"/>
      <c r="Q49" s="222"/>
      <c r="R49" s="222"/>
      <c r="S49" s="222"/>
      <c r="T49" s="222"/>
      <c r="U49" s="222"/>
      <c r="V49" s="222"/>
      <c r="W49" s="222"/>
      <c r="X49" s="222"/>
      <c r="Y49" s="222"/>
      <c r="Z49" s="222"/>
    </row>
    <row r="50" ht="18.0" customHeight="1">
      <c r="A50" s="488" t="s">
        <v>132</v>
      </c>
      <c r="B50" s="519">
        <f>'YR1997'!B50+'YR1998'!B50+'YR1999'!B50</f>
        <v>6766473</v>
      </c>
      <c r="C50" s="523">
        <v>6335623.0</v>
      </c>
      <c r="D50" s="523">
        <v>430850.0</v>
      </c>
      <c r="E50" s="523">
        <v>0.0</v>
      </c>
      <c r="F50" s="636">
        <f t="shared" si="8"/>
        <v>0</v>
      </c>
      <c r="G50" s="222"/>
      <c r="H50" s="381">
        <f t="shared" ref="H50:I50" si="38">C50-L50</f>
        <v>0</v>
      </c>
      <c r="I50" s="381">
        <f t="shared" si="38"/>
        <v>0</v>
      </c>
      <c r="J50" s="222" t="s">
        <v>132</v>
      </c>
      <c r="K50" s="381">
        <v>6766473.0</v>
      </c>
      <c r="L50" s="381">
        <v>6335623.0</v>
      </c>
      <c r="M50" s="381">
        <v>430850.0</v>
      </c>
      <c r="N50" s="381">
        <v>0.0</v>
      </c>
      <c r="O50" s="381">
        <v>0.0</v>
      </c>
      <c r="P50" s="222"/>
      <c r="Q50" s="222"/>
      <c r="R50" s="222"/>
      <c r="S50" s="222"/>
      <c r="T50" s="222"/>
      <c r="U50" s="222"/>
      <c r="V50" s="222"/>
      <c r="W50" s="222"/>
      <c r="X50" s="222"/>
      <c r="Y50" s="222"/>
      <c r="Z50" s="222"/>
    </row>
    <row r="51" ht="18.0" customHeight="1">
      <c r="A51" s="488" t="s">
        <v>133</v>
      </c>
      <c r="B51" s="519">
        <f>'YR1997'!B51+'YR1998'!B51+'YR1999'!B51</f>
        <v>6670005</v>
      </c>
      <c r="C51" s="523">
        <v>6636105.0</v>
      </c>
      <c r="D51" s="523">
        <v>33900.0</v>
      </c>
      <c r="E51" s="523">
        <v>0.0</v>
      </c>
      <c r="F51" s="636">
        <f t="shared" si="8"/>
        <v>0</v>
      </c>
      <c r="G51" s="222"/>
      <c r="H51" s="381">
        <f t="shared" ref="H51:I51" si="39">C51-L51</f>
        <v>0</v>
      </c>
      <c r="I51" s="381">
        <f t="shared" si="39"/>
        <v>0</v>
      </c>
      <c r="J51" s="222" t="s">
        <v>133</v>
      </c>
      <c r="K51" s="381">
        <v>6670005.0</v>
      </c>
      <c r="L51" s="381">
        <v>6636105.0</v>
      </c>
      <c r="M51" s="381">
        <v>33900.0</v>
      </c>
      <c r="N51" s="381">
        <v>0.0</v>
      </c>
      <c r="O51" s="381">
        <v>0.0</v>
      </c>
      <c r="P51" s="222"/>
      <c r="Q51" s="222"/>
      <c r="R51" s="222"/>
      <c r="S51" s="222"/>
      <c r="T51" s="222"/>
      <c r="U51" s="222"/>
      <c r="V51" s="222"/>
      <c r="W51" s="222"/>
      <c r="X51" s="222"/>
      <c r="Y51" s="222"/>
      <c r="Z51" s="222"/>
    </row>
    <row r="52" ht="18.0" customHeight="1">
      <c r="A52" s="488" t="s">
        <v>134</v>
      </c>
      <c r="B52" s="519">
        <f>'YR1997'!B52+'YR1998'!B52+'YR1999'!B52</f>
        <v>65746</v>
      </c>
      <c r="C52" s="523">
        <f>5333+1500+182+1000+671+9400+11671+11671+1619+1619+1550+1200+1670</f>
        <v>49086</v>
      </c>
      <c r="D52" s="523">
        <v>0.0</v>
      </c>
      <c r="E52" s="523">
        <v>0.0</v>
      </c>
      <c r="F52" s="636">
        <f t="shared" si="8"/>
        <v>16660</v>
      </c>
      <c r="G52" s="222"/>
      <c r="H52" s="381">
        <f t="shared" ref="H52:I52" si="40">C52-L52</f>
        <v>2870</v>
      </c>
      <c r="I52" s="381">
        <f t="shared" si="40"/>
        <v>0</v>
      </c>
      <c r="J52" s="222" t="s">
        <v>134</v>
      </c>
      <c r="K52" s="381">
        <v>65746.0</v>
      </c>
      <c r="L52" s="381">
        <v>46216.0</v>
      </c>
      <c r="M52" s="381">
        <v>0.0</v>
      </c>
      <c r="N52" s="381">
        <v>0.0</v>
      </c>
      <c r="O52" s="381">
        <v>19530.0</v>
      </c>
      <c r="P52" s="222"/>
      <c r="Q52" s="222"/>
      <c r="R52" s="222"/>
      <c r="S52" s="222"/>
      <c r="T52" s="222"/>
      <c r="U52" s="222"/>
      <c r="V52" s="222"/>
      <c r="W52" s="222"/>
      <c r="X52" s="222"/>
      <c r="Y52" s="222"/>
      <c r="Z52" s="222"/>
    </row>
    <row r="53" ht="18.0" customHeight="1">
      <c r="A53" s="488" t="s">
        <v>230</v>
      </c>
      <c r="B53" s="519">
        <f>'YR1997'!B53+'YR1998'!B53+'YR1999'!B53</f>
        <v>179154</v>
      </c>
      <c r="C53" s="523">
        <v>0.0</v>
      </c>
      <c r="D53" s="523">
        <v>0.0</v>
      </c>
      <c r="E53" s="523">
        <v>0.0</v>
      </c>
      <c r="F53" s="636">
        <f t="shared" si="8"/>
        <v>179154</v>
      </c>
      <c r="G53" s="222"/>
      <c r="H53" s="381">
        <f t="shared" ref="H53:I53" si="41">C53-L53</f>
        <v>0</v>
      </c>
      <c r="I53" s="381">
        <f t="shared" si="41"/>
        <v>0</v>
      </c>
      <c r="J53" s="222" t="s">
        <v>230</v>
      </c>
      <c r="K53" s="381">
        <v>179154.0</v>
      </c>
      <c r="L53" s="381">
        <v>0.0</v>
      </c>
      <c r="M53" s="381">
        <v>0.0</v>
      </c>
      <c r="N53" s="381">
        <v>0.0</v>
      </c>
      <c r="O53" s="381">
        <v>179154.0</v>
      </c>
      <c r="P53" s="222"/>
      <c r="Q53" s="222"/>
      <c r="R53" s="222"/>
      <c r="S53" s="222"/>
      <c r="T53" s="222"/>
      <c r="U53" s="222"/>
      <c r="V53" s="222"/>
      <c r="W53" s="222"/>
      <c r="X53" s="222"/>
      <c r="Y53" s="222"/>
      <c r="Z53" s="222"/>
    </row>
    <row r="54" ht="18.0" customHeight="1">
      <c r="A54" s="488" t="s">
        <v>136</v>
      </c>
      <c r="B54" s="519">
        <f>'YR1997'!B54+'YR1998'!B54+'YR1999'!B54</f>
        <v>5555291</v>
      </c>
      <c r="C54" s="523">
        <v>0.0</v>
      </c>
      <c r="D54" s="523">
        <v>0.0</v>
      </c>
      <c r="E54" s="523">
        <v>0.0</v>
      </c>
      <c r="F54" s="636">
        <f t="shared" si="8"/>
        <v>5555291</v>
      </c>
      <c r="G54" s="222"/>
      <c r="H54" s="381">
        <f t="shared" ref="H54:I54" si="42">C54-L54</f>
        <v>0</v>
      </c>
      <c r="I54" s="381">
        <f t="shared" si="42"/>
        <v>0</v>
      </c>
      <c r="J54" s="222" t="s">
        <v>136</v>
      </c>
      <c r="K54" s="381">
        <v>5555291.0</v>
      </c>
      <c r="L54" s="381">
        <v>0.0</v>
      </c>
      <c r="M54" s="381">
        <v>0.0</v>
      </c>
      <c r="N54" s="381">
        <v>0.0</v>
      </c>
      <c r="O54" s="381">
        <v>5555291.0</v>
      </c>
      <c r="P54" s="222"/>
      <c r="Q54" s="222"/>
      <c r="R54" s="222"/>
      <c r="S54" s="222"/>
      <c r="T54" s="222"/>
      <c r="U54" s="222"/>
      <c r="V54" s="222"/>
      <c r="W54" s="222"/>
      <c r="X54" s="222"/>
      <c r="Y54" s="222"/>
      <c r="Z54" s="222"/>
    </row>
    <row r="55" ht="18.0" customHeight="1">
      <c r="A55" s="488" t="s">
        <v>137</v>
      </c>
      <c r="B55" s="519">
        <f>'YR1997'!B55+'YR1998'!B55+'YR1999'!B55</f>
        <v>0</v>
      </c>
      <c r="C55" s="519">
        <f>'YR1997'!C55+'YR1998'!C55+'YR1999'!C55</f>
        <v>0</v>
      </c>
      <c r="D55" s="519">
        <f>'YR1997'!D55+'YR1998'!D55+'YR1999'!D55</f>
        <v>0</v>
      </c>
      <c r="E55" s="519">
        <f>'YR1997'!E55+'YR1998'!E55+'YR1999'!E55</f>
        <v>0</v>
      </c>
      <c r="F55" s="636">
        <f t="shared" si="8"/>
        <v>0</v>
      </c>
      <c r="G55" s="222"/>
      <c r="H55" s="381"/>
      <c r="I55" s="381"/>
      <c r="J55" s="222"/>
      <c r="K55" s="381"/>
      <c r="L55" s="381"/>
      <c r="M55" s="381"/>
      <c r="N55" s="381"/>
      <c r="O55" s="381"/>
      <c r="P55" s="222"/>
      <c r="Q55" s="222"/>
      <c r="R55" s="222"/>
      <c r="S55" s="222"/>
      <c r="T55" s="222"/>
      <c r="U55" s="222"/>
      <c r="V55" s="222"/>
      <c r="W55" s="222"/>
      <c r="X55" s="222"/>
      <c r="Y55" s="222"/>
      <c r="Z55" s="222"/>
    </row>
    <row r="56" ht="18.0" customHeight="1">
      <c r="A56" s="488" t="s">
        <v>138</v>
      </c>
      <c r="B56" s="519">
        <f>'YR1997'!B56+'YR1998'!B56+'YR1999'!B56</f>
        <v>29298411</v>
      </c>
      <c r="C56" s="523">
        <f>26043034+2690377</f>
        <v>28733411</v>
      </c>
      <c r="D56" s="523">
        <v>565000.0</v>
      </c>
      <c r="E56" s="523">
        <v>0.0</v>
      </c>
      <c r="F56" s="636">
        <f t="shared" si="8"/>
        <v>0</v>
      </c>
      <c r="G56" s="222"/>
      <c r="H56" s="381">
        <f t="shared" ref="H56:I56" si="43">C56-L56</f>
        <v>0</v>
      </c>
      <c r="I56" s="381">
        <f t="shared" si="43"/>
        <v>0</v>
      </c>
      <c r="J56" s="222" t="s">
        <v>138</v>
      </c>
      <c r="K56" s="381">
        <v>2.9298411E7</v>
      </c>
      <c r="L56" s="381">
        <v>2.8733411E7</v>
      </c>
      <c r="M56" s="381">
        <v>565000.0</v>
      </c>
      <c r="N56" s="381">
        <v>0.0</v>
      </c>
      <c r="O56" s="381">
        <v>0.0</v>
      </c>
      <c r="P56" s="222"/>
      <c r="Q56" s="222"/>
      <c r="R56" s="222"/>
      <c r="S56" s="222"/>
      <c r="T56" s="222"/>
      <c r="U56" s="222"/>
      <c r="V56" s="222"/>
      <c r="W56" s="222"/>
      <c r="X56" s="222"/>
      <c r="Y56" s="222"/>
      <c r="Z56" s="222"/>
    </row>
    <row r="57" ht="18.0" customHeight="1">
      <c r="A57" s="488" t="s">
        <v>139</v>
      </c>
      <c r="B57" s="519">
        <f>'YR1997'!B57+'YR1998'!B57+'YR1999'!B57</f>
        <v>116499999</v>
      </c>
      <c r="C57" s="523">
        <f>113858703+2000000</f>
        <v>115858703</v>
      </c>
      <c r="D57" s="523">
        <v>641296.0</v>
      </c>
      <c r="E57" s="523">
        <f>2000000-2000000</f>
        <v>0</v>
      </c>
      <c r="F57" s="636">
        <f t="shared" si="8"/>
        <v>0</v>
      </c>
      <c r="G57" s="222"/>
      <c r="H57" s="381">
        <f t="shared" ref="H57:I57" si="44">C57-L57</f>
        <v>0</v>
      </c>
      <c r="I57" s="381">
        <f t="shared" si="44"/>
        <v>0</v>
      </c>
      <c r="J57" s="222" t="s">
        <v>139</v>
      </c>
      <c r="K57" s="381">
        <v>1.16499999E8</v>
      </c>
      <c r="L57" s="381">
        <v>1.15858703E8</v>
      </c>
      <c r="M57" s="381">
        <v>641296.0</v>
      </c>
      <c r="N57" s="381">
        <v>0.0</v>
      </c>
      <c r="O57" s="381">
        <v>0.0</v>
      </c>
      <c r="P57" s="222"/>
      <c r="Q57" s="222"/>
      <c r="R57" s="222"/>
      <c r="S57" s="222"/>
      <c r="T57" s="222"/>
      <c r="U57" s="222"/>
      <c r="V57" s="222"/>
      <c r="W57" s="222"/>
      <c r="X57" s="222"/>
      <c r="Y57" s="222"/>
      <c r="Z57" s="222"/>
    </row>
    <row r="58" ht="18.0" customHeight="1">
      <c r="A58" s="497" t="s">
        <v>140</v>
      </c>
      <c r="B58" s="519">
        <f>'YR1997'!B58+'YR1998'!B58+'YR1999'!B58</f>
        <v>332255</v>
      </c>
      <c r="C58" s="523">
        <v>105500.0</v>
      </c>
      <c r="D58" s="523">
        <v>0.0</v>
      </c>
      <c r="E58" s="523">
        <v>0.0</v>
      </c>
      <c r="F58" s="636">
        <f t="shared" si="8"/>
        <v>226755</v>
      </c>
      <c r="G58" s="222"/>
      <c r="H58" s="381">
        <f t="shared" ref="H58:I58" si="45">C58-L58</f>
        <v>0</v>
      </c>
      <c r="I58" s="381">
        <f t="shared" si="45"/>
        <v>0</v>
      </c>
      <c r="J58" s="222" t="s">
        <v>140</v>
      </c>
      <c r="K58" s="381">
        <v>332255.0</v>
      </c>
      <c r="L58" s="381">
        <v>105500.0</v>
      </c>
      <c r="M58" s="381">
        <v>0.0</v>
      </c>
      <c r="N58" s="381">
        <v>0.0</v>
      </c>
      <c r="O58" s="381">
        <v>226755.0</v>
      </c>
      <c r="P58" s="222"/>
      <c r="Q58" s="222"/>
      <c r="R58" s="222"/>
      <c r="S58" s="222"/>
      <c r="T58" s="222"/>
      <c r="U58" s="222"/>
      <c r="V58" s="222"/>
      <c r="W58" s="222"/>
      <c r="X58" s="222"/>
      <c r="Y58" s="222"/>
      <c r="Z58" s="222"/>
    </row>
    <row r="59" ht="20.25" customHeight="1">
      <c r="A59" s="531" t="s">
        <v>143</v>
      </c>
      <c r="B59" s="624">
        <f t="shared" ref="B59:F59" si="46">SUM(B8:B58)</f>
        <v>472567009</v>
      </c>
      <c r="C59" s="651">
        <f t="shared" si="46"/>
        <v>418966144.3</v>
      </c>
      <c r="D59" s="651">
        <f t="shared" si="46"/>
        <v>20836903.2</v>
      </c>
      <c r="E59" s="652">
        <f t="shared" si="46"/>
        <v>0</v>
      </c>
      <c r="F59" s="647">
        <f t="shared" si="46"/>
        <v>32763961.47</v>
      </c>
      <c r="G59" s="222"/>
      <c r="H59" s="381">
        <f t="shared" ref="H59:I59" si="47">C59-L59</f>
        <v>279698.63</v>
      </c>
      <c r="I59" s="381">
        <f t="shared" si="47"/>
        <v>-521163</v>
      </c>
      <c r="J59" s="222" t="s">
        <v>143</v>
      </c>
      <c r="K59" s="381">
        <v>4.72567009E8</v>
      </c>
      <c r="L59" s="381">
        <v>4.1868644570000005E8</v>
      </c>
      <c r="M59" s="381">
        <v>2.13580662E7</v>
      </c>
      <c r="N59" s="381">
        <v>0.0</v>
      </c>
      <c r="O59" s="381">
        <v>3.2522497100000005E7</v>
      </c>
      <c r="P59" s="222"/>
      <c r="Q59" s="222"/>
      <c r="R59" s="222"/>
      <c r="S59" s="222"/>
      <c r="T59" s="222"/>
      <c r="U59" s="222"/>
      <c r="V59" s="222"/>
      <c r="W59" s="222"/>
      <c r="X59" s="222"/>
      <c r="Y59" s="222"/>
      <c r="Z59" s="222"/>
    </row>
    <row r="60">
      <c r="A60" s="628"/>
      <c r="B60" s="139"/>
      <c r="C60" s="139"/>
      <c r="D60" s="139"/>
      <c r="E60" s="139"/>
      <c r="F60" s="139"/>
      <c r="G60" s="222"/>
      <c r="H60" s="381">
        <f t="shared" ref="H60:I60" si="48">C60-L60</f>
        <v>0</v>
      </c>
      <c r="I60" s="381">
        <f t="shared" si="48"/>
        <v>0</v>
      </c>
      <c r="J60" s="222"/>
      <c r="K60" s="381"/>
      <c r="L60" s="381"/>
      <c r="M60" s="381"/>
      <c r="N60" s="381"/>
      <c r="O60" s="381"/>
      <c r="P60" s="222"/>
      <c r="Q60" s="222"/>
      <c r="R60" s="222"/>
      <c r="S60" s="222"/>
      <c r="T60" s="222"/>
      <c r="U60" s="222"/>
      <c r="V60" s="222"/>
      <c r="W60" s="222"/>
      <c r="X60" s="222"/>
      <c r="Y60" s="222"/>
      <c r="Z60" s="222"/>
    </row>
    <row r="61">
      <c r="A61" s="628" t="s">
        <v>259</v>
      </c>
      <c r="B61" s="139"/>
      <c r="C61" s="139"/>
      <c r="D61" s="139"/>
      <c r="E61" s="139"/>
      <c r="F61" s="139"/>
      <c r="G61" s="222"/>
      <c r="H61" s="381">
        <f t="shared" ref="H61:I61" si="49">C61-L61</f>
        <v>0</v>
      </c>
      <c r="I61" s="381">
        <f t="shared" si="49"/>
        <v>0</v>
      </c>
      <c r="J61" s="222" t="s">
        <v>259</v>
      </c>
      <c r="K61" s="381"/>
      <c r="L61" s="381"/>
      <c r="M61" s="381"/>
      <c r="N61" s="381"/>
      <c r="O61" s="381"/>
      <c r="P61" s="222"/>
      <c r="Q61" s="222"/>
      <c r="R61" s="222"/>
      <c r="S61" s="222"/>
      <c r="T61" s="222"/>
      <c r="U61" s="222"/>
      <c r="V61" s="222"/>
      <c r="W61" s="222"/>
      <c r="X61" s="222"/>
      <c r="Y61" s="222"/>
      <c r="Z61" s="222"/>
    </row>
    <row r="62">
      <c r="A62" s="628"/>
      <c r="B62" s="139"/>
      <c r="C62" s="139"/>
      <c r="D62" s="139"/>
      <c r="E62" s="139"/>
      <c r="F62" s="139"/>
      <c r="G62" s="222"/>
      <c r="H62" s="381">
        <f t="shared" ref="H62:I62" si="50">C62-L62</f>
        <v>0</v>
      </c>
      <c r="I62" s="381">
        <f t="shared" si="50"/>
        <v>0</v>
      </c>
      <c r="J62" s="222"/>
      <c r="K62" s="381"/>
      <c r="L62" s="381"/>
      <c r="M62" s="381"/>
      <c r="N62" s="381"/>
      <c r="O62" s="381"/>
      <c r="P62" s="222"/>
      <c r="Q62" s="222"/>
      <c r="R62" s="222"/>
      <c r="S62" s="222"/>
      <c r="T62" s="222"/>
      <c r="U62" s="222"/>
      <c r="V62" s="222"/>
      <c r="W62" s="222"/>
      <c r="X62" s="222"/>
      <c r="Y62" s="222"/>
      <c r="Z62" s="222"/>
    </row>
    <row r="63">
      <c r="A63" s="433"/>
      <c r="B63" s="222"/>
      <c r="C63" s="222"/>
      <c r="D63" s="222"/>
      <c r="E63" s="222"/>
      <c r="F63" s="222"/>
      <c r="G63" s="222"/>
      <c r="H63" s="381">
        <f t="shared" ref="H63:I63" si="51">C63-L63</f>
        <v>0</v>
      </c>
      <c r="I63" s="381">
        <f t="shared" si="51"/>
        <v>0</v>
      </c>
      <c r="J63" s="222"/>
      <c r="K63" s="381"/>
      <c r="L63" s="381"/>
      <c r="M63" s="381"/>
      <c r="N63" s="381"/>
      <c r="O63" s="381"/>
      <c r="P63" s="222"/>
      <c r="Q63" s="222"/>
      <c r="R63" s="222"/>
      <c r="S63" s="222"/>
      <c r="T63" s="222"/>
      <c r="U63" s="222"/>
      <c r="V63" s="222"/>
      <c r="W63" s="222"/>
      <c r="X63" s="222"/>
      <c r="Y63" s="222"/>
      <c r="Z63" s="222"/>
    </row>
    <row r="64">
      <c r="A64" s="638"/>
      <c r="B64" s="139"/>
      <c r="C64" s="139"/>
      <c r="D64" s="139"/>
      <c r="E64" s="139"/>
      <c r="F64" s="139"/>
      <c r="G64" s="222"/>
      <c r="H64" s="381">
        <f t="shared" ref="H64:I64" si="52">C64-L64</f>
        <v>0</v>
      </c>
      <c r="I64" s="381">
        <f t="shared" si="52"/>
        <v>0</v>
      </c>
      <c r="J64" s="222"/>
      <c r="K64" s="381"/>
      <c r="L64" s="381"/>
      <c r="M64" s="381"/>
      <c r="N64" s="381"/>
      <c r="O64" s="381"/>
      <c r="P64" s="222"/>
      <c r="Q64" s="222"/>
      <c r="R64" s="222"/>
      <c r="S64" s="222"/>
      <c r="T64" s="222"/>
      <c r="U64" s="222"/>
      <c r="V64" s="222"/>
      <c r="W64" s="222"/>
      <c r="X64" s="222"/>
      <c r="Y64" s="222"/>
      <c r="Z64" s="222"/>
    </row>
    <row r="65" ht="16.5" customHeight="1">
      <c r="A65" s="639" t="s">
        <v>159</v>
      </c>
      <c r="B65" s="509">
        <f t="shared" ref="B65:E65" si="53">B10+B11+B14+B17+B19+B25+B32+B34+B42+B44+B46+B47+B52+B53+B54+B58</f>
        <v>37808537</v>
      </c>
      <c r="C65" s="509">
        <f t="shared" si="53"/>
        <v>5044575.67</v>
      </c>
      <c r="D65" s="509">
        <f t="shared" si="53"/>
        <v>0</v>
      </c>
      <c r="E65" s="509">
        <f t="shared" si="53"/>
        <v>0</v>
      </c>
      <c r="F65" s="640">
        <f>B65-C65-D65-E65</f>
        <v>32763961.33</v>
      </c>
      <c r="G65" s="617"/>
      <c r="H65" s="381">
        <f t="shared" ref="H65:I65" si="54">C65-L65</f>
        <v>-241465</v>
      </c>
      <c r="I65" s="381">
        <f t="shared" si="54"/>
        <v>0</v>
      </c>
      <c r="J65" s="222" t="s">
        <v>159</v>
      </c>
      <c r="K65" s="381">
        <v>3.7808537E7</v>
      </c>
      <c r="L65" s="381">
        <v>5286040.67</v>
      </c>
      <c r="M65" s="381">
        <v>0.0</v>
      </c>
      <c r="N65" s="381">
        <v>0.0</v>
      </c>
      <c r="O65" s="381">
        <v>3.252249633E7</v>
      </c>
      <c r="P65" s="222"/>
      <c r="Q65" s="222"/>
      <c r="R65" s="222"/>
      <c r="S65" s="222"/>
      <c r="T65" s="222"/>
      <c r="U65" s="222"/>
      <c r="V65" s="222"/>
      <c r="W65" s="222"/>
      <c r="X65" s="222"/>
      <c r="Y65" s="222"/>
      <c r="Z65" s="222"/>
    </row>
    <row r="66">
      <c r="A66" s="139"/>
      <c r="B66" s="139"/>
      <c r="C66" s="139"/>
      <c r="D66" s="139"/>
      <c r="E66" s="139"/>
      <c r="F66" s="139"/>
      <c r="G66" s="222"/>
      <c r="H66" s="381"/>
      <c r="I66" s="381"/>
      <c r="J66" s="222"/>
      <c r="K66" s="381"/>
      <c r="L66" s="381"/>
      <c r="M66" s="381"/>
      <c r="N66" s="381"/>
      <c r="O66" s="381"/>
      <c r="P66" s="222"/>
      <c r="Q66" s="222"/>
      <c r="R66" s="222"/>
      <c r="S66" s="222"/>
      <c r="T66" s="222"/>
      <c r="U66" s="222"/>
      <c r="V66" s="222"/>
      <c r="W66" s="222"/>
      <c r="X66" s="222"/>
      <c r="Y66" s="222"/>
      <c r="Z66" s="222"/>
    </row>
    <row r="67">
      <c r="A67" s="222"/>
      <c r="B67" s="222"/>
      <c r="C67" s="222"/>
      <c r="D67" s="222"/>
      <c r="E67" s="222"/>
      <c r="F67" s="222"/>
      <c r="G67" s="222"/>
      <c r="H67" s="381"/>
      <c r="I67" s="381"/>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381"/>
      <c r="I68" s="381"/>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381"/>
      <c r="I69" s="381"/>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381"/>
      <c r="I70" s="381"/>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381"/>
      <c r="I71" s="381"/>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381"/>
      <c r="I72" s="381"/>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381"/>
      <c r="I73" s="381"/>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381"/>
      <c r="I74" s="381"/>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381"/>
      <c r="I75" s="381"/>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381"/>
      <c r="I76" s="381"/>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381"/>
      <c r="I77" s="381"/>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381"/>
      <c r="I78" s="381"/>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381"/>
      <c r="I79" s="381"/>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381"/>
      <c r="I80" s="381"/>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381"/>
      <c r="I81" s="381"/>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381"/>
      <c r="I82" s="381"/>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381"/>
      <c r="I83" s="381"/>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381"/>
      <c r="I84" s="381"/>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381"/>
      <c r="I85" s="381"/>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381"/>
      <c r="I86" s="381"/>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381"/>
      <c r="I87" s="381"/>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381"/>
      <c r="I88" s="381"/>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381"/>
      <c r="I89" s="381"/>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381"/>
      <c r="I90" s="381"/>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381"/>
      <c r="I91" s="381"/>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381"/>
      <c r="I92" s="381"/>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381"/>
      <c r="I93" s="381"/>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381"/>
      <c r="I94" s="381"/>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381"/>
      <c r="I95" s="381"/>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381"/>
      <c r="I96" s="381"/>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381"/>
      <c r="I97" s="381"/>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381"/>
      <c r="I98" s="381"/>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381"/>
      <c r="I99" s="381"/>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381"/>
      <c r="I100" s="381"/>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381"/>
      <c r="I101" s="381"/>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381"/>
      <c r="I102" s="381"/>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381"/>
      <c r="I103" s="381"/>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381"/>
      <c r="I104" s="381"/>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381"/>
      <c r="I105" s="381"/>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381"/>
      <c r="I106" s="381"/>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381"/>
      <c r="I107" s="381"/>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381"/>
      <c r="I108" s="381"/>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381"/>
      <c r="I109" s="381"/>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381"/>
      <c r="I110" s="381"/>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381"/>
      <c r="I111" s="381"/>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381"/>
      <c r="I112" s="381"/>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381"/>
      <c r="I113" s="381"/>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381"/>
      <c r="I114" s="381"/>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381"/>
      <c r="I115" s="381"/>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381"/>
      <c r="I116" s="381"/>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381"/>
      <c r="I117" s="381"/>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381"/>
      <c r="I118" s="381"/>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381"/>
      <c r="I119" s="381"/>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381"/>
      <c r="I120" s="381"/>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381"/>
      <c r="I121" s="381"/>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381"/>
      <c r="I122" s="381"/>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381"/>
      <c r="I123" s="381"/>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381"/>
      <c r="I124" s="381"/>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381"/>
      <c r="I125" s="381"/>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381"/>
      <c r="I126" s="381"/>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381"/>
      <c r="I127" s="381"/>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381"/>
      <c r="I128" s="381"/>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381"/>
      <c r="I129" s="381"/>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381"/>
      <c r="I130" s="381"/>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381"/>
      <c r="I131" s="381"/>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381"/>
      <c r="I132" s="381"/>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381"/>
      <c r="I133" s="381"/>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381"/>
      <c r="I134" s="381"/>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381"/>
      <c r="I135" s="381"/>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381"/>
      <c r="I136" s="381"/>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381"/>
      <c r="I137" s="381"/>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381"/>
      <c r="I138" s="381"/>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381"/>
      <c r="I139" s="381"/>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381"/>
      <c r="I140" s="381"/>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381"/>
      <c r="I141" s="381"/>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381"/>
      <c r="I142" s="381"/>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381"/>
      <c r="I143" s="381"/>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381"/>
      <c r="I144" s="381"/>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381"/>
      <c r="I145" s="381"/>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381"/>
      <c r="I146" s="381"/>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381"/>
      <c r="I147" s="381"/>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381"/>
      <c r="I148" s="381"/>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381"/>
      <c r="I149" s="381"/>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381"/>
      <c r="I150" s="381"/>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381"/>
      <c r="I151" s="381"/>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381"/>
      <c r="I152" s="381"/>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381"/>
      <c r="I153" s="381"/>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381"/>
      <c r="I154" s="381"/>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381"/>
      <c r="I155" s="381"/>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381"/>
      <c r="I156" s="381"/>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381"/>
      <c r="I157" s="381"/>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381"/>
      <c r="I158" s="381"/>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381"/>
      <c r="I159" s="381"/>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381"/>
      <c r="I160" s="381"/>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381"/>
      <c r="I161" s="381"/>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381"/>
      <c r="I162" s="381"/>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381"/>
      <c r="I163" s="381"/>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381"/>
      <c r="I164" s="381"/>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381"/>
      <c r="I165" s="381"/>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381"/>
      <c r="I166" s="381"/>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381"/>
      <c r="I167" s="381"/>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381"/>
      <c r="I168" s="381"/>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381"/>
      <c r="I169" s="381"/>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381"/>
      <c r="I170" s="381"/>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381"/>
      <c r="I171" s="381"/>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381"/>
      <c r="I172" s="381"/>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381"/>
      <c r="I173" s="381"/>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381"/>
      <c r="I174" s="381"/>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381"/>
      <c r="I175" s="381"/>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381"/>
      <c r="I176" s="381"/>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381"/>
      <c r="I177" s="381"/>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381"/>
      <c r="I178" s="381"/>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381"/>
      <c r="I179" s="381"/>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381"/>
      <c r="I180" s="381"/>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381"/>
      <c r="I181" s="381"/>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381"/>
      <c r="I182" s="381"/>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381"/>
      <c r="I183" s="381"/>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381"/>
      <c r="I184" s="381"/>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381"/>
      <c r="I185" s="381"/>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381"/>
      <c r="I186" s="381"/>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381"/>
      <c r="I187" s="381"/>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381"/>
      <c r="I188" s="381"/>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381"/>
      <c r="I189" s="381"/>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381"/>
      <c r="I190" s="381"/>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381"/>
      <c r="I191" s="381"/>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381"/>
      <c r="I192" s="381"/>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381"/>
      <c r="I193" s="381"/>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381"/>
      <c r="I194" s="381"/>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381"/>
      <c r="I195" s="381"/>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381"/>
      <c r="I196" s="381"/>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381"/>
      <c r="I197" s="381"/>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381"/>
      <c r="I198" s="381"/>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381"/>
      <c r="I199" s="381"/>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381"/>
      <c r="I200" s="381"/>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381"/>
      <c r="I201" s="381"/>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381"/>
      <c r="I202" s="381"/>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381"/>
      <c r="I203" s="381"/>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381"/>
      <c r="I204" s="381"/>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381"/>
      <c r="I205" s="381"/>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381"/>
      <c r="I206" s="381"/>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381"/>
      <c r="I207" s="381"/>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381"/>
      <c r="I208" s="381"/>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381"/>
      <c r="I209" s="381"/>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381"/>
      <c r="I210" s="381"/>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381"/>
      <c r="I211" s="381"/>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381"/>
      <c r="I212" s="381"/>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381"/>
      <c r="I213" s="381"/>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381"/>
      <c r="I214" s="381"/>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381"/>
      <c r="I215" s="381"/>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381"/>
      <c r="I216" s="381"/>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381"/>
      <c r="I217" s="381"/>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381"/>
      <c r="I218" s="381"/>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381"/>
      <c r="I219" s="381"/>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381"/>
      <c r="I220" s="381"/>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381"/>
      <c r="I221" s="381"/>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381"/>
      <c r="I222" s="381"/>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381"/>
      <c r="I223" s="381"/>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381"/>
      <c r="I224" s="381"/>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381"/>
      <c r="I225" s="381"/>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381"/>
      <c r="I226" s="381"/>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381"/>
      <c r="I227" s="381"/>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381"/>
      <c r="I228" s="381"/>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381"/>
      <c r="I229" s="381"/>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381"/>
      <c r="I230" s="381"/>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381"/>
      <c r="I231" s="381"/>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381"/>
      <c r="I232" s="381"/>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381"/>
      <c r="I233" s="381"/>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381"/>
      <c r="I234" s="381"/>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381"/>
      <c r="I235" s="381"/>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381"/>
      <c r="I236" s="381"/>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381"/>
      <c r="I237" s="381"/>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381"/>
      <c r="I238" s="381"/>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381"/>
      <c r="I239" s="381"/>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381"/>
      <c r="I240" s="381"/>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381"/>
      <c r="I241" s="381"/>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381"/>
      <c r="I242" s="381"/>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381"/>
      <c r="I243" s="381"/>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381"/>
      <c r="I244" s="381"/>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381"/>
      <c r="I245" s="381"/>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381"/>
      <c r="I246" s="381"/>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381"/>
      <c r="I247" s="381"/>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381"/>
      <c r="I248" s="381"/>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381"/>
      <c r="I249" s="381"/>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381"/>
      <c r="I250" s="381"/>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381"/>
      <c r="I251" s="381"/>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381"/>
      <c r="I252" s="381"/>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381"/>
      <c r="I253" s="381"/>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381"/>
      <c r="I254" s="381"/>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381"/>
      <c r="I255" s="381"/>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381"/>
      <c r="I256" s="381"/>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381"/>
      <c r="I257" s="381"/>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381"/>
      <c r="I258" s="381"/>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381"/>
      <c r="I259" s="381"/>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381"/>
      <c r="I260" s="381"/>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381"/>
      <c r="I261" s="381"/>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381"/>
      <c r="I262" s="381"/>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381"/>
      <c r="I263" s="381"/>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381"/>
      <c r="I264" s="381"/>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381"/>
      <c r="I265" s="381"/>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381"/>
      <c r="I266" s="381"/>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381"/>
      <c r="I267" s="381"/>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381"/>
      <c r="I268" s="381"/>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381"/>
      <c r="I269" s="381"/>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381"/>
      <c r="I270" s="381"/>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381"/>
      <c r="I271" s="381"/>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381"/>
      <c r="I272" s="381"/>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381"/>
      <c r="I273" s="381"/>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381"/>
      <c r="I274" s="381"/>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381"/>
      <c r="I275" s="381"/>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381"/>
      <c r="I276" s="381"/>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381"/>
      <c r="I277" s="381"/>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381"/>
      <c r="I278" s="381"/>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381"/>
      <c r="I279" s="381"/>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381"/>
      <c r="I280" s="381"/>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381"/>
      <c r="I281" s="381"/>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381"/>
      <c r="I282" s="381"/>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381"/>
      <c r="I283" s="381"/>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381"/>
      <c r="I284" s="381"/>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381"/>
      <c r="I285" s="381"/>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381"/>
      <c r="I286" s="381"/>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381"/>
      <c r="I287" s="381"/>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381"/>
      <c r="I288" s="381"/>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381"/>
      <c r="I289" s="381"/>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381"/>
      <c r="I290" s="381"/>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381"/>
      <c r="I291" s="381"/>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381"/>
      <c r="I292" s="381"/>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381"/>
      <c r="I293" s="381"/>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381"/>
      <c r="I294" s="381"/>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381"/>
      <c r="I295" s="381"/>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381"/>
      <c r="I296" s="381"/>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381"/>
      <c r="I297" s="381"/>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381"/>
      <c r="I298" s="381"/>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381"/>
      <c r="I299" s="381"/>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381"/>
      <c r="I300" s="381"/>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381"/>
      <c r="I301" s="381"/>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381"/>
      <c r="I302" s="381"/>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381"/>
      <c r="I303" s="381"/>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381"/>
      <c r="I304" s="381"/>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381"/>
      <c r="I305" s="381"/>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381"/>
      <c r="I306" s="381"/>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381"/>
      <c r="I307" s="381"/>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381"/>
      <c r="I308" s="381"/>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381"/>
      <c r="I309" s="381"/>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381"/>
      <c r="I310" s="381"/>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381"/>
      <c r="I311" s="381"/>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381"/>
      <c r="I312" s="381"/>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381"/>
      <c r="I313" s="381"/>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381"/>
      <c r="I314" s="381"/>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381"/>
      <c r="I315" s="381"/>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381"/>
      <c r="I316" s="381"/>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381"/>
      <c r="I317" s="381"/>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381"/>
      <c r="I318" s="381"/>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381"/>
      <c r="I319" s="381"/>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381"/>
      <c r="I320" s="381"/>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381"/>
      <c r="I321" s="381"/>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381"/>
      <c r="I322" s="381"/>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381"/>
      <c r="I323" s="381"/>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381"/>
      <c r="I324" s="381"/>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381"/>
      <c r="I325" s="381"/>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381"/>
      <c r="I326" s="381"/>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381"/>
      <c r="I327" s="381"/>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381"/>
      <c r="I328" s="381"/>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381"/>
      <c r="I329" s="381"/>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381"/>
      <c r="I330" s="381"/>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381"/>
      <c r="I331" s="381"/>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381"/>
      <c r="I332" s="381"/>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381"/>
      <c r="I333" s="381"/>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381"/>
      <c r="I334" s="381"/>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381"/>
      <c r="I335" s="381"/>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381"/>
      <c r="I336" s="381"/>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381"/>
      <c r="I337" s="381"/>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381"/>
      <c r="I338" s="381"/>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381"/>
      <c r="I339" s="381"/>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381"/>
      <c r="I340" s="381"/>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381"/>
      <c r="I341" s="381"/>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381"/>
      <c r="I342" s="381"/>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381"/>
      <c r="I343" s="381"/>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381"/>
      <c r="I344" s="381"/>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381"/>
      <c r="I345" s="381"/>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381"/>
      <c r="I346" s="381"/>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381"/>
      <c r="I347" s="381"/>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381"/>
      <c r="I348" s="381"/>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381"/>
      <c r="I349" s="381"/>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381"/>
      <c r="I350" s="381"/>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381"/>
      <c r="I351" s="381"/>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381"/>
      <c r="I352" s="381"/>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381"/>
      <c r="I353" s="381"/>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381"/>
      <c r="I354" s="381"/>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381"/>
      <c r="I355" s="381"/>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381"/>
      <c r="I356" s="381"/>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381"/>
      <c r="I357" s="381"/>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381"/>
      <c r="I358" s="381"/>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381"/>
      <c r="I359" s="381"/>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381"/>
      <c r="I360" s="381"/>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381"/>
      <c r="I361" s="381"/>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381"/>
      <c r="I362" s="381"/>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381"/>
      <c r="I363" s="381"/>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381"/>
      <c r="I364" s="381"/>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381"/>
      <c r="I365" s="381"/>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381"/>
      <c r="I366" s="381"/>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381"/>
      <c r="I367" s="381"/>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381"/>
      <c r="I368" s="381"/>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381"/>
      <c r="I369" s="381"/>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381"/>
      <c r="I370" s="381"/>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381"/>
      <c r="I371" s="381"/>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381"/>
      <c r="I372" s="381"/>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381"/>
      <c r="I373" s="381"/>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381"/>
      <c r="I374" s="381"/>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381"/>
      <c r="I375" s="381"/>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381"/>
      <c r="I376" s="381"/>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381"/>
      <c r="I377" s="381"/>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381"/>
      <c r="I378" s="381"/>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381"/>
      <c r="I379" s="381"/>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381"/>
      <c r="I380" s="381"/>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381"/>
      <c r="I381" s="381"/>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381"/>
      <c r="I382" s="381"/>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381"/>
      <c r="I383" s="381"/>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381"/>
      <c r="I384" s="381"/>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381"/>
      <c r="I385" s="381"/>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381"/>
      <c r="I386" s="381"/>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381"/>
      <c r="I387" s="381"/>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381"/>
      <c r="I388" s="381"/>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381"/>
      <c r="I389" s="381"/>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381"/>
      <c r="I390" s="381"/>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381"/>
      <c r="I391" s="381"/>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381"/>
      <c r="I392" s="381"/>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381"/>
      <c r="I393" s="381"/>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381"/>
      <c r="I394" s="381"/>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381"/>
      <c r="I395" s="381"/>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381"/>
      <c r="I396" s="381"/>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381"/>
      <c r="I397" s="381"/>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381"/>
      <c r="I398" s="381"/>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381"/>
      <c r="I399" s="381"/>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381"/>
      <c r="I400" s="381"/>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381"/>
      <c r="I401" s="381"/>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381"/>
      <c r="I402" s="381"/>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381"/>
      <c r="I403" s="381"/>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381"/>
      <c r="I404" s="381"/>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381"/>
      <c r="I405" s="381"/>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381"/>
      <c r="I406" s="381"/>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381"/>
      <c r="I407" s="381"/>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381"/>
      <c r="I408" s="381"/>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381"/>
      <c r="I409" s="381"/>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381"/>
      <c r="I410" s="381"/>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381"/>
      <c r="I411" s="381"/>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381"/>
      <c r="I412" s="381"/>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381"/>
      <c r="I413" s="381"/>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381"/>
      <c r="I414" s="381"/>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381"/>
      <c r="I415" s="381"/>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381"/>
      <c r="I416" s="381"/>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381"/>
      <c r="I417" s="381"/>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381"/>
      <c r="I418" s="381"/>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381"/>
      <c r="I419" s="381"/>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381"/>
      <c r="I420" s="381"/>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381"/>
      <c r="I421" s="381"/>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381"/>
      <c r="I422" s="381"/>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381"/>
      <c r="I423" s="381"/>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381"/>
      <c r="I424" s="381"/>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381"/>
      <c r="I425" s="381"/>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381"/>
      <c r="I426" s="381"/>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381"/>
      <c r="I427" s="381"/>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381"/>
      <c r="I428" s="381"/>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381"/>
      <c r="I429" s="381"/>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381"/>
      <c r="I430" s="381"/>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381"/>
      <c r="I431" s="381"/>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381"/>
      <c r="I432" s="381"/>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381"/>
      <c r="I433" s="381"/>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381"/>
      <c r="I434" s="381"/>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381"/>
      <c r="I435" s="381"/>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381"/>
      <c r="I436" s="381"/>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381"/>
      <c r="I437" s="381"/>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381"/>
      <c r="I438" s="381"/>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381"/>
      <c r="I439" s="381"/>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381"/>
      <c r="I440" s="381"/>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381"/>
      <c r="I441" s="381"/>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381"/>
      <c r="I442" s="381"/>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381"/>
      <c r="I443" s="381"/>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381"/>
      <c r="I444" s="381"/>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381"/>
      <c r="I445" s="381"/>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381"/>
      <c r="I446" s="381"/>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381"/>
      <c r="I447" s="381"/>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381"/>
      <c r="I448" s="381"/>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381"/>
      <c r="I449" s="381"/>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381"/>
      <c r="I450" s="381"/>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381"/>
      <c r="I451" s="381"/>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381"/>
      <c r="I452" s="381"/>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381"/>
      <c r="I453" s="381"/>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381"/>
      <c r="I454" s="381"/>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381"/>
      <c r="I455" s="381"/>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381"/>
      <c r="I456" s="381"/>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381"/>
      <c r="I457" s="381"/>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381"/>
      <c r="I458" s="381"/>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381"/>
      <c r="I459" s="381"/>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381"/>
      <c r="I460" s="381"/>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381"/>
      <c r="I461" s="381"/>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381"/>
      <c r="I462" s="381"/>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381"/>
      <c r="I463" s="381"/>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381"/>
      <c r="I464" s="381"/>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381"/>
      <c r="I465" s="381"/>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381"/>
      <c r="I466" s="381"/>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381"/>
      <c r="I467" s="381"/>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381"/>
      <c r="I468" s="381"/>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381"/>
      <c r="I469" s="381"/>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381"/>
      <c r="I470" s="381"/>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381"/>
      <c r="I471" s="381"/>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381"/>
      <c r="I472" s="381"/>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381"/>
      <c r="I473" s="381"/>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381"/>
      <c r="I474" s="381"/>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381"/>
      <c r="I475" s="381"/>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381"/>
      <c r="I476" s="381"/>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381"/>
      <c r="I477" s="381"/>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381"/>
      <c r="I478" s="381"/>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381"/>
      <c r="I479" s="381"/>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381"/>
      <c r="I480" s="381"/>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381"/>
      <c r="I481" s="381"/>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381"/>
      <c r="I482" s="381"/>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381"/>
      <c r="I483" s="381"/>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381"/>
      <c r="I484" s="381"/>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381"/>
      <c r="I485" s="381"/>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381"/>
      <c r="I486" s="381"/>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381"/>
      <c r="I487" s="381"/>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381"/>
      <c r="I488" s="381"/>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381"/>
      <c r="I489" s="381"/>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381"/>
      <c r="I490" s="381"/>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381"/>
      <c r="I491" s="381"/>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381"/>
      <c r="I492" s="381"/>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381"/>
      <c r="I493" s="381"/>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381"/>
      <c r="I494" s="381"/>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381"/>
      <c r="I495" s="381"/>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381"/>
      <c r="I496" s="381"/>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381"/>
      <c r="I497" s="381"/>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381"/>
      <c r="I498" s="381"/>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381"/>
      <c r="I499" s="381"/>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381"/>
      <c r="I500" s="381"/>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381"/>
      <c r="I501" s="381"/>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381"/>
      <c r="I502" s="381"/>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381"/>
      <c r="I503" s="381"/>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381"/>
      <c r="I504" s="381"/>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381"/>
      <c r="I505" s="381"/>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381"/>
      <c r="I506" s="381"/>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381"/>
      <c r="I507" s="381"/>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381"/>
      <c r="I508" s="381"/>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381"/>
      <c r="I509" s="381"/>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381"/>
      <c r="I510" s="381"/>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381"/>
      <c r="I511" s="381"/>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381"/>
      <c r="I512" s="381"/>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381"/>
      <c r="I513" s="381"/>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381"/>
      <c r="I514" s="381"/>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381"/>
      <c r="I515" s="381"/>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381"/>
      <c r="I516" s="381"/>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381"/>
      <c r="I517" s="381"/>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381"/>
      <c r="I518" s="381"/>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381"/>
      <c r="I519" s="381"/>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381"/>
      <c r="I520" s="381"/>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381"/>
      <c r="I521" s="381"/>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381"/>
      <c r="I522" s="381"/>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381"/>
      <c r="I523" s="381"/>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381"/>
      <c r="I524" s="381"/>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381"/>
      <c r="I525" s="381"/>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381"/>
      <c r="I526" s="381"/>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381"/>
      <c r="I527" s="381"/>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381"/>
      <c r="I528" s="381"/>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381"/>
      <c r="I529" s="381"/>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381"/>
      <c r="I530" s="381"/>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381"/>
      <c r="I531" s="381"/>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381"/>
      <c r="I532" s="381"/>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381"/>
      <c r="I533" s="381"/>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381"/>
      <c r="I534" s="381"/>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381"/>
      <c r="I535" s="381"/>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381"/>
      <c r="I536" s="381"/>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381"/>
      <c r="I537" s="381"/>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381"/>
      <c r="I538" s="381"/>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381"/>
      <c r="I539" s="381"/>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381"/>
      <c r="I540" s="381"/>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381"/>
      <c r="I541" s="381"/>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381"/>
      <c r="I542" s="381"/>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381"/>
      <c r="I543" s="381"/>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381"/>
      <c r="I544" s="381"/>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381"/>
      <c r="I545" s="381"/>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381"/>
      <c r="I546" s="381"/>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381"/>
      <c r="I547" s="381"/>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381"/>
      <c r="I548" s="381"/>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381"/>
      <c r="I549" s="381"/>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381"/>
      <c r="I550" s="381"/>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381"/>
      <c r="I551" s="381"/>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381"/>
      <c r="I552" s="381"/>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381"/>
      <c r="I553" s="381"/>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381"/>
      <c r="I554" s="381"/>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381"/>
      <c r="I555" s="381"/>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381"/>
      <c r="I556" s="381"/>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381"/>
      <c r="I557" s="381"/>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381"/>
      <c r="I558" s="381"/>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381"/>
      <c r="I559" s="381"/>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381"/>
      <c r="I560" s="381"/>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381"/>
      <c r="I561" s="381"/>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381"/>
      <c r="I562" s="381"/>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381"/>
      <c r="I563" s="381"/>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381"/>
      <c r="I564" s="381"/>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381"/>
      <c r="I565" s="381"/>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381"/>
      <c r="I566" s="381"/>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381"/>
      <c r="I567" s="381"/>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381"/>
      <c r="I568" s="381"/>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381"/>
      <c r="I569" s="381"/>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381"/>
      <c r="I570" s="381"/>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381"/>
      <c r="I571" s="381"/>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381"/>
      <c r="I572" s="381"/>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381"/>
      <c r="I573" s="381"/>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381"/>
      <c r="I574" s="381"/>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381"/>
      <c r="I575" s="381"/>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381"/>
      <c r="I576" s="381"/>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381"/>
      <c r="I577" s="381"/>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381"/>
      <c r="I578" s="381"/>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381"/>
      <c r="I579" s="381"/>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381"/>
      <c r="I580" s="381"/>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381"/>
      <c r="I581" s="381"/>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381"/>
      <c r="I582" s="381"/>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381"/>
      <c r="I583" s="381"/>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381"/>
      <c r="I584" s="381"/>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381"/>
      <c r="I585" s="381"/>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381"/>
      <c r="I586" s="381"/>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381"/>
      <c r="I587" s="381"/>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381"/>
      <c r="I588" s="381"/>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381"/>
      <c r="I589" s="381"/>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381"/>
      <c r="I590" s="381"/>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381"/>
      <c r="I591" s="381"/>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381"/>
      <c r="I592" s="381"/>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381"/>
      <c r="I593" s="381"/>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381"/>
      <c r="I594" s="381"/>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381"/>
      <c r="I595" s="381"/>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381"/>
      <c r="I596" s="381"/>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381"/>
      <c r="I597" s="381"/>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381"/>
      <c r="I598" s="381"/>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381"/>
      <c r="I599" s="381"/>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381"/>
      <c r="I600" s="381"/>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381"/>
      <c r="I601" s="381"/>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381"/>
      <c r="I602" s="381"/>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381"/>
      <c r="I603" s="381"/>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381"/>
      <c r="I604" s="381"/>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381"/>
      <c r="I605" s="381"/>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381"/>
      <c r="I606" s="381"/>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381"/>
      <c r="I607" s="381"/>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381"/>
      <c r="I608" s="381"/>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381"/>
      <c r="I609" s="381"/>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381"/>
      <c r="I610" s="381"/>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381"/>
      <c r="I611" s="381"/>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381"/>
      <c r="I612" s="381"/>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381"/>
      <c r="I613" s="381"/>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381"/>
      <c r="I614" s="381"/>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381"/>
      <c r="I615" s="381"/>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381"/>
      <c r="I616" s="381"/>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381"/>
      <c r="I617" s="381"/>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381"/>
      <c r="I618" s="381"/>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381"/>
      <c r="I619" s="381"/>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381"/>
      <c r="I620" s="381"/>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381"/>
      <c r="I621" s="381"/>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381"/>
      <c r="I622" s="381"/>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381"/>
      <c r="I623" s="381"/>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381"/>
      <c r="I624" s="381"/>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381"/>
      <c r="I625" s="381"/>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381"/>
      <c r="I626" s="381"/>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381"/>
      <c r="I627" s="381"/>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381"/>
      <c r="I628" s="381"/>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381"/>
      <c r="I629" s="381"/>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381"/>
      <c r="I630" s="381"/>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381"/>
      <c r="I631" s="381"/>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381"/>
      <c r="I632" s="381"/>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381"/>
      <c r="I633" s="381"/>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381"/>
      <c r="I634" s="381"/>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381"/>
      <c r="I635" s="381"/>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381"/>
      <c r="I636" s="381"/>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381"/>
      <c r="I637" s="381"/>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381"/>
      <c r="I638" s="381"/>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381"/>
      <c r="I639" s="381"/>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381"/>
      <c r="I640" s="381"/>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381"/>
      <c r="I641" s="381"/>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381"/>
      <c r="I642" s="381"/>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381"/>
      <c r="I643" s="381"/>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381"/>
      <c r="I644" s="381"/>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381"/>
      <c r="I645" s="381"/>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381"/>
      <c r="I646" s="381"/>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381"/>
      <c r="I647" s="381"/>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381"/>
      <c r="I648" s="381"/>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381"/>
      <c r="I649" s="381"/>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381"/>
      <c r="I650" s="381"/>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381"/>
      <c r="I651" s="381"/>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381"/>
      <c r="I652" s="381"/>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381"/>
      <c r="I653" s="381"/>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381"/>
      <c r="I654" s="381"/>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381"/>
      <c r="I655" s="381"/>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381"/>
      <c r="I656" s="381"/>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381"/>
      <c r="I657" s="381"/>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381"/>
      <c r="I658" s="381"/>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381"/>
      <c r="I659" s="381"/>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381"/>
      <c r="I660" s="381"/>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381"/>
      <c r="I661" s="381"/>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381"/>
      <c r="I662" s="381"/>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381"/>
      <c r="I663" s="381"/>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381"/>
      <c r="I664" s="381"/>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381"/>
      <c r="I665" s="381"/>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381"/>
      <c r="I666" s="381"/>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381"/>
      <c r="I667" s="381"/>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381"/>
      <c r="I668" s="381"/>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381"/>
      <c r="I669" s="381"/>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381"/>
      <c r="I670" s="381"/>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381"/>
      <c r="I671" s="381"/>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381"/>
      <c r="I672" s="381"/>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381"/>
      <c r="I673" s="381"/>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381"/>
      <c r="I674" s="381"/>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381"/>
      <c r="I675" s="381"/>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381"/>
      <c r="I676" s="381"/>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381"/>
      <c r="I677" s="381"/>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381"/>
      <c r="I678" s="381"/>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381"/>
      <c r="I679" s="381"/>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381"/>
      <c r="I680" s="381"/>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381"/>
      <c r="I681" s="381"/>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381"/>
      <c r="I682" s="381"/>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381"/>
      <c r="I683" s="381"/>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381"/>
      <c r="I684" s="381"/>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381"/>
      <c r="I685" s="381"/>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381"/>
      <c r="I686" s="381"/>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381"/>
      <c r="I687" s="381"/>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381"/>
      <c r="I688" s="381"/>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381"/>
      <c r="I689" s="381"/>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381"/>
      <c r="I690" s="381"/>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381"/>
      <c r="I691" s="381"/>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381"/>
      <c r="I692" s="381"/>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381"/>
      <c r="I693" s="381"/>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381"/>
      <c r="I694" s="381"/>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381"/>
      <c r="I695" s="381"/>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381"/>
      <c r="I696" s="381"/>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381"/>
      <c r="I697" s="381"/>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381"/>
      <c r="I698" s="381"/>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381"/>
      <c r="I699" s="381"/>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381"/>
      <c r="I700" s="381"/>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381"/>
      <c r="I701" s="381"/>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381"/>
      <c r="I702" s="381"/>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381"/>
      <c r="I703" s="381"/>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381"/>
      <c r="I704" s="381"/>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381"/>
      <c r="I705" s="381"/>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381"/>
      <c r="I706" s="381"/>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381"/>
      <c r="I707" s="381"/>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381"/>
      <c r="I708" s="381"/>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381"/>
      <c r="I709" s="381"/>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381"/>
      <c r="I710" s="381"/>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381"/>
      <c r="I711" s="381"/>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381"/>
      <c r="I712" s="381"/>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381"/>
      <c r="I713" s="381"/>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381"/>
      <c r="I714" s="381"/>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381"/>
      <c r="I715" s="381"/>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381"/>
      <c r="I716" s="381"/>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381"/>
      <c r="I717" s="381"/>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381"/>
      <c r="I718" s="381"/>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381"/>
      <c r="I719" s="381"/>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381"/>
      <c r="I720" s="381"/>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381"/>
      <c r="I721" s="381"/>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381"/>
      <c r="I722" s="381"/>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381"/>
      <c r="I723" s="381"/>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381"/>
      <c r="I724" s="381"/>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381"/>
      <c r="I725" s="381"/>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381"/>
      <c r="I726" s="381"/>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381"/>
      <c r="I727" s="381"/>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381"/>
      <c r="I728" s="381"/>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381"/>
      <c r="I729" s="381"/>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381"/>
      <c r="I730" s="381"/>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381"/>
      <c r="I731" s="381"/>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381"/>
      <c r="I732" s="381"/>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381"/>
      <c r="I733" s="381"/>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381"/>
      <c r="I734" s="381"/>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381"/>
      <c r="I735" s="381"/>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381"/>
      <c r="I736" s="381"/>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381"/>
      <c r="I737" s="381"/>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381"/>
      <c r="I738" s="381"/>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381"/>
      <c r="I739" s="381"/>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381"/>
      <c r="I740" s="381"/>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381"/>
      <c r="I741" s="381"/>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381"/>
      <c r="I742" s="381"/>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381"/>
      <c r="I743" s="381"/>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381"/>
      <c r="I744" s="381"/>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381"/>
      <c r="I745" s="381"/>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381"/>
      <c r="I746" s="381"/>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381"/>
      <c r="I747" s="381"/>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381"/>
      <c r="I748" s="381"/>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381"/>
      <c r="I749" s="381"/>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381"/>
      <c r="I750" s="381"/>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381"/>
      <c r="I751" s="381"/>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381"/>
      <c r="I752" s="381"/>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381"/>
      <c r="I753" s="381"/>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381"/>
      <c r="I754" s="381"/>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381"/>
      <c r="I755" s="381"/>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381"/>
      <c r="I756" s="381"/>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381"/>
      <c r="I757" s="381"/>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381"/>
      <c r="I758" s="381"/>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381"/>
      <c r="I759" s="381"/>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381"/>
      <c r="I760" s="381"/>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381"/>
      <c r="I761" s="381"/>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381"/>
      <c r="I762" s="381"/>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381"/>
      <c r="I763" s="381"/>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381"/>
      <c r="I764" s="381"/>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381"/>
      <c r="I765" s="381"/>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381"/>
      <c r="I766" s="381"/>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381"/>
      <c r="I767" s="381"/>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381"/>
      <c r="I768" s="381"/>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381"/>
      <c r="I769" s="381"/>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381"/>
      <c r="I770" s="381"/>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381"/>
      <c r="I771" s="381"/>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381"/>
      <c r="I772" s="381"/>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381"/>
      <c r="I773" s="381"/>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381"/>
      <c r="I774" s="381"/>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381"/>
      <c r="I775" s="381"/>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381"/>
      <c r="I776" s="381"/>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381"/>
      <c r="I777" s="381"/>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381"/>
      <c r="I778" s="381"/>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381"/>
      <c r="I779" s="381"/>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381"/>
      <c r="I780" s="381"/>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381"/>
      <c r="I781" s="381"/>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381"/>
      <c r="I782" s="381"/>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381"/>
      <c r="I783" s="381"/>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381"/>
      <c r="I784" s="381"/>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381"/>
      <c r="I785" s="381"/>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381"/>
      <c r="I786" s="381"/>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381"/>
      <c r="I787" s="381"/>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381"/>
      <c r="I788" s="381"/>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381"/>
      <c r="I789" s="381"/>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381"/>
      <c r="I790" s="381"/>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381"/>
      <c r="I791" s="381"/>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381"/>
      <c r="I792" s="381"/>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381"/>
      <c r="I793" s="381"/>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381"/>
      <c r="I794" s="381"/>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381"/>
      <c r="I795" s="381"/>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381"/>
      <c r="I796" s="381"/>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381"/>
      <c r="I797" s="381"/>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381"/>
      <c r="I798" s="381"/>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381"/>
      <c r="I799" s="381"/>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381"/>
      <c r="I800" s="381"/>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381"/>
      <c r="I801" s="381"/>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381"/>
      <c r="I802" s="381"/>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381"/>
      <c r="I803" s="381"/>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381"/>
      <c r="I804" s="381"/>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381"/>
      <c r="I805" s="381"/>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381"/>
      <c r="I806" s="381"/>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381"/>
      <c r="I807" s="381"/>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381"/>
      <c r="I808" s="381"/>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381"/>
      <c r="I809" s="381"/>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381"/>
      <c r="I810" s="381"/>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381"/>
      <c r="I811" s="381"/>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381"/>
      <c r="I812" s="381"/>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381"/>
      <c r="I813" s="381"/>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381"/>
      <c r="I814" s="381"/>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381"/>
      <c r="I815" s="381"/>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381"/>
      <c r="I816" s="381"/>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381"/>
      <c r="I817" s="381"/>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381"/>
      <c r="I818" s="381"/>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381"/>
      <c r="I819" s="381"/>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381"/>
      <c r="I820" s="381"/>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381"/>
      <c r="I821" s="381"/>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381"/>
      <c r="I822" s="381"/>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381"/>
      <c r="I823" s="381"/>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381"/>
      <c r="I824" s="381"/>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381"/>
      <c r="I825" s="381"/>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381"/>
      <c r="I826" s="381"/>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381"/>
      <c r="I827" s="381"/>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381"/>
      <c r="I828" s="381"/>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381"/>
      <c r="I829" s="381"/>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381"/>
      <c r="I830" s="381"/>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381"/>
      <c r="I831" s="381"/>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381"/>
      <c r="I832" s="381"/>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381"/>
      <c r="I833" s="381"/>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381"/>
      <c r="I834" s="381"/>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381"/>
      <c r="I835" s="381"/>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381"/>
      <c r="I836" s="381"/>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381"/>
      <c r="I837" s="381"/>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381"/>
      <c r="I838" s="381"/>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381"/>
      <c r="I839" s="381"/>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381"/>
      <c r="I840" s="381"/>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381"/>
      <c r="I841" s="381"/>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381"/>
      <c r="I842" s="381"/>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381"/>
      <c r="I843" s="381"/>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381"/>
      <c r="I844" s="381"/>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381"/>
      <c r="I845" s="381"/>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381"/>
      <c r="I846" s="381"/>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381"/>
      <c r="I847" s="381"/>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381"/>
      <c r="I848" s="381"/>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381"/>
      <c r="I849" s="381"/>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381"/>
      <c r="I850" s="381"/>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381"/>
      <c r="I851" s="381"/>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381"/>
      <c r="I852" s="381"/>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381"/>
      <c r="I853" s="381"/>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381"/>
      <c r="I854" s="381"/>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381"/>
      <c r="I855" s="381"/>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381"/>
      <c r="I856" s="381"/>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381"/>
      <c r="I857" s="381"/>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381"/>
      <c r="I858" s="381"/>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381"/>
      <c r="I859" s="381"/>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381"/>
      <c r="I860" s="381"/>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381"/>
      <c r="I861" s="381"/>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381"/>
      <c r="I862" s="381"/>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381"/>
      <c r="I863" s="381"/>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381"/>
      <c r="I864" s="381"/>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381"/>
      <c r="I865" s="381"/>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381"/>
      <c r="I866" s="381"/>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381"/>
      <c r="I867" s="381"/>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381"/>
      <c r="I868" s="381"/>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381"/>
      <c r="I869" s="381"/>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381"/>
      <c r="I870" s="381"/>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381"/>
      <c r="I871" s="381"/>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381"/>
      <c r="I872" s="381"/>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381"/>
      <c r="I873" s="381"/>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381"/>
      <c r="I874" s="381"/>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381"/>
      <c r="I875" s="381"/>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381"/>
      <c r="I876" s="381"/>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381"/>
      <c r="I877" s="381"/>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381"/>
      <c r="I878" s="381"/>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381"/>
      <c r="I879" s="381"/>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381"/>
      <c r="I880" s="381"/>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381"/>
      <c r="I881" s="381"/>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381"/>
      <c r="I882" s="381"/>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381"/>
      <c r="I883" s="381"/>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381"/>
      <c r="I884" s="381"/>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381"/>
      <c r="I885" s="381"/>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381"/>
      <c r="I886" s="381"/>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381"/>
      <c r="I887" s="381"/>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381"/>
      <c r="I888" s="381"/>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381"/>
      <c r="I889" s="381"/>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381"/>
      <c r="I890" s="381"/>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381"/>
      <c r="I891" s="381"/>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381"/>
      <c r="I892" s="381"/>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381"/>
      <c r="I893" s="381"/>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381"/>
      <c r="I894" s="381"/>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381"/>
      <c r="I895" s="381"/>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381"/>
      <c r="I896" s="381"/>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381"/>
      <c r="I897" s="381"/>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381"/>
      <c r="I898" s="381"/>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381"/>
      <c r="I899" s="381"/>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381"/>
      <c r="I900" s="381"/>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381"/>
      <c r="I901" s="381"/>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381"/>
      <c r="I902" s="381"/>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381"/>
      <c r="I903" s="381"/>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381"/>
      <c r="I904" s="381"/>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381"/>
      <c r="I905" s="381"/>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381"/>
      <c r="I906" s="381"/>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381"/>
      <c r="I907" s="381"/>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381"/>
      <c r="I908" s="381"/>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381"/>
      <c r="I909" s="381"/>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381"/>
      <c r="I910" s="381"/>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381"/>
      <c r="I911" s="381"/>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381"/>
      <c r="I912" s="381"/>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381"/>
      <c r="I913" s="381"/>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381"/>
      <c r="I914" s="381"/>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381"/>
      <c r="I915" s="381"/>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381"/>
      <c r="I916" s="381"/>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381"/>
      <c r="I917" s="381"/>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381"/>
      <c r="I918" s="381"/>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381"/>
      <c r="I919" s="381"/>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381"/>
      <c r="I920" s="381"/>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381"/>
      <c r="I921" s="381"/>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381"/>
      <c r="I922" s="381"/>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381"/>
      <c r="I923" s="381"/>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381"/>
      <c r="I924" s="381"/>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381"/>
      <c r="I925" s="381"/>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381"/>
      <c r="I926" s="381"/>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381"/>
      <c r="I927" s="381"/>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381"/>
      <c r="I928" s="381"/>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381"/>
      <c r="I929" s="381"/>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381"/>
      <c r="I930" s="381"/>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381"/>
      <c r="I931" s="381"/>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381"/>
      <c r="I932" s="381"/>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381"/>
      <c r="I933" s="381"/>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381"/>
      <c r="I934" s="381"/>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381"/>
      <c r="I935" s="381"/>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381"/>
      <c r="I936" s="381"/>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381"/>
      <c r="I937" s="381"/>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381"/>
      <c r="I938" s="381"/>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381"/>
      <c r="I939" s="381"/>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381"/>
      <c r="I940" s="381"/>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381"/>
      <c r="I941" s="381"/>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381"/>
      <c r="I942" s="381"/>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381"/>
      <c r="I943" s="381"/>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381"/>
      <c r="I944" s="381"/>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381"/>
      <c r="I945" s="381"/>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381"/>
      <c r="I946" s="381"/>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381"/>
      <c r="I947" s="381"/>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381"/>
      <c r="I948" s="381"/>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381"/>
      <c r="I949" s="381"/>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381"/>
      <c r="I950" s="381"/>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381"/>
      <c r="I951" s="381"/>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381"/>
      <c r="I952" s="381"/>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381"/>
      <c r="I953" s="381"/>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381"/>
      <c r="I954" s="381"/>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381"/>
      <c r="I955" s="381"/>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381"/>
      <c r="I956" s="381"/>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381"/>
      <c r="I957" s="381"/>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381"/>
      <c r="I958" s="381"/>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381"/>
      <c r="I959" s="381"/>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381"/>
      <c r="I960" s="381"/>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381"/>
      <c r="I961" s="381"/>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381"/>
      <c r="I962" s="381"/>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381"/>
      <c r="I963" s="381"/>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381"/>
      <c r="I964" s="381"/>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381"/>
      <c r="I965" s="381"/>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381"/>
      <c r="I966" s="381"/>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381"/>
      <c r="I967" s="381"/>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381"/>
      <c r="I968" s="381"/>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381"/>
      <c r="I969" s="381"/>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381"/>
      <c r="I970" s="381"/>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381"/>
      <c r="I971" s="381"/>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381"/>
      <c r="I972" s="381"/>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381"/>
      <c r="I973" s="381"/>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381"/>
      <c r="I974" s="381"/>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381"/>
      <c r="I975" s="381"/>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381"/>
      <c r="I976" s="381"/>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381"/>
      <c r="I977" s="381"/>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381"/>
      <c r="I978" s="381"/>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381"/>
      <c r="I979" s="381"/>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381"/>
      <c r="I980" s="381"/>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381"/>
      <c r="I981" s="381"/>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381"/>
      <c r="I982" s="381"/>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381"/>
      <c r="I983" s="381"/>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381"/>
      <c r="I984" s="381"/>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381"/>
      <c r="I985" s="381"/>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381"/>
      <c r="I986" s="381"/>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381"/>
      <c r="I987" s="381"/>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381"/>
      <c r="I988" s="381"/>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381"/>
      <c r="I989" s="381"/>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381"/>
      <c r="I990" s="381"/>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381"/>
      <c r="I991" s="381"/>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381"/>
      <c r="I992" s="381"/>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381"/>
      <c r="I993" s="381"/>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381"/>
      <c r="I994" s="381"/>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381"/>
      <c r="I995" s="381"/>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381"/>
      <c r="I996" s="381"/>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381"/>
      <c r="I997" s="381"/>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381"/>
      <c r="I998" s="381"/>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381"/>
      <c r="I999" s="381"/>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381"/>
      <c r="I1000" s="381"/>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29"/>
    <col customWidth="1" min="2" max="2" width="17.29"/>
    <col customWidth="1" min="3" max="3" width="16.29"/>
    <col customWidth="1" min="4" max="4" width="13.71"/>
    <col customWidth="1" min="5" max="5" width="16.71"/>
    <col customWidth="1" min="6" max="6" width="16.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260</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261</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53" t="s">
        <v>150</v>
      </c>
      <c r="B8" s="519">
        <v>2719451.0</v>
      </c>
      <c r="C8" s="519">
        <v>2719451.0</v>
      </c>
      <c r="D8" s="519">
        <v>0.0</v>
      </c>
      <c r="E8" s="519">
        <v>0.0</v>
      </c>
      <c r="F8" s="635">
        <f t="shared" ref="F8:F58" si="1">B8-C8-D8-E8</f>
        <v>0</v>
      </c>
      <c r="G8" s="222"/>
      <c r="H8" s="222"/>
      <c r="I8" s="222"/>
      <c r="J8" s="222"/>
      <c r="K8" s="222"/>
      <c r="L8" s="222"/>
      <c r="M8" s="222"/>
      <c r="N8" s="222"/>
      <c r="O8" s="222"/>
      <c r="P8" s="222"/>
      <c r="Q8" s="222"/>
      <c r="R8" s="222"/>
      <c r="S8" s="222"/>
      <c r="T8" s="222"/>
      <c r="U8" s="222"/>
      <c r="V8" s="222"/>
      <c r="W8" s="222"/>
      <c r="X8" s="222"/>
      <c r="Y8" s="222"/>
      <c r="Z8" s="222"/>
    </row>
    <row r="9" ht="18.0" customHeight="1">
      <c r="A9" s="654" t="s">
        <v>88</v>
      </c>
      <c r="B9" s="523">
        <v>1589409.0</v>
      </c>
      <c r="C9" s="523">
        <v>1574247.0</v>
      </c>
      <c r="D9" s="523">
        <v>15162.0</v>
      </c>
      <c r="E9" s="523">
        <v>0.0</v>
      </c>
      <c r="F9" s="636">
        <f t="shared" si="1"/>
        <v>0</v>
      </c>
      <c r="G9" s="222"/>
      <c r="H9" s="222"/>
      <c r="I9" s="222"/>
      <c r="J9" s="222"/>
      <c r="K9" s="222"/>
      <c r="L9" s="222"/>
      <c r="M9" s="222"/>
      <c r="N9" s="222"/>
      <c r="O9" s="222"/>
      <c r="P9" s="222"/>
      <c r="Q9" s="222"/>
      <c r="R9" s="222"/>
      <c r="S9" s="222"/>
      <c r="T9" s="222"/>
      <c r="U9" s="222"/>
      <c r="V9" s="222"/>
      <c r="W9" s="222"/>
      <c r="X9" s="222"/>
      <c r="Y9" s="222"/>
      <c r="Z9" s="222"/>
    </row>
    <row r="10" ht="18.0" customHeight="1">
      <c r="A10" s="491" t="s">
        <v>89</v>
      </c>
      <c r="B10" s="523">
        <v>215902.0</v>
      </c>
      <c r="C10" s="523">
        <v>0.0</v>
      </c>
      <c r="D10" s="523">
        <v>0.0</v>
      </c>
      <c r="E10" s="523">
        <v>0.0</v>
      </c>
      <c r="F10" s="636">
        <f t="shared" si="1"/>
        <v>215902</v>
      </c>
      <c r="G10" s="222"/>
      <c r="H10" s="222"/>
      <c r="I10" s="222"/>
      <c r="J10" s="222"/>
      <c r="K10" s="222"/>
      <c r="L10" s="222"/>
      <c r="M10" s="222"/>
      <c r="N10" s="222"/>
      <c r="O10" s="222"/>
      <c r="P10" s="222"/>
      <c r="Q10" s="222"/>
      <c r="R10" s="222"/>
      <c r="S10" s="222"/>
      <c r="T10" s="222"/>
      <c r="U10" s="222"/>
      <c r="V10" s="222"/>
      <c r="W10" s="222"/>
      <c r="X10" s="222"/>
      <c r="Y10" s="222"/>
      <c r="Z10" s="222"/>
    </row>
    <row r="11" ht="18.0" customHeight="1">
      <c r="A11" s="654" t="s">
        <v>90</v>
      </c>
      <c r="B11" s="523">
        <v>537459.0</v>
      </c>
      <c r="C11" s="523">
        <v>0.0</v>
      </c>
      <c r="D11" s="523">
        <v>0.0</v>
      </c>
      <c r="E11" s="523">
        <v>0.0</v>
      </c>
      <c r="F11" s="636">
        <f t="shared" si="1"/>
        <v>537459</v>
      </c>
      <c r="G11" s="222"/>
      <c r="H11" s="222"/>
      <c r="I11" s="222"/>
      <c r="J11" s="222"/>
      <c r="K11" s="222"/>
      <c r="L11" s="222"/>
      <c r="M11" s="222"/>
      <c r="N11" s="222"/>
      <c r="O11" s="222"/>
      <c r="P11" s="222"/>
      <c r="Q11" s="222"/>
      <c r="R11" s="222"/>
      <c r="S11" s="222"/>
      <c r="T11" s="222"/>
      <c r="U11" s="222"/>
      <c r="V11" s="222"/>
      <c r="W11" s="222"/>
      <c r="X11" s="222"/>
      <c r="Y11" s="222"/>
      <c r="Z11" s="222"/>
    </row>
    <row r="12" ht="18.0" customHeight="1">
      <c r="A12" s="654" t="s">
        <v>91</v>
      </c>
      <c r="B12" s="523">
        <v>1851248.0</v>
      </c>
      <c r="C12" s="523">
        <v>1742768.0</v>
      </c>
      <c r="D12" s="523">
        <v>108480.0</v>
      </c>
      <c r="E12" s="523">
        <v>0.0</v>
      </c>
      <c r="F12" s="636">
        <f t="shared" si="1"/>
        <v>0</v>
      </c>
      <c r="G12" s="222"/>
      <c r="H12" s="222"/>
      <c r="I12" s="222"/>
      <c r="J12" s="222"/>
      <c r="K12" s="222"/>
      <c r="L12" s="222"/>
      <c r="M12" s="222"/>
      <c r="N12" s="222"/>
      <c r="O12" s="222"/>
      <c r="P12" s="222"/>
      <c r="Q12" s="222"/>
      <c r="R12" s="222"/>
      <c r="S12" s="222"/>
      <c r="T12" s="222"/>
      <c r="U12" s="222"/>
      <c r="V12" s="222"/>
      <c r="W12" s="222"/>
      <c r="X12" s="222"/>
      <c r="Y12" s="222"/>
      <c r="Z12" s="222"/>
    </row>
    <row r="13" ht="18.0" customHeight="1">
      <c r="A13" s="654" t="s">
        <v>254</v>
      </c>
      <c r="B13" s="523">
        <v>0.0</v>
      </c>
      <c r="C13" s="523">
        <v>0.0</v>
      </c>
      <c r="D13" s="523">
        <v>0.0</v>
      </c>
      <c r="E13" s="523">
        <v>0.0</v>
      </c>
      <c r="F13" s="636">
        <f t="shared" si="1"/>
        <v>0</v>
      </c>
      <c r="G13" s="222"/>
      <c r="H13" s="222"/>
      <c r="I13" s="222"/>
      <c r="J13" s="222"/>
      <c r="K13" s="222"/>
      <c r="L13" s="222"/>
      <c r="M13" s="222"/>
      <c r="N13" s="222"/>
      <c r="O13" s="222"/>
      <c r="P13" s="222"/>
      <c r="Q13" s="222"/>
      <c r="R13" s="222"/>
      <c r="S13" s="222"/>
      <c r="T13" s="222"/>
      <c r="U13" s="222"/>
      <c r="V13" s="222"/>
      <c r="W13" s="222"/>
      <c r="X13" s="222"/>
      <c r="Y13" s="222"/>
      <c r="Z13" s="222"/>
    </row>
    <row r="14" ht="18.0" customHeight="1">
      <c r="A14" s="654" t="s">
        <v>92</v>
      </c>
      <c r="B14" s="523">
        <v>0.0</v>
      </c>
      <c r="C14" s="523">
        <v>0.0</v>
      </c>
      <c r="D14" s="523">
        <v>0.0</v>
      </c>
      <c r="E14" s="523">
        <v>0.0</v>
      </c>
      <c r="F14" s="636">
        <f t="shared" si="1"/>
        <v>0</v>
      </c>
      <c r="G14" s="222"/>
      <c r="H14" s="222"/>
      <c r="I14" s="222"/>
      <c r="J14" s="222"/>
      <c r="K14" s="222"/>
      <c r="L14" s="222"/>
      <c r="M14" s="222"/>
      <c r="N14" s="222"/>
      <c r="O14" s="222"/>
      <c r="P14" s="222"/>
      <c r="Q14" s="222"/>
      <c r="R14" s="222"/>
      <c r="S14" s="222"/>
      <c r="T14" s="222"/>
      <c r="U14" s="222"/>
      <c r="V14" s="222"/>
      <c r="W14" s="222"/>
      <c r="X14" s="222"/>
      <c r="Y14" s="222"/>
      <c r="Z14" s="222"/>
    </row>
    <row r="15" ht="18.0" customHeight="1">
      <c r="A15" s="654" t="s">
        <v>151</v>
      </c>
      <c r="B15" s="523">
        <v>5700741.0</v>
      </c>
      <c r="C15" s="523">
        <v>5070281.0</v>
      </c>
      <c r="D15" s="523">
        <v>630460.0</v>
      </c>
      <c r="E15" s="523">
        <v>0.0</v>
      </c>
      <c r="F15" s="636">
        <f t="shared" si="1"/>
        <v>0</v>
      </c>
      <c r="G15" s="222"/>
      <c r="H15" s="222"/>
      <c r="I15" s="222"/>
      <c r="J15" s="222"/>
      <c r="K15" s="222"/>
      <c r="L15" s="222"/>
      <c r="M15" s="222"/>
      <c r="N15" s="222"/>
      <c r="O15" s="222"/>
      <c r="P15" s="222"/>
      <c r="Q15" s="222"/>
      <c r="R15" s="222"/>
      <c r="S15" s="222"/>
      <c r="T15" s="222"/>
      <c r="U15" s="222"/>
      <c r="V15" s="222"/>
      <c r="W15" s="222"/>
      <c r="X15" s="222"/>
      <c r="Y15" s="222"/>
      <c r="Z15" s="222"/>
    </row>
    <row r="16" ht="18.0" customHeight="1">
      <c r="A16" s="654" t="s">
        <v>95</v>
      </c>
      <c r="B16" s="523">
        <v>0.0</v>
      </c>
      <c r="C16" s="523">
        <v>0.0</v>
      </c>
      <c r="D16" s="523">
        <v>0.0</v>
      </c>
      <c r="E16" s="523">
        <v>0.0</v>
      </c>
      <c r="F16" s="636">
        <f t="shared" si="1"/>
        <v>0</v>
      </c>
      <c r="G16" s="222"/>
      <c r="H16" s="222"/>
      <c r="I16" s="222"/>
      <c r="J16" s="222"/>
      <c r="K16" s="222"/>
      <c r="L16" s="222"/>
      <c r="M16" s="222"/>
      <c r="N16" s="222"/>
      <c r="O16" s="222"/>
      <c r="P16" s="222"/>
      <c r="Q16" s="222"/>
      <c r="R16" s="222"/>
      <c r="S16" s="222"/>
      <c r="T16" s="222"/>
      <c r="U16" s="222"/>
      <c r="V16" s="222"/>
      <c r="W16" s="222"/>
      <c r="X16" s="222"/>
      <c r="Y16" s="222"/>
      <c r="Z16" s="222"/>
    </row>
    <row r="17" ht="18.0" customHeight="1">
      <c r="A17" s="654" t="s">
        <v>96</v>
      </c>
      <c r="B17" s="523">
        <v>477741.0</v>
      </c>
      <c r="C17" s="523">
        <v>477741.0</v>
      </c>
      <c r="D17" s="523">
        <v>0.0</v>
      </c>
      <c r="E17" s="523">
        <v>0.0</v>
      </c>
      <c r="F17" s="636">
        <f t="shared" si="1"/>
        <v>0</v>
      </c>
      <c r="G17" s="222"/>
      <c r="H17" s="222"/>
      <c r="I17" s="222"/>
      <c r="J17" s="222"/>
      <c r="K17" s="222"/>
      <c r="L17" s="222"/>
      <c r="M17" s="222"/>
      <c r="N17" s="222"/>
      <c r="O17" s="222"/>
      <c r="P17" s="222"/>
      <c r="Q17" s="222"/>
      <c r="R17" s="222"/>
      <c r="S17" s="222"/>
      <c r="T17" s="222"/>
      <c r="U17" s="222"/>
      <c r="V17" s="222"/>
      <c r="W17" s="222"/>
      <c r="X17" s="222"/>
      <c r="Y17" s="222"/>
      <c r="Z17" s="222"/>
    </row>
    <row r="18" ht="18.0" customHeight="1">
      <c r="A18" s="654" t="s">
        <v>97</v>
      </c>
      <c r="B18" s="523">
        <v>1318383.0</v>
      </c>
      <c r="C18" s="523">
        <v>1318383.0</v>
      </c>
      <c r="D18" s="523">
        <v>0.0</v>
      </c>
      <c r="E18" s="523">
        <v>0.0</v>
      </c>
      <c r="F18" s="636">
        <f t="shared" si="1"/>
        <v>0</v>
      </c>
      <c r="G18" s="222"/>
      <c r="H18" s="222"/>
      <c r="I18" s="222"/>
      <c r="J18" s="222"/>
      <c r="K18" s="222"/>
      <c r="L18" s="222"/>
      <c r="M18" s="222"/>
      <c r="N18" s="222"/>
      <c r="O18" s="222"/>
      <c r="P18" s="222"/>
      <c r="Q18" s="222"/>
      <c r="R18" s="222"/>
      <c r="S18" s="222"/>
      <c r="T18" s="222"/>
      <c r="U18" s="222"/>
      <c r="V18" s="222"/>
      <c r="W18" s="222"/>
      <c r="X18" s="222"/>
      <c r="Y18" s="222"/>
      <c r="Z18" s="222"/>
    </row>
    <row r="19" ht="18.0" customHeight="1">
      <c r="A19" s="654" t="s">
        <v>98</v>
      </c>
      <c r="B19" s="523">
        <v>0.0</v>
      </c>
      <c r="C19" s="523">
        <v>0.0</v>
      </c>
      <c r="D19" s="523">
        <v>0.0</v>
      </c>
      <c r="E19" s="523">
        <v>0.0</v>
      </c>
      <c r="F19" s="636">
        <f t="shared" si="1"/>
        <v>0</v>
      </c>
      <c r="G19" s="222"/>
      <c r="H19" s="222"/>
      <c r="I19" s="222"/>
      <c r="J19" s="222"/>
      <c r="K19" s="222"/>
      <c r="L19" s="222"/>
      <c r="M19" s="222"/>
      <c r="N19" s="222"/>
      <c r="O19" s="222"/>
      <c r="P19" s="222"/>
      <c r="Q19" s="222"/>
      <c r="R19" s="222"/>
      <c r="S19" s="222"/>
      <c r="T19" s="222"/>
      <c r="U19" s="222"/>
      <c r="V19" s="222"/>
      <c r="W19" s="222"/>
      <c r="X19" s="222"/>
      <c r="Y19" s="222"/>
      <c r="Z19" s="222"/>
    </row>
    <row r="20" ht="18.0" customHeight="1">
      <c r="A20" s="654" t="s">
        <v>99</v>
      </c>
      <c r="B20" s="523">
        <v>1134636.0</v>
      </c>
      <c r="C20" s="523">
        <v>907709.0</v>
      </c>
      <c r="D20" s="523">
        <v>123000.0</v>
      </c>
      <c r="E20" s="523">
        <v>0.0</v>
      </c>
      <c r="F20" s="636">
        <f t="shared" si="1"/>
        <v>103927</v>
      </c>
      <c r="G20" s="222"/>
      <c r="H20" s="222"/>
      <c r="I20" s="222"/>
      <c r="J20" s="222"/>
      <c r="K20" s="222"/>
      <c r="L20" s="222"/>
      <c r="M20" s="222"/>
      <c r="N20" s="222"/>
      <c r="O20" s="222"/>
      <c r="P20" s="222"/>
      <c r="Q20" s="222"/>
      <c r="R20" s="222"/>
      <c r="S20" s="222"/>
      <c r="T20" s="222"/>
      <c r="U20" s="222"/>
      <c r="V20" s="222"/>
      <c r="W20" s="222"/>
      <c r="X20" s="222"/>
      <c r="Y20" s="222"/>
      <c r="Z20" s="222"/>
    </row>
    <row r="21" ht="18.0" customHeight="1">
      <c r="A21" s="654" t="s">
        <v>100</v>
      </c>
      <c r="B21" s="523">
        <v>1.177357E7</v>
      </c>
      <c r="C21" s="523">
        <v>0.0</v>
      </c>
      <c r="D21" s="523">
        <v>2859581.0</v>
      </c>
      <c r="E21" s="523">
        <v>8843366.0</v>
      </c>
      <c r="F21" s="636">
        <f t="shared" si="1"/>
        <v>70623</v>
      </c>
      <c r="G21" s="222"/>
      <c r="H21" s="222"/>
      <c r="I21" s="222"/>
      <c r="J21" s="222"/>
      <c r="K21" s="222"/>
      <c r="L21" s="222"/>
      <c r="M21" s="222"/>
      <c r="N21" s="222"/>
      <c r="O21" s="222"/>
      <c r="P21" s="222"/>
      <c r="Q21" s="222"/>
      <c r="R21" s="222"/>
      <c r="S21" s="222"/>
      <c r="T21" s="222"/>
      <c r="U21" s="222"/>
      <c r="V21" s="222"/>
      <c r="W21" s="222"/>
      <c r="X21" s="222"/>
      <c r="Y21" s="222"/>
      <c r="Z21" s="222"/>
    </row>
    <row r="22" ht="18.0" customHeight="1">
      <c r="A22" s="654" t="s">
        <v>257</v>
      </c>
      <c r="B22" s="523">
        <v>0.0</v>
      </c>
      <c r="C22" s="523">
        <v>0.0</v>
      </c>
      <c r="D22" s="523">
        <v>0.0</v>
      </c>
      <c r="E22" s="523">
        <v>0.0</v>
      </c>
      <c r="F22" s="636">
        <f t="shared" si="1"/>
        <v>0</v>
      </c>
      <c r="G22" s="222"/>
      <c r="H22" s="222"/>
      <c r="I22" s="222"/>
      <c r="J22" s="222"/>
      <c r="K22" s="222"/>
      <c r="L22" s="222"/>
      <c r="M22" s="222"/>
      <c r="N22" s="222"/>
      <c r="O22" s="222"/>
      <c r="P22" s="222"/>
      <c r="Q22" s="222"/>
      <c r="R22" s="222"/>
      <c r="S22" s="222"/>
      <c r="T22" s="222"/>
      <c r="U22" s="222"/>
      <c r="V22" s="222"/>
      <c r="W22" s="222"/>
      <c r="X22" s="222"/>
      <c r="Y22" s="222"/>
      <c r="Z22" s="222"/>
    </row>
    <row r="23" ht="18.0" customHeight="1">
      <c r="A23" s="654" t="s">
        <v>101</v>
      </c>
      <c r="B23" s="523">
        <v>1.6615295E7</v>
      </c>
      <c r="C23" s="523">
        <f>8033014-101614</f>
        <v>7931400</v>
      </c>
      <c r="D23" s="523">
        <f>6366907+101614</f>
        <v>6468521</v>
      </c>
      <c r="E23" s="523">
        <v>2215374.0</v>
      </c>
      <c r="F23" s="636">
        <f t="shared" si="1"/>
        <v>0</v>
      </c>
      <c r="G23" s="222"/>
      <c r="H23" s="222"/>
      <c r="I23" s="222"/>
      <c r="J23" s="222"/>
      <c r="K23" s="222"/>
      <c r="L23" s="222"/>
      <c r="M23" s="222"/>
      <c r="N23" s="222"/>
      <c r="O23" s="222"/>
      <c r="P23" s="222"/>
      <c r="Q23" s="222"/>
      <c r="R23" s="222"/>
      <c r="S23" s="222"/>
      <c r="T23" s="222"/>
      <c r="U23" s="222"/>
      <c r="V23" s="222"/>
      <c r="W23" s="222"/>
      <c r="X23" s="222"/>
      <c r="Y23" s="222"/>
      <c r="Z23" s="222"/>
    </row>
    <row r="24" ht="18.0" customHeight="1">
      <c r="A24" s="654" t="s">
        <v>102</v>
      </c>
      <c r="B24" s="523">
        <v>698237.0</v>
      </c>
      <c r="C24" s="523">
        <v>698237.0</v>
      </c>
      <c r="D24" s="523">
        <v>0.0</v>
      </c>
      <c r="E24" s="523">
        <v>0.0</v>
      </c>
      <c r="F24" s="636">
        <f t="shared" si="1"/>
        <v>0</v>
      </c>
      <c r="G24" s="222"/>
      <c r="H24" s="222"/>
      <c r="I24" s="222"/>
      <c r="J24" s="222"/>
      <c r="K24" s="222"/>
      <c r="L24" s="222"/>
      <c r="M24" s="222"/>
      <c r="N24" s="222"/>
      <c r="O24" s="222"/>
      <c r="P24" s="222"/>
      <c r="Q24" s="222"/>
      <c r="R24" s="222"/>
      <c r="S24" s="222"/>
      <c r="T24" s="222"/>
      <c r="U24" s="222"/>
      <c r="V24" s="222"/>
      <c r="W24" s="222"/>
      <c r="X24" s="222"/>
      <c r="Y24" s="222"/>
      <c r="Z24" s="222"/>
    </row>
    <row r="25" ht="18.0" customHeight="1">
      <c r="A25" s="654" t="s">
        <v>104</v>
      </c>
      <c r="B25" s="523">
        <v>257245.0</v>
      </c>
      <c r="C25" s="523">
        <v>257245.0</v>
      </c>
      <c r="D25" s="523">
        <v>0.0</v>
      </c>
      <c r="E25" s="523">
        <v>0.0</v>
      </c>
      <c r="F25" s="636">
        <f t="shared" si="1"/>
        <v>0</v>
      </c>
      <c r="G25" s="222"/>
      <c r="H25" s="222"/>
      <c r="I25" s="222"/>
      <c r="J25" s="222"/>
      <c r="K25" s="222"/>
      <c r="L25" s="222"/>
      <c r="M25" s="222"/>
      <c r="N25" s="222"/>
      <c r="O25" s="222"/>
      <c r="P25" s="222"/>
      <c r="Q25" s="222"/>
      <c r="R25" s="222"/>
      <c r="S25" s="222"/>
      <c r="T25" s="222"/>
      <c r="U25" s="222"/>
      <c r="V25" s="222"/>
      <c r="W25" s="222"/>
      <c r="X25" s="222"/>
      <c r="Y25" s="222"/>
      <c r="Z25" s="222"/>
    </row>
    <row r="26" ht="18.0" customHeight="1">
      <c r="A26" s="654" t="s">
        <v>105</v>
      </c>
      <c r="B26" s="523">
        <v>55124.0</v>
      </c>
      <c r="C26" s="523">
        <v>55124.0</v>
      </c>
      <c r="D26" s="523">
        <v>0.0</v>
      </c>
      <c r="E26" s="523">
        <v>0.0</v>
      </c>
      <c r="F26" s="636">
        <f t="shared" si="1"/>
        <v>0</v>
      </c>
      <c r="G26" s="222"/>
      <c r="H26" s="222"/>
      <c r="I26" s="222"/>
      <c r="J26" s="222"/>
      <c r="K26" s="222"/>
      <c r="L26" s="222"/>
      <c r="M26" s="222"/>
      <c r="N26" s="222"/>
      <c r="O26" s="222"/>
      <c r="P26" s="222"/>
      <c r="Q26" s="222"/>
      <c r="R26" s="222"/>
      <c r="S26" s="222"/>
      <c r="T26" s="222"/>
      <c r="U26" s="222"/>
      <c r="V26" s="222"/>
      <c r="W26" s="222"/>
      <c r="X26" s="222"/>
      <c r="Y26" s="222"/>
      <c r="Z26" s="222"/>
    </row>
    <row r="27" ht="18.0" customHeight="1">
      <c r="A27" s="654" t="s">
        <v>106</v>
      </c>
      <c r="B27" s="523">
        <v>385868.0</v>
      </c>
      <c r="C27" s="523">
        <v>385868.0</v>
      </c>
      <c r="D27" s="523">
        <v>0.0</v>
      </c>
      <c r="E27" s="523">
        <v>0.0</v>
      </c>
      <c r="F27" s="636">
        <f t="shared" si="1"/>
        <v>0</v>
      </c>
      <c r="G27" s="222"/>
      <c r="H27" s="222"/>
      <c r="I27" s="222"/>
      <c r="J27" s="222"/>
      <c r="K27" s="222"/>
      <c r="L27" s="222"/>
      <c r="M27" s="222"/>
      <c r="N27" s="222"/>
      <c r="O27" s="222"/>
      <c r="P27" s="222"/>
      <c r="Q27" s="222"/>
      <c r="R27" s="222"/>
      <c r="S27" s="222"/>
      <c r="T27" s="222"/>
      <c r="U27" s="222"/>
      <c r="V27" s="222"/>
      <c r="W27" s="222"/>
      <c r="X27" s="222"/>
      <c r="Y27" s="222"/>
      <c r="Z27" s="222"/>
    </row>
    <row r="28" ht="18.0" customHeight="1">
      <c r="A28" s="654" t="s">
        <v>107</v>
      </c>
      <c r="B28" s="523">
        <v>491522.0</v>
      </c>
      <c r="C28" s="523">
        <v>491522.0</v>
      </c>
      <c r="D28" s="523">
        <v>0.0</v>
      </c>
      <c r="E28" s="523">
        <v>0.0</v>
      </c>
      <c r="F28" s="636">
        <f t="shared" si="1"/>
        <v>0</v>
      </c>
      <c r="G28" s="222"/>
      <c r="H28" s="222"/>
      <c r="I28" s="222"/>
      <c r="J28" s="222"/>
      <c r="K28" s="222"/>
      <c r="L28" s="222"/>
      <c r="M28" s="222"/>
      <c r="N28" s="222"/>
      <c r="O28" s="222"/>
      <c r="P28" s="222"/>
      <c r="Q28" s="222"/>
      <c r="R28" s="222"/>
      <c r="S28" s="222"/>
      <c r="T28" s="222"/>
      <c r="U28" s="222"/>
      <c r="V28" s="222"/>
      <c r="W28" s="222"/>
      <c r="X28" s="222"/>
      <c r="Y28" s="222"/>
      <c r="Z28" s="222"/>
    </row>
    <row r="29" ht="18.0" customHeight="1">
      <c r="A29" s="654" t="s">
        <v>108</v>
      </c>
      <c r="B29" s="523">
        <v>9550235.0</v>
      </c>
      <c r="C29" s="523">
        <v>9550235.0</v>
      </c>
      <c r="D29" s="523">
        <v>0.0</v>
      </c>
      <c r="E29" s="523">
        <v>0.0</v>
      </c>
      <c r="F29" s="636">
        <f t="shared" si="1"/>
        <v>0</v>
      </c>
      <c r="G29" s="222"/>
      <c r="H29" s="222"/>
      <c r="I29" s="222"/>
      <c r="J29" s="222"/>
      <c r="K29" s="222"/>
      <c r="L29" s="222"/>
      <c r="M29" s="222"/>
      <c r="N29" s="222"/>
      <c r="O29" s="222"/>
      <c r="P29" s="222"/>
      <c r="Q29" s="222"/>
      <c r="R29" s="222"/>
      <c r="S29" s="222"/>
      <c r="T29" s="222"/>
      <c r="U29" s="222"/>
      <c r="V29" s="222"/>
      <c r="W29" s="222"/>
      <c r="X29" s="222"/>
      <c r="Y29" s="222"/>
      <c r="Z29" s="222"/>
    </row>
    <row r="30" ht="18.0" customHeight="1">
      <c r="A30" s="654" t="s">
        <v>109</v>
      </c>
      <c r="B30" s="523">
        <v>2.8361303E7</v>
      </c>
      <c r="C30" s="655">
        <v>2.8361303E7</v>
      </c>
      <c r="D30" s="655">
        <v>0.0</v>
      </c>
      <c r="E30" s="655">
        <v>0.0</v>
      </c>
      <c r="F30" s="636">
        <f t="shared" si="1"/>
        <v>0</v>
      </c>
      <c r="G30" s="222"/>
      <c r="H30" s="222"/>
      <c r="I30" s="222"/>
      <c r="J30" s="222"/>
      <c r="K30" s="222"/>
      <c r="L30" s="222"/>
      <c r="M30" s="222"/>
      <c r="N30" s="222"/>
      <c r="O30" s="222"/>
      <c r="P30" s="222"/>
      <c r="Q30" s="222"/>
      <c r="R30" s="222"/>
      <c r="S30" s="222"/>
      <c r="T30" s="222"/>
      <c r="U30" s="222"/>
      <c r="V30" s="222"/>
      <c r="W30" s="222"/>
      <c r="X30" s="222"/>
      <c r="Y30" s="222"/>
      <c r="Z30" s="222"/>
    </row>
    <row r="31" ht="18.0" customHeight="1">
      <c r="A31" s="654" t="s">
        <v>111</v>
      </c>
      <c r="B31" s="523">
        <v>0.0</v>
      </c>
      <c r="C31" s="523">
        <v>0.0</v>
      </c>
      <c r="D31" s="523">
        <v>0.0</v>
      </c>
      <c r="E31" s="523">
        <v>0.0</v>
      </c>
      <c r="F31" s="636">
        <f t="shared" si="1"/>
        <v>0</v>
      </c>
      <c r="G31" s="222"/>
      <c r="H31" s="222"/>
      <c r="I31" s="222"/>
      <c r="J31" s="222"/>
      <c r="K31" s="222"/>
      <c r="L31" s="222"/>
      <c r="M31" s="222"/>
      <c r="N31" s="222"/>
      <c r="O31" s="222"/>
      <c r="P31" s="222"/>
      <c r="Q31" s="222"/>
      <c r="R31" s="222"/>
      <c r="S31" s="222"/>
      <c r="T31" s="222"/>
      <c r="U31" s="222"/>
      <c r="V31" s="222"/>
      <c r="W31" s="222"/>
      <c r="X31" s="222"/>
      <c r="Y31" s="222"/>
      <c r="Z31" s="222"/>
    </row>
    <row r="32" ht="18.0" customHeight="1">
      <c r="A32" s="654" t="s">
        <v>112</v>
      </c>
      <c r="B32" s="523">
        <v>139131.0</v>
      </c>
      <c r="C32" s="523">
        <v>139131.0</v>
      </c>
      <c r="D32" s="523">
        <v>0.0</v>
      </c>
      <c r="E32" s="523">
        <v>0.0</v>
      </c>
      <c r="F32" s="636">
        <f t="shared" si="1"/>
        <v>0</v>
      </c>
      <c r="G32" s="222"/>
      <c r="H32" s="222"/>
      <c r="I32" s="222"/>
      <c r="J32" s="222"/>
      <c r="K32" s="222"/>
      <c r="L32" s="222"/>
      <c r="M32" s="222"/>
      <c r="N32" s="222"/>
      <c r="O32" s="222"/>
      <c r="P32" s="222"/>
      <c r="Q32" s="222"/>
      <c r="R32" s="222"/>
      <c r="S32" s="222"/>
      <c r="T32" s="222"/>
      <c r="U32" s="222"/>
      <c r="V32" s="222"/>
      <c r="W32" s="222"/>
      <c r="X32" s="222"/>
      <c r="Y32" s="222"/>
      <c r="Z32" s="222"/>
    </row>
    <row r="33" ht="18.0" customHeight="1">
      <c r="A33" s="654" t="s">
        <v>113</v>
      </c>
      <c r="B33" s="523">
        <v>18375.0</v>
      </c>
      <c r="C33" s="523">
        <v>18375.0</v>
      </c>
      <c r="D33" s="523">
        <v>0.0</v>
      </c>
      <c r="E33" s="523">
        <v>0.0</v>
      </c>
      <c r="F33" s="636">
        <f t="shared" si="1"/>
        <v>0</v>
      </c>
      <c r="G33" s="222"/>
      <c r="H33" s="222"/>
      <c r="I33" s="222"/>
      <c r="J33" s="222"/>
      <c r="K33" s="222"/>
      <c r="L33" s="222"/>
      <c r="M33" s="222"/>
      <c r="N33" s="222"/>
      <c r="O33" s="222"/>
      <c r="P33" s="222"/>
      <c r="Q33" s="222"/>
      <c r="R33" s="222"/>
      <c r="S33" s="222"/>
      <c r="T33" s="222"/>
      <c r="U33" s="222"/>
      <c r="V33" s="222"/>
      <c r="W33" s="222"/>
      <c r="X33" s="222"/>
      <c r="Y33" s="222"/>
      <c r="Z33" s="222"/>
    </row>
    <row r="34" ht="18.0" customHeight="1">
      <c r="A34" s="654" t="s">
        <v>114</v>
      </c>
      <c r="B34" s="523">
        <v>156185.0</v>
      </c>
      <c r="C34" s="523">
        <v>0.0</v>
      </c>
      <c r="D34" s="523">
        <v>0.0</v>
      </c>
      <c r="E34" s="523">
        <v>0.0</v>
      </c>
      <c r="F34" s="636">
        <f t="shared" si="1"/>
        <v>156185</v>
      </c>
      <c r="G34" s="222"/>
      <c r="H34" s="222"/>
      <c r="I34" s="222"/>
      <c r="J34" s="222"/>
      <c r="K34" s="222"/>
      <c r="L34" s="222"/>
      <c r="M34" s="222"/>
      <c r="N34" s="222"/>
      <c r="O34" s="222"/>
      <c r="P34" s="222"/>
      <c r="Q34" s="222"/>
      <c r="R34" s="222"/>
      <c r="S34" s="222"/>
      <c r="T34" s="222"/>
      <c r="U34" s="222"/>
      <c r="V34" s="222"/>
      <c r="W34" s="222"/>
      <c r="X34" s="222"/>
      <c r="Y34" s="222"/>
      <c r="Z34" s="222"/>
    </row>
    <row r="35" ht="18.0" customHeight="1">
      <c r="A35" s="654" t="s">
        <v>115</v>
      </c>
      <c r="B35" s="523">
        <v>128623.0</v>
      </c>
      <c r="C35" s="523">
        <v>128623.0</v>
      </c>
      <c r="D35" s="523">
        <v>0.0</v>
      </c>
      <c r="E35" s="523">
        <v>0.0</v>
      </c>
      <c r="F35" s="636">
        <f t="shared" si="1"/>
        <v>0</v>
      </c>
      <c r="G35" s="222"/>
      <c r="H35" s="222"/>
      <c r="I35" s="222"/>
      <c r="J35" s="222"/>
      <c r="K35" s="222"/>
      <c r="L35" s="222"/>
      <c r="M35" s="222"/>
      <c r="N35" s="222"/>
      <c r="O35" s="222"/>
      <c r="P35" s="222"/>
      <c r="Q35" s="222"/>
      <c r="R35" s="222"/>
      <c r="S35" s="222"/>
      <c r="T35" s="222"/>
      <c r="U35" s="222"/>
      <c r="V35" s="222"/>
      <c r="W35" s="222"/>
      <c r="X35" s="222"/>
      <c r="Y35" s="222"/>
      <c r="Z35" s="222"/>
    </row>
    <row r="36" ht="18.0" customHeight="1">
      <c r="A36" s="654" t="s">
        <v>116</v>
      </c>
      <c r="B36" s="523">
        <v>0.0</v>
      </c>
      <c r="C36" s="523">
        <v>0.0</v>
      </c>
      <c r="D36" s="523">
        <v>0.0</v>
      </c>
      <c r="E36" s="523">
        <v>0.0</v>
      </c>
      <c r="F36" s="636">
        <f t="shared" si="1"/>
        <v>0</v>
      </c>
      <c r="G36" s="222"/>
      <c r="H36" s="222"/>
      <c r="I36" s="222"/>
      <c r="J36" s="222"/>
      <c r="K36" s="222"/>
      <c r="L36" s="222"/>
      <c r="M36" s="222"/>
      <c r="N36" s="222"/>
      <c r="O36" s="222"/>
      <c r="P36" s="222"/>
      <c r="Q36" s="222"/>
      <c r="R36" s="222"/>
      <c r="S36" s="222"/>
      <c r="T36" s="222"/>
      <c r="U36" s="222"/>
      <c r="V36" s="222"/>
      <c r="W36" s="222"/>
      <c r="X36" s="222"/>
      <c r="Y36" s="222"/>
      <c r="Z36" s="222"/>
    </row>
    <row r="37" ht="18.0" customHeight="1">
      <c r="A37" s="654" t="s">
        <v>117</v>
      </c>
      <c r="B37" s="523">
        <v>18375.0</v>
      </c>
      <c r="C37" s="523">
        <v>18375.0</v>
      </c>
      <c r="D37" s="523">
        <v>0.0</v>
      </c>
      <c r="E37" s="523">
        <v>0.0</v>
      </c>
      <c r="F37" s="636">
        <f t="shared" si="1"/>
        <v>0</v>
      </c>
      <c r="G37" s="222"/>
      <c r="H37" s="222"/>
      <c r="I37" s="222"/>
      <c r="J37" s="222"/>
      <c r="K37" s="222"/>
      <c r="L37" s="222"/>
      <c r="M37" s="222"/>
      <c r="N37" s="222"/>
      <c r="O37" s="222"/>
      <c r="P37" s="222"/>
      <c r="Q37" s="222"/>
      <c r="R37" s="222"/>
      <c r="S37" s="222"/>
      <c r="T37" s="222"/>
      <c r="U37" s="222"/>
      <c r="V37" s="222"/>
      <c r="W37" s="222"/>
      <c r="X37" s="222"/>
      <c r="Y37" s="222"/>
      <c r="Z37" s="222"/>
    </row>
    <row r="38" ht="18.0" customHeight="1">
      <c r="A38" s="654" t="s">
        <v>118</v>
      </c>
      <c r="B38" s="523">
        <v>2916979.0</v>
      </c>
      <c r="C38" s="523">
        <v>2916979.0</v>
      </c>
      <c r="D38" s="523">
        <v>0.0</v>
      </c>
      <c r="E38" s="523">
        <v>0.0</v>
      </c>
      <c r="F38" s="636">
        <f t="shared" si="1"/>
        <v>0</v>
      </c>
      <c r="G38" s="222"/>
      <c r="H38" s="222"/>
      <c r="I38" s="222"/>
      <c r="J38" s="222"/>
      <c r="K38" s="222"/>
      <c r="L38" s="222"/>
      <c r="M38" s="222"/>
      <c r="N38" s="222"/>
      <c r="O38" s="222"/>
      <c r="P38" s="222"/>
      <c r="Q38" s="222"/>
      <c r="R38" s="222"/>
      <c r="S38" s="222"/>
      <c r="T38" s="222"/>
      <c r="U38" s="222"/>
      <c r="V38" s="222"/>
      <c r="W38" s="222"/>
      <c r="X38" s="222"/>
      <c r="Y38" s="222"/>
      <c r="Z38" s="222"/>
    </row>
    <row r="39" ht="18.0" customHeight="1">
      <c r="A39" s="654" t="s">
        <v>119</v>
      </c>
      <c r="B39" s="523">
        <v>440992.0</v>
      </c>
      <c r="C39" s="523">
        <v>440992.0</v>
      </c>
      <c r="D39" s="523">
        <v>0.0</v>
      </c>
      <c r="E39" s="523">
        <v>0.0</v>
      </c>
      <c r="F39" s="636">
        <f t="shared" si="1"/>
        <v>0</v>
      </c>
      <c r="G39" s="222"/>
      <c r="H39" s="222"/>
      <c r="I39" s="222"/>
      <c r="J39" s="222"/>
      <c r="K39" s="222"/>
      <c r="L39" s="222"/>
      <c r="M39" s="222"/>
      <c r="N39" s="222"/>
      <c r="O39" s="222"/>
      <c r="P39" s="222"/>
      <c r="Q39" s="222"/>
      <c r="R39" s="222"/>
      <c r="S39" s="222"/>
      <c r="T39" s="222"/>
      <c r="U39" s="222"/>
      <c r="V39" s="222"/>
      <c r="W39" s="222"/>
      <c r="X39" s="222"/>
      <c r="Y39" s="222"/>
      <c r="Z39" s="222"/>
    </row>
    <row r="40" ht="18.0" customHeight="1">
      <c r="A40" s="654" t="s">
        <v>120</v>
      </c>
      <c r="B40" s="523">
        <v>1028982.0</v>
      </c>
      <c r="C40" s="523">
        <v>1028982.0</v>
      </c>
      <c r="D40" s="523">
        <v>0.0</v>
      </c>
      <c r="E40" s="523">
        <v>0.0</v>
      </c>
      <c r="F40" s="636">
        <f t="shared" si="1"/>
        <v>0</v>
      </c>
      <c r="G40" s="222"/>
      <c r="H40" s="222"/>
      <c r="I40" s="222"/>
      <c r="J40" s="222"/>
      <c r="K40" s="222"/>
      <c r="L40" s="222"/>
      <c r="M40" s="222"/>
      <c r="N40" s="222"/>
      <c r="O40" s="222"/>
      <c r="P40" s="222"/>
      <c r="Q40" s="222"/>
      <c r="R40" s="222"/>
      <c r="S40" s="222"/>
      <c r="T40" s="222"/>
      <c r="U40" s="222"/>
      <c r="V40" s="222"/>
      <c r="W40" s="222"/>
      <c r="X40" s="222"/>
      <c r="Y40" s="222"/>
      <c r="Z40" s="222"/>
    </row>
    <row r="41" ht="18.0" customHeight="1">
      <c r="A41" s="654" t="s">
        <v>121</v>
      </c>
      <c r="B41" s="523">
        <v>0.0</v>
      </c>
      <c r="C41" s="523">
        <v>0.0</v>
      </c>
      <c r="D41" s="523">
        <v>0.0</v>
      </c>
      <c r="E41" s="523">
        <v>0.0</v>
      </c>
      <c r="F41" s="636">
        <f t="shared" si="1"/>
        <v>0</v>
      </c>
      <c r="G41" s="222"/>
      <c r="H41" s="222"/>
      <c r="I41" s="222"/>
      <c r="J41" s="222"/>
      <c r="K41" s="222"/>
      <c r="L41" s="222"/>
      <c r="M41" s="222"/>
      <c r="N41" s="222"/>
      <c r="O41" s="222"/>
      <c r="P41" s="222"/>
      <c r="Q41" s="222"/>
      <c r="R41" s="222"/>
      <c r="S41" s="222"/>
      <c r="T41" s="222"/>
      <c r="U41" s="222"/>
      <c r="V41" s="222"/>
      <c r="W41" s="222"/>
      <c r="X41" s="222"/>
      <c r="Y41" s="222"/>
      <c r="Z41" s="222"/>
    </row>
    <row r="42" ht="18.0" customHeight="1">
      <c r="A42" s="654" t="s">
        <v>122</v>
      </c>
      <c r="B42" s="523">
        <v>620145.0</v>
      </c>
      <c r="C42" s="523">
        <v>620145.0</v>
      </c>
      <c r="D42" s="523">
        <v>0.0</v>
      </c>
      <c r="E42" s="523">
        <v>0.0</v>
      </c>
      <c r="F42" s="636">
        <f t="shared" si="1"/>
        <v>0</v>
      </c>
      <c r="G42" s="222"/>
      <c r="H42" s="222"/>
      <c r="I42" s="222"/>
      <c r="J42" s="222"/>
      <c r="K42" s="222"/>
      <c r="L42" s="222"/>
      <c r="M42" s="222"/>
      <c r="N42" s="222"/>
      <c r="O42" s="222"/>
      <c r="P42" s="222"/>
      <c r="Q42" s="222"/>
      <c r="R42" s="222"/>
      <c r="S42" s="222"/>
      <c r="T42" s="222"/>
      <c r="U42" s="222"/>
      <c r="V42" s="222"/>
      <c r="W42" s="222"/>
      <c r="X42" s="222"/>
      <c r="Y42" s="222"/>
      <c r="Z42" s="222"/>
    </row>
    <row r="43" ht="18.0" customHeight="1">
      <c r="A43" s="654" t="s">
        <v>123</v>
      </c>
      <c r="B43" s="523">
        <v>505303.0</v>
      </c>
      <c r="C43" s="523">
        <v>505303.0</v>
      </c>
      <c r="D43" s="523">
        <v>0.0</v>
      </c>
      <c r="E43" s="523">
        <v>0.0</v>
      </c>
      <c r="F43" s="636">
        <f t="shared" si="1"/>
        <v>0</v>
      </c>
      <c r="G43" s="222"/>
      <c r="H43" s="222"/>
      <c r="I43" s="222"/>
      <c r="J43" s="222"/>
      <c r="K43" s="222"/>
      <c r="L43" s="222"/>
      <c r="M43" s="222"/>
      <c r="N43" s="222"/>
      <c r="O43" s="222"/>
      <c r="P43" s="222"/>
      <c r="Q43" s="222"/>
      <c r="R43" s="222"/>
      <c r="S43" s="222"/>
      <c r="T43" s="222"/>
      <c r="U43" s="222"/>
      <c r="V43" s="222"/>
      <c r="W43" s="222"/>
      <c r="X43" s="222"/>
      <c r="Y43" s="222"/>
      <c r="Z43" s="222"/>
    </row>
    <row r="44" ht="18.0" customHeight="1">
      <c r="A44" s="654" t="s">
        <v>125</v>
      </c>
      <c r="B44" s="523">
        <v>8176728.0</v>
      </c>
      <c r="C44" s="523">
        <v>0.0</v>
      </c>
      <c r="D44" s="523">
        <v>0.0</v>
      </c>
      <c r="E44" s="523">
        <v>0.0</v>
      </c>
      <c r="F44" s="636">
        <f t="shared" si="1"/>
        <v>8176728</v>
      </c>
      <c r="G44" s="222"/>
      <c r="H44" s="222"/>
      <c r="I44" s="222"/>
      <c r="J44" s="222"/>
      <c r="K44" s="222"/>
      <c r="L44" s="222"/>
      <c r="M44" s="222"/>
      <c r="N44" s="222"/>
      <c r="O44" s="222"/>
      <c r="P44" s="222"/>
      <c r="Q44" s="222"/>
      <c r="R44" s="222"/>
      <c r="S44" s="222"/>
      <c r="T44" s="222"/>
      <c r="U44" s="222"/>
      <c r="V44" s="222"/>
      <c r="W44" s="222"/>
      <c r="X44" s="222"/>
      <c r="Y44" s="222"/>
      <c r="Z44" s="222"/>
    </row>
    <row r="45" ht="18.0" customHeight="1">
      <c r="A45" s="654" t="s">
        <v>127</v>
      </c>
      <c r="B45" s="523">
        <v>0.0</v>
      </c>
      <c r="C45" s="523">
        <v>0.0</v>
      </c>
      <c r="D45" s="523">
        <v>0.0</v>
      </c>
      <c r="E45" s="523">
        <v>0.0</v>
      </c>
      <c r="F45" s="636">
        <f t="shared" si="1"/>
        <v>0</v>
      </c>
      <c r="G45" s="222"/>
      <c r="H45" s="222"/>
      <c r="I45" s="222"/>
      <c r="J45" s="222"/>
      <c r="K45" s="222"/>
      <c r="L45" s="222"/>
      <c r="M45" s="222"/>
      <c r="N45" s="222"/>
      <c r="O45" s="222"/>
      <c r="P45" s="222"/>
      <c r="Q45" s="222"/>
      <c r="R45" s="222"/>
      <c r="S45" s="222"/>
      <c r="T45" s="222"/>
      <c r="U45" s="222"/>
      <c r="V45" s="222"/>
      <c r="W45" s="222"/>
      <c r="X45" s="222"/>
      <c r="Y45" s="222"/>
      <c r="Z45" s="222"/>
    </row>
    <row r="46" ht="18.0" customHeight="1">
      <c r="A46" s="656" t="s">
        <v>262</v>
      </c>
      <c r="B46" s="523">
        <v>151591.0</v>
      </c>
      <c r="C46" s="523">
        <v>151591.0</v>
      </c>
      <c r="D46" s="523">
        <v>0.0</v>
      </c>
      <c r="E46" s="523">
        <v>0.0</v>
      </c>
      <c r="F46" s="636">
        <f t="shared" si="1"/>
        <v>0</v>
      </c>
      <c r="G46" s="222"/>
      <c r="H46" s="222"/>
      <c r="I46" s="222"/>
      <c r="J46" s="222"/>
      <c r="K46" s="222"/>
      <c r="L46" s="222"/>
      <c r="M46" s="222"/>
      <c r="N46" s="222"/>
      <c r="O46" s="222"/>
      <c r="P46" s="222"/>
      <c r="Q46" s="222"/>
      <c r="R46" s="222"/>
      <c r="S46" s="222"/>
      <c r="T46" s="222"/>
      <c r="U46" s="222"/>
      <c r="V46" s="222"/>
      <c r="W46" s="222"/>
      <c r="X46" s="222"/>
      <c r="Y46" s="222"/>
      <c r="Z46" s="222"/>
    </row>
    <row r="47" ht="18.0" customHeight="1">
      <c r="A47" s="654" t="s">
        <v>129</v>
      </c>
      <c r="B47" s="523">
        <v>0.0</v>
      </c>
      <c r="C47" s="523">
        <v>0.0</v>
      </c>
      <c r="D47" s="523">
        <v>0.0</v>
      </c>
      <c r="E47" s="523">
        <v>0.0</v>
      </c>
      <c r="F47" s="636">
        <f t="shared" si="1"/>
        <v>0</v>
      </c>
      <c r="G47" s="222"/>
      <c r="H47" s="222"/>
      <c r="I47" s="222"/>
      <c r="J47" s="222"/>
      <c r="K47" s="222"/>
      <c r="L47" s="222"/>
      <c r="M47" s="222"/>
      <c r="N47" s="222"/>
      <c r="O47" s="222"/>
      <c r="P47" s="222"/>
      <c r="Q47" s="222"/>
      <c r="R47" s="222"/>
      <c r="S47" s="222"/>
      <c r="T47" s="222"/>
      <c r="U47" s="222"/>
      <c r="V47" s="222"/>
      <c r="W47" s="222"/>
      <c r="X47" s="222"/>
      <c r="Y47" s="222"/>
      <c r="Z47" s="222"/>
    </row>
    <row r="48" ht="18.0" customHeight="1">
      <c r="A48" s="654" t="s">
        <v>130</v>
      </c>
      <c r="B48" s="523">
        <v>0.0</v>
      </c>
      <c r="C48" s="523">
        <v>0.0</v>
      </c>
      <c r="D48" s="523">
        <v>0.0</v>
      </c>
      <c r="E48" s="523">
        <v>0.0</v>
      </c>
      <c r="F48" s="636">
        <f t="shared" si="1"/>
        <v>0</v>
      </c>
      <c r="G48" s="222"/>
      <c r="H48" s="222"/>
      <c r="I48" s="222"/>
      <c r="J48" s="222"/>
      <c r="K48" s="222"/>
      <c r="L48" s="222"/>
      <c r="M48" s="222"/>
      <c r="N48" s="222"/>
      <c r="O48" s="222"/>
      <c r="P48" s="222"/>
      <c r="Q48" s="222"/>
      <c r="R48" s="222"/>
      <c r="S48" s="222"/>
      <c r="T48" s="222"/>
      <c r="U48" s="222"/>
      <c r="V48" s="222"/>
      <c r="W48" s="222"/>
      <c r="X48" s="222"/>
      <c r="Y48" s="222"/>
      <c r="Z48" s="222"/>
    </row>
    <row r="49" ht="18.0" customHeight="1">
      <c r="A49" s="654" t="s">
        <v>131</v>
      </c>
      <c r="B49" s="523">
        <v>4341016.0</v>
      </c>
      <c r="C49" s="523">
        <v>4341016.0</v>
      </c>
      <c r="D49" s="523">
        <v>0.0</v>
      </c>
      <c r="E49" s="523">
        <v>0.0</v>
      </c>
      <c r="F49" s="636">
        <f t="shared" si="1"/>
        <v>0</v>
      </c>
      <c r="G49" s="222"/>
      <c r="H49" s="222"/>
      <c r="I49" s="222"/>
      <c r="J49" s="222"/>
      <c r="K49" s="222"/>
      <c r="L49" s="222"/>
      <c r="M49" s="222"/>
      <c r="N49" s="222"/>
      <c r="O49" s="222"/>
      <c r="P49" s="222"/>
      <c r="Q49" s="222"/>
      <c r="R49" s="222"/>
      <c r="S49" s="222"/>
      <c r="T49" s="222"/>
      <c r="U49" s="222"/>
      <c r="V49" s="222"/>
      <c r="W49" s="222"/>
      <c r="X49" s="222"/>
      <c r="Y49" s="222"/>
      <c r="Z49" s="222"/>
    </row>
    <row r="50" ht="18.0" customHeight="1">
      <c r="A50" s="654" t="s">
        <v>132</v>
      </c>
      <c r="B50" s="523">
        <v>2255491.0</v>
      </c>
      <c r="C50" s="523">
        <v>1824641.0</v>
      </c>
      <c r="D50" s="523">
        <v>430850.0</v>
      </c>
      <c r="E50" s="523">
        <v>0.0</v>
      </c>
      <c r="F50" s="636">
        <f t="shared" si="1"/>
        <v>0</v>
      </c>
      <c r="G50" s="222"/>
      <c r="H50" s="222"/>
      <c r="I50" s="222"/>
      <c r="J50" s="222"/>
      <c r="K50" s="222"/>
      <c r="L50" s="222"/>
      <c r="M50" s="222"/>
      <c r="N50" s="222"/>
      <c r="O50" s="222"/>
      <c r="P50" s="222"/>
      <c r="Q50" s="222"/>
      <c r="R50" s="222"/>
      <c r="S50" s="222"/>
      <c r="T50" s="222"/>
      <c r="U50" s="222"/>
      <c r="V50" s="222"/>
      <c r="W50" s="222"/>
      <c r="X50" s="222"/>
      <c r="Y50" s="222"/>
      <c r="Z50" s="222"/>
    </row>
    <row r="51" ht="18.0" customHeight="1">
      <c r="A51" s="654" t="s">
        <v>133</v>
      </c>
      <c r="B51" s="523">
        <v>2223335.0</v>
      </c>
      <c r="C51" s="523">
        <v>2223335.0</v>
      </c>
      <c r="D51" s="523">
        <v>0.0</v>
      </c>
      <c r="E51" s="523">
        <v>0.0</v>
      </c>
      <c r="F51" s="636">
        <f t="shared" si="1"/>
        <v>0</v>
      </c>
      <c r="G51" s="222"/>
      <c r="H51" s="222"/>
      <c r="I51" s="222"/>
      <c r="J51" s="222"/>
      <c r="K51" s="222"/>
      <c r="L51" s="222"/>
      <c r="M51" s="222"/>
      <c r="N51" s="222"/>
      <c r="O51" s="222"/>
      <c r="P51" s="222"/>
      <c r="Q51" s="222"/>
      <c r="R51" s="222"/>
      <c r="S51" s="222"/>
      <c r="T51" s="222"/>
      <c r="U51" s="222"/>
      <c r="V51" s="222"/>
      <c r="W51" s="222"/>
      <c r="X51" s="222"/>
      <c r="Y51" s="222"/>
      <c r="Z51" s="222"/>
    </row>
    <row r="52" ht="18.0" customHeight="1">
      <c r="A52" s="654" t="s">
        <v>134</v>
      </c>
      <c r="B52" s="523">
        <v>36749.0</v>
      </c>
      <c r="C52" s="523">
        <v>0.0</v>
      </c>
      <c r="D52" s="523">
        <v>0.0</v>
      </c>
      <c r="E52" s="523">
        <v>0.0</v>
      </c>
      <c r="F52" s="636">
        <f t="shared" si="1"/>
        <v>36749</v>
      </c>
      <c r="G52" s="222"/>
      <c r="H52" s="222"/>
      <c r="I52" s="222"/>
      <c r="J52" s="222"/>
      <c r="K52" s="222"/>
      <c r="L52" s="222"/>
      <c r="M52" s="222"/>
      <c r="N52" s="222"/>
      <c r="O52" s="222"/>
      <c r="P52" s="222"/>
      <c r="Q52" s="222"/>
      <c r="R52" s="222"/>
      <c r="S52" s="222"/>
      <c r="T52" s="222"/>
      <c r="U52" s="222"/>
      <c r="V52" s="222"/>
      <c r="W52" s="222"/>
      <c r="X52" s="222"/>
      <c r="Y52" s="222"/>
      <c r="Z52" s="222"/>
    </row>
    <row r="53" ht="18.0" customHeight="1">
      <c r="A53" s="654" t="s">
        <v>230</v>
      </c>
      <c r="B53" s="523">
        <v>59718.0</v>
      </c>
      <c r="C53" s="523">
        <v>0.0</v>
      </c>
      <c r="D53" s="523">
        <v>0.0</v>
      </c>
      <c r="E53" s="523">
        <v>0.0</v>
      </c>
      <c r="F53" s="636">
        <f t="shared" si="1"/>
        <v>59718</v>
      </c>
      <c r="G53" s="222"/>
      <c r="H53" s="222"/>
      <c r="I53" s="222"/>
      <c r="J53" s="222"/>
      <c r="K53" s="222"/>
      <c r="L53" s="222"/>
      <c r="M53" s="222"/>
      <c r="N53" s="222"/>
      <c r="O53" s="222"/>
      <c r="P53" s="222"/>
      <c r="Q53" s="222"/>
      <c r="R53" s="222"/>
      <c r="S53" s="222"/>
      <c r="T53" s="222"/>
      <c r="U53" s="222"/>
      <c r="V53" s="222"/>
      <c r="W53" s="222"/>
      <c r="X53" s="222"/>
      <c r="Y53" s="222"/>
      <c r="Z53" s="222"/>
    </row>
    <row r="54" ht="18.0" customHeight="1">
      <c r="A54" s="654" t="s">
        <v>136</v>
      </c>
      <c r="B54" s="523">
        <v>2094712.0</v>
      </c>
      <c r="C54" s="523">
        <v>0.0</v>
      </c>
      <c r="D54" s="523">
        <v>0.0</v>
      </c>
      <c r="E54" s="523">
        <v>0.0</v>
      </c>
      <c r="F54" s="636">
        <f t="shared" si="1"/>
        <v>2094712</v>
      </c>
      <c r="G54" s="222"/>
      <c r="H54" s="222"/>
      <c r="I54" s="222"/>
      <c r="J54" s="222"/>
      <c r="K54" s="222"/>
      <c r="L54" s="222"/>
      <c r="M54" s="222"/>
      <c r="N54" s="222"/>
      <c r="O54" s="222"/>
      <c r="P54" s="222"/>
      <c r="Q54" s="222"/>
      <c r="R54" s="222"/>
      <c r="S54" s="222"/>
      <c r="T54" s="222"/>
      <c r="U54" s="222"/>
      <c r="V54" s="222"/>
      <c r="W54" s="222"/>
      <c r="X54" s="222"/>
      <c r="Y54" s="222"/>
      <c r="Z54" s="222"/>
    </row>
    <row r="55" ht="18.0" customHeight="1">
      <c r="A55" s="654" t="s">
        <v>137</v>
      </c>
      <c r="B55" s="523">
        <v>0.0</v>
      </c>
      <c r="C55" s="523">
        <v>0.0</v>
      </c>
      <c r="D55" s="523">
        <v>0.0</v>
      </c>
      <c r="E55" s="523">
        <v>0.0</v>
      </c>
      <c r="F55" s="636">
        <f t="shared" si="1"/>
        <v>0</v>
      </c>
      <c r="G55" s="222"/>
      <c r="H55" s="222"/>
      <c r="I55" s="222"/>
      <c r="J55" s="222"/>
      <c r="K55" s="222"/>
      <c r="L55" s="222"/>
      <c r="M55" s="222"/>
      <c r="N55" s="222"/>
      <c r="O55" s="222"/>
      <c r="P55" s="222"/>
      <c r="Q55" s="222"/>
      <c r="R55" s="222"/>
      <c r="S55" s="222"/>
      <c r="T55" s="222"/>
      <c r="U55" s="222"/>
      <c r="V55" s="222"/>
      <c r="W55" s="222"/>
      <c r="X55" s="222"/>
      <c r="Y55" s="222"/>
      <c r="Z55" s="222"/>
    </row>
    <row r="56" ht="18.0" customHeight="1">
      <c r="A56" s="654" t="s">
        <v>138</v>
      </c>
      <c r="B56" s="523">
        <v>9766137.0</v>
      </c>
      <c r="C56" s="523">
        <v>1627690.0</v>
      </c>
      <c r="D56" s="523">
        <v>565000.0</v>
      </c>
      <c r="E56" s="523">
        <v>7573447.0</v>
      </c>
      <c r="F56" s="636">
        <f t="shared" si="1"/>
        <v>0</v>
      </c>
      <c r="G56" s="222"/>
      <c r="H56" s="222"/>
      <c r="I56" s="222"/>
      <c r="J56" s="222"/>
      <c r="K56" s="222"/>
      <c r="L56" s="222"/>
      <c r="M56" s="222"/>
      <c r="N56" s="222"/>
      <c r="O56" s="222"/>
      <c r="P56" s="222"/>
      <c r="Q56" s="222"/>
      <c r="R56" s="222"/>
      <c r="S56" s="222"/>
      <c r="T56" s="222"/>
      <c r="U56" s="222"/>
      <c r="V56" s="222"/>
      <c r="W56" s="222"/>
      <c r="X56" s="222"/>
      <c r="Y56" s="222"/>
      <c r="Z56" s="222"/>
    </row>
    <row r="57" ht="18.0" customHeight="1">
      <c r="A57" s="654" t="s">
        <v>139</v>
      </c>
      <c r="B57" s="523">
        <v>3.8833333E7</v>
      </c>
      <c r="C57" s="523">
        <v>3.9213037E7</v>
      </c>
      <c r="D57" s="523">
        <v>-379704.0</v>
      </c>
      <c r="E57" s="523">
        <v>0.0</v>
      </c>
      <c r="F57" s="636">
        <f t="shared" si="1"/>
        <v>0</v>
      </c>
      <c r="G57" s="222"/>
      <c r="H57" s="222"/>
      <c r="I57" s="222"/>
      <c r="J57" s="222"/>
      <c r="K57" s="222"/>
      <c r="L57" s="222"/>
      <c r="M57" s="222"/>
      <c r="N57" s="222"/>
      <c r="O57" s="222"/>
      <c r="P57" s="222"/>
      <c r="Q57" s="222"/>
      <c r="R57" s="222"/>
      <c r="S57" s="222"/>
      <c r="T57" s="222"/>
      <c r="U57" s="222"/>
      <c r="V57" s="222"/>
      <c r="W57" s="222"/>
      <c r="X57" s="222"/>
      <c r="Y57" s="222"/>
      <c r="Z57" s="222"/>
    </row>
    <row r="58" ht="18.0" customHeight="1">
      <c r="A58" s="657" t="s">
        <v>140</v>
      </c>
      <c r="B58" s="643">
        <v>252652.0</v>
      </c>
      <c r="C58" s="643">
        <v>25897.0</v>
      </c>
      <c r="D58" s="643">
        <v>0.0</v>
      </c>
      <c r="E58" s="643">
        <v>0.0</v>
      </c>
      <c r="F58" s="658">
        <f t="shared" si="1"/>
        <v>226755</v>
      </c>
      <c r="G58" s="222"/>
      <c r="H58" s="222"/>
      <c r="I58" s="222"/>
      <c r="J58" s="222"/>
      <c r="K58" s="222"/>
      <c r="L58" s="222"/>
      <c r="M58" s="222"/>
      <c r="N58" s="222"/>
      <c r="O58" s="222"/>
      <c r="P58" s="222"/>
      <c r="Q58" s="222"/>
      <c r="R58" s="222"/>
      <c r="S58" s="222"/>
      <c r="T58" s="222"/>
      <c r="U58" s="222"/>
      <c r="V58" s="222"/>
      <c r="W58" s="222"/>
      <c r="X58" s="222"/>
      <c r="Y58" s="222"/>
      <c r="Z58" s="222"/>
    </row>
    <row r="59" ht="20.25" customHeight="1">
      <c r="A59" s="659" t="s">
        <v>143</v>
      </c>
      <c r="B59" s="624">
        <f t="shared" ref="B59:F59" si="2">SUM(B8:B58)</f>
        <v>157897921</v>
      </c>
      <c r="C59" s="651">
        <f t="shared" si="2"/>
        <v>116765626</v>
      </c>
      <c r="D59" s="651">
        <f t="shared" si="2"/>
        <v>10821350</v>
      </c>
      <c r="E59" s="652">
        <f t="shared" si="2"/>
        <v>18632187</v>
      </c>
      <c r="F59" s="647">
        <f t="shared" si="2"/>
        <v>11678758</v>
      </c>
      <c r="G59" s="222"/>
      <c r="H59" s="222"/>
      <c r="I59" s="222"/>
      <c r="J59" s="222"/>
      <c r="K59" s="222"/>
      <c r="L59" s="222"/>
      <c r="M59" s="222"/>
      <c r="N59" s="222"/>
      <c r="O59" s="222"/>
      <c r="P59" s="222"/>
      <c r="Q59" s="222"/>
      <c r="R59" s="222"/>
      <c r="S59" s="222"/>
      <c r="T59" s="222"/>
      <c r="U59" s="222"/>
      <c r="V59" s="222"/>
      <c r="W59" s="222"/>
      <c r="X59" s="222"/>
      <c r="Y59" s="222"/>
      <c r="Z59" s="222"/>
    </row>
    <row r="60">
      <c r="A60" s="628"/>
      <c r="B60" s="139"/>
      <c r="C60" s="139"/>
      <c r="D60" s="139"/>
      <c r="E60" s="139"/>
      <c r="F60" s="139"/>
      <c r="G60" s="222"/>
      <c r="H60" s="222"/>
      <c r="I60" s="222"/>
      <c r="J60" s="222"/>
      <c r="K60" s="222"/>
      <c r="L60" s="222"/>
      <c r="M60" s="222"/>
      <c r="N60" s="222"/>
      <c r="O60" s="222"/>
      <c r="P60" s="222"/>
      <c r="Q60" s="222"/>
      <c r="R60" s="222"/>
      <c r="S60" s="222"/>
      <c r="T60" s="222"/>
      <c r="U60" s="222"/>
      <c r="V60" s="222"/>
      <c r="W60" s="222"/>
      <c r="X60" s="222"/>
      <c r="Y60" s="222"/>
      <c r="Z60" s="222"/>
    </row>
    <row r="61">
      <c r="A61" s="628"/>
      <c r="B61" s="139"/>
      <c r="C61" s="139"/>
      <c r="D61" s="139"/>
      <c r="E61" s="139"/>
      <c r="F61" s="139"/>
      <c r="G61" s="222"/>
      <c r="H61" s="222"/>
      <c r="I61" s="222"/>
      <c r="J61" s="222"/>
      <c r="K61" s="222"/>
      <c r="L61" s="222"/>
      <c r="M61" s="222"/>
      <c r="N61" s="222"/>
      <c r="O61" s="222"/>
      <c r="P61" s="222"/>
      <c r="Q61" s="222"/>
      <c r="R61" s="222"/>
      <c r="S61" s="222"/>
      <c r="T61" s="222"/>
      <c r="U61" s="222"/>
      <c r="V61" s="222"/>
      <c r="W61" s="222"/>
      <c r="X61" s="222"/>
      <c r="Y61" s="222"/>
      <c r="Z61" s="222"/>
    </row>
    <row r="62">
      <c r="A62" s="139"/>
      <c r="B62" s="139"/>
      <c r="C62" s="139"/>
      <c r="D62" s="139"/>
      <c r="E62" s="139"/>
      <c r="F62" s="139"/>
      <c r="G62" s="222"/>
      <c r="H62" s="222"/>
      <c r="I62" s="222"/>
      <c r="J62" s="222"/>
      <c r="K62" s="222"/>
      <c r="L62" s="222"/>
      <c r="M62" s="222"/>
      <c r="N62" s="222"/>
      <c r="O62" s="222"/>
      <c r="P62" s="222"/>
      <c r="Q62" s="222"/>
      <c r="R62" s="222"/>
      <c r="S62" s="222"/>
      <c r="T62" s="222"/>
      <c r="U62" s="222"/>
      <c r="V62" s="222"/>
      <c r="W62" s="222"/>
      <c r="X62" s="222"/>
      <c r="Y62" s="222"/>
      <c r="Z62" s="222"/>
    </row>
    <row r="63">
      <c r="A63" s="139"/>
      <c r="B63" s="139"/>
      <c r="C63" s="139"/>
      <c r="D63" s="139"/>
      <c r="E63" s="139"/>
      <c r="F63" s="139"/>
      <c r="G63" s="222"/>
      <c r="H63" s="222"/>
      <c r="I63" s="222"/>
      <c r="J63" s="222"/>
      <c r="K63" s="222"/>
      <c r="L63" s="222"/>
      <c r="M63" s="222"/>
      <c r="N63" s="222"/>
      <c r="O63" s="222"/>
      <c r="P63" s="222"/>
      <c r="Q63" s="222"/>
      <c r="R63" s="222"/>
      <c r="S63" s="222"/>
      <c r="T63" s="222"/>
      <c r="U63" s="222"/>
      <c r="V63" s="222"/>
      <c r="W63" s="222"/>
      <c r="X63" s="222"/>
      <c r="Y63" s="222"/>
      <c r="Z63" s="222"/>
    </row>
    <row r="64">
      <c r="A64" s="139"/>
      <c r="B64" s="139"/>
      <c r="C64" s="139"/>
      <c r="D64" s="139"/>
      <c r="E64" s="139"/>
      <c r="F64" s="139"/>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t="str">
        <f>[1]Status!C1</f>
        <v>#ERROR!</v>
      </c>
      <c r="B1" s="433"/>
      <c r="C1" s="222"/>
      <c r="D1" s="222"/>
      <c r="E1" s="222"/>
      <c r="F1" s="632"/>
      <c r="G1" s="222"/>
      <c r="H1" s="222"/>
      <c r="I1" s="222"/>
      <c r="J1" s="222"/>
      <c r="K1" s="222"/>
      <c r="L1" s="222"/>
      <c r="M1" s="222"/>
      <c r="N1" s="222"/>
      <c r="O1" s="222"/>
      <c r="P1" s="222"/>
      <c r="Q1" s="222"/>
      <c r="R1" s="222"/>
      <c r="S1" s="222"/>
      <c r="T1" s="222"/>
      <c r="U1" s="222"/>
      <c r="V1" s="222"/>
      <c r="W1" s="222"/>
      <c r="X1" s="222"/>
      <c r="Y1" s="222"/>
      <c r="Z1" s="222"/>
    </row>
    <row r="2" ht="16.5" customHeight="1">
      <c r="A2" s="433" t="s">
        <v>263</v>
      </c>
      <c r="B2" s="433"/>
      <c r="C2" s="222"/>
      <c r="D2" s="222"/>
      <c r="E2" s="222"/>
      <c r="F2" s="63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264</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12.0" customHeight="1">
      <c r="A7" s="612" t="s">
        <v>79</v>
      </c>
      <c r="B7" s="613" t="s">
        <v>80</v>
      </c>
      <c r="C7" s="613" t="s">
        <v>81</v>
      </c>
      <c r="D7" s="613" t="s">
        <v>82</v>
      </c>
      <c r="E7" s="613" t="s">
        <v>83</v>
      </c>
      <c r="F7" s="634" t="s">
        <v>84</v>
      </c>
      <c r="G7" s="353"/>
      <c r="H7" s="353"/>
      <c r="I7" s="353"/>
      <c r="J7" s="353"/>
      <c r="K7" s="353"/>
      <c r="L7" s="353"/>
      <c r="M7" s="353"/>
      <c r="N7" s="353"/>
      <c r="O7" s="353"/>
      <c r="P7" s="353"/>
      <c r="Q7" s="353"/>
      <c r="R7" s="353"/>
      <c r="S7" s="353"/>
      <c r="T7" s="353"/>
      <c r="U7" s="353"/>
      <c r="V7" s="353"/>
      <c r="W7" s="353"/>
      <c r="X7" s="353"/>
      <c r="Y7" s="353"/>
      <c r="Z7" s="353"/>
    </row>
    <row r="8" ht="18.0" customHeight="1">
      <c r="A8" s="660" t="s">
        <v>150</v>
      </c>
      <c r="B8" s="661">
        <v>2719451.0</v>
      </c>
      <c r="C8" s="661">
        <v>2719451.0</v>
      </c>
      <c r="D8" s="661">
        <v>0.0</v>
      </c>
      <c r="E8" s="661">
        <v>0.0</v>
      </c>
      <c r="F8" s="662">
        <f t="shared" ref="F8:F58" si="1">B8-C8-D8-E8</f>
        <v>0</v>
      </c>
      <c r="G8" s="353"/>
      <c r="H8" s="353"/>
      <c r="I8" s="353"/>
      <c r="J8" s="353"/>
      <c r="K8" s="353"/>
      <c r="L8" s="353"/>
      <c r="M8" s="353"/>
      <c r="N8" s="353"/>
      <c r="O8" s="353"/>
      <c r="P8" s="353"/>
      <c r="Q8" s="353"/>
      <c r="R8" s="353"/>
      <c r="S8" s="353"/>
      <c r="T8" s="353"/>
      <c r="U8" s="353"/>
      <c r="V8" s="353"/>
      <c r="W8" s="353"/>
      <c r="X8" s="353"/>
      <c r="Y8" s="353"/>
      <c r="Z8" s="353"/>
    </row>
    <row r="9" ht="18.0" customHeight="1">
      <c r="A9" s="663" t="s">
        <v>88</v>
      </c>
      <c r="B9" s="655">
        <v>1589409.0</v>
      </c>
      <c r="C9" s="655">
        <v>1589409.0</v>
      </c>
      <c r="D9" s="655">
        <v>0.0</v>
      </c>
      <c r="E9" s="655">
        <v>0.0</v>
      </c>
      <c r="F9" s="664">
        <f t="shared" si="1"/>
        <v>0</v>
      </c>
      <c r="G9" s="353"/>
      <c r="H9" s="353"/>
      <c r="I9" s="353"/>
      <c r="J9" s="353"/>
      <c r="K9" s="353"/>
      <c r="L9" s="353"/>
      <c r="M9" s="353"/>
      <c r="N9" s="353"/>
      <c r="O9" s="353"/>
      <c r="P9" s="353"/>
      <c r="Q9" s="353"/>
      <c r="R9" s="353"/>
      <c r="S9" s="353"/>
      <c r="T9" s="353"/>
      <c r="U9" s="353"/>
      <c r="V9" s="353"/>
      <c r="W9" s="353"/>
      <c r="X9" s="353"/>
      <c r="Y9" s="353"/>
      <c r="Z9" s="353"/>
    </row>
    <row r="10" ht="18.0" customHeight="1">
      <c r="A10" s="665" t="s">
        <v>89</v>
      </c>
      <c r="B10" s="655">
        <v>215902.0</v>
      </c>
      <c r="C10" s="655">
        <v>0.0</v>
      </c>
      <c r="D10" s="655">
        <v>0.0</v>
      </c>
      <c r="E10" s="655">
        <v>0.0</v>
      </c>
      <c r="F10" s="664">
        <f t="shared" si="1"/>
        <v>215902</v>
      </c>
      <c r="G10" s="353"/>
      <c r="H10" s="353"/>
      <c r="I10" s="353"/>
      <c r="J10" s="353"/>
      <c r="K10" s="353"/>
      <c r="L10" s="353"/>
      <c r="M10" s="353"/>
      <c r="N10" s="353"/>
      <c r="O10" s="353"/>
      <c r="P10" s="353"/>
      <c r="Q10" s="353"/>
      <c r="R10" s="353"/>
      <c r="S10" s="353"/>
      <c r="T10" s="353"/>
      <c r="U10" s="353"/>
      <c r="V10" s="353"/>
      <c r="W10" s="353"/>
      <c r="X10" s="353"/>
      <c r="Y10" s="353"/>
      <c r="Z10" s="353"/>
    </row>
    <row r="11" ht="18.0" customHeight="1">
      <c r="A11" s="663" t="s">
        <v>90</v>
      </c>
      <c r="B11" s="655">
        <v>537459.0</v>
      </c>
      <c r="C11" s="655">
        <v>0.0</v>
      </c>
      <c r="D11" s="655">
        <v>0.0</v>
      </c>
      <c r="E11" s="655">
        <v>0.0</v>
      </c>
      <c r="F11" s="664">
        <f t="shared" si="1"/>
        <v>537459</v>
      </c>
      <c r="G11" s="353"/>
      <c r="H11" s="353"/>
      <c r="I11" s="353"/>
      <c r="J11" s="353"/>
      <c r="K11" s="353"/>
      <c r="L11" s="353"/>
      <c r="M11" s="353"/>
      <c r="N11" s="353"/>
      <c r="O11" s="353"/>
      <c r="P11" s="353"/>
      <c r="Q11" s="353"/>
      <c r="R11" s="353"/>
      <c r="S11" s="353"/>
      <c r="T11" s="353"/>
      <c r="U11" s="353"/>
      <c r="V11" s="353"/>
      <c r="W11" s="353"/>
      <c r="X11" s="353"/>
      <c r="Y11" s="353"/>
      <c r="Z11" s="353"/>
    </row>
    <row r="12" ht="18.0" customHeight="1">
      <c r="A12" s="663" t="s">
        <v>91</v>
      </c>
      <c r="B12" s="655">
        <v>1851248.0</v>
      </c>
      <c r="C12" s="655">
        <v>1851248.0</v>
      </c>
      <c r="D12" s="655">
        <v>0.0</v>
      </c>
      <c r="E12" s="655">
        <v>0.0</v>
      </c>
      <c r="F12" s="664">
        <f t="shared" si="1"/>
        <v>0</v>
      </c>
      <c r="G12" s="353"/>
      <c r="H12" s="353"/>
      <c r="I12" s="353"/>
      <c r="J12" s="353"/>
      <c r="K12" s="353"/>
      <c r="L12" s="353"/>
      <c r="M12" s="353"/>
      <c r="N12" s="353"/>
      <c r="O12" s="353"/>
      <c r="P12" s="353"/>
      <c r="Q12" s="353"/>
      <c r="R12" s="353"/>
      <c r="S12" s="353"/>
      <c r="T12" s="353"/>
      <c r="U12" s="353"/>
      <c r="V12" s="353"/>
      <c r="W12" s="353"/>
      <c r="X12" s="353"/>
      <c r="Y12" s="353"/>
      <c r="Z12" s="353"/>
    </row>
    <row r="13" ht="18.0" customHeight="1">
      <c r="A13" s="663" t="s">
        <v>254</v>
      </c>
      <c r="B13" s="655">
        <v>0.0</v>
      </c>
      <c r="C13" s="655">
        <v>0.0</v>
      </c>
      <c r="D13" s="655">
        <v>0.0</v>
      </c>
      <c r="E13" s="655">
        <v>0.0</v>
      </c>
      <c r="F13" s="664">
        <f t="shared" si="1"/>
        <v>0</v>
      </c>
      <c r="G13" s="353"/>
      <c r="H13" s="353"/>
      <c r="I13" s="353"/>
      <c r="J13" s="353"/>
      <c r="K13" s="353"/>
      <c r="L13" s="353"/>
      <c r="M13" s="353"/>
      <c r="N13" s="353"/>
      <c r="O13" s="353"/>
      <c r="P13" s="353"/>
      <c r="Q13" s="353"/>
      <c r="R13" s="353"/>
      <c r="S13" s="353"/>
      <c r="T13" s="353"/>
      <c r="U13" s="353"/>
      <c r="V13" s="353"/>
      <c r="W13" s="353"/>
      <c r="X13" s="353"/>
      <c r="Y13" s="353"/>
      <c r="Z13" s="353"/>
    </row>
    <row r="14" ht="18.0" customHeight="1">
      <c r="A14" s="663" t="s">
        <v>92</v>
      </c>
      <c r="B14" s="655">
        <v>0.0</v>
      </c>
      <c r="C14" s="655">
        <v>0.0</v>
      </c>
      <c r="D14" s="655">
        <v>0.0</v>
      </c>
      <c r="E14" s="655">
        <v>0.0</v>
      </c>
      <c r="F14" s="664">
        <f t="shared" si="1"/>
        <v>0</v>
      </c>
      <c r="G14" s="353"/>
      <c r="H14" s="353"/>
      <c r="I14" s="353"/>
      <c r="J14" s="353"/>
      <c r="K14" s="353"/>
      <c r="L14" s="353"/>
      <c r="M14" s="353"/>
      <c r="N14" s="353"/>
      <c r="O14" s="353"/>
      <c r="P14" s="353"/>
      <c r="Q14" s="353"/>
      <c r="R14" s="353"/>
      <c r="S14" s="353"/>
      <c r="T14" s="353"/>
      <c r="U14" s="353"/>
      <c r="V14" s="353"/>
      <c r="W14" s="353"/>
      <c r="X14" s="353"/>
      <c r="Y14" s="353"/>
      <c r="Z14" s="353"/>
    </row>
    <row r="15" ht="18.0" customHeight="1">
      <c r="A15" s="663" t="s">
        <v>151</v>
      </c>
      <c r="B15" s="655">
        <v>5700741.0</v>
      </c>
      <c r="C15" s="655">
        <v>5152031.0</v>
      </c>
      <c r="D15" s="655">
        <v>548710.0</v>
      </c>
      <c r="E15" s="655">
        <v>0.0</v>
      </c>
      <c r="F15" s="664">
        <f t="shared" si="1"/>
        <v>0</v>
      </c>
      <c r="G15" s="353"/>
      <c r="H15" s="353"/>
      <c r="I15" s="353"/>
      <c r="J15" s="353"/>
      <c r="K15" s="353"/>
      <c r="L15" s="353"/>
      <c r="M15" s="353"/>
      <c r="N15" s="353"/>
      <c r="O15" s="353"/>
      <c r="P15" s="353"/>
      <c r="Q15" s="353"/>
      <c r="R15" s="353"/>
      <c r="S15" s="353"/>
      <c r="T15" s="353"/>
      <c r="U15" s="353"/>
      <c r="V15" s="353"/>
      <c r="W15" s="353"/>
      <c r="X15" s="353"/>
      <c r="Y15" s="353"/>
      <c r="Z15" s="353"/>
    </row>
    <row r="16" ht="18.0" customHeight="1">
      <c r="A16" s="663" t="s">
        <v>95</v>
      </c>
      <c r="B16" s="655">
        <v>0.0</v>
      </c>
      <c r="C16" s="655">
        <v>0.0</v>
      </c>
      <c r="D16" s="655">
        <v>0.0</v>
      </c>
      <c r="E16" s="655">
        <v>0.0</v>
      </c>
      <c r="F16" s="664">
        <f t="shared" si="1"/>
        <v>0</v>
      </c>
      <c r="G16" s="353"/>
      <c r="H16" s="353"/>
      <c r="I16" s="353"/>
      <c r="J16" s="353"/>
      <c r="K16" s="353"/>
      <c r="L16" s="353"/>
      <c r="M16" s="353"/>
      <c r="N16" s="353"/>
      <c r="O16" s="353"/>
      <c r="P16" s="353"/>
      <c r="Q16" s="353"/>
      <c r="R16" s="353"/>
      <c r="S16" s="353"/>
      <c r="T16" s="353"/>
      <c r="U16" s="353"/>
      <c r="V16" s="353"/>
      <c r="W16" s="353"/>
      <c r="X16" s="353"/>
      <c r="Y16" s="353"/>
      <c r="Z16" s="353"/>
    </row>
    <row r="17" ht="18.0" customHeight="1">
      <c r="A17" s="663" t="s">
        <v>96</v>
      </c>
      <c r="B17" s="655">
        <v>477741.0</v>
      </c>
      <c r="C17" s="655">
        <v>477741.0</v>
      </c>
      <c r="D17" s="655">
        <v>0.0</v>
      </c>
      <c r="E17" s="655">
        <v>0.0</v>
      </c>
      <c r="F17" s="664">
        <f t="shared" si="1"/>
        <v>0</v>
      </c>
      <c r="G17" s="353"/>
      <c r="H17" s="353"/>
      <c r="I17" s="353"/>
      <c r="J17" s="353"/>
      <c r="K17" s="353"/>
      <c r="L17" s="353"/>
      <c r="M17" s="353"/>
      <c r="N17" s="353"/>
      <c r="O17" s="353"/>
      <c r="P17" s="353"/>
      <c r="Q17" s="353"/>
      <c r="R17" s="353"/>
      <c r="S17" s="353"/>
      <c r="T17" s="353"/>
      <c r="U17" s="353"/>
      <c r="V17" s="353"/>
      <c r="W17" s="353"/>
      <c r="X17" s="353"/>
      <c r="Y17" s="353"/>
      <c r="Z17" s="353"/>
    </row>
    <row r="18" ht="18.0" customHeight="1">
      <c r="A18" s="663" t="s">
        <v>97</v>
      </c>
      <c r="B18" s="655">
        <v>1318383.0</v>
      </c>
      <c r="C18" s="655">
        <v>1318383.0</v>
      </c>
      <c r="D18" s="655">
        <v>0.0</v>
      </c>
      <c r="E18" s="655">
        <v>0.0</v>
      </c>
      <c r="F18" s="664">
        <f t="shared" si="1"/>
        <v>0</v>
      </c>
      <c r="G18" s="353"/>
      <c r="H18" s="353"/>
      <c r="I18" s="353"/>
      <c r="J18" s="353"/>
      <c r="K18" s="353"/>
      <c r="L18" s="353"/>
      <c r="M18" s="353"/>
      <c r="N18" s="353"/>
      <c r="O18" s="353"/>
      <c r="P18" s="353"/>
      <c r="Q18" s="353"/>
      <c r="R18" s="353"/>
      <c r="S18" s="353"/>
      <c r="T18" s="353"/>
      <c r="U18" s="353"/>
      <c r="V18" s="353"/>
      <c r="W18" s="353"/>
      <c r="X18" s="353"/>
      <c r="Y18" s="353"/>
      <c r="Z18" s="353"/>
    </row>
    <row r="19" ht="18.0" customHeight="1">
      <c r="A19" s="663" t="s">
        <v>98</v>
      </c>
      <c r="B19" s="655">
        <v>0.0</v>
      </c>
      <c r="C19" s="655">
        <v>0.0</v>
      </c>
      <c r="D19" s="655">
        <v>0.0</v>
      </c>
      <c r="E19" s="655">
        <v>0.0</v>
      </c>
      <c r="F19" s="664">
        <f t="shared" si="1"/>
        <v>0</v>
      </c>
      <c r="G19" s="353"/>
      <c r="H19" s="353"/>
      <c r="I19" s="353"/>
      <c r="J19" s="353"/>
      <c r="K19" s="353"/>
      <c r="L19" s="353"/>
      <c r="M19" s="353"/>
      <c r="N19" s="353"/>
      <c r="O19" s="353"/>
      <c r="P19" s="353"/>
      <c r="Q19" s="353"/>
      <c r="R19" s="353"/>
      <c r="S19" s="353"/>
      <c r="T19" s="353"/>
      <c r="U19" s="353"/>
      <c r="V19" s="353"/>
      <c r="W19" s="353"/>
      <c r="X19" s="353"/>
      <c r="Y19" s="353"/>
      <c r="Z19" s="353"/>
    </row>
    <row r="20" ht="18.0" customHeight="1">
      <c r="A20" s="663" t="s">
        <v>99</v>
      </c>
      <c r="B20" s="655">
        <v>1134636.0</v>
      </c>
      <c r="C20" s="655">
        <f>909206+76855</f>
        <v>986061</v>
      </c>
      <c r="D20" s="655">
        <f>225430-76855</f>
        <v>148575</v>
      </c>
      <c r="E20" s="655">
        <v>0.0</v>
      </c>
      <c r="F20" s="664">
        <f t="shared" si="1"/>
        <v>0</v>
      </c>
      <c r="G20" s="353"/>
      <c r="H20" s="353"/>
      <c r="I20" s="353"/>
      <c r="J20" s="353"/>
      <c r="K20" s="353"/>
      <c r="L20" s="353"/>
      <c r="M20" s="353"/>
      <c r="N20" s="353"/>
      <c r="O20" s="353"/>
      <c r="P20" s="353"/>
      <c r="Q20" s="353"/>
      <c r="R20" s="353"/>
      <c r="S20" s="353"/>
      <c r="T20" s="353"/>
      <c r="U20" s="353"/>
      <c r="V20" s="353"/>
      <c r="W20" s="353"/>
      <c r="X20" s="353"/>
      <c r="Y20" s="353"/>
      <c r="Z20" s="353"/>
    </row>
    <row r="21" ht="18.0" customHeight="1">
      <c r="A21" s="663" t="s">
        <v>100</v>
      </c>
      <c r="B21" s="655">
        <v>1.177357E7</v>
      </c>
      <c r="C21" s="655">
        <v>0.0</v>
      </c>
      <c r="D21" s="655">
        <v>662250.0</v>
      </c>
      <c r="E21" s="655">
        <v>1.111132E7</v>
      </c>
      <c r="F21" s="664">
        <f t="shared" si="1"/>
        <v>0</v>
      </c>
      <c r="G21" s="353"/>
      <c r="H21" s="353"/>
      <c r="I21" s="353"/>
      <c r="J21" s="353"/>
      <c r="K21" s="353"/>
      <c r="L21" s="353"/>
      <c r="M21" s="353"/>
      <c r="N21" s="353"/>
      <c r="O21" s="353"/>
      <c r="P21" s="353"/>
      <c r="Q21" s="353"/>
      <c r="R21" s="353"/>
      <c r="S21" s="353"/>
      <c r="T21" s="353"/>
      <c r="U21" s="353"/>
      <c r="V21" s="353"/>
      <c r="W21" s="353"/>
      <c r="X21" s="353"/>
      <c r="Y21" s="353"/>
      <c r="Z21" s="353"/>
    </row>
    <row r="22" ht="18.0" customHeight="1">
      <c r="A22" s="663" t="s">
        <v>257</v>
      </c>
      <c r="B22" s="655">
        <v>0.0</v>
      </c>
      <c r="C22" s="655">
        <v>0.0</v>
      </c>
      <c r="D22" s="655">
        <v>0.0</v>
      </c>
      <c r="E22" s="655">
        <v>0.0</v>
      </c>
      <c r="F22" s="664">
        <f t="shared" si="1"/>
        <v>0</v>
      </c>
      <c r="G22" s="353"/>
      <c r="H22" s="353"/>
      <c r="I22" s="353"/>
      <c r="J22" s="353"/>
      <c r="K22" s="353"/>
      <c r="L22" s="353"/>
      <c r="M22" s="353"/>
      <c r="N22" s="353"/>
      <c r="O22" s="353"/>
      <c r="P22" s="353"/>
      <c r="Q22" s="353"/>
      <c r="R22" s="353"/>
      <c r="S22" s="353"/>
      <c r="T22" s="353"/>
      <c r="U22" s="353"/>
      <c r="V22" s="353"/>
      <c r="W22" s="353"/>
      <c r="X22" s="353"/>
      <c r="Y22" s="353"/>
      <c r="Z22" s="353"/>
    </row>
    <row r="23" ht="18.0" customHeight="1">
      <c r="A23" s="663" t="s">
        <v>101</v>
      </c>
      <c r="B23" s="655">
        <v>1.6615295E7</v>
      </c>
      <c r="C23" s="655">
        <f>14005333+129441</f>
        <v>14134774</v>
      </c>
      <c r="D23" s="655">
        <f>2609962-129441</f>
        <v>2480521</v>
      </c>
      <c r="E23" s="655">
        <v>0.0</v>
      </c>
      <c r="F23" s="664">
        <f t="shared" si="1"/>
        <v>0</v>
      </c>
      <c r="G23" s="353"/>
      <c r="H23" s="353"/>
      <c r="I23" s="353"/>
      <c r="J23" s="353"/>
      <c r="K23" s="353"/>
      <c r="L23" s="353"/>
      <c r="M23" s="353"/>
      <c r="N23" s="353"/>
      <c r="O23" s="353"/>
      <c r="P23" s="353"/>
      <c r="Q23" s="353"/>
      <c r="R23" s="353"/>
      <c r="S23" s="353"/>
      <c r="T23" s="353"/>
      <c r="U23" s="353"/>
      <c r="V23" s="353"/>
      <c r="W23" s="353"/>
      <c r="X23" s="353"/>
      <c r="Y23" s="353"/>
      <c r="Z23" s="353"/>
    </row>
    <row r="24" ht="18.0" customHeight="1">
      <c r="A24" s="663" t="s">
        <v>102</v>
      </c>
      <c r="B24" s="655">
        <v>698237.0</v>
      </c>
      <c r="C24" s="655">
        <v>698237.0</v>
      </c>
      <c r="D24" s="655">
        <v>0.0</v>
      </c>
      <c r="E24" s="655">
        <v>0.0</v>
      </c>
      <c r="F24" s="664">
        <f t="shared" si="1"/>
        <v>0</v>
      </c>
      <c r="G24" s="353"/>
      <c r="H24" s="353"/>
      <c r="I24" s="353"/>
      <c r="J24" s="353"/>
      <c r="K24" s="353"/>
      <c r="L24" s="353"/>
      <c r="M24" s="353"/>
      <c r="N24" s="353"/>
      <c r="O24" s="353"/>
      <c r="P24" s="353"/>
      <c r="Q24" s="353"/>
      <c r="R24" s="353"/>
      <c r="S24" s="353"/>
      <c r="T24" s="353"/>
      <c r="U24" s="353"/>
      <c r="V24" s="353"/>
      <c r="W24" s="353"/>
      <c r="X24" s="353"/>
      <c r="Y24" s="353"/>
      <c r="Z24" s="353"/>
    </row>
    <row r="25" ht="18.0" customHeight="1">
      <c r="A25" s="663" t="s">
        <v>104</v>
      </c>
      <c r="B25" s="655">
        <v>257245.0</v>
      </c>
      <c r="C25" s="655">
        <v>257245.0</v>
      </c>
      <c r="D25" s="655">
        <v>0.0</v>
      </c>
      <c r="E25" s="655">
        <v>0.0</v>
      </c>
      <c r="F25" s="664">
        <f t="shared" si="1"/>
        <v>0</v>
      </c>
      <c r="G25" s="353"/>
      <c r="H25" s="353"/>
      <c r="I25" s="353"/>
      <c r="J25" s="353"/>
      <c r="K25" s="353"/>
      <c r="L25" s="353"/>
      <c r="M25" s="353"/>
      <c r="N25" s="353"/>
      <c r="O25" s="353"/>
      <c r="P25" s="353"/>
      <c r="Q25" s="353"/>
      <c r="R25" s="353"/>
      <c r="S25" s="353"/>
      <c r="T25" s="353"/>
      <c r="U25" s="353"/>
      <c r="V25" s="353"/>
      <c r="W25" s="353"/>
      <c r="X25" s="353"/>
      <c r="Y25" s="353"/>
      <c r="Z25" s="353"/>
    </row>
    <row r="26" ht="18.0" customHeight="1">
      <c r="A26" s="663" t="s">
        <v>105</v>
      </c>
      <c r="B26" s="655">
        <v>55124.0</v>
      </c>
      <c r="C26" s="655">
        <v>55124.0</v>
      </c>
      <c r="D26" s="655">
        <v>0.0</v>
      </c>
      <c r="E26" s="655">
        <v>0.0</v>
      </c>
      <c r="F26" s="664">
        <f t="shared" si="1"/>
        <v>0</v>
      </c>
      <c r="G26" s="353"/>
      <c r="H26" s="353"/>
      <c r="I26" s="353"/>
      <c r="J26" s="353"/>
      <c r="K26" s="353"/>
      <c r="L26" s="353"/>
      <c r="M26" s="353"/>
      <c r="N26" s="353"/>
      <c r="O26" s="353"/>
      <c r="P26" s="353"/>
      <c r="Q26" s="353"/>
      <c r="R26" s="353"/>
      <c r="S26" s="353"/>
      <c r="T26" s="353"/>
      <c r="U26" s="353"/>
      <c r="V26" s="353"/>
      <c r="W26" s="353"/>
      <c r="X26" s="353"/>
      <c r="Y26" s="353"/>
      <c r="Z26" s="353"/>
    </row>
    <row r="27" ht="18.0" customHeight="1">
      <c r="A27" s="663" t="s">
        <v>106</v>
      </c>
      <c r="B27" s="655">
        <v>385868.0</v>
      </c>
      <c r="C27" s="655">
        <v>385868.0</v>
      </c>
      <c r="D27" s="655">
        <v>0.0</v>
      </c>
      <c r="E27" s="655">
        <v>0.0</v>
      </c>
      <c r="F27" s="664">
        <f t="shared" si="1"/>
        <v>0</v>
      </c>
      <c r="G27" s="353"/>
      <c r="H27" s="353"/>
      <c r="I27" s="353"/>
      <c r="J27" s="353"/>
      <c r="K27" s="353"/>
      <c r="L27" s="353"/>
      <c r="M27" s="353"/>
      <c r="N27" s="353"/>
      <c r="O27" s="353"/>
      <c r="P27" s="353"/>
      <c r="Q27" s="353"/>
      <c r="R27" s="353"/>
      <c r="S27" s="353"/>
      <c r="T27" s="353"/>
      <c r="U27" s="353"/>
      <c r="V27" s="353"/>
      <c r="W27" s="353"/>
      <c r="X27" s="353"/>
      <c r="Y27" s="353"/>
      <c r="Z27" s="353"/>
    </row>
    <row r="28" ht="18.0" customHeight="1">
      <c r="A28" s="663" t="s">
        <v>107</v>
      </c>
      <c r="B28" s="655">
        <v>491522.0</v>
      </c>
      <c r="C28" s="655">
        <v>491522.0</v>
      </c>
      <c r="D28" s="655">
        <v>0.0</v>
      </c>
      <c r="E28" s="655">
        <v>0.0</v>
      </c>
      <c r="F28" s="664">
        <f t="shared" si="1"/>
        <v>0</v>
      </c>
      <c r="G28" s="353"/>
      <c r="H28" s="353"/>
      <c r="I28" s="353"/>
      <c r="J28" s="353"/>
      <c r="K28" s="353"/>
      <c r="L28" s="353"/>
      <c r="M28" s="353"/>
      <c r="N28" s="353"/>
      <c r="O28" s="353"/>
      <c r="P28" s="353"/>
      <c r="Q28" s="353"/>
      <c r="R28" s="353"/>
      <c r="S28" s="353"/>
      <c r="T28" s="353"/>
      <c r="U28" s="353"/>
      <c r="V28" s="353"/>
      <c r="W28" s="353"/>
      <c r="X28" s="353"/>
      <c r="Y28" s="353"/>
      <c r="Z28" s="353"/>
    </row>
    <row r="29" ht="18.0" customHeight="1">
      <c r="A29" s="663" t="s">
        <v>108</v>
      </c>
      <c r="B29" s="655">
        <v>9550235.0</v>
      </c>
      <c r="C29" s="655">
        <v>9550235.0</v>
      </c>
      <c r="D29" s="655">
        <v>0.0</v>
      </c>
      <c r="E29" s="655">
        <v>0.0</v>
      </c>
      <c r="F29" s="664">
        <f t="shared" si="1"/>
        <v>0</v>
      </c>
      <c r="G29" s="353"/>
      <c r="H29" s="353"/>
      <c r="I29" s="353"/>
      <c r="J29" s="353"/>
      <c r="K29" s="353"/>
      <c r="L29" s="353"/>
      <c r="M29" s="353"/>
      <c r="N29" s="353"/>
      <c r="O29" s="353"/>
      <c r="P29" s="353"/>
      <c r="Q29" s="353"/>
      <c r="R29" s="353"/>
      <c r="S29" s="353"/>
      <c r="T29" s="353"/>
      <c r="U29" s="353"/>
      <c r="V29" s="353"/>
      <c r="W29" s="353"/>
      <c r="X29" s="353"/>
      <c r="Y29" s="353"/>
      <c r="Z29" s="353"/>
    </row>
    <row r="30" ht="18.0" customHeight="1">
      <c r="A30" s="663" t="s">
        <v>265</v>
      </c>
      <c r="B30" s="655">
        <v>2.8361303E7</v>
      </c>
      <c r="C30" s="666">
        <f>19955544+5672259</f>
        <v>25627803</v>
      </c>
      <c r="D30" s="666">
        <v>2733500.0</v>
      </c>
      <c r="E30" s="666">
        <v>0.0</v>
      </c>
      <c r="F30" s="664">
        <f t="shared" si="1"/>
        <v>0</v>
      </c>
      <c r="G30" s="353"/>
      <c r="H30" s="353"/>
      <c r="I30" s="353"/>
      <c r="J30" s="353"/>
      <c r="K30" s="353"/>
      <c r="L30" s="353"/>
      <c r="M30" s="353"/>
      <c r="N30" s="353"/>
      <c r="O30" s="353"/>
      <c r="P30" s="353"/>
      <c r="Q30" s="353"/>
      <c r="R30" s="353"/>
      <c r="S30" s="353"/>
      <c r="T30" s="353"/>
      <c r="U30" s="353"/>
      <c r="V30" s="353"/>
      <c r="W30" s="353"/>
      <c r="X30" s="353"/>
      <c r="Y30" s="353"/>
      <c r="Z30" s="353"/>
    </row>
    <row r="31" ht="18.0" customHeight="1">
      <c r="A31" s="663" t="s">
        <v>111</v>
      </c>
      <c r="B31" s="655">
        <v>0.0</v>
      </c>
      <c r="C31" s="655">
        <v>0.0</v>
      </c>
      <c r="D31" s="655">
        <v>0.0</v>
      </c>
      <c r="E31" s="655">
        <v>0.0</v>
      </c>
      <c r="F31" s="664">
        <f t="shared" si="1"/>
        <v>0</v>
      </c>
      <c r="G31" s="353"/>
      <c r="H31" s="353"/>
      <c r="I31" s="353"/>
      <c r="J31" s="353"/>
      <c r="K31" s="353"/>
      <c r="L31" s="353"/>
      <c r="M31" s="353"/>
      <c r="N31" s="353"/>
      <c r="O31" s="353"/>
      <c r="P31" s="353"/>
      <c r="Q31" s="353"/>
      <c r="R31" s="353"/>
      <c r="S31" s="353"/>
      <c r="T31" s="353"/>
      <c r="U31" s="353"/>
      <c r="V31" s="353"/>
      <c r="W31" s="353"/>
      <c r="X31" s="353"/>
      <c r="Y31" s="353"/>
      <c r="Z31" s="353"/>
    </row>
    <row r="32" ht="18.0" customHeight="1">
      <c r="A32" s="663" t="s">
        <v>112</v>
      </c>
      <c r="B32" s="655">
        <v>0.0</v>
      </c>
      <c r="C32" s="655">
        <v>0.0</v>
      </c>
      <c r="D32" s="655">
        <v>0.0</v>
      </c>
      <c r="E32" s="655">
        <v>0.0</v>
      </c>
      <c r="F32" s="664">
        <f t="shared" si="1"/>
        <v>0</v>
      </c>
      <c r="G32" s="353"/>
      <c r="H32" s="353"/>
      <c r="I32" s="353"/>
      <c r="J32" s="353"/>
      <c r="K32" s="353"/>
      <c r="L32" s="353"/>
      <c r="M32" s="353"/>
      <c r="N32" s="353"/>
      <c r="O32" s="353"/>
      <c r="P32" s="353"/>
      <c r="Q32" s="353"/>
      <c r="R32" s="353"/>
      <c r="S32" s="353"/>
      <c r="T32" s="353"/>
      <c r="U32" s="353"/>
      <c r="V32" s="353"/>
      <c r="W32" s="353"/>
      <c r="X32" s="353"/>
      <c r="Y32" s="353"/>
      <c r="Z32" s="353"/>
    </row>
    <row r="33" ht="18.0" customHeight="1">
      <c r="A33" s="663" t="s">
        <v>113</v>
      </c>
      <c r="B33" s="655">
        <v>18375.0</v>
      </c>
      <c r="C33" s="655">
        <v>18375.0</v>
      </c>
      <c r="D33" s="655">
        <v>0.0</v>
      </c>
      <c r="E33" s="655">
        <v>0.0</v>
      </c>
      <c r="F33" s="664">
        <f t="shared" si="1"/>
        <v>0</v>
      </c>
      <c r="G33" s="353"/>
      <c r="H33" s="353"/>
      <c r="I33" s="353"/>
      <c r="J33" s="353"/>
      <c r="K33" s="353"/>
      <c r="L33" s="353"/>
      <c r="M33" s="353"/>
      <c r="N33" s="353"/>
      <c r="O33" s="353"/>
      <c r="P33" s="353"/>
      <c r="Q33" s="353"/>
      <c r="R33" s="353"/>
      <c r="S33" s="353"/>
      <c r="T33" s="353"/>
      <c r="U33" s="353"/>
      <c r="V33" s="353"/>
      <c r="W33" s="353"/>
      <c r="X33" s="353"/>
      <c r="Y33" s="353"/>
      <c r="Z33" s="353"/>
    </row>
    <row r="34" ht="18.0" customHeight="1">
      <c r="A34" s="663" t="s">
        <v>114</v>
      </c>
      <c r="B34" s="655">
        <v>103125.0</v>
      </c>
      <c r="C34" s="655">
        <v>14975.0</v>
      </c>
      <c r="D34" s="655">
        <v>0.0</v>
      </c>
      <c r="E34" s="655">
        <v>0.0</v>
      </c>
      <c r="F34" s="664">
        <f t="shared" si="1"/>
        <v>88150</v>
      </c>
      <c r="G34" s="353"/>
      <c r="H34" s="353"/>
      <c r="I34" s="353"/>
      <c r="J34" s="353"/>
      <c r="K34" s="353"/>
      <c r="L34" s="353"/>
      <c r="M34" s="353"/>
      <c r="N34" s="353"/>
      <c r="O34" s="353"/>
      <c r="P34" s="353"/>
      <c r="Q34" s="353"/>
      <c r="R34" s="353"/>
      <c r="S34" s="353"/>
      <c r="T34" s="353"/>
      <c r="U34" s="353"/>
      <c r="V34" s="353"/>
      <c r="W34" s="353"/>
      <c r="X34" s="353"/>
      <c r="Y34" s="353"/>
      <c r="Z34" s="353"/>
    </row>
    <row r="35" ht="18.0" customHeight="1">
      <c r="A35" s="663" t="s">
        <v>115</v>
      </c>
      <c r="B35" s="655">
        <v>128623.0</v>
      </c>
      <c r="C35" s="655">
        <v>128623.0</v>
      </c>
      <c r="D35" s="655">
        <v>0.0</v>
      </c>
      <c r="E35" s="655">
        <v>0.0</v>
      </c>
      <c r="F35" s="664">
        <f t="shared" si="1"/>
        <v>0</v>
      </c>
      <c r="G35" s="353"/>
      <c r="H35" s="353"/>
      <c r="I35" s="353"/>
      <c r="J35" s="353"/>
      <c r="K35" s="353"/>
      <c r="L35" s="353"/>
      <c r="M35" s="353"/>
      <c r="N35" s="353"/>
      <c r="O35" s="353"/>
      <c r="P35" s="353"/>
      <c r="Q35" s="353"/>
      <c r="R35" s="353"/>
      <c r="S35" s="353"/>
      <c r="T35" s="353"/>
      <c r="U35" s="353"/>
      <c r="V35" s="353"/>
      <c r="W35" s="353"/>
      <c r="X35" s="353"/>
      <c r="Y35" s="353"/>
      <c r="Z35" s="353"/>
    </row>
    <row r="36" ht="18.0" customHeight="1">
      <c r="A36" s="663" t="s">
        <v>116</v>
      </c>
      <c r="B36" s="655">
        <v>0.0</v>
      </c>
      <c r="C36" s="655">
        <v>0.0</v>
      </c>
      <c r="D36" s="655">
        <v>0.0</v>
      </c>
      <c r="E36" s="655">
        <v>0.0</v>
      </c>
      <c r="F36" s="664">
        <f t="shared" si="1"/>
        <v>0</v>
      </c>
      <c r="G36" s="353"/>
      <c r="H36" s="353"/>
      <c r="I36" s="353"/>
      <c r="J36" s="353"/>
      <c r="K36" s="353"/>
      <c r="L36" s="353"/>
      <c r="M36" s="353"/>
      <c r="N36" s="353"/>
      <c r="O36" s="353"/>
      <c r="P36" s="353"/>
      <c r="Q36" s="353"/>
      <c r="R36" s="353"/>
      <c r="S36" s="353"/>
      <c r="T36" s="353"/>
      <c r="U36" s="353"/>
      <c r="V36" s="353"/>
      <c r="W36" s="353"/>
      <c r="X36" s="353"/>
      <c r="Y36" s="353"/>
      <c r="Z36" s="353"/>
    </row>
    <row r="37" ht="18.0" customHeight="1">
      <c r="A37" s="663" t="s">
        <v>117</v>
      </c>
      <c r="B37" s="655">
        <v>18375.0</v>
      </c>
      <c r="C37" s="655">
        <v>18375.0</v>
      </c>
      <c r="D37" s="655">
        <v>0.0</v>
      </c>
      <c r="E37" s="655">
        <v>0.0</v>
      </c>
      <c r="F37" s="664">
        <f t="shared" si="1"/>
        <v>0</v>
      </c>
      <c r="G37" s="353"/>
      <c r="H37" s="353"/>
      <c r="I37" s="353"/>
      <c r="J37" s="353"/>
      <c r="K37" s="353"/>
      <c r="L37" s="353"/>
      <c r="M37" s="353"/>
      <c r="N37" s="353"/>
      <c r="O37" s="353"/>
      <c r="P37" s="353"/>
      <c r="Q37" s="353"/>
      <c r="R37" s="353"/>
      <c r="S37" s="353"/>
      <c r="T37" s="353"/>
      <c r="U37" s="353"/>
      <c r="V37" s="353"/>
      <c r="W37" s="353"/>
      <c r="X37" s="353"/>
      <c r="Y37" s="353"/>
      <c r="Z37" s="353"/>
    </row>
    <row r="38" ht="18.0" customHeight="1">
      <c r="A38" s="663" t="s">
        <v>118</v>
      </c>
      <c r="B38" s="655">
        <v>2916979.0</v>
      </c>
      <c r="C38" s="655">
        <v>2916979.0</v>
      </c>
      <c r="D38" s="655">
        <v>0.0</v>
      </c>
      <c r="E38" s="667">
        <v>0.0</v>
      </c>
      <c r="F38" s="664">
        <f t="shared" si="1"/>
        <v>0</v>
      </c>
      <c r="G38" s="353"/>
      <c r="H38" s="353"/>
      <c r="I38" s="353"/>
      <c r="J38" s="353"/>
      <c r="K38" s="353"/>
      <c r="L38" s="353"/>
      <c r="M38" s="353"/>
      <c r="N38" s="353"/>
      <c r="O38" s="353"/>
      <c r="P38" s="353"/>
      <c r="Q38" s="353"/>
      <c r="R38" s="353"/>
      <c r="S38" s="353"/>
      <c r="T38" s="353"/>
      <c r="U38" s="353"/>
      <c r="V38" s="353"/>
      <c r="W38" s="353"/>
      <c r="X38" s="353"/>
      <c r="Y38" s="353"/>
      <c r="Z38" s="353"/>
    </row>
    <row r="39" ht="18.0" customHeight="1">
      <c r="A39" s="663" t="s">
        <v>119</v>
      </c>
      <c r="B39" s="655">
        <v>440992.0</v>
      </c>
      <c r="C39" s="655">
        <v>440992.0</v>
      </c>
      <c r="D39" s="655">
        <v>0.0</v>
      </c>
      <c r="E39" s="655">
        <v>0.0</v>
      </c>
      <c r="F39" s="664">
        <f t="shared" si="1"/>
        <v>0</v>
      </c>
      <c r="G39" s="353"/>
      <c r="H39" s="353"/>
      <c r="I39" s="353"/>
      <c r="J39" s="353"/>
      <c r="K39" s="353"/>
      <c r="L39" s="353"/>
      <c r="M39" s="353"/>
      <c r="N39" s="353"/>
      <c r="O39" s="353"/>
      <c r="P39" s="353"/>
      <c r="Q39" s="353"/>
      <c r="R39" s="353"/>
      <c r="S39" s="353"/>
      <c r="T39" s="353"/>
      <c r="U39" s="353"/>
      <c r="V39" s="353"/>
      <c r="W39" s="353"/>
      <c r="X39" s="353"/>
      <c r="Y39" s="353"/>
      <c r="Z39" s="353"/>
    </row>
    <row r="40" ht="18.0" customHeight="1">
      <c r="A40" s="663" t="s">
        <v>120</v>
      </c>
      <c r="B40" s="655">
        <v>1028982.0</v>
      </c>
      <c r="C40" s="655">
        <v>1028982.0</v>
      </c>
      <c r="D40" s="655">
        <v>0.0</v>
      </c>
      <c r="E40" s="655">
        <v>0.0</v>
      </c>
      <c r="F40" s="664">
        <f t="shared" si="1"/>
        <v>0</v>
      </c>
      <c r="G40" s="353"/>
      <c r="H40" s="353"/>
      <c r="I40" s="353"/>
      <c r="J40" s="353"/>
      <c r="K40" s="353"/>
      <c r="L40" s="353"/>
      <c r="M40" s="353"/>
      <c r="N40" s="353"/>
      <c r="O40" s="353"/>
      <c r="P40" s="353"/>
      <c r="Q40" s="353"/>
      <c r="R40" s="353"/>
      <c r="S40" s="353"/>
      <c r="T40" s="353"/>
      <c r="U40" s="353"/>
      <c r="V40" s="353"/>
      <c r="W40" s="353"/>
      <c r="X40" s="353"/>
      <c r="Y40" s="353"/>
      <c r="Z40" s="353"/>
    </row>
    <row r="41" ht="18.0" customHeight="1">
      <c r="A41" s="663" t="s">
        <v>121</v>
      </c>
      <c r="B41" s="655">
        <v>0.0</v>
      </c>
      <c r="C41" s="655">
        <v>0.0</v>
      </c>
      <c r="D41" s="655">
        <v>0.0</v>
      </c>
      <c r="E41" s="655">
        <v>0.0</v>
      </c>
      <c r="F41" s="664">
        <f t="shared" si="1"/>
        <v>0</v>
      </c>
      <c r="G41" s="353"/>
      <c r="H41" s="353"/>
      <c r="I41" s="353"/>
      <c r="J41" s="353"/>
      <c r="K41" s="353"/>
      <c r="L41" s="353"/>
      <c r="M41" s="353"/>
      <c r="N41" s="353"/>
      <c r="O41" s="353"/>
      <c r="P41" s="353"/>
      <c r="Q41" s="353"/>
      <c r="R41" s="353"/>
      <c r="S41" s="353"/>
      <c r="T41" s="353"/>
      <c r="U41" s="353"/>
      <c r="V41" s="353"/>
      <c r="W41" s="353"/>
      <c r="X41" s="353"/>
      <c r="Y41" s="353"/>
      <c r="Z41" s="353"/>
    </row>
    <row r="42" ht="18.0" customHeight="1">
      <c r="A42" s="663" t="s">
        <v>122</v>
      </c>
      <c r="B42" s="655">
        <v>620145.0</v>
      </c>
      <c r="C42" s="655">
        <v>620145.0</v>
      </c>
      <c r="D42" s="655">
        <v>0.0</v>
      </c>
      <c r="E42" s="655">
        <v>0.0</v>
      </c>
      <c r="F42" s="664">
        <f t="shared" si="1"/>
        <v>0</v>
      </c>
      <c r="G42" s="353"/>
      <c r="H42" s="353"/>
      <c r="I42" s="353"/>
      <c r="J42" s="353"/>
      <c r="K42" s="353"/>
      <c r="L42" s="353"/>
      <c r="M42" s="353"/>
      <c r="N42" s="353"/>
      <c r="O42" s="353"/>
      <c r="P42" s="353"/>
      <c r="Q42" s="353"/>
      <c r="R42" s="353"/>
      <c r="S42" s="353"/>
      <c r="T42" s="353"/>
      <c r="U42" s="353"/>
      <c r="V42" s="353"/>
      <c r="W42" s="353"/>
      <c r="X42" s="353"/>
      <c r="Y42" s="353"/>
      <c r="Z42" s="353"/>
    </row>
    <row r="43" ht="18.0" customHeight="1">
      <c r="A43" s="663" t="s">
        <v>123</v>
      </c>
      <c r="B43" s="655">
        <v>505303.0</v>
      </c>
      <c r="C43" s="655">
        <v>505303.0</v>
      </c>
      <c r="D43" s="655">
        <v>0.0</v>
      </c>
      <c r="E43" s="655">
        <v>0.0</v>
      </c>
      <c r="F43" s="664">
        <f t="shared" si="1"/>
        <v>0</v>
      </c>
      <c r="G43" s="353"/>
      <c r="H43" s="353"/>
      <c r="I43" s="353"/>
      <c r="J43" s="353"/>
      <c r="K43" s="353"/>
      <c r="L43" s="353"/>
      <c r="M43" s="353"/>
      <c r="N43" s="353"/>
      <c r="O43" s="353"/>
      <c r="P43" s="353"/>
      <c r="Q43" s="353"/>
      <c r="R43" s="353"/>
      <c r="S43" s="353"/>
      <c r="T43" s="353"/>
      <c r="U43" s="353"/>
      <c r="V43" s="353"/>
      <c r="W43" s="353"/>
      <c r="X43" s="353"/>
      <c r="Y43" s="353"/>
      <c r="Z43" s="353"/>
    </row>
    <row r="44" ht="18.0" customHeight="1">
      <c r="A44" s="663" t="s">
        <v>125</v>
      </c>
      <c r="B44" s="655">
        <v>8176728.0</v>
      </c>
      <c r="C44" s="655">
        <v>0.0</v>
      </c>
      <c r="D44" s="655">
        <v>0.0</v>
      </c>
      <c r="E44" s="655">
        <v>0.0</v>
      </c>
      <c r="F44" s="664">
        <f t="shared" si="1"/>
        <v>8176728</v>
      </c>
      <c r="G44" s="353"/>
      <c r="H44" s="353"/>
      <c r="I44" s="353"/>
      <c r="J44" s="353"/>
      <c r="K44" s="353"/>
      <c r="L44" s="353"/>
      <c r="M44" s="353"/>
      <c r="N44" s="353"/>
      <c r="O44" s="353"/>
      <c r="P44" s="353"/>
      <c r="Q44" s="353"/>
      <c r="R44" s="353"/>
      <c r="S44" s="353"/>
      <c r="T44" s="353"/>
      <c r="U44" s="353"/>
      <c r="V44" s="353"/>
      <c r="W44" s="353"/>
      <c r="X44" s="353"/>
      <c r="Y44" s="353"/>
      <c r="Z44" s="353"/>
    </row>
    <row r="45" ht="18.0" customHeight="1">
      <c r="A45" s="663" t="s">
        <v>127</v>
      </c>
      <c r="B45" s="655">
        <v>0.0</v>
      </c>
      <c r="C45" s="655">
        <v>0.0</v>
      </c>
      <c r="D45" s="655">
        <v>0.0</v>
      </c>
      <c r="E45" s="655">
        <v>0.0</v>
      </c>
      <c r="F45" s="664">
        <f t="shared" si="1"/>
        <v>0</v>
      </c>
      <c r="G45" s="353"/>
      <c r="H45" s="353"/>
      <c r="I45" s="353"/>
      <c r="J45" s="353"/>
      <c r="K45" s="353"/>
      <c r="L45" s="353"/>
      <c r="M45" s="353"/>
      <c r="N45" s="353"/>
      <c r="O45" s="353"/>
      <c r="P45" s="353"/>
      <c r="Q45" s="353"/>
      <c r="R45" s="353"/>
      <c r="S45" s="353"/>
      <c r="T45" s="353"/>
      <c r="U45" s="353"/>
      <c r="V45" s="353"/>
      <c r="W45" s="353"/>
      <c r="X45" s="353"/>
      <c r="Y45" s="353"/>
      <c r="Z45" s="353"/>
    </row>
    <row r="46" ht="18.0" customHeight="1">
      <c r="A46" s="663" t="s">
        <v>262</v>
      </c>
      <c r="B46" s="655">
        <v>151591.0</v>
      </c>
      <c r="C46" s="655">
        <v>151591.0</v>
      </c>
      <c r="D46" s="655">
        <v>0.0</v>
      </c>
      <c r="E46" s="655">
        <v>0.0</v>
      </c>
      <c r="F46" s="664">
        <f t="shared" si="1"/>
        <v>0</v>
      </c>
      <c r="G46" s="353"/>
      <c r="H46" s="353"/>
      <c r="I46" s="353"/>
      <c r="J46" s="353"/>
      <c r="K46" s="353"/>
      <c r="L46" s="353"/>
      <c r="M46" s="353"/>
      <c r="N46" s="353"/>
      <c r="O46" s="353"/>
      <c r="P46" s="353"/>
      <c r="Q46" s="353"/>
      <c r="R46" s="353"/>
      <c r="S46" s="353"/>
      <c r="T46" s="353"/>
      <c r="U46" s="353"/>
      <c r="V46" s="353"/>
      <c r="W46" s="353"/>
      <c r="X46" s="353"/>
      <c r="Y46" s="353"/>
      <c r="Z46" s="353"/>
    </row>
    <row r="47" ht="18.0" customHeight="1">
      <c r="A47" s="663" t="s">
        <v>129</v>
      </c>
      <c r="B47" s="655">
        <v>0.0</v>
      </c>
      <c r="C47" s="655">
        <v>0.0</v>
      </c>
      <c r="D47" s="655">
        <v>0.0</v>
      </c>
      <c r="E47" s="655">
        <v>0.0</v>
      </c>
      <c r="F47" s="664">
        <f t="shared" si="1"/>
        <v>0</v>
      </c>
      <c r="G47" s="353"/>
      <c r="H47" s="353"/>
      <c r="I47" s="353"/>
      <c r="J47" s="353"/>
      <c r="K47" s="353"/>
      <c r="L47" s="353"/>
      <c r="M47" s="353"/>
      <c r="N47" s="353"/>
      <c r="O47" s="353"/>
      <c r="P47" s="353"/>
      <c r="Q47" s="353"/>
      <c r="R47" s="353"/>
      <c r="S47" s="353"/>
      <c r="T47" s="353"/>
      <c r="U47" s="353"/>
      <c r="V47" s="353"/>
      <c r="W47" s="353"/>
      <c r="X47" s="353"/>
      <c r="Y47" s="353"/>
      <c r="Z47" s="353"/>
    </row>
    <row r="48" ht="18.0" customHeight="1">
      <c r="A48" s="663" t="s">
        <v>130</v>
      </c>
      <c r="B48" s="655">
        <v>0.0</v>
      </c>
      <c r="C48" s="655">
        <v>0.0</v>
      </c>
      <c r="D48" s="655">
        <v>0.0</v>
      </c>
      <c r="E48" s="655">
        <v>0.0</v>
      </c>
      <c r="F48" s="664">
        <f t="shared" si="1"/>
        <v>0</v>
      </c>
      <c r="G48" s="353"/>
      <c r="H48" s="353"/>
      <c r="I48" s="353"/>
      <c r="J48" s="353"/>
      <c r="K48" s="353"/>
      <c r="L48" s="353"/>
      <c r="M48" s="353"/>
      <c r="N48" s="353"/>
      <c r="O48" s="353"/>
      <c r="P48" s="353"/>
      <c r="Q48" s="353"/>
      <c r="R48" s="353"/>
      <c r="S48" s="353"/>
      <c r="T48" s="353"/>
      <c r="U48" s="353"/>
      <c r="V48" s="353"/>
      <c r="W48" s="353"/>
      <c r="X48" s="353"/>
      <c r="Y48" s="353"/>
      <c r="Z48" s="353"/>
    </row>
    <row r="49" ht="18.0" customHeight="1">
      <c r="A49" s="663" t="s">
        <v>131</v>
      </c>
      <c r="B49" s="655">
        <v>4341016.0</v>
      </c>
      <c r="C49" s="655">
        <v>4341016.0</v>
      </c>
      <c r="D49" s="655">
        <v>0.0</v>
      </c>
      <c r="E49" s="655">
        <v>0.0</v>
      </c>
      <c r="F49" s="664">
        <f t="shared" si="1"/>
        <v>0</v>
      </c>
      <c r="G49" s="353"/>
      <c r="H49" s="353"/>
      <c r="I49" s="353"/>
      <c r="J49" s="353"/>
      <c r="K49" s="353"/>
      <c r="L49" s="353"/>
      <c r="M49" s="353"/>
      <c r="N49" s="353"/>
      <c r="O49" s="353"/>
      <c r="P49" s="353"/>
      <c r="Q49" s="353"/>
      <c r="R49" s="353"/>
      <c r="S49" s="353"/>
      <c r="T49" s="353"/>
      <c r="U49" s="353"/>
      <c r="V49" s="353"/>
      <c r="W49" s="353"/>
      <c r="X49" s="353"/>
      <c r="Y49" s="353"/>
      <c r="Z49" s="353"/>
    </row>
    <row r="50" ht="18.0" customHeight="1">
      <c r="A50" s="663" t="s">
        <v>132</v>
      </c>
      <c r="B50" s="655">
        <v>2255491.0</v>
      </c>
      <c r="C50" s="655">
        <v>2255491.0</v>
      </c>
      <c r="D50" s="655">
        <v>0.0</v>
      </c>
      <c r="E50" s="655">
        <v>0.0</v>
      </c>
      <c r="F50" s="664">
        <f t="shared" si="1"/>
        <v>0</v>
      </c>
      <c r="G50" s="353"/>
      <c r="H50" s="353"/>
      <c r="I50" s="353"/>
      <c r="J50" s="353"/>
      <c r="K50" s="353"/>
      <c r="L50" s="353"/>
      <c r="M50" s="353"/>
      <c r="N50" s="353"/>
      <c r="O50" s="353"/>
      <c r="P50" s="353"/>
      <c r="Q50" s="353"/>
      <c r="R50" s="353"/>
      <c r="S50" s="353"/>
      <c r="T50" s="353"/>
      <c r="U50" s="353"/>
      <c r="V50" s="353"/>
      <c r="W50" s="353"/>
      <c r="X50" s="353"/>
      <c r="Y50" s="353"/>
      <c r="Z50" s="353"/>
    </row>
    <row r="51" ht="18.0" customHeight="1">
      <c r="A51" s="663" t="s">
        <v>133</v>
      </c>
      <c r="B51" s="655">
        <v>2223335.0</v>
      </c>
      <c r="C51" s="655">
        <v>2223335.0</v>
      </c>
      <c r="D51" s="655">
        <v>0.0</v>
      </c>
      <c r="E51" s="655">
        <v>0.0</v>
      </c>
      <c r="F51" s="664">
        <f t="shared" si="1"/>
        <v>0</v>
      </c>
      <c r="G51" s="353"/>
      <c r="H51" s="353"/>
      <c r="I51" s="353"/>
      <c r="J51" s="353"/>
      <c r="K51" s="353"/>
      <c r="L51" s="353"/>
      <c r="M51" s="353"/>
      <c r="N51" s="353"/>
      <c r="O51" s="353"/>
      <c r="P51" s="353"/>
      <c r="Q51" s="353"/>
      <c r="R51" s="353"/>
      <c r="S51" s="353"/>
      <c r="T51" s="353"/>
      <c r="U51" s="353"/>
      <c r="V51" s="353"/>
      <c r="W51" s="353"/>
      <c r="X51" s="353"/>
      <c r="Y51" s="353"/>
      <c r="Z51" s="353"/>
    </row>
    <row r="52" ht="18.0" customHeight="1">
      <c r="A52" s="663" t="s">
        <v>134</v>
      </c>
      <c r="B52" s="655">
        <v>28997.0</v>
      </c>
      <c r="C52" s="655">
        <v>5333.0</v>
      </c>
      <c r="D52" s="655">
        <v>0.0</v>
      </c>
      <c r="E52" s="655">
        <v>0.0</v>
      </c>
      <c r="F52" s="664">
        <f t="shared" si="1"/>
        <v>23664</v>
      </c>
      <c r="G52" s="353"/>
      <c r="H52" s="353"/>
      <c r="I52" s="353"/>
      <c r="J52" s="353"/>
      <c r="K52" s="353"/>
      <c r="L52" s="353"/>
      <c r="M52" s="353"/>
      <c r="N52" s="353"/>
      <c r="O52" s="353"/>
      <c r="P52" s="353"/>
      <c r="Q52" s="353"/>
      <c r="R52" s="353"/>
      <c r="S52" s="353"/>
      <c r="T52" s="353"/>
      <c r="U52" s="353"/>
      <c r="V52" s="353"/>
      <c r="W52" s="353"/>
      <c r="X52" s="353"/>
      <c r="Y52" s="353"/>
      <c r="Z52" s="353"/>
    </row>
    <row r="53" ht="18.0" customHeight="1">
      <c r="A53" s="663" t="s">
        <v>230</v>
      </c>
      <c r="B53" s="655">
        <v>59718.0</v>
      </c>
      <c r="C53" s="655">
        <v>0.0</v>
      </c>
      <c r="D53" s="655">
        <v>0.0</v>
      </c>
      <c r="E53" s="655">
        <v>0.0</v>
      </c>
      <c r="F53" s="664">
        <f t="shared" si="1"/>
        <v>59718</v>
      </c>
      <c r="G53" s="353"/>
      <c r="H53" s="353"/>
      <c r="I53" s="353"/>
      <c r="J53" s="353"/>
      <c r="K53" s="353"/>
      <c r="L53" s="353"/>
      <c r="M53" s="353"/>
      <c r="N53" s="353"/>
      <c r="O53" s="353"/>
      <c r="P53" s="353"/>
      <c r="Q53" s="353"/>
      <c r="R53" s="353"/>
      <c r="S53" s="353"/>
      <c r="T53" s="353"/>
      <c r="U53" s="353"/>
      <c r="V53" s="353"/>
      <c r="W53" s="353"/>
      <c r="X53" s="353"/>
      <c r="Y53" s="353"/>
      <c r="Z53" s="353"/>
    </row>
    <row r="54" ht="18.0" customHeight="1">
      <c r="A54" s="663" t="s">
        <v>136</v>
      </c>
      <c r="B54" s="655">
        <v>2094712.0</v>
      </c>
      <c r="C54" s="655">
        <v>0.0</v>
      </c>
      <c r="D54" s="655">
        <v>0.0</v>
      </c>
      <c r="E54" s="655">
        <v>0.0</v>
      </c>
      <c r="F54" s="664">
        <f t="shared" si="1"/>
        <v>2094712</v>
      </c>
      <c r="G54" s="353"/>
      <c r="H54" s="353"/>
      <c r="I54" s="353"/>
      <c r="J54" s="353"/>
      <c r="K54" s="353"/>
      <c r="L54" s="353"/>
      <c r="M54" s="353"/>
      <c r="N54" s="353"/>
      <c r="O54" s="353"/>
      <c r="P54" s="353"/>
      <c r="Q54" s="353"/>
      <c r="R54" s="353"/>
      <c r="S54" s="353"/>
      <c r="T54" s="353"/>
      <c r="U54" s="353"/>
      <c r="V54" s="353"/>
      <c r="W54" s="353"/>
      <c r="X54" s="353"/>
      <c r="Y54" s="353"/>
      <c r="Z54" s="353"/>
    </row>
    <row r="55" ht="18.0" customHeight="1">
      <c r="A55" s="663" t="s">
        <v>137</v>
      </c>
      <c r="B55" s="655">
        <v>0.0</v>
      </c>
      <c r="C55" s="655">
        <v>0.0</v>
      </c>
      <c r="D55" s="655">
        <v>0.0</v>
      </c>
      <c r="E55" s="655">
        <v>0.0</v>
      </c>
      <c r="F55" s="664">
        <f t="shared" si="1"/>
        <v>0</v>
      </c>
      <c r="G55" s="353"/>
      <c r="H55" s="353"/>
      <c r="I55" s="353"/>
      <c r="J55" s="353"/>
      <c r="K55" s="353"/>
      <c r="L55" s="353"/>
      <c r="M55" s="353"/>
      <c r="N55" s="353"/>
      <c r="O55" s="353"/>
      <c r="P55" s="353"/>
      <c r="Q55" s="353"/>
      <c r="R55" s="353"/>
      <c r="S55" s="353"/>
      <c r="T55" s="353"/>
      <c r="U55" s="353"/>
      <c r="V55" s="353"/>
      <c r="W55" s="353"/>
      <c r="X55" s="353"/>
      <c r="Y55" s="353"/>
      <c r="Z55" s="353"/>
    </row>
    <row r="56" ht="18.0" customHeight="1">
      <c r="A56" s="663" t="s">
        <v>138</v>
      </c>
      <c r="B56" s="655">
        <v>9766137.0</v>
      </c>
      <c r="C56" s="655">
        <v>4883070.0</v>
      </c>
      <c r="D56" s="655">
        <v>0.0</v>
      </c>
      <c r="E56" s="655">
        <v>4883067.0</v>
      </c>
      <c r="F56" s="664">
        <f t="shared" si="1"/>
        <v>0</v>
      </c>
      <c r="G56" s="353"/>
      <c r="H56" s="353"/>
      <c r="I56" s="353"/>
      <c r="J56" s="353"/>
      <c r="K56" s="353"/>
      <c r="L56" s="353"/>
      <c r="M56" s="353"/>
      <c r="N56" s="353"/>
      <c r="O56" s="353"/>
      <c r="P56" s="353"/>
      <c r="Q56" s="353"/>
      <c r="R56" s="353"/>
      <c r="S56" s="353"/>
      <c r="T56" s="353"/>
      <c r="U56" s="353"/>
      <c r="V56" s="353"/>
      <c r="W56" s="353"/>
      <c r="X56" s="353"/>
      <c r="Y56" s="353"/>
      <c r="Z56" s="353"/>
    </row>
    <row r="57" ht="18.0" customHeight="1">
      <c r="A57" s="663" t="s">
        <v>139</v>
      </c>
      <c r="B57" s="655">
        <v>3.8833333E7</v>
      </c>
      <c r="C57" s="655">
        <v>3.6264333E7</v>
      </c>
      <c r="D57" s="655">
        <v>569000.0</v>
      </c>
      <c r="E57" s="655">
        <v>2000000.0</v>
      </c>
      <c r="F57" s="664">
        <f t="shared" si="1"/>
        <v>0</v>
      </c>
      <c r="G57" s="353"/>
      <c r="H57" s="353"/>
      <c r="I57" s="353"/>
      <c r="J57" s="353"/>
      <c r="K57" s="353"/>
      <c r="L57" s="353"/>
      <c r="M57" s="353"/>
      <c r="N57" s="353"/>
      <c r="O57" s="353"/>
      <c r="P57" s="353"/>
      <c r="Q57" s="353"/>
      <c r="R57" s="353"/>
      <c r="S57" s="353"/>
      <c r="T57" s="353"/>
      <c r="U57" s="353"/>
      <c r="V57" s="353"/>
      <c r="W57" s="353"/>
      <c r="X57" s="353"/>
      <c r="Y57" s="353"/>
      <c r="Z57" s="353"/>
    </row>
    <row r="58" ht="18.0" customHeight="1">
      <c r="A58" s="668" t="s">
        <v>140</v>
      </c>
      <c r="B58" s="669">
        <v>79603.0</v>
      </c>
      <c r="C58" s="669">
        <v>79603.0</v>
      </c>
      <c r="D58" s="669">
        <v>0.0</v>
      </c>
      <c r="E58" s="669">
        <v>0.0</v>
      </c>
      <c r="F58" s="670">
        <f t="shared" si="1"/>
        <v>0</v>
      </c>
      <c r="G58" s="353"/>
      <c r="H58" s="353"/>
      <c r="I58" s="353"/>
      <c r="J58" s="353"/>
      <c r="K58" s="353"/>
      <c r="L58" s="353"/>
      <c r="M58" s="353"/>
      <c r="N58" s="353"/>
      <c r="O58" s="353"/>
      <c r="P58" s="353"/>
      <c r="Q58" s="353"/>
      <c r="R58" s="353"/>
      <c r="S58" s="353"/>
      <c r="T58" s="353"/>
      <c r="U58" s="353"/>
      <c r="V58" s="353"/>
      <c r="W58" s="353"/>
      <c r="X58" s="353"/>
      <c r="Y58" s="353"/>
      <c r="Z58" s="353"/>
    </row>
    <row r="59" ht="20.25" customHeight="1">
      <c r="A59" s="671" t="s">
        <v>143</v>
      </c>
      <c r="B59" s="672">
        <f t="shared" ref="B59:F59" si="2">SUM(B8:B58)</f>
        <v>157524929</v>
      </c>
      <c r="C59" s="672">
        <f t="shared" si="2"/>
        <v>121191653</v>
      </c>
      <c r="D59" s="672">
        <f t="shared" si="2"/>
        <v>7142556</v>
      </c>
      <c r="E59" s="672">
        <f t="shared" si="2"/>
        <v>17994387</v>
      </c>
      <c r="F59" s="647">
        <f t="shared" si="2"/>
        <v>11196333</v>
      </c>
      <c r="G59" s="353"/>
      <c r="H59" s="353"/>
      <c r="I59" s="353"/>
      <c r="J59" s="353"/>
      <c r="K59" s="353"/>
      <c r="L59" s="353"/>
      <c r="M59" s="353"/>
      <c r="N59" s="353"/>
      <c r="O59" s="353"/>
      <c r="P59" s="353"/>
      <c r="Q59" s="353"/>
      <c r="R59" s="353"/>
      <c r="S59" s="353"/>
      <c r="T59" s="353"/>
      <c r="U59" s="353"/>
      <c r="V59" s="353"/>
      <c r="W59" s="353"/>
      <c r="X59" s="353"/>
      <c r="Y59" s="353"/>
      <c r="Z59" s="353"/>
    </row>
    <row r="60" ht="18.0" customHeight="1">
      <c r="A60" s="673"/>
      <c r="B60" s="674"/>
      <c r="C60" s="674"/>
      <c r="D60" s="674"/>
      <c r="E60" s="674"/>
      <c r="F60" s="675"/>
      <c r="G60" s="353"/>
      <c r="H60" s="353"/>
      <c r="I60" s="353"/>
      <c r="J60" s="353"/>
      <c r="K60" s="353"/>
      <c r="L60" s="353"/>
      <c r="M60" s="353"/>
      <c r="N60" s="353"/>
      <c r="O60" s="353"/>
      <c r="P60" s="353"/>
      <c r="Q60" s="353"/>
      <c r="R60" s="353"/>
      <c r="S60" s="353"/>
      <c r="T60" s="353"/>
      <c r="U60" s="353"/>
      <c r="V60" s="353"/>
      <c r="W60" s="353"/>
      <c r="X60" s="353"/>
      <c r="Y60" s="353"/>
      <c r="Z60" s="353"/>
    </row>
    <row r="61" ht="18.0" customHeight="1">
      <c r="A61" s="676" t="s">
        <v>266</v>
      </c>
      <c r="B61" s="222"/>
      <c r="C61" s="222"/>
      <c r="D61" s="222"/>
      <c r="E61" s="222"/>
      <c r="F61" s="222"/>
      <c r="G61" s="353"/>
      <c r="H61" s="353"/>
      <c r="I61" s="353"/>
      <c r="J61" s="353"/>
      <c r="K61" s="353"/>
      <c r="L61" s="353"/>
      <c r="M61" s="353"/>
      <c r="N61" s="353"/>
      <c r="O61" s="353"/>
      <c r="P61" s="353"/>
      <c r="Q61" s="353"/>
      <c r="R61" s="353"/>
      <c r="S61" s="353"/>
      <c r="T61" s="353"/>
      <c r="U61" s="353"/>
      <c r="V61" s="353"/>
      <c r="W61" s="353"/>
      <c r="X61" s="353"/>
      <c r="Y61" s="353"/>
      <c r="Z61" s="353"/>
    </row>
    <row r="62" ht="12.0" customHeight="1">
      <c r="A62" s="677" t="s">
        <v>267</v>
      </c>
      <c r="B62" s="222"/>
      <c r="C62" s="222"/>
      <c r="D62" s="222"/>
      <c r="E62" s="222"/>
      <c r="F62" s="222"/>
      <c r="G62" s="353"/>
      <c r="H62" s="353"/>
      <c r="I62" s="353"/>
      <c r="J62" s="353"/>
      <c r="K62" s="353"/>
      <c r="L62" s="353"/>
      <c r="M62" s="353"/>
      <c r="N62" s="353"/>
      <c r="O62" s="353"/>
      <c r="P62" s="353"/>
      <c r="Q62" s="353"/>
      <c r="R62" s="353"/>
      <c r="S62" s="353"/>
      <c r="T62" s="353"/>
      <c r="U62" s="353"/>
      <c r="V62" s="353"/>
      <c r="W62" s="353"/>
      <c r="X62" s="353"/>
      <c r="Y62" s="353"/>
      <c r="Z62" s="353"/>
    </row>
    <row r="63" ht="12.0" customHeight="1">
      <c r="A63" s="222"/>
      <c r="B63" s="222"/>
      <c r="C63" s="222"/>
      <c r="D63" s="222"/>
      <c r="E63" s="222"/>
      <c r="F63" s="222"/>
      <c r="G63" s="353"/>
      <c r="H63" s="353"/>
      <c r="I63" s="353"/>
      <c r="J63" s="353"/>
      <c r="K63" s="353"/>
      <c r="L63" s="353"/>
      <c r="M63" s="353"/>
      <c r="N63" s="353"/>
      <c r="O63" s="353"/>
      <c r="P63" s="353"/>
      <c r="Q63" s="353"/>
      <c r="R63" s="353"/>
      <c r="S63" s="353"/>
      <c r="T63" s="353"/>
      <c r="U63" s="353"/>
      <c r="V63" s="353"/>
      <c r="W63" s="353"/>
      <c r="X63" s="353"/>
      <c r="Y63" s="353"/>
      <c r="Z63" s="353"/>
    </row>
    <row r="64" ht="12.0" customHeight="1">
      <c r="A64" s="222"/>
      <c r="B64" s="222"/>
      <c r="C64" s="222"/>
      <c r="D64" s="222"/>
      <c r="E64" s="222"/>
      <c r="F64" s="222"/>
      <c r="G64" s="353"/>
      <c r="H64" s="353"/>
      <c r="I64" s="353"/>
      <c r="J64" s="353"/>
      <c r="K64" s="353"/>
      <c r="L64" s="353"/>
      <c r="M64" s="353"/>
      <c r="N64" s="353"/>
      <c r="O64" s="353"/>
      <c r="P64" s="353"/>
      <c r="Q64" s="353"/>
      <c r="R64" s="353"/>
      <c r="S64" s="353"/>
      <c r="T64" s="353"/>
      <c r="U64" s="353"/>
      <c r="V64" s="353"/>
      <c r="W64" s="353"/>
      <c r="X64" s="353"/>
      <c r="Y64" s="353"/>
      <c r="Z64" s="353"/>
    </row>
    <row r="65" ht="12.0" customHeight="1">
      <c r="A65" s="222"/>
      <c r="B65" s="222"/>
      <c r="C65" s="222"/>
      <c r="D65" s="222"/>
      <c r="E65" s="222"/>
      <c r="F65" s="222"/>
      <c r="G65" s="353"/>
      <c r="H65" s="353"/>
      <c r="I65" s="353"/>
      <c r="J65" s="353"/>
      <c r="K65" s="353"/>
      <c r="L65" s="353"/>
      <c r="M65" s="353"/>
      <c r="N65" s="353"/>
      <c r="O65" s="353"/>
      <c r="P65" s="353"/>
      <c r="Q65" s="353"/>
      <c r="R65" s="353"/>
      <c r="S65" s="353"/>
      <c r="T65" s="353"/>
      <c r="U65" s="353"/>
      <c r="V65" s="353"/>
      <c r="W65" s="353"/>
      <c r="X65" s="353"/>
      <c r="Y65" s="353"/>
      <c r="Z65" s="353"/>
    </row>
    <row r="66" ht="12.0" customHeight="1">
      <c r="A66" s="222"/>
      <c r="B66" s="222"/>
      <c r="C66" s="222"/>
      <c r="D66" s="222"/>
      <c r="E66" s="222"/>
      <c r="F66" s="222"/>
      <c r="G66" s="353"/>
      <c r="H66" s="353"/>
      <c r="I66" s="353"/>
      <c r="J66" s="353"/>
      <c r="K66" s="353"/>
      <c r="L66" s="353"/>
      <c r="M66" s="353"/>
      <c r="N66" s="353"/>
      <c r="O66" s="353"/>
      <c r="P66" s="353"/>
      <c r="Q66" s="353"/>
      <c r="R66" s="353"/>
      <c r="S66" s="353"/>
      <c r="T66" s="353"/>
      <c r="U66" s="353"/>
      <c r="V66" s="353"/>
      <c r="W66" s="353"/>
      <c r="X66" s="353"/>
      <c r="Y66" s="353"/>
      <c r="Z66" s="353"/>
    </row>
    <row r="67" ht="12.0" customHeight="1">
      <c r="A67" s="353"/>
      <c r="B67" s="353"/>
      <c r="C67" s="353"/>
      <c r="D67" s="353"/>
      <c r="E67" s="353"/>
      <c r="F67" s="353"/>
      <c r="G67" s="353"/>
      <c r="H67" s="353"/>
      <c r="I67" s="353"/>
      <c r="J67" s="353"/>
      <c r="K67" s="353"/>
      <c r="L67" s="353"/>
      <c r="M67" s="353"/>
      <c r="N67" s="353"/>
      <c r="O67" s="353"/>
      <c r="P67" s="353"/>
      <c r="Q67" s="353"/>
      <c r="R67" s="353"/>
      <c r="S67" s="353"/>
      <c r="T67" s="353"/>
      <c r="U67" s="353"/>
      <c r="V67" s="353"/>
      <c r="W67" s="353"/>
      <c r="X67" s="353"/>
      <c r="Y67" s="353"/>
      <c r="Z67" s="353"/>
    </row>
    <row r="68" ht="12.0" customHeight="1">
      <c r="A68" s="353"/>
      <c r="B68" s="353"/>
      <c r="C68" s="353"/>
      <c r="D68" s="353"/>
      <c r="E68" s="353"/>
      <c r="F68" s="353"/>
      <c r="G68" s="353"/>
      <c r="H68" s="353"/>
      <c r="I68" s="353"/>
      <c r="J68" s="353"/>
      <c r="K68" s="353"/>
      <c r="L68" s="353"/>
      <c r="M68" s="353"/>
      <c r="N68" s="353"/>
      <c r="O68" s="353"/>
      <c r="P68" s="353"/>
      <c r="Q68" s="353"/>
      <c r="R68" s="353"/>
      <c r="S68" s="353"/>
      <c r="T68" s="353"/>
      <c r="U68" s="353"/>
      <c r="V68" s="353"/>
      <c r="W68" s="353"/>
      <c r="X68" s="353"/>
      <c r="Y68" s="353"/>
      <c r="Z68" s="353"/>
    </row>
    <row r="69" ht="12.0" customHeight="1">
      <c r="A69" s="353"/>
      <c r="B69" s="353"/>
      <c r="C69" s="353"/>
      <c r="D69" s="353"/>
      <c r="E69" s="353"/>
      <c r="F69" s="353"/>
      <c r="G69" s="353"/>
      <c r="H69" s="353"/>
      <c r="I69" s="353"/>
      <c r="J69" s="353"/>
      <c r="K69" s="353"/>
      <c r="L69" s="353"/>
      <c r="M69" s="353"/>
      <c r="N69" s="353"/>
      <c r="O69" s="353"/>
      <c r="P69" s="353"/>
      <c r="Q69" s="353"/>
      <c r="R69" s="353"/>
      <c r="S69" s="353"/>
      <c r="T69" s="353"/>
      <c r="U69" s="353"/>
      <c r="V69" s="353"/>
      <c r="W69" s="353"/>
      <c r="X69" s="353"/>
      <c r="Y69" s="353"/>
      <c r="Z69" s="353"/>
    </row>
    <row r="70" ht="12.0" customHeight="1">
      <c r="A70" s="353"/>
      <c r="B70" s="353"/>
      <c r="C70" s="353"/>
      <c r="D70" s="353"/>
      <c r="E70" s="353"/>
      <c r="F70" s="353"/>
      <c r="G70" s="353"/>
      <c r="H70" s="353"/>
      <c r="I70" s="353"/>
      <c r="J70" s="353"/>
      <c r="K70" s="353"/>
      <c r="L70" s="353"/>
      <c r="M70" s="353"/>
      <c r="N70" s="353"/>
      <c r="O70" s="353"/>
      <c r="P70" s="353"/>
      <c r="Q70" s="353"/>
      <c r="R70" s="353"/>
      <c r="S70" s="353"/>
      <c r="T70" s="353"/>
      <c r="U70" s="353"/>
      <c r="V70" s="353"/>
      <c r="W70" s="353"/>
      <c r="X70" s="353"/>
      <c r="Y70" s="353"/>
      <c r="Z70" s="353"/>
    </row>
    <row r="71" ht="12.0" customHeight="1">
      <c r="A71" s="353"/>
      <c r="B71" s="353"/>
      <c r="C71" s="353"/>
      <c r="D71" s="353"/>
      <c r="E71" s="353"/>
      <c r="F71" s="353"/>
      <c r="G71" s="353"/>
      <c r="H71" s="353"/>
      <c r="I71" s="353"/>
      <c r="J71" s="353"/>
      <c r="K71" s="353"/>
      <c r="L71" s="353"/>
      <c r="M71" s="353"/>
      <c r="N71" s="353"/>
      <c r="O71" s="353"/>
      <c r="P71" s="353"/>
      <c r="Q71" s="353"/>
      <c r="R71" s="353"/>
      <c r="S71" s="353"/>
      <c r="T71" s="353"/>
      <c r="U71" s="353"/>
      <c r="V71" s="353"/>
      <c r="W71" s="353"/>
      <c r="X71" s="353"/>
      <c r="Y71" s="353"/>
      <c r="Z71" s="353"/>
    </row>
    <row r="72" ht="12.0" customHeight="1">
      <c r="A72" s="353"/>
      <c r="B72" s="353"/>
      <c r="C72" s="353"/>
      <c r="D72" s="353"/>
      <c r="E72" s="353"/>
      <c r="F72" s="353"/>
      <c r="G72" s="353"/>
      <c r="H72" s="353"/>
      <c r="I72" s="353"/>
      <c r="J72" s="353"/>
      <c r="K72" s="353"/>
      <c r="L72" s="353"/>
      <c r="M72" s="353"/>
      <c r="N72" s="353"/>
      <c r="O72" s="353"/>
      <c r="P72" s="353"/>
      <c r="Q72" s="353"/>
      <c r="R72" s="353"/>
      <c r="S72" s="353"/>
      <c r="T72" s="353"/>
      <c r="U72" s="353"/>
      <c r="V72" s="353"/>
      <c r="W72" s="353"/>
      <c r="X72" s="353"/>
      <c r="Y72" s="353"/>
      <c r="Z72" s="353"/>
    </row>
    <row r="73" ht="12.0" customHeight="1">
      <c r="A73" s="353"/>
      <c r="B73" s="353"/>
      <c r="C73" s="353"/>
      <c r="D73" s="353"/>
      <c r="E73" s="353"/>
      <c r="F73" s="353"/>
      <c r="G73" s="353"/>
      <c r="H73" s="353"/>
      <c r="I73" s="353"/>
      <c r="J73" s="353"/>
      <c r="K73" s="353"/>
      <c r="L73" s="353"/>
      <c r="M73" s="353"/>
      <c r="N73" s="353"/>
      <c r="O73" s="353"/>
      <c r="P73" s="353"/>
      <c r="Q73" s="353"/>
      <c r="R73" s="353"/>
      <c r="S73" s="353"/>
      <c r="T73" s="353"/>
      <c r="U73" s="353"/>
      <c r="V73" s="353"/>
      <c r="W73" s="353"/>
      <c r="X73" s="353"/>
      <c r="Y73" s="353"/>
      <c r="Z73" s="353"/>
    </row>
    <row r="74" ht="12.0" customHeight="1">
      <c r="A74" s="353"/>
      <c r="B74" s="353"/>
      <c r="C74" s="353"/>
      <c r="D74" s="353"/>
      <c r="E74" s="353"/>
      <c r="F74" s="353"/>
      <c r="G74" s="353"/>
      <c r="H74" s="353"/>
      <c r="I74" s="353"/>
      <c r="J74" s="353"/>
      <c r="K74" s="353"/>
      <c r="L74" s="353"/>
      <c r="M74" s="353"/>
      <c r="N74" s="353"/>
      <c r="O74" s="353"/>
      <c r="P74" s="353"/>
      <c r="Q74" s="353"/>
      <c r="R74" s="353"/>
      <c r="S74" s="353"/>
      <c r="T74" s="353"/>
      <c r="U74" s="353"/>
      <c r="V74" s="353"/>
      <c r="W74" s="353"/>
      <c r="X74" s="353"/>
      <c r="Y74" s="353"/>
      <c r="Z74" s="353"/>
    </row>
    <row r="75" ht="12.0" customHeight="1">
      <c r="A75" s="353"/>
      <c r="B75" s="353"/>
      <c r="C75" s="353"/>
      <c r="D75" s="353"/>
      <c r="E75" s="353"/>
      <c r="F75" s="353"/>
      <c r="G75" s="353"/>
      <c r="H75" s="353"/>
      <c r="I75" s="353"/>
      <c r="J75" s="353"/>
      <c r="K75" s="353"/>
      <c r="L75" s="353"/>
      <c r="M75" s="353"/>
      <c r="N75" s="353"/>
      <c r="O75" s="353"/>
      <c r="P75" s="353"/>
      <c r="Q75" s="353"/>
      <c r="R75" s="353"/>
      <c r="S75" s="353"/>
      <c r="T75" s="353"/>
      <c r="U75" s="353"/>
      <c r="V75" s="353"/>
      <c r="W75" s="353"/>
      <c r="X75" s="353"/>
      <c r="Y75" s="353"/>
      <c r="Z75" s="353"/>
    </row>
    <row r="76" ht="12.0" customHeight="1">
      <c r="A76" s="353"/>
      <c r="B76" s="353"/>
      <c r="C76" s="353"/>
      <c r="D76" s="353"/>
      <c r="E76" s="353"/>
      <c r="F76" s="353"/>
      <c r="G76" s="353"/>
      <c r="H76" s="353"/>
      <c r="I76" s="353"/>
      <c r="J76" s="353"/>
      <c r="K76" s="353"/>
      <c r="L76" s="353"/>
      <c r="M76" s="353"/>
      <c r="N76" s="353"/>
      <c r="O76" s="353"/>
      <c r="P76" s="353"/>
      <c r="Q76" s="353"/>
      <c r="R76" s="353"/>
      <c r="S76" s="353"/>
      <c r="T76" s="353"/>
      <c r="U76" s="353"/>
      <c r="V76" s="353"/>
      <c r="W76" s="353"/>
      <c r="X76" s="353"/>
      <c r="Y76" s="353"/>
      <c r="Z76" s="353"/>
    </row>
    <row r="77" ht="12.0" customHeight="1">
      <c r="A77" s="353"/>
      <c r="B77" s="353"/>
      <c r="C77" s="353"/>
      <c r="D77" s="353"/>
      <c r="E77" s="353"/>
      <c r="F77" s="353"/>
      <c r="G77" s="353"/>
      <c r="H77" s="353"/>
      <c r="I77" s="353"/>
      <c r="J77" s="353"/>
      <c r="K77" s="353"/>
      <c r="L77" s="353"/>
      <c r="M77" s="353"/>
      <c r="N77" s="353"/>
      <c r="O77" s="353"/>
      <c r="P77" s="353"/>
      <c r="Q77" s="353"/>
      <c r="R77" s="353"/>
      <c r="S77" s="353"/>
      <c r="T77" s="353"/>
      <c r="U77" s="353"/>
      <c r="V77" s="353"/>
      <c r="W77" s="353"/>
      <c r="X77" s="353"/>
      <c r="Y77" s="353"/>
      <c r="Z77" s="353"/>
    </row>
    <row r="78" ht="12.0" customHeight="1">
      <c r="A78" s="353"/>
      <c r="B78" s="353"/>
      <c r="C78" s="353"/>
      <c r="D78" s="353"/>
      <c r="E78" s="353"/>
      <c r="F78" s="353"/>
      <c r="G78" s="353"/>
      <c r="H78" s="353"/>
      <c r="I78" s="353"/>
      <c r="J78" s="353"/>
      <c r="K78" s="353"/>
      <c r="L78" s="353"/>
      <c r="M78" s="353"/>
      <c r="N78" s="353"/>
      <c r="O78" s="353"/>
      <c r="P78" s="353"/>
      <c r="Q78" s="353"/>
      <c r="R78" s="353"/>
      <c r="S78" s="353"/>
      <c r="T78" s="353"/>
      <c r="U78" s="353"/>
      <c r="V78" s="353"/>
      <c r="W78" s="353"/>
      <c r="X78" s="353"/>
      <c r="Y78" s="353"/>
      <c r="Z78" s="353"/>
    </row>
    <row r="79" ht="12.0" customHeight="1">
      <c r="A79" s="353"/>
      <c r="B79" s="353"/>
      <c r="C79" s="353"/>
      <c r="D79" s="353"/>
      <c r="E79" s="353"/>
      <c r="F79" s="353"/>
      <c r="G79" s="353"/>
      <c r="H79" s="353"/>
      <c r="I79" s="353"/>
      <c r="J79" s="353"/>
      <c r="K79" s="353"/>
      <c r="L79" s="353"/>
      <c r="M79" s="353"/>
      <c r="N79" s="353"/>
      <c r="O79" s="353"/>
      <c r="P79" s="353"/>
      <c r="Q79" s="353"/>
      <c r="R79" s="353"/>
      <c r="S79" s="353"/>
      <c r="T79" s="353"/>
      <c r="U79" s="353"/>
      <c r="V79" s="353"/>
      <c r="W79" s="353"/>
      <c r="X79" s="353"/>
      <c r="Y79" s="353"/>
      <c r="Z79" s="353"/>
    </row>
    <row r="80" ht="12.0" customHeight="1">
      <c r="A80" s="353"/>
      <c r="B80" s="353"/>
      <c r="C80" s="353"/>
      <c r="D80" s="353"/>
      <c r="E80" s="353"/>
      <c r="F80" s="353"/>
      <c r="G80" s="353"/>
      <c r="H80" s="353"/>
      <c r="I80" s="353"/>
      <c r="J80" s="353"/>
      <c r="K80" s="353"/>
      <c r="L80" s="353"/>
      <c r="M80" s="353"/>
      <c r="N80" s="353"/>
      <c r="O80" s="353"/>
      <c r="P80" s="353"/>
      <c r="Q80" s="353"/>
      <c r="R80" s="353"/>
      <c r="S80" s="353"/>
      <c r="T80" s="353"/>
      <c r="U80" s="353"/>
      <c r="V80" s="353"/>
      <c r="W80" s="353"/>
      <c r="X80" s="353"/>
      <c r="Y80" s="353"/>
      <c r="Z80" s="353"/>
    </row>
    <row r="81" ht="12.0" customHeight="1">
      <c r="A81" s="353"/>
      <c r="B81" s="353"/>
      <c r="C81" s="353"/>
      <c r="D81" s="353"/>
      <c r="E81" s="353"/>
      <c r="F81" s="353"/>
      <c r="G81" s="353"/>
      <c r="H81" s="353"/>
      <c r="I81" s="353"/>
      <c r="J81" s="353"/>
      <c r="K81" s="353"/>
      <c r="L81" s="353"/>
      <c r="M81" s="353"/>
      <c r="N81" s="353"/>
      <c r="O81" s="353"/>
      <c r="P81" s="353"/>
      <c r="Q81" s="353"/>
      <c r="R81" s="353"/>
      <c r="S81" s="353"/>
      <c r="T81" s="353"/>
      <c r="U81" s="353"/>
      <c r="V81" s="353"/>
      <c r="W81" s="353"/>
      <c r="X81" s="353"/>
      <c r="Y81" s="353"/>
      <c r="Z81" s="353"/>
    </row>
    <row r="82" ht="12.0" customHeight="1">
      <c r="A82" s="353"/>
      <c r="B82" s="353"/>
      <c r="C82" s="353"/>
      <c r="D82" s="353"/>
      <c r="E82" s="353"/>
      <c r="F82" s="353"/>
      <c r="G82" s="353"/>
      <c r="H82" s="353"/>
      <c r="I82" s="353"/>
      <c r="J82" s="353"/>
      <c r="K82" s="353"/>
      <c r="L82" s="353"/>
      <c r="M82" s="353"/>
      <c r="N82" s="353"/>
      <c r="O82" s="353"/>
      <c r="P82" s="353"/>
      <c r="Q82" s="353"/>
      <c r="R82" s="353"/>
      <c r="S82" s="353"/>
      <c r="T82" s="353"/>
      <c r="U82" s="353"/>
      <c r="V82" s="353"/>
      <c r="W82" s="353"/>
      <c r="X82" s="353"/>
      <c r="Y82" s="353"/>
      <c r="Z82" s="353"/>
    </row>
    <row r="83" ht="12.0" customHeight="1">
      <c r="A83" s="353"/>
      <c r="B83" s="353"/>
      <c r="C83" s="353"/>
      <c r="D83" s="353"/>
      <c r="E83" s="353"/>
      <c r="F83" s="353"/>
      <c r="G83" s="353"/>
      <c r="H83" s="353"/>
      <c r="I83" s="353"/>
      <c r="J83" s="353"/>
      <c r="K83" s="353"/>
      <c r="L83" s="353"/>
      <c r="M83" s="353"/>
      <c r="N83" s="353"/>
      <c r="O83" s="353"/>
      <c r="P83" s="353"/>
      <c r="Q83" s="353"/>
      <c r="R83" s="353"/>
      <c r="S83" s="353"/>
      <c r="T83" s="353"/>
      <c r="U83" s="353"/>
      <c r="V83" s="353"/>
      <c r="W83" s="353"/>
      <c r="X83" s="353"/>
      <c r="Y83" s="353"/>
      <c r="Z83" s="353"/>
    </row>
    <row r="84" ht="12.0" customHeight="1">
      <c r="A84" s="353"/>
      <c r="B84" s="353"/>
      <c r="C84" s="353"/>
      <c r="D84" s="353"/>
      <c r="E84" s="353"/>
      <c r="F84" s="353"/>
      <c r="G84" s="353"/>
      <c r="H84" s="353"/>
      <c r="I84" s="353"/>
      <c r="J84" s="353"/>
      <c r="K84" s="353"/>
      <c r="L84" s="353"/>
      <c r="M84" s="353"/>
      <c r="N84" s="353"/>
      <c r="O84" s="353"/>
      <c r="P84" s="353"/>
      <c r="Q84" s="353"/>
      <c r="R84" s="353"/>
      <c r="S84" s="353"/>
      <c r="T84" s="353"/>
      <c r="U84" s="353"/>
      <c r="V84" s="353"/>
      <c r="W84" s="353"/>
      <c r="X84" s="353"/>
      <c r="Y84" s="353"/>
      <c r="Z84" s="353"/>
    </row>
    <row r="85" ht="12.0" customHeight="1">
      <c r="A85" s="353"/>
      <c r="B85" s="353"/>
      <c r="C85" s="353"/>
      <c r="D85" s="353"/>
      <c r="E85" s="353"/>
      <c r="F85" s="353"/>
      <c r="G85" s="353"/>
      <c r="H85" s="353"/>
      <c r="I85" s="353"/>
      <c r="J85" s="353"/>
      <c r="K85" s="353"/>
      <c r="L85" s="353"/>
      <c r="M85" s="353"/>
      <c r="N85" s="353"/>
      <c r="O85" s="353"/>
      <c r="P85" s="353"/>
      <c r="Q85" s="353"/>
      <c r="R85" s="353"/>
      <c r="S85" s="353"/>
      <c r="T85" s="353"/>
      <c r="U85" s="353"/>
      <c r="V85" s="353"/>
      <c r="W85" s="353"/>
      <c r="X85" s="353"/>
      <c r="Y85" s="353"/>
      <c r="Z85" s="353"/>
    </row>
    <row r="86" ht="12.0" customHeight="1">
      <c r="A86" s="353"/>
      <c r="B86" s="353"/>
      <c r="C86" s="353"/>
      <c r="D86" s="353"/>
      <c r="E86" s="353"/>
      <c r="F86" s="353"/>
      <c r="G86" s="353"/>
      <c r="H86" s="353"/>
      <c r="I86" s="353"/>
      <c r="J86" s="353"/>
      <c r="K86" s="353"/>
      <c r="L86" s="353"/>
      <c r="M86" s="353"/>
      <c r="N86" s="353"/>
      <c r="O86" s="353"/>
      <c r="P86" s="353"/>
      <c r="Q86" s="353"/>
      <c r="R86" s="353"/>
      <c r="S86" s="353"/>
      <c r="T86" s="353"/>
      <c r="U86" s="353"/>
      <c r="V86" s="353"/>
      <c r="W86" s="353"/>
      <c r="X86" s="353"/>
      <c r="Y86" s="353"/>
      <c r="Z86" s="353"/>
    </row>
    <row r="87" ht="12.0" customHeight="1">
      <c r="A87" s="353"/>
      <c r="B87" s="353"/>
      <c r="C87" s="353"/>
      <c r="D87" s="353"/>
      <c r="E87" s="353"/>
      <c r="F87" s="353"/>
      <c r="G87" s="353"/>
      <c r="H87" s="353"/>
      <c r="I87" s="353"/>
      <c r="J87" s="353"/>
      <c r="K87" s="353"/>
      <c r="L87" s="353"/>
      <c r="M87" s="353"/>
      <c r="N87" s="353"/>
      <c r="O87" s="353"/>
      <c r="P87" s="353"/>
      <c r="Q87" s="353"/>
      <c r="R87" s="353"/>
      <c r="S87" s="353"/>
      <c r="T87" s="353"/>
      <c r="U87" s="353"/>
      <c r="V87" s="353"/>
      <c r="W87" s="353"/>
      <c r="X87" s="353"/>
      <c r="Y87" s="353"/>
      <c r="Z87" s="353"/>
    </row>
    <row r="88" ht="12.0" customHeight="1">
      <c r="A88" s="353"/>
      <c r="B88" s="353"/>
      <c r="C88" s="353"/>
      <c r="D88" s="353"/>
      <c r="E88" s="353"/>
      <c r="F88" s="353"/>
      <c r="G88" s="353"/>
      <c r="H88" s="353"/>
      <c r="I88" s="353"/>
      <c r="J88" s="353"/>
      <c r="K88" s="353"/>
      <c r="L88" s="353"/>
      <c r="M88" s="353"/>
      <c r="N88" s="353"/>
      <c r="O88" s="353"/>
      <c r="P88" s="353"/>
      <c r="Q88" s="353"/>
      <c r="R88" s="353"/>
      <c r="S88" s="353"/>
      <c r="T88" s="353"/>
      <c r="U88" s="353"/>
      <c r="V88" s="353"/>
      <c r="W88" s="353"/>
      <c r="X88" s="353"/>
      <c r="Y88" s="353"/>
      <c r="Z88" s="353"/>
    </row>
    <row r="89" ht="12.0" customHeight="1">
      <c r="A89" s="353"/>
      <c r="B89" s="353"/>
      <c r="C89" s="353"/>
      <c r="D89" s="353"/>
      <c r="E89" s="353"/>
      <c r="F89" s="353"/>
      <c r="G89" s="353"/>
      <c r="H89" s="353"/>
      <c r="I89" s="353"/>
      <c r="J89" s="353"/>
      <c r="K89" s="353"/>
      <c r="L89" s="353"/>
      <c r="M89" s="353"/>
      <c r="N89" s="353"/>
      <c r="O89" s="353"/>
      <c r="P89" s="353"/>
      <c r="Q89" s="353"/>
      <c r="R89" s="353"/>
      <c r="S89" s="353"/>
      <c r="T89" s="353"/>
      <c r="U89" s="353"/>
      <c r="V89" s="353"/>
      <c r="W89" s="353"/>
      <c r="X89" s="353"/>
      <c r="Y89" s="353"/>
      <c r="Z89" s="353"/>
    </row>
    <row r="90" ht="12.0" customHeight="1">
      <c r="A90" s="353"/>
      <c r="B90" s="353"/>
      <c r="C90" s="353"/>
      <c r="D90" s="353"/>
      <c r="E90" s="353"/>
      <c r="F90" s="353"/>
      <c r="G90" s="353"/>
      <c r="H90" s="353"/>
      <c r="I90" s="353"/>
      <c r="J90" s="353"/>
      <c r="K90" s="353"/>
      <c r="L90" s="353"/>
      <c r="M90" s="353"/>
      <c r="N90" s="353"/>
      <c r="O90" s="353"/>
      <c r="P90" s="353"/>
      <c r="Q90" s="353"/>
      <c r="R90" s="353"/>
      <c r="S90" s="353"/>
      <c r="T90" s="353"/>
      <c r="U90" s="353"/>
      <c r="V90" s="353"/>
      <c r="W90" s="353"/>
      <c r="X90" s="353"/>
      <c r="Y90" s="353"/>
      <c r="Z90" s="353"/>
    </row>
    <row r="91" ht="12.0" customHeight="1">
      <c r="A91" s="353"/>
      <c r="B91" s="353"/>
      <c r="C91" s="353"/>
      <c r="D91" s="353"/>
      <c r="E91" s="353"/>
      <c r="F91" s="353"/>
      <c r="G91" s="353"/>
      <c r="H91" s="353"/>
      <c r="I91" s="353"/>
      <c r="J91" s="353"/>
      <c r="K91" s="353"/>
      <c r="L91" s="353"/>
      <c r="M91" s="353"/>
      <c r="N91" s="353"/>
      <c r="O91" s="353"/>
      <c r="P91" s="353"/>
      <c r="Q91" s="353"/>
      <c r="R91" s="353"/>
      <c r="S91" s="353"/>
      <c r="T91" s="353"/>
      <c r="U91" s="353"/>
      <c r="V91" s="353"/>
      <c r="W91" s="353"/>
      <c r="X91" s="353"/>
      <c r="Y91" s="353"/>
      <c r="Z91" s="353"/>
    </row>
    <row r="92" ht="12.0" customHeight="1">
      <c r="A92" s="353"/>
      <c r="B92" s="353"/>
      <c r="C92" s="353"/>
      <c r="D92" s="353"/>
      <c r="E92" s="353"/>
      <c r="F92" s="353"/>
      <c r="G92" s="353"/>
      <c r="H92" s="353"/>
      <c r="I92" s="353"/>
      <c r="J92" s="353"/>
      <c r="K92" s="353"/>
      <c r="L92" s="353"/>
      <c r="M92" s="353"/>
      <c r="N92" s="353"/>
      <c r="O92" s="353"/>
      <c r="P92" s="353"/>
      <c r="Q92" s="353"/>
      <c r="R92" s="353"/>
      <c r="S92" s="353"/>
      <c r="T92" s="353"/>
      <c r="U92" s="353"/>
      <c r="V92" s="353"/>
      <c r="W92" s="353"/>
      <c r="X92" s="353"/>
      <c r="Y92" s="353"/>
      <c r="Z92" s="353"/>
    </row>
    <row r="93" ht="12.0" customHeight="1">
      <c r="A93" s="353"/>
      <c r="B93" s="353"/>
      <c r="C93" s="353"/>
      <c r="D93" s="353"/>
      <c r="E93" s="353"/>
      <c r="F93" s="353"/>
      <c r="G93" s="353"/>
      <c r="H93" s="353"/>
      <c r="I93" s="353"/>
      <c r="J93" s="353"/>
      <c r="K93" s="353"/>
      <c r="L93" s="353"/>
      <c r="M93" s="353"/>
      <c r="N93" s="353"/>
      <c r="O93" s="353"/>
      <c r="P93" s="353"/>
      <c r="Q93" s="353"/>
      <c r="R93" s="353"/>
      <c r="S93" s="353"/>
      <c r="T93" s="353"/>
      <c r="U93" s="353"/>
      <c r="V93" s="353"/>
      <c r="W93" s="353"/>
      <c r="X93" s="353"/>
      <c r="Y93" s="353"/>
      <c r="Z93" s="353"/>
    </row>
    <row r="94" ht="12.0" customHeight="1">
      <c r="A94" s="353"/>
      <c r="B94" s="353"/>
      <c r="C94" s="353"/>
      <c r="D94" s="353"/>
      <c r="E94" s="353"/>
      <c r="F94" s="353"/>
      <c r="G94" s="353"/>
      <c r="H94" s="353"/>
      <c r="I94" s="353"/>
      <c r="J94" s="353"/>
      <c r="K94" s="353"/>
      <c r="L94" s="353"/>
      <c r="M94" s="353"/>
      <c r="N94" s="353"/>
      <c r="O94" s="353"/>
      <c r="P94" s="353"/>
      <c r="Q94" s="353"/>
      <c r="R94" s="353"/>
      <c r="S94" s="353"/>
      <c r="T94" s="353"/>
      <c r="U94" s="353"/>
      <c r="V94" s="353"/>
      <c r="W94" s="353"/>
      <c r="X94" s="353"/>
      <c r="Y94" s="353"/>
      <c r="Z94" s="353"/>
    </row>
    <row r="95" ht="12.0" customHeight="1">
      <c r="A95" s="353"/>
      <c r="B95" s="353"/>
      <c r="C95" s="353"/>
      <c r="D95" s="353"/>
      <c r="E95" s="353"/>
      <c r="F95" s="353"/>
      <c r="G95" s="353"/>
      <c r="H95" s="353"/>
      <c r="I95" s="353"/>
      <c r="J95" s="353"/>
      <c r="K95" s="353"/>
      <c r="L95" s="353"/>
      <c r="M95" s="353"/>
      <c r="N95" s="353"/>
      <c r="O95" s="353"/>
      <c r="P95" s="353"/>
      <c r="Q95" s="353"/>
      <c r="R95" s="353"/>
      <c r="S95" s="353"/>
      <c r="T95" s="353"/>
      <c r="U95" s="353"/>
      <c r="V95" s="353"/>
      <c r="W95" s="353"/>
      <c r="X95" s="353"/>
      <c r="Y95" s="353"/>
      <c r="Z95" s="353"/>
    </row>
    <row r="96" ht="12.0" customHeight="1">
      <c r="A96" s="353"/>
      <c r="B96" s="353"/>
      <c r="C96" s="353"/>
      <c r="D96" s="353"/>
      <c r="E96" s="353"/>
      <c r="F96" s="353"/>
      <c r="G96" s="353"/>
      <c r="H96" s="353"/>
      <c r="I96" s="353"/>
      <c r="J96" s="353"/>
      <c r="K96" s="353"/>
      <c r="L96" s="353"/>
      <c r="M96" s="353"/>
      <c r="N96" s="353"/>
      <c r="O96" s="353"/>
      <c r="P96" s="353"/>
      <c r="Q96" s="353"/>
      <c r="R96" s="353"/>
      <c r="S96" s="353"/>
      <c r="T96" s="353"/>
      <c r="U96" s="353"/>
      <c r="V96" s="353"/>
      <c r="W96" s="353"/>
      <c r="X96" s="353"/>
      <c r="Y96" s="353"/>
      <c r="Z96" s="353"/>
    </row>
    <row r="97" ht="12.0" customHeight="1">
      <c r="A97" s="353"/>
      <c r="B97" s="353"/>
      <c r="C97" s="353"/>
      <c r="D97" s="353"/>
      <c r="E97" s="353"/>
      <c r="F97" s="353"/>
      <c r="G97" s="353"/>
      <c r="H97" s="353"/>
      <c r="I97" s="353"/>
      <c r="J97" s="353"/>
      <c r="K97" s="353"/>
      <c r="L97" s="353"/>
      <c r="M97" s="353"/>
      <c r="N97" s="353"/>
      <c r="O97" s="353"/>
      <c r="P97" s="353"/>
      <c r="Q97" s="353"/>
      <c r="R97" s="353"/>
      <c r="S97" s="353"/>
      <c r="T97" s="353"/>
      <c r="U97" s="353"/>
      <c r="V97" s="353"/>
      <c r="W97" s="353"/>
      <c r="X97" s="353"/>
      <c r="Y97" s="353"/>
      <c r="Z97" s="353"/>
    </row>
    <row r="98" ht="12.0" customHeight="1">
      <c r="A98" s="353"/>
      <c r="B98" s="353"/>
      <c r="C98" s="353"/>
      <c r="D98" s="353"/>
      <c r="E98" s="353"/>
      <c r="F98" s="353"/>
      <c r="G98" s="353"/>
      <c r="H98" s="353"/>
      <c r="I98" s="353"/>
      <c r="J98" s="353"/>
      <c r="K98" s="353"/>
      <c r="L98" s="353"/>
      <c r="M98" s="353"/>
      <c r="N98" s="353"/>
      <c r="O98" s="353"/>
      <c r="P98" s="353"/>
      <c r="Q98" s="353"/>
      <c r="R98" s="353"/>
      <c r="S98" s="353"/>
      <c r="T98" s="353"/>
      <c r="U98" s="353"/>
      <c r="V98" s="353"/>
      <c r="W98" s="353"/>
      <c r="X98" s="353"/>
      <c r="Y98" s="353"/>
      <c r="Z98" s="353"/>
    </row>
    <row r="99" ht="12.0" customHeight="1">
      <c r="A99" s="353"/>
      <c r="B99" s="353"/>
      <c r="C99" s="353"/>
      <c r="D99" s="353"/>
      <c r="E99" s="353"/>
      <c r="F99" s="353"/>
      <c r="G99" s="353"/>
      <c r="H99" s="353"/>
      <c r="I99" s="353"/>
      <c r="J99" s="353"/>
      <c r="K99" s="353"/>
      <c r="L99" s="353"/>
      <c r="M99" s="353"/>
      <c r="N99" s="353"/>
      <c r="O99" s="353"/>
      <c r="P99" s="353"/>
      <c r="Q99" s="353"/>
      <c r="R99" s="353"/>
      <c r="S99" s="353"/>
      <c r="T99" s="353"/>
      <c r="U99" s="353"/>
      <c r="V99" s="353"/>
      <c r="W99" s="353"/>
      <c r="X99" s="353"/>
      <c r="Y99" s="353"/>
      <c r="Z99" s="353"/>
    </row>
    <row r="100" ht="12.0" customHeight="1">
      <c r="A100" s="353"/>
      <c r="B100" s="353"/>
      <c r="C100" s="353"/>
      <c r="D100" s="353"/>
      <c r="E100" s="353"/>
      <c r="F100" s="353"/>
      <c r="G100" s="353"/>
      <c r="H100" s="353"/>
      <c r="I100" s="353"/>
      <c r="J100" s="353"/>
      <c r="K100" s="353"/>
      <c r="L100" s="353"/>
      <c r="M100" s="353"/>
      <c r="N100" s="353"/>
      <c r="O100" s="353"/>
      <c r="P100" s="353"/>
      <c r="Q100" s="353"/>
      <c r="R100" s="353"/>
      <c r="S100" s="353"/>
      <c r="T100" s="353"/>
      <c r="U100" s="353"/>
      <c r="V100" s="353"/>
      <c r="W100" s="353"/>
      <c r="X100" s="353"/>
      <c r="Y100" s="353"/>
      <c r="Z100" s="353"/>
    </row>
    <row r="101" ht="12.0" customHeight="1">
      <c r="A101" s="353"/>
      <c r="B101" s="353"/>
      <c r="C101" s="353"/>
      <c r="D101" s="353"/>
      <c r="E101" s="353"/>
      <c r="F101" s="353"/>
      <c r="G101" s="353"/>
      <c r="H101" s="353"/>
      <c r="I101" s="353"/>
      <c r="J101" s="353"/>
      <c r="K101" s="353"/>
      <c r="L101" s="353"/>
      <c r="M101" s="353"/>
      <c r="N101" s="353"/>
      <c r="O101" s="353"/>
      <c r="P101" s="353"/>
      <c r="Q101" s="353"/>
      <c r="R101" s="353"/>
      <c r="S101" s="353"/>
      <c r="T101" s="353"/>
      <c r="U101" s="353"/>
      <c r="V101" s="353"/>
      <c r="W101" s="353"/>
      <c r="X101" s="353"/>
      <c r="Y101" s="353"/>
      <c r="Z101" s="353"/>
    </row>
    <row r="102" ht="12.0" customHeight="1">
      <c r="A102" s="353"/>
      <c r="B102" s="353"/>
      <c r="C102" s="353"/>
      <c r="D102" s="353"/>
      <c r="E102" s="353"/>
      <c r="F102" s="353"/>
      <c r="G102" s="353"/>
      <c r="H102" s="353"/>
      <c r="I102" s="353"/>
      <c r="J102" s="353"/>
      <c r="K102" s="353"/>
      <c r="L102" s="353"/>
      <c r="M102" s="353"/>
      <c r="N102" s="353"/>
      <c r="O102" s="353"/>
      <c r="P102" s="353"/>
      <c r="Q102" s="353"/>
      <c r="R102" s="353"/>
      <c r="S102" s="353"/>
      <c r="T102" s="353"/>
      <c r="U102" s="353"/>
      <c r="V102" s="353"/>
      <c r="W102" s="353"/>
      <c r="X102" s="353"/>
      <c r="Y102" s="353"/>
      <c r="Z102" s="353"/>
    </row>
    <row r="103" ht="12.0" customHeight="1">
      <c r="A103" s="353"/>
      <c r="B103" s="353"/>
      <c r="C103" s="353"/>
      <c r="D103" s="353"/>
      <c r="E103" s="353"/>
      <c r="F103" s="353"/>
      <c r="G103" s="353"/>
      <c r="H103" s="353"/>
      <c r="I103" s="353"/>
      <c r="J103" s="353"/>
      <c r="K103" s="353"/>
      <c r="L103" s="353"/>
      <c r="M103" s="353"/>
      <c r="N103" s="353"/>
      <c r="O103" s="353"/>
      <c r="P103" s="353"/>
      <c r="Q103" s="353"/>
      <c r="R103" s="353"/>
      <c r="S103" s="353"/>
      <c r="T103" s="353"/>
      <c r="U103" s="353"/>
      <c r="V103" s="353"/>
      <c r="W103" s="353"/>
      <c r="X103" s="353"/>
      <c r="Y103" s="353"/>
      <c r="Z103" s="353"/>
    </row>
    <row r="104" ht="12.0" customHeight="1">
      <c r="A104" s="353"/>
      <c r="B104" s="353"/>
      <c r="C104" s="353"/>
      <c r="D104" s="353"/>
      <c r="E104" s="353"/>
      <c r="F104" s="353"/>
      <c r="G104" s="353"/>
      <c r="H104" s="353"/>
      <c r="I104" s="353"/>
      <c r="J104" s="353"/>
      <c r="K104" s="353"/>
      <c r="L104" s="353"/>
      <c r="M104" s="353"/>
      <c r="N104" s="353"/>
      <c r="O104" s="353"/>
      <c r="P104" s="353"/>
      <c r="Q104" s="353"/>
      <c r="R104" s="353"/>
      <c r="S104" s="353"/>
      <c r="T104" s="353"/>
      <c r="U104" s="353"/>
      <c r="V104" s="353"/>
      <c r="W104" s="353"/>
      <c r="X104" s="353"/>
      <c r="Y104" s="353"/>
      <c r="Z104" s="353"/>
    </row>
    <row r="105" ht="12.0" customHeight="1">
      <c r="A105" s="353"/>
      <c r="B105" s="353"/>
      <c r="C105" s="353"/>
      <c r="D105" s="353"/>
      <c r="E105" s="353"/>
      <c r="F105" s="353"/>
      <c r="G105" s="353"/>
      <c r="H105" s="353"/>
      <c r="I105" s="353"/>
      <c r="J105" s="353"/>
      <c r="K105" s="353"/>
      <c r="L105" s="353"/>
      <c r="M105" s="353"/>
      <c r="N105" s="353"/>
      <c r="O105" s="353"/>
      <c r="P105" s="353"/>
      <c r="Q105" s="353"/>
      <c r="R105" s="353"/>
      <c r="S105" s="353"/>
      <c r="T105" s="353"/>
      <c r="U105" s="353"/>
      <c r="V105" s="353"/>
      <c r="W105" s="353"/>
      <c r="X105" s="353"/>
      <c r="Y105" s="353"/>
      <c r="Z105" s="353"/>
    </row>
    <row r="106" ht="12.0" customHeight="1">
      <c r="A106" s="353"/>
      <c r="B106" s="353"/>
      <c r="C106" s="353"/>
      <c r="D106" s="353"/>
      <c r="E106" s="353"/>
      <c r="F106" s="353"/>
      <c r="G106" s="353"/>
      <c r="H106" s="353"/>
      <c r="I106" s="353"/>
      <c r="J106" s="353"/>
      <c r="K106" s="353"/>
      <c r="L106" s="353"/>
      <c r="M106" s="353"/>
      <c r="N106" s="353"/>
      <c r="O106" s="353"/>
      <c r="P106" s="353"/>
      <c r="Q106" s="353"/>
      <c r="R106" s="353"/>
      <c r="S106" s="353"/>
      <c r="T106" s="353"/>
      <c r="U106" s="353"/>
      <c r="V106" s="353"/>
      <c r="W106" s="353"/>
      <c r="X106" s="353"/>
      <c r="Y106" s="353"/>
      <c r="Z106" s="353"/>
    </row>
    <row r="107" ht="12.0" customHeight="1">
      <c r="A107" s="353"/>
      <c r="B107" s="353"/>
      <c r="C107" s="353"/>
      <c r="D107" s="353"/>
      <c r="E107" s="353"/>
      <c r="F107" s="353"/>
      <c r="G107" s="353"/>
      <c r="H107" s="353"/>
      <c r="I107" s="353"/>
      <c r="J107" s="353"/>
      <c r="K107" s="353"/>
      <c r="L107" s="353"/>
      <c r="M107" s="353"/>
      <c r="N107" s="353"/>
      <c r="O107" s="353"/>
      <c r="P107" s="353"/>
      <c r="Q107" s="353"/>
      <c r="R107" s="353"/>
      <c r="S107" s="353"/>
      <c r="T107" s="353"/>
      <c r="U107" s="353"/>
      <c r="V107" s="353"/>
      <c r="W107" s="353"/>
      <c r="X107" s="353"/>
      <c r="Y107" s="353"/>
      <c r="Z107" s="353"/>
    </row>
    <row r="108" ht="12.0" customHeight="1">
      <c r="A108" s="353"/>
      <c r="B108" s="353"/>
      <c r="C108" s="353"/>
      <c r="D108" s="353"/>
      <c r="E108" s="353"/>
      <c r="F108" s="353"/>
      <c r="G108" s="353"/>
      <c r="H108" s="353"/>
      <c r="I108" s="353"/>
      <c r="J108" s="353"/>
      <c r="K108" s="353"/>
      <c r="L108" s="353"/>
      <c r="M108" s="353"/>
      <c r="N108" s="353"/>
      <c r="O108" s="353"/>
      <c r="P108" s="353"/>
      <c r="Q108" s="353"/>
      <c r="R108" s="353"/>
      <c r="S108" s="353"/>
      <c r="T108" s="353"/>
      <c r="U108" s="353"/>
      <c r="V108" s="353"/>
      <c r="W108" s="353"/>
      <c r="X108" s="353"/>
      <c r="Y108" s="353"/>
      <c r="Z108" s="353"/>
    </row>
    <row r="109" ht="12.0" customHeight="1">
      <c r="A109" s="353"/>
      <c r="B109" s="353"/>
      <c r="C109" s="353"/>
      <c r="D109" s="353"/>
      <c r="E109" s="353"/>
      <c r="F109" s="353"/>
      <c r="G109" s="353"/>
      <c r="H109" s="353"/>
      <c r="I109" s="353"/>
      <c r="J109" s="353"/>
      <c r="K109" s="353"/>
      <c r="L109" s="353"/>
      <c r="M109" s="353"/>
      <c r="N109" s="353"/>
      <c r="O109" s="353"/>
      <c r="P109" s="353"/>
      <c r="Q109" s="353"/>
      <c r="R109" s="353"/>
      <c r="S109" s="353"/>
      <c r="T109" s="353"/>
      <c r="U109" s="353"/>
      <c r="V109" s="353"/>
      <c r="W109" s="353"/>
      <c r="X109" s="353"/>
      <c r="Y109" s="353"/>
      <c r="Z109" s="353"/>
    </row>
    <row r="110" ht="12.0" customHeight="1">
      <c r="A110" s="353"/>
      <c r="B110" s="353"/>
      <c r="C110" s="353"/>
      <c r="D110" s="353"/>
      <c r="E110" s="353"/>
      <c r="F110" s="353"/>
      <c r="G110" s="353"/>
      <c r="H110" s="353"/>
      <c r="I110" s="353"/>
      <c r="J110" s="353"/>
      <c r="K110" s="353"/>
      <c r="L110" s="353"/>
      <c r="M110" s="353"/>
      <c r="N110" s="353"/>
      <c r="O110" s="353"/>
      <c r="P110" s="353"/>
      <c r="Q110" s="353"/>
      <c r="R110" s="353"/>
      <c r="S110" s="353"/>
      <c r="T110" s="353"/>
      <c r="U110" s="353"/>
      <c r="V110" s="353"/>
      <c r="W110" s="353"/>
      <c r="X110" s="353"/>
      <c r="Y110" s="353"/>
      <c r="Z110" s="353"/>
    </row>
    <row r="111" ht="12.0" customHeight="1">
      <c r="A111" s="353"/>
      <c r="B111" s="353"/>
      <c r="C111" s="353"/>
      <c r="D111" s="353"/>
      <c r="E111" s="353"/>
      <c r="F111" s="353"/>
      <c r="G111" s="353"/>
      <c r="H111" s="353"/>
      <c r="I111" s="353"/>
      <c r="J111" s="353"/>
      <c r="K111" s="353"/>
      <c r="L111" s="353"/>
      <c r="M111" s="353"/>
      <c r="N111" s="353"/>
      <c r="O111" s="353"/>
      <c r="P111" s="353"/>
      <c r="Q111" s="353"/>
      <c r="R111" s="353"/>
      <c r="S111" s="353"/>
      <c r="T111" s="353"/>
      <c r="U111" s="353"/>
      <c r="V111" s="353"/>
      <c r="W111" s="353"/>
      <c r="X111" s="353"/>
      <c r="Y111" s="353"/>
      <c r="Z111" s="353"/>
    </row>
    <row r="112" ht="12.0" customHeight="1">
      <c r="A112" s="353"/>
      <c r="B112" s="353"/>
      <c r="C112" s="353"/>
      <c r="D112" s="353"/>
      <c r="E112" s="353"/>
      <c r="F112" s="353"/>
      <c r="G112" s="353"/>
      <c r="H112" s="353"/>
      <c r="I112" s="353"/>
      <c r="J112" s="353"/>
      <c r="K112" s="353"/>
      <c r="L112" s="353"/>
      <c r="M112" s="353"/>
      <c r="N112" s="353"/>
      <c r="O112" s="353"/>
      <c r="P112" s="353"/>
      <c r="Q112" s="353"/>
      <c r="R112" s="353"/>
      <c r="S112" s="353"/>
      <c r="T112" s="353"/>
      <c r="U112" s="353"/>
      <c r="V112" s="353"/>
      <c r="W112" s="353"/>
      <c r="X112" s="353"/>
      <c r="Y112" s="353"/>
      <c r="Z112" s="353"/>
    </row>
    <row r="113" ht="12.0" customHeight="1">
      <c r="A113" s="353"/>
      <c r="B113" s="353"/>
      <c r="C113" s="353"/>
      <c r="D113" s="353"/>
      <c r="E113" s="353"/>
      <c r="F113" s="353"/>
      <c r="G113" s="353"/>
      <c r="H113" s="353"/>
      <c r="I113" s="353"/>
      <c r="J113" s="353"/>
      <c r="K113" s="353"/>
      <c r="L113" s="353"/>
      <c r="M113" s="353"/>
      <c r="N113" s="353"/>
      <c r="O113" s="353"/>
      <c r="P113" s="353"/>
      <c r="Q113" s="353"/>
      <c r="R113" s="353"/>
      <c r="S113" s="353"/>
      <c r="T113" s="353"/>
      <c r="U113" s="353"/>
      <c r="V113" s="353"/>
      <c r="W113" s="353"/>
      <c r="X113" s="353"/>
      <c r="Y113" s="353"/>
      <c r="Z113" s="353"/>
    </row>
    <row r="114" ht="12.0" customHeight="1">
      <c r="A114" s="353"/>
      <c r="B114" s="353"/>
      <c r="C114" s="353"/>
      <c r="D114" s="353"/>
      <c r="E114" s="353"/>
      <c r="F114" s="353"/>
      <c r="G114" s="353"/>
      <c r="H114" s="353"/>
      <c r="I114" s="353"/>
      <c r="J114" s="353"/>
      <c r="K114" s="353"/>
      <c r="L114" s="353"/>
      <c r="M114" s="353"/>
      <c r="N114" s="353"/>
      <c r="O114" s="353"/>
      <c r="P114" s="353"/>
      <c r="Q114" s="353"/>
      <c r="R114" s="353"/>
      <c r="S114" s="353"/>
      <c r="T114" s="353"/>
      <c r="U114" s="353"/>
      <c r="V114" s="353"/>
      <c r="W114" s="353"/>
      <c r="X114" s="353"/>
      <c r="Y114" s="353"/>
      <c r="Z114" s="353"/>
    </row>
    <row r="115" ht="12.0" customHeight="1">
      <c r="A115" s="353"/>
      <c r="B115" s="353"/>
      <c r="C115" s="353"/>
      <c r="D115" s="353"/>
      <c r="E115" s="353"/>
      <c r="F115" s="353"/>
      <c r="G115" s="353"/>
      <c r="H115" s="353"/>
      <c r="I115" s="353"/>
      <c r="J115" s="353"/>
      <c r="K115" s="353"/>
      <c r="L115" s="353"/>
      <c r="M115" s="353"/>
      <c r="N115" s="353"/>
      <c r="O115" s="353"/>
      <c r="P115" s="353"/>
      <c r="Q115" s="353"/>
      <c r="R115" s="353"/>
      <c r="S115" s="353"/>
      <c r="T115" s="353"/>
      <c r="U115" s="353"/>
      <c r="V115" s="353"/>
      <c r="W115" s="353"/>
      <c r="X115" s="353"/>
      <c r="Y115" s="353"/>
      <c r="Z115" s="353"/>
    </row>
    <row r="116" ht="12.0" customHeight="1">
      <c r="A116" s="353"/>
      <c r="B116" s="353"/>
      <c r="C116" s="353"/>
      <c r="D116" s="353"/>
      <c r="E116" s="353"/>
      <c r="F116" s="353"/>
      <c r="G116" s="353"/>
      <c r="H116" s="353"/>
      <c r="I116" s="353"/>
      <c r="J116" s="353"/>
      <c r="K116" s="353"/>
      <c r="L116" s="353"/>
      <c r="M116" s="353"/>
      <c r="N116" s="353"/>
      <c r="O116" s="353"/>
      <c r="P116" s="353"/>
      <c r="Q116" s="353"/>
      <c r="R116" s="353"/>
      <c r="S116" s="353"/>
      <c r="T116" s="353"/>
      <c r="U116" s="353"/>
      <c r="V116" s="353"/>
      <c r="W116" s="353"/>
      <c r="X116" s="353"/>
      <c r="Y116" s="353"/>
      <c r="Z116" s="353"/>
    </row>
    <row r="117" ht="12.0" customHeight="1">
      <c r="A117" s="353"/>
      <c r="B117" s="353"/>
      <c r="C117" s="353"/>
      <c r="D117" s="353"/>
      <c r="E117" s="353"/>
      <c r="F117" s="353"/>
      <c r="G117" s="353"/>
      <c r="H117" s="353"/>
      <c r="I117" s="353"/>
      <c r="J117" s="353"/>
      <c r="K117" s="353"/>
      <c r="L117" s="353"/>
      <c r="M117" s="353"/>
      <c r="N117" s="353"/>
      <c r="O117" s="353"/>
      <c r="P117" s="353"/>
      <c r="Q117" s="353"/>
      <c r="R117" s="353"/>
      <c r="S117" s="353"/>
      <c r="T117" s="353"/>
      <c r="U117" s="353"/>
      <c r="V117" s="353"/>
      <c r="W117" s="353"/>
      <c r="X117" s="353"/>
      <c r="Y117" s="353"/>
      <c r="Z117" s="353"/>
    </row>
    <row r="118" ht="12.0" customHeight="1">
      <c r="A118" s="353"/>
      <c r="B118" s="353"/>
      <c r="C118" s="353"/>
      <c r="D118" s="353"/>
      <c r="E118" s="353"/>
      <c r="F118" s="353"/>
      <c r="G118" s="353"/>
      <c r="H118" s="353"/>
      <c r="I118" s="353"/>
      <c r="J118" s="353"/>
      <c r="K118" s="353"/>
      <c r="L118" s="353"/>
      <c r="M118" s="353"/>
      <c r="N118" s="353"/>
      <c r="O118" s="353"/>
      <c r="P118" s="353"/>
      <c r="Q118" s="353"/>
      <c r="R118" s="353"/>
      <c r="S118" s="353"/>
      <c r="T118" s="353"/>
      <c r="U118" s="353"/>
      <c r="V118" s="353"/>
      <c r="W118" s="353"/>
      <c r="X118" s="353"/>
      <c r="Y118" s="353"/>
      <c r="Z118" s="353"/>
    </row>
    <row r="119" ht="12.0" customHeight="1">
      <c r="A119" s="353"/>
      <c r="B119" s="353"/>
      <c r="C119" s="353"/>
      <c r="D119" s="353"/>
      <c r="E119" s="353"/>
      <c r="F119" s="353"/>
      <c r="G119" s="353"/>
      <c r="H119" s="353"/>
      <c r="I119" s="353"/>
      <c r="J119" s="353"/>
      <c r="K119" s="353"/>
      <c r="L119" s="353"/>
      <c r="M119" s="353"/>
      <c r="N119" s="353"/>
      <c r="O119" s="353"/>
      <c r="P119" s="353"/>
      <c r="Q119" s="353"/>
      <c r="R119" s="353"/>
      <c r="S119" s="353"/>
      <c r="T119" s="353"/>
      <c r="U119" s="353"/>
      <c r="V119" s="353"/>
      <c r="W119" s="353"/>
      <c r="X119" s="353"/>
      <c r="Y119" s="353"/>
      <c r="Z119" s="353"/>
    </row>
    <row r="120" ht="12.0" customHeight="1">
      <c r="A120" s="353"/>
      <c r="B120" s="353"/>
      <c r="C120" s="353"/>
      <c r="D120" s="353"/>
      <c r="E120" s="353"/>
      <c r="F120" s="353"/>
      <c r="G120" s="353"/>
      <c r="H120" s="353"/>
      <c r="I120" s="353"/>
      <c r="J120" s="353"/>
      <c r="K120" s="353"/>
      <c r="L120" s="353"/>
      <c r="M120" s="353"/>
      <c r="N120" s="353"/>
      <c r="O120" s="353"/>
      <c r="P120" s="353"/>
      <c r="Q120" s="353"/>
      <c r="R120" s="353"/>
      <c r="S120" s="353"/>
      <c r="T120" s="353"/>
      <c r="U120" s="353"/>
      <c r="V120" s="353"/>
      <c r="W120" s="353"/>
      <c r="X120" s="353"/>
      <c r="Y120" s="353"/>
      <c r="Z120" s="353"/>
    </row>
    <row r="121" ht="12.0" customHeight="1">
      <c r="A121" s="353"/>
      <c r="B121" s="353"/>
      <c r="C121" s="353"/>
      <c r="D121" s="353"/>
      <c r="E121" s="353"/>
      <c r="F121" s="353"/>
      <c r="G121" s="353"/>
      <c r="H121" s="353"/>
      <c r="I121" s="353"/>
      <c r="J121" s="353"/>
      <c r="K121" s="353"/>
      <c r="L121" s="353"/>
      <c r="M121" s="353"/>
      <c r="N121" s="353"/>
      <c r="O121" s="353"/>
      <c r="P121" s="353"/>
      <c r="Q121" s="353"/>
      <c r="R121" s="353"/>
      <c r="S121" s="353"/>
      <c r="T121" s="353"/>
      <c r="U121" s="353"/>
      <c r="V121" s="353"/>
      <c r="W121" s="353"/>
      <c r="X121" s="353"/>
      <c r="Y121" s="353"/>
      <c r="Z121" s="353"/>
    </row>
    <row r="122" ht="12.0" customHeight="1">
      <c r="A122" s="353"/>
      <c r="B122" s="353"/>
      <c r="C122" s="353"/>
      <c r="D122" s="353"/>
      <c r="E122" s="353"/>
      <c r="F122" s="353"/>
      <c r="G122" s="353"/>
      <c r="H122" s="353"/>
      <c r="I122" s="353"/>
      <c r="J122" s="353"/>
      <c r="K122" s="353"/>
      <c r="L122" s="353"/>
      <c r="M122" s="353"/>
      <c r="N122" s="353"/>
      <c r="O122" s="353"/>
      <c r="P122" s="353"/>
      <c r="Q122" s="353"/>
      <c r="R122" s="353"/>
      <c r="S122" s="353"/>
      <c r="T122" s="353"/>
      <c r="U122" s="353"/>
      <c r="V122" s="353"/>
      <c r="W122" s="353"/>
      <c r="X122" s="353"/>
      <c r="Y122" s="353"/>
      <c r="Z122" s="353"/>
    </row>
    <row r="123" ht="12.0" customHeight="1">
      <c r="A123" s="353"/>
      <c r="B123" s="353"/>
      <c r="C123" s="353"/>
      <c r="D123" s="353"/>
      <c r="E123" s="353"/>
      <c r="F123" s="353"/>
      <c r="G123" s="353"/>
      <c r="H123" s="353"/>
      <c r="I123" s="353"/>
      <c r="J123" s="353"/>
      <c r="K123" s="353"/>
      <c r="L123" s="353"/>
      <c r="M123" s="353"/>
      <c r="N123" s="353"/>
      <c r="O123" s="353"/>
      <c r="P123" s="353"/>
      <c r="Q123" s="353"/>
      <c r="R123" s="353"/>
      <c r="S123" s="353"/>
      <c r="T123" s="353"/>
      <c r="U123" s="353"/>
      <c r="V123" s="353"/>
      <c r="W123" s="353"/>
      <c r="X123" s="353"/>
      <c r="Y123" s="353"/>
      <c r="Z123" s="353"/>
    </row>
    <row r="124" ht="12.0" customHeight="1">
      <c r="A124" s="353"/>
      <c r="B124" s="353"/>
      <c r="C124" s="353"/>
      <c r="D124" s="353"/>
      <c r="E124" s="353"/>
      <c r="F124" s="353"/>
      <c r="G124" s="353"/>
      <c r="H124" s="353"/>
      <c r="I124" s="353"/>
      <c r="J124" s="353"/>
      <c r="K124" s="353"/>
      <c r="L124" s="353"/>
      <c r="M124" s="353"/>
      <c r="N124" s="353"/>
      <c r="O124" s="353"/>
      <c r="P124" s="353"/>
      <c r="Q124" s="353"/>
      <c r="R124" s="353"/>
      <c r="S124" s="353"/>
      <c r="T124" s="353"/>
      <c r="U124" s="353"/>
      <c r="V124" s="353"/>
      <c r="W124" s="353"/>
      <c r="X124" s="353"/>
      <c r="Y124" s="353"/>
      <c r="Z124" s="353"/>
    </row>
    <row r="125" ht="12.0" customHeight="1">
      <c r="A125" s="353"/>
      <c r="B125" s="353"/>
      <c r="C125" s="353"/>
      <c r="D125" s="353"/>
      <c r="E125" s="353"/>
      <c r="F125" s="353"/>
      <c r="G125" s="353"/>
      <c r="H125" s="353"/>
      <c r="I125" s="353"/>
      <c r="J125" s="353"/>
      <c r="K125" s="353"/>
      <c r="L125" s="353"/>
      <c r="M125" s="353"/>
      <c r="N125" s="353"/>
      <c r="O125" s="353"/>
      <c r="P125" s="353"/>
      <c r="Q125" s="353"/>
      <c r="R125" s="353"/>
      <c r="S125" s="353"/>
      <c r="T125" s="353"/>
      <c r="U125" s="353"/>
      <c r="V125" s="353"/>
      <c r="W125" s="353"/>
      <c r="X125" s="353"/>
      <c r="Y125" s="353"/>
      <c r="Z125" s="353"/>
    </row>
    <row r="126" ht="12.0" customHeight="1">
      <c r="A126" s="353"/>
      <c r="B126" s="353"/>
      <c r="C126" s="353"/>
      <c r="D126" s="353"/>
      <c r="E126" s="353"/>
      <c r="F126" s="353"/>
      <c r="G126" s="353"/>
      <c r="H126" s="353"/>
      <c r="I126" s="353"/>
      <c r="J126" s="353"/>
      <c r="K126" s="353"/>
      <c r="L126" s="353"/>
      <c r="M126" s="353"/>
      <c r="N126" s="353"/>
      <c r="O126" s="353"/>
      <c r="P126" s="353"/>
      <c r="Q126" s="353"/>
      <c r="R126" s="353"/>
      <c r="S126" s="353"/>
      <c r="T126" s="353"/>
      <c r="U126" s="353"/>
      <c r="V126" s="353"/>
      <c r="W126" s="353"/>
      <c r="X126" s="353"/>
      <c r="Y126" s="353"/>
      <c r="Z126" s="353"/>
    </row>
    <row r="127" ht="12.0" customHeight="1">
      <c r="A127" s="353"/>
      <c r="B127" s="353"/>
      <c r="C127" s="353"/>
      <c r="D127" s="353"/>
      <c r="E127" s="353"/>
      <c r="F127" s="353"/>
      <c r="G127" s="353"/>
      <c r="H127" s="353"/>
      <c r="I127" s="353"/>
      <c r="J127" s="353"/>
      <c r="K127" s="353"/>
      <c r="L127" s="353"/>
      <c r="M127" s="353"/>
      <c r="N127" s="353"/>
      <c r="O127" s="353"/>
      <c r="P127" s="353"/>
      <c r="Q127" s="353"/>
      <c r="R127" s="353"/>
      <c r="S127" s="353"/>
      <c r="T127" s="353"/>
      <c r="U127" s="353"/>
      <c r="V127" s="353"/>
      <c r="W127" s="353"/>
      <c r="X127" s="353"/>
      <c r="Y127" s="353"/>
      <c r="Z127" s="353"/>
    </row>
    <row r="128" ht="12.0" customHeight="1">
      <c r="A128" s="353"/>
      <c r="B128" s="353"/>
      <c r="C128" s="353"/>
      <c r="D128" s="353"/>
      <c r="E128" s="353"/>
      <c r="F128" s="353"/>
      <c r="G128" s="353"/>
      <c r="H128" s="353"/>
      <c r="I128" s="353"/>
      <c r="J128" s="353"/>
      <c r="K128" s="353"/>
      <c r="L128" s="353"/>
      <c r="M128" s="353"/>
      <c r="N128" s="353"/>
      <c r="O128" s="353"/>
      <c r="P128" s="353"/>
      <c r="Q128" s="353"/>
      <c r="R128" s="353"/>
      <c r="S128" s="353"/>
      <c r="T128" s="353"/>
      <c r="U128" s="353"/>
      <c r="V128" s="353"/>
      <c r="W128" s="353"/>
      <c r="X128" s="353"/>
      <c r="Y128" s="353"/>
      <c r="Z128" s="353"/>
    </row>
    <row r="129" ht="12.0" customHeight="1">
      <c r="A129" s="353"/>
      <c r="B129" s="353"/>
      <c r="C129" s="353"/>
      <c r="D129" s="353"/>
      <c r="E129" s="353"/>
      <c r="F129" s="353"/>
      <c r="G129" s="353"/>
      <c r="H129" s="353"/>
      <c r="I129" s="353"/>
      <c r="J129" s="353"/>
      <c r="K129" s="353"/>
      <c r="L129" s="353"/>
      <c r="M129" s="353"/>
      <c r="N129" s="353"/>
      <c r="O129" s="353"/>
      <c r="P129" s="353"/>
      <c r="Q129" s="353"/>
      <c r="R129" s="353"/>
      <c r="S129" s="353"/>
      <c r="T129" s="353"/>
      <c r="U129" s="353"/>
      <c r="V129" s="353"/>
      <c r="W129" s="353"/>
      <c r="X129" s="353"/>
      <c r="Y129" s="353"/>
      <c r="Z129" s="353"/>
    </row>
    <row r="130" ht="12.0" customHeight="1">
      <c r="A130" s="353"/>
      <c r="B130" s="353"/>
      <c r="C130" s="353"/>
      <c r="D130" s="353"/>
      <c r="E130" s="353"/>
      <c r="F130" s="353"/>
      <c r="G130" s="353"/>
      <c r="H130" s="353"/>
      <c r="I130" s="353"/>
      <c r="J130" s="353"/>
      <c r="K130" s="353"/>
      <c r="L130" s="353"/>
      <c r="M130" s="353"/>
      <c r="N130" s="353"/>
      <c r="O130" s="353"/>
      <c r="P130" s="353"/>
      <c r="Q130" s="353"/>
      <c r="R130" s="353"/>
      <c r="S130" s="353"/>
      <c r="T130" s="353"/>
      <c r="U130" s="353"/>
      <c r="V130" s="353"/>
      <c r="W130" s="353"/>
      <c r="X130" s="353"/>
      <c r="Y130" s="353"/>
      <c r="Z130" s="353"/>
    </row>
    <row r="131" ht="12.0" customHeight="1">
      <c r="A131" s="353"/>
      <c r="B131" s="353"/>
      <c r="C131" s="353"/>
      <c r="D131" s="353"/>
      <c r="E131" s="353"/>
      <c r="F131" s="353"/>
      <c r="G131" s="353"/>
      <c r="H131" s="353"/>
      <c r="I131" s="353"/>
      <c r="J131" s="353"/>
      <c r="K131" s="353"/>
      <c r="L131" s="353"/>
      <c r="M131" s="353"/>
      <c r="N131" s="353"/>
      <c r="O131" s="353"/>
      <c r="P131" s="353"/>
      <c r="Q131" s="353"/>
      <c r="R131" s="353"/>
      <c r="S131" s="353"/>
      <c r="T131" s="353"/>
      <c r="U131" s="353"/>
      <c r="V131" s="353"/>
      <c r="W131" s="353"/>
      <c r="X131" s="353"/>
      <c r="Y131" s="353"/>
      <c r="Z131" s="353"/>
    </row>
    <row r="132" ht="12.0" customHeight="1">
      <c r="A132" s="353"/>
      <c r="B132" s="353"/>
      <c r="C132" s="353"/>
      <c r="D132" s="353"/>
      <c r="E132" s="353"/>
      <c r="F132" s="353"/>
      <c r="G132" s="353"/>
      <c r="H132" s="353"/>
      <c r="I132" s="353"/>
      <c r="J132" s="353"/>
      <c r="K132" s="353"/>
      <c r="L132" s="353"/>
      <c r="M132" s="353"/>
      <c r="N132" s="353"/>
      <c r="O132" s="353"/>
      <c r="P132" s="353"/>
      <c r="Q132" s="353"/>
      <c r="R132" s="353"/>
      <c r="S132" s="353"/>
      <c r="T132" s="353"/>
      <c r="U132" s="353"/>
      <c r="V132" s="353"/>
      <c r="W132" s="353"/>
      <c r="X132" s="353"/>
      <c r="Y132" s="353"/>
      <c r="Z132" s="353"/>
    </row>
    <row r="133" ht="12.0" customHeight="1">
      <c r="A133" s="353"/>
      <c r="B133" s="353"/>
      <c r="C133" s="353"/>
      <c r="D133" s="353"/>
      <c r="E133" s="353"/>
      <c r="F133" s="353"/>
      <c r="G133" s="353"/>
      <c r="H133" s="353"/>
      <c r="I133" s="353"/>
      <c r="J133" s="353"/>
      <c r="K133" s="353"/>
      <c r="L133" s="353"/>
      <c r="M133" s="353"/>
      <c r="N133" s="353"/>
      <c r="O133" s="353"/>
      <c r="P133" s="353"/>
      <c r="Q133" s="353"/>
      <c r="R133" s="353"/>
      <c r="S133" s="353"/>
      <c r="T133" s="353"/>
      <c r="U133" s="353"/>
      <c r="V133" s="353"/>
      <c r="W133" s="353"/>
      <c r="X133" s="353"/>
      <c r="Y133" s="353"/>
      <c r="Z133" s="353"/>
    </row>
    <row r="134" ht="12.0" customHeight="1">
      <c r="A134" s="353"/>
      <c r="B134" s="353"/>
      <c r="C134" s="353"/>
      <c r="D134" s="353"/>
      <c r="E134" s="353"/>
      <c r="F134" s="353"/>
      <c r="G134" s="353"/>
      <c r="H134" s="353"/>
      <c r="I134" s="353"/>
      <c r="J134" s="353"/>
      <c r="K134" s="353"/>
      <c r="L134" s="353"/>
      <c r="M134" s="353"/>
      <c r="N134" s="353"/>
      <c r="O134" s="353"/>
      <c r="P134" s="353"/>
      <c r="Q134" s="353"/>
      <c r="R134" s="353"/>
      <c r="S134" s="353"/>
      <c r="T134" s="353"/>
      <c r="U134" s="353"/>
      <c r="V134" s="353"/>
      <c r="W134" s="353"/>
      <c r="X134" s="353"/>
      <c r="Y134" s="353"/>
      <c r="Z134" s="353"/>
    </row>
    <row r="135" ht="12.0" customHeight="1">
      <c r="A135" s="353"/>
      <c r="B135" s="353"/>
      <c r="C135" s="353"/>
      <c r="D135" s="353"/>
      <c r="E135" s="353"/>
      <c r="F135" s="353"/>
      <c r="G135" s="353"/>
      <c r="H135" s="353"/>
      <c r="I135" s="353"/>
      <c r="J135" s="353"/>
      <c r="K135" s="353"/>
      <c r="L135" s="353"/>
      <c r="M135" s="353"/>
      <c r="N135" s="353"/>
      <c r="O135" s="353"/>
      <c r="P135" s="353"/>
      <c r="Q135" s="353"/>
      <c r="R135" s="353"/>
      <c r="S135" s="353"/>
      <c r="T135" s="353"/>
      <c r="U135" s="353"/>
      <c r="V135" s="353"/>
      <c r="W135" s="353"/>
      <c r="X135" s="353"/>
      <c r="Y135" s="353"/>
      <c r="Z135" s="353"/>
    </row>
    <row r="136" ht="12.0" customHeight="1">
      <c r="A136" s="353"/>
      <c r="B136" s="353"/>
      <c r="C136" s="353"/>
      <c r="D136" s="353"/>
      <c r="E136" s="353"/>
      <c r="F136" s="353"/>
      <c r="G136" s="353"/>
      <c r="H136" s="353"/>
      <c r="I136" s="353"/>
      <c r="J136" s="353"/>
      <c r="K136" s="353"/>
      <c r="L136" s="353"/>
      <c r="M136" s="353"/>
      <c r="N136" s="353"/>
      <c r="O136" s="353"/>
      <c r="P136" s="353"/>
      <c r="Q136" s="353"/>
      <c r="R136" s="353"/>
      <c r="S136" s="353"/>
      <c r="T136" s="353"/>
      <c r="U136" s="353"/>
      <c r="V136" s="353"/>
      <c r="W136" s="353"/>
      <c r="X136" s="353"/>
      <c r="Y136" s="353"/>
      <c r="Z136" s="353"/>
    </row>
    <row r="137" ht="12.0" customHeight="1">
      <c r="A137" s="353"/>
      <c r="B137" s="353"/>
      <c r="C137" s="353"/>
      <c r="D137" s="353"/>
      <c r="E137" s="353"/>
      <c r="F137" s="353"/>
      <c r="G137" s="353"/>
      <c r="H137" s="353"/>
      <c r="I137" s="353"/>
      <c r="J137" s="353"/>
      <c r="K137" s="353"/>
      <c r="L137" s="353"/>
      <c r="M137" s="353"/>
      <c r="N137" s="353"/>
      <c r="O137" s="353"/>
      <c r="P137" s="353"/>
      <c r="Q137" s="353"/>
      <c r="R137" s="353"/>
      <c r="S137" s="353"/>
      <c r="T137" s="353"/>
      <c r="U137" s="353"/>
      <c r="V137" s="353"/>
      <c r="W137" s="353"/>
      <c r="X137" s="353"/>
      <c r="Y137" s="353"/>
      <c r="Z137" s="353"/>
    </row>
    <row r="138" ht="12.0" customHeight="1">
      <c r="A138" s="353"/>
      <c r="B138" s="353"/>
      <c r="C138" s="353"/>
      <c r="D138" s="353"/>
      <c r="E138" s="353"/>
      <c r="F138" s="353"/>
      <c r="G138" s="353"/>
      <c r="H138" s="353"/>
      <c r="I138" s="353"/>
      <c r="J138" s="353"/>
      <c r="K138" s="353"/>
      <c r="L138" s="353"/>
      <c r="M138" s="353"/>
      <c r="N138" s="353"/>
      <c r="O138" s="353"/>
      <c r="P138" s="353"/>
      <c r="Q138" s="353"/>
      <c r="R138" s="353"/>
      <c r="S138" s="353"/>
      <c r="T138" s="353"/>
      <c r="U138" s="353"/>
      <c r="V138" s="353"/>
      <c r="W138" s="353"/>
      <c r="X138" s="353"/>
      <c r="Y138" s="353"/>
      <c r="Z138" s="353"/>
    </row>
    <row r="139" ht="12.0" customHeight="1">
      <c r="A139" s="353"/>
      <c r="B139" s="353"/>
      <c r="C139" s="353"/>
      <c r="D139" s="353"/>
      <c r="E139" s="353"/>
      <c r="F139" s="353"/>
      <c r="G139" s="353"/>
      <c r="H139" s="353"/>
      <c r="I139" s="353"/>
      <c r="J139" s="353"/>
      <c r="K139" s="353"/>
      <c r="L139" s="353"/>
      <c r="M139" s="353"/>
      <c r="N139" s="353"/>
      <c r="O139" s="353"/>
      <c r="P139" s="353"/>
      <c r="Q139" s="353"/>
      <c r="R139" s="353"/>
      <c r="S139" s="353"/>
      <c r="T139" s="353"/>
      <c r="U139" s="353"/>
      <c r="V139" s="353"/>
      <c r="W139" s="353"/>
      <c r="X139" s="353"/>
      <c r="Y139" s="353"/>
      <c r="Z139" s="353"/>
    </row>
    <row r="140" ht="12.0" customHeight="1">
      <c r="A140" s="353"/>
      <c r="B140" s="353"/>
      <c r="C140" s="353"/>
      <c r="D140" s="353"/>
      <c r="E140" s="353"/>
      <c r="F140" s="353"/>
      <c r="G140" s="353"/>
      <c r="H140" s="353"/>
      <c r="I140" s="353"/>
      <c r="J140" s="353"/>
      <c r="K140" s="353"/>
      <c r="L140" s="353"/>
      <c r="M140" s="353"/>
      <c r="N140" s="353"/>
      <c r="O140" s="353"/>
      <c r="P140" s="353"/>
      <c r="Q140" s="353"/>
      <c r="R140" s="353"/>
      <c r="S140" s="353"/>
      <c r="T140" s="353"/>
      <c r="U140" s="353"/>
      <c r="V140" s="353"/>
      <c r="W140" s="353"/>
      <c r="X140" s="353"/>
      <c r="Y140" s="353"/>
      <c r="Z140" s="353"/>
    </row>
    <row r="141" ht="12.0" customHeight="1">
      <c r="A141" s="353"/>
      <c r="B141" s="353"/>
      <c r="C141" s="353"/>
      <c r="D141" s="353"/>
      <c r="E141" s="353"/>
      <c r="F141" s="353"/>
      <c r="G141" s="353"/>
      <c r="H141" s="353"/>
      <c r="I141" s="353"/>
      <c r="J141" s="353"/>
      <c r="K141" s="353"/>
      <c r="L141" s="353"/>
      <c r="M141" s="353"/>
      <c r="N141" s="353"/>
      <c r="O141" s="353"/>
      <c r="P141" s="353"/>
      <c r="Q141" s="353"/>
      <c r="R141" s="353"/>
      <c r="S141" s="353"/>
      <c r="T141" s="353"/>
      <c r="U141" s="353"/>
      <c r="V141" s="353"/>
      <c r="W141" s="353"/>
      <c r="X141" s="353"/>
      <c r="Y141" s="353"/>
      <c r="Z141" s="353"/>
    </row>
    <row r="142" ht="12.0" customHeight="1">
      <c r="A142" s="353"/>
      <c r="B142" s="353"/>
      <c r="C142" s="353"/>
      <c r="D142" s="353"/>
      <c r="E142" s="353"/>
      <c r="F142" s="353"/>
      <c r="G142" s="353"/>
      <c r="H142" s="353"/>
      <c r="I142" s="353"/>
      <c r="J142" s="353"/>
      <c r="K142" s="353"/>
      <c r="L142" s="353"/>
      <c r="M142" s="353"/>
      <c r="N142" s="353"/>
      <c r="O142" s="353"/>
      <c r="P142" s="353"/>
      <c r="Q142" s="353"/>
      <c r="R142" s="353"/>
      <c r="S142" s="353"/>
      <c r="T142" s="353"/>
      <c r="U142" s="353"/>
      <c r="V142" s="353"/>
      <c r="W142" s="353"/>
      <c r="X142" s="353"/>
      <c r="Y142" s="353"/>
      <c r="Z142" s="353"/>
    </row>
    <row r="143" ht="12.0" customHeight="1">
      <c r="A143" s="353"/>
      <c r="B143" s="353"/>
      <c r="C143" s="353"/>
      <c r="D143" s="353"/>
      <c r="E143" s="353"/>
      <c r="F143" s="353"/>
      <c r="G143" s="353"/>
      <c r="H143" s="353"/>
      <c r="I143" s="353"/>
      <c r="J143" s="353"/>
      <c r="K143" s="353"/>
      <c r="L143" s="353"/>
      <c r="M143" s="353"/>
      <c r="N143" s="353"/>
      <c r="O143" s="353"/>
      <c r="P143" s="353"/>
      <c r="Q143" s="353"/>
      <c r="R143" s="353"/>
      <c r="S143" s="353"/>
      <c r="T143" s="353"/>
      <c r="U143" s="353"/>
      <c r="V143" s="353"/>
      <c r="W143" s="353"/>
      <c r="X143" s="353"/>
      <c r="Y143" s="353"/>
      <c r="Z143" s="353"/>
    </row>
    <row r="144" ht="12.0" customHeight="1">
      <c r="A144" s="353"/>
      <c r="B144" s="353"/>
      <c r="C144" s="353"/>
      <c r="D144" s="353"/>
      <c r="E144" s="353"/>
      <c r="F144" s="353"/>
      <c r="G144" s="353"/>
      <c r="H144" s="353"/>
      <c r="I144" s="353"/>
      <c r="J144" s="353"/>
      <c r="K144" s="353"/>
      <c r="L144" s="353"/>
      <c r="M144" s="353"/>
      <c r="N144" s="353"/>
      <c r="O144" s="353"/>
      <c r="P144" s="353"/>
      <c r="Q144" s="353"/>
      <c r="R144" s="353"/>
      <c r="S144" s="353"/>
      <c r="T144" s="353"/>
      <c r="U144" s="353"/>
      <c r="V144" s="353"/>
      <c r="W144" s="353"/>
      <c r="X144" s="353"/>
      <c r="Y144" s="353"/>
      <c r="Z144" s="353"/>
    </row>
    <row r="145" ht="12.0" customHeight="1">
      <c r="A145" s="353"/>
      <c r="B145" s="353"/>
      <c r="C145" s="353"/>
      <c r="D145" s="353"/>
      <c r="E145" s="353"/>
      <c r="F145" s="353"/>
      <c r="G145" s="353"/>
      <c r="H145" s="353"/>
      <c r="I145" s="353"/>
      <c r="J145" s="353"/>
      <c r="K145" s="353"/>
      <c r="L145" s="353"/>
      <c r="M145" s="353"/>
      <c r="N145" s="353"/>
      <c r="O145" s="353"/>
      <c r="P145" s="353"/>
      <c r="Q145" s="353"/>
      <c r="R145" s="353"/>
      <c r="S145" s="353"/>
      <c r="T145" s="353"/>
      <c r="U145" s="353"/>
      <c r="V145" s="353"/>
      <c r="W145" s="353"/>
      <c r="X145" s="353"/>
      <c r="Y145" s="353"/>
      <c r="Z145" s="353"/>
    </row>
    <row r="146" ht="12.0" customHeight="1">
      <c r="A146" s="353"/>
      <c r="B146" s="353"/>
      <c r="C146" s="353"/>
      <c r="D146" s="353"/>
      <c r="E146" s="353"/>
      <c r="F146" s="353"/>
      <c r="G146" s="353"/>
      <c r="H146" s="353"/>
      <c r="I146" s="353"/>
      <c r="J146" s="353"/>
      <c r="K146" s="353"/>
      <c r="L146" s="353"/>
      <c r="M146" s="353"/>
      <c r="N146" s="353"/>
      <c r="O146" s="353"/>
      <c r="P146" s="353"/>
      <c r="Q146" s="353"/>
      <c r="R146" s="353"/>
      <c r="S146" s="353"/>
      <c r="T146" s="353"/>
      <c r="U146" s="353"/>
      <c r="V146" s="353"/>
      <c r="W146" s="353"/>
      <c r="X146" s="353"/>
      <c r="Y146" s="353"/>
      <c r="Z146" s="353"/>
    </row>
    <row r="147" ht="12.0" customHeight="1">
      <c r="A147" s="353"/>
      <c r="B147" s="353"/>
      <c r="C147" s="353"/>
      <c r="D147" s="353"/>
      <c r="E147" s="353"/>
      <c r="F147" s="353"/>
      <c r="G147" s="353"/>
      <c r="H147" s="353"/>
      <c r="I147" s="353"/>
      <c r="J147" s="353"/>
      <c r="K147" s="353"/>
      <c r="L147" s="353"/>
      <c r="M147" s="353"/>
      <c r="N147" s="353"/>
      <c r="O147" s="353"/>
      <c r="P147" s="353"/>
      <c r="Q147" s="353"/>
      <c r="R147" s="353"/>
      <c r="S147" s="353"/>
      <c r="T147" s="353"/>
      <c r="U147" s="353"/>
      <c r="V147" s="353"/>
      <c r="W147" s="353"/>
      <c r="X147" s="353"/>
      <c r="Y147" s="353"/>
      <c r="Z147" s="353"/>
    </row>
    <row r="148" ht="12.0" customHeight="1">
      <c r="A148" s="353"/>
      <c r="B148" s="353"/>
      <c r="C148" s="353"/>
      <c r="D148" s="353"/>
      <c r="E148" s="353"/>
      <c r="F148" s="353"/>
      <c r="G148" s="353"/>
      <c r="H148" s="353"/>
      <c r="I148" s="353"/>
      <c r="J148" s="353"/>
      <c r="K148" s="353"/>
      <c r="L148" s="353"/>
      <c r="M148" s="353"/>
      <c r="N148" s="353"/>
      <c r="O148" s="353"/>
      <c r="P148" s="353"/>
      <c r="Q148" s="353"/>
      <c r="R148" s="353"/>
      <c r="S148" s="353"/>
      <c r="T148" s="353"/>
      <c r="U148" s="353"/>
      <c r="V148" s="353"/>
      <c r="W148" s="353"/>
      <c r="X148" s="353"/>
      <c r="Y148" s="353"/>
      <c r="Z148" s="353"/>
    </row>
    <row r="149" ht="12.0" customHeight="1">
      <c r="A149" s="353"/>
      <c r="B149" s="353"/>
      <c r="C149" s="353"/>
      <c r="D149" s="353"/>
      <c r="E149" s="353"/>
      <c r="F149" s="353"/>
      <c r="G149" s="353"/>
      <c r="H149" s="353"/>
      <c r="I149" s="353"/>
      <c r="J149" s="353"/>
      <c r="K149" s="353"/>
      <c r="L149" s="353"/>
      <c r="M149" s="353"/>
      <c r="N149" s="353"/>
      <c r="O149" s="353"/>
      <c r="P149" s="353"/>
      <c r="Q149" s="353"/>
      <c r="R149" s="353"/>
      <c r="S149" s="353"/>
      <c r="T149" s="353"/>
      <c r="U149" s="353"/>
      <c r="V149" s="353"/>
      <c r="W149" s="353"/>
      <c r="X149" s="353"/>
      <c r="Y149" s="353"/>
      <c r="Z149" s="353"/>
    </row>
    <row r="150" ht="12.0" customHeight="1">
      <c r="A150" s="353"/>
      <c r="B150" s="353"/>
      <c r="C150" s="353"/>
      <c r="D150" s="353"/>
      <c r="E150" s="353"/>
      <c r="F150" s="353"/>
      <c r="G150" s="353"/>
      <c r="H150" s="353"/>
      <c r="I150" s="353"/>
      <c r="J150" s="353"/>
      <c r="K150" s="353"/>
      <c r="L150" s="353"/>
      <c r="M150" s="353"/>
      <c r="N150" s="353"/>
      <c r="O150" s="353"/>
      <c r="P150" s="353"/>
      <c r="Q150" s="353"/>
      <c r="R150" s="353"/>
      <c r="S150" s="353"/>
      <c r="T150" s="353"/>
      <c r="U150" s="353"/>
      <c r="V150" s="353"/>
      <c r="W150" s="353"/>
      <c r="X150" s="353"/>
      <c r="Y150" s="353"/>
      <c r="Z150" s="353"/>
    </row>
    <row r="151" ht="12.0" customHeight="1">
      <c r="A151" s="353"/>
      <c r="B151" s="353"/>
      <c r="C151" s="353"/>
      <c r="D151" s="353"/>
      <c r="E151" s="353"/>
      <c r="F151" s="353"/>
      <c r="G151" s="353"/>
      <c r="H151" s="353"/>
      <c r="I151" s="353"/>
      <c r="J151" s="353"/>
      <c r="K151" s="353"/>
      <c r="L151" s="353"/>
      <c r="M151" s="353"/>
      <c r="N151" s="353"/>
      <c r="O151" s="353"/>
      <c r="P151" s="353"/>
      <c r="Q151" s="353"/>
      <c r="R151" s="353"/>
      <c r="S151" s="353"/>
      <c r="T151" s="353"/>
      <c r="U151" s="353"/>
      <c r="V151" s="353"/>
      <c r="W151" s="353"/>
      <c r="X151" s="353"/>
      <c r="Y151" s="353"/>
      <c r="Z151" s="353"/>
    </row>
    <row r="152" ht="12.0" customHeight="1">
      <c r="A152" s="353"/>
      <c r="B152" s="353"/>
      <c r="C152" s="353"/>
      <c r="D152" s="353"/>
      <c r="E152" s="353"/>
      <c r="F152" s="353"/>
      <c r="G152" s="353"/>
      <c r="H152" s="353"/>
      <c r="I152" s="353"/>
      <c r="J152" s="353"/>
      <c r="K152" s="353"/>
      <c r="L152" s="353"/>
      <c r="M152" s="353"/>
      <c r="N152" s="353"/>
      <c r="O152" s="353"/>
      <c r="P152" s="353"/>
      <c r="Q152" s="353"/>
      <c r="R152" s="353"/>
      <c r="S152" s="353"/>
      <c r="T152" s="353"/>
      <c r="U152" s="353"/>
      <c r="V152" s="353"/>
      <c r="W152" s="353"/>
      <c r="X152" s="353"/>
      <c r="Y152" s="353"/>
      <c r="Z152" s="353"/>
    </row>
    <row r="153" ht="12.0" customHeight="1">
      <c r="A153" s="353"/>
      <c r="B153" s="353"/>
      <c r="C153" s="353"/>
      <c r="D153" s="353"/>
      <c r="E153" s="353"/>
      <c r="F153" s="353"/>
      <c r="G153" s="353"/>
      <c r="H153" s="353"/>
      <c r="I153" s="353"/>
      <c r="J153" s="353"/>
      <c r="K153" s="353"/>
      <c r="L153" s="353"/>
      <c r="M153" s="353"/>
      <c r="N153" s="353"/>
      <c r="O153" s="353"/>
      <c r="P153" s="353"/>
      <c r="Q153" s="353"/>
      <c r="R153" s="353"/>
      <c r="S153" s="353"/>
      <c r="T153" s="353"/>
      <c r="U153" s="353"/>
      <c r="V153" s="353"/>
      <c r="W153" s="353"/>
      <c r="X153" s="353"/>
      <c r="Y153" s="353"/>
      <c r="Z153" s="353"/>
    </row>
    <row r="154" ht="12.0" customHeight="1">
      <c r="A154" s="353"/>
      <c r="B154" s="353"/>
      <c r="C154" s="353"/>
      <c r="D154" s="353"/>
      <c r="E154" s="353"/>
      <c r="F154" s="353"/>
      <c r="G154" s="353"/>
      <c r="H154" s="353"/>
      <c r="I154" s="353"/>
      <c r="J154" s="353"/>
      <c r="K154" s="353"/>
      <c r="L154" s="353"/>
      <c r="M154" s="353"/>
      <c r="N154" s="353"/>
      <c r="O154" s="353"/>
      <c r="P154" s="353"/>
      <c r="Q154" s="353"/>
      <c r="R154" s="353"/>
      <c r="S154" s="353"/>
      <c r="T154" s="353"/>
      <c r="U154" s="353"/>
      <c r="V154" s="353"/>
      <c r="W154" s="353"/>
      <c r="X154" s="353"/>
      <c r="Y154" s="353"/>
      <c r="Z154" s="353"/>
    </row>
    <row r="155" ht="12.0" customHeight="1">
      <c r="A155" s="353"/>
      <c r="B155" s="353"/>
      <c r="C155" s="353"/>
      <c r="D155" s="353"/>
      <c r="E155" s="353"/>
      <c r="F155" s="353"/>
      <c r="G155" s="353"/>
      <c r="H155" s="353"/>
      <c r="I155" s="353"/>
      <c r="J155" s="353"/>
      <c r="K155" s="353"/>
      <c r="L155" s="353"/>
      <c r="M155" s="353"/>
      <c r="N155" s="353"/>
      <c r="O155" s="353"/>
      <c r="P155" s="353"/>
      <c r="Q155" s="353"/>
      <c r="R155" s="353"/>
      <c r="S155" s="353"/>
      <c r="T155" s="353"/>
      <c r="U155" s="353"/>
      <c r="V155" s="353"/>
      <c r="W155" s="353"/>
      <c r="X155" s="353"/>
      <c r="Y155" s="353"/>
      <c r="Z155" s="353"/>
    </row>
    <row r="156" ht="12.0" customHeight="1">
      <c r="A156" s="353"/>
      <c r="B156" s="353"/>
      <c r="C156" s="353"/>
      <c r="D156" s="353"/>
      <c r="E156" s="353"/>
      <c r="F156" s="353"/>
      <c r="G156" s="353"/>
      <c r="H156" s="353"/>
      <c r="I156" s="353"/>
      <c r="J156" s="353"/>
      <c r="K156" s="353"/>
      <c r="L156" s="353"/>
      <c r="M156" s="353"/>
      <c r="N156" s="353"/>
      <c r="O156" s="353"/>
      <c r="P156" s="353"/>
      <c r="Q156" s="353"/>
      <c r="R156" s="353"/>
      <c r="S156" s="353"/>
      <c r="T156" s="353"/>
      <c r="U156" s="353"/>
      <c r="V156" s="353"/>
      <c r="W156" s="353"/>
      <c r="X156" s="353"/>
      <c r="Y156" s="353"/>
      <c r="Z156" s="353"/>
    </row>
    <row r="157" ht="12.0" customHeight="1">
      <c r="A157" s="353"/>
      <c r="B157" s="353"/>
      <c r="C157" s="353"/>
      <c r="D157" s="353"/>
      <c r="E157" s="353"/>
      <c r="F157" s="353"/>
      <c r="G157" s="353"/>
      <c r="H157" s="353"/>
      <c r="I157" s="353"/>
      <c r="J157" s="353"/>
      <c r="K157" s="353"/>
      <c r="L157" s="353"/>
      <c r="M157" s="353"/>
      <c r="N157" s="353"/>
      <c r="O157" s="353"/>
      <c r="P157" s="353"/>
      <c r="Q157" s="353"/>
      <c r="R157" s="353"/>
      <c r="S157" s="353"/>
      <c r="T157" s="353"/>
      <c r="U157" s="353"/>
      <c r="V157" s="353"/>
      <c r="W157" s="353"/>
      <c r="X157" s="353"/>
      <c r="Y157" s="353"/>
      <c r="Z157" s="353"/>
    </row>
    <row r="158" ht="12.0" customHeight="1">
      <c r="A158" s="353"/>
      <c r="B158" s="353"/>
      <c r="C158" s="353"/>
      <c r="D158" s="353"/>
      <c r="E158" s="353"/>
      <c r="F158" s="353"/>
      <c r="G158" s="353"/>
      <c r="H158" s="353"/>
      <c r="I158" s="353"/>
      <c r="J158" s="353"/>
      <c r="K158" s="353"/>
      <c r="L158" s="353"/>
      <c r="M158" s="353"/>
      <c r="N158" s="353"/>
      <c r="O158" s="353"/>
      <c r="P158" s="353"/>
      <c r="Q158" s="353"/>
      <c r="R158" s="353"/>
      <c r="S158" s="353"/>
      <c r="T158" s="353"/>
      <c r="U158" s="353"/>
      <c r="V158" s="353"/>
      <c r="W158" s="353"/>
      <c r="X158" s="353"/>
      <c r="Y158" s="353"/>
      <c r="Z158" s="353"/>
    </row>
    <row r="159" ht="12.0" customHeight="1">
      <c r="A159" s="353"/>
      <c r="B159" s="353"/>
      <c r="C159" s="353"/>
      <c r="D159" s="353"/>
      <c r="E159" s="353"/>
      <c r="F159" s="353"/>
      <c r="G159" s="353"/>
      <c r="H159" s="353"/>
      <c r="I159" s="353"/>
      <c r="J159" s="353"/>
      <c r="K159" s="353"/>
      <c r="L159" s="353"/>
      <c r="M159" s="353"/>
      <c r="N159" s="353"/>
      <c r="O159" s="353"/>
      <c r="P159" s="353"/>
      <c r="Q159" s="353"/>
      <c r="R159" s="353"/>
      <c r="S159" s="353"/>
      <c r="T159" s="353"/>
      <c r="U159" s="353"/>
      <c r="V159" s="353"/>
      <c r="W159" s="353"/>
      <c r="X159" s="353"/>
      <c r="Y159" s="353"/>
      <c r="Z159" s="353"/>
    </row>
    <row r="160" ht="12.0" customHeight="1">
      <c r="A160" s="353"/>
      <c r="B160" s="353"/>
      <c r="C160" s="353"/>
      <c r="D160" s="353"/>
      <c r="E160" s="353"/>
      <c r="F160" s="353"/>
      <c r="G160" s="353"/>
      <c r="H160" s="353"/>
      <c r="I160" s="353"/>
      <c r="J160" s="353"/>
      <c r="K160" s="353"/>
      <c r="L160" s="353"/>
      <c r="M160" s="353"/>
      <c r="N160" s="353"/>
      <c r="O160" s="353"/>
      <c r="P160" s="353"/>
      <c r="Q160" s="353"/>
      <c r="R160" s="353"/>
      <c r="S160" s="353"/>
      <c r="T160" s="353"/>
      <c r="U160" s="353"/>
      <c r="V160" s="353"/>
      <c r="W160" s="353"/>
      <c r="X160" s="353"/>
      <c r="Y160" s="353"/>
      <c r="Z160" s="353"/>
    </row>
    <row r="161" ht="12.0" customHeight="1">
      <c r="A161" s="353"/>
      <c r="B161" s="353"/>
      <c r="C161" s="353"/>
      <c r="D161" s="353"/>
      <c r="E161" s="353"/>
      <c r="F161" s="353"/>
      <c r="G161" s="353"/>
      <c r="H161" s="353"/>
      <c r="I161" s="353"/>
      <c r="J161" s="353"/>
      <c r="K161" s="353"/>
      <c r="L161" s="353"/>
      <c r="M161" s="353"/>
      <c r="N161" s="353"/>
      <c r="O161" s="353"/>
      <c r="P161" s="353"/>
      <c r="Q161" s="353"/>
      <c r="R161" s="353"/>
      <c r="S161" s="353"/>
      <c r="T161" s="353"/>
      <c r="U161" s="353"/>
      <c r="V161" s="353"/>
      <c r="W161" s="353"/>
      <c r="X161" s="353"/>
      <c r="Y161" s="353"/>
      <c r="Z161" s="353"/>
    </row>
    <row r="162" ht="12.0" customHeight="1">
      <c r="A162" s="353"/>
      <c r="B162" s="353"/>
      <c r="C162" s="353"/>
      <c r="D162" s="353"/>
      <c r="E162" s="353"/>
      <c r="F162" s="353"/>
      <c r="G162" s="353"/>
      <c r="H162" s="353"/>
      <c r="I162" s="353"/>
      <c r="J162" s="353"/>
      <c r="K162" s="353"/>
      <c r="L162" s="353"/>
      <c r="M162" s="353"/>
      <c r="N162" s="353"/>
      <c r="O162" s="353"/>
      <c r="P162" s="353"/>
      <c r="Q162" s="353"/>
      <c r="R162" s="353"/>
      <c r="S162" s="353"/>
      <c r="T162" s="353"/>
      <c r="U162" s="353"/>
      <c r="V162" s="353"/>
      <c r="W162" s="353"/>
      <c r="X162" s="353"/>
      <c r="Y162" s="353"/>
      <c r="Z162" s="353"/>
    </row>
    <row r="163" ht="12.0" customHeight="1">
      <c r="A163" s="353"/>
      <c r="B163" s="353"/>
      <c r="C163" s="353"/>
      <c r="D163" s="353"/>
      <c r="E163" s="353"/>
      <c r="F163" s="353"/>
      <c r="G163" s="353"/>
      <c r="H163" s="353"/>
      <c r="I163" s="353"/>
      <c r="J163" s="353"/>
      <c r="K163" s="353"/>
      <c r="L163" s="353"/>
      <c r="M163" s="353"/>
      <c r="N163" s="353"/>
      <c r="O163" s="353"/>
      <c r="P163" s="353"/>
      <c r="Q163" s="353"/>
      <c r="R163" s="353"/>
      <c r="S163" s="353"/>
      <c r="T163" s="353"/>
      <c r="U163" s="353"/>
      <c r="V163" s="353"/>
      <c r="W163" s="353"/>
      <c r="X163" s="353"/>
      <c r="Y163" s="353"/>
      <c r="Z163" s="353"/>
    </row>
    <row r="164" ht="12.0" customHeight="1">
      <c r="A164" s="353"/>
      <c r="B164" s="353"/>
      <c r="C164" s="353"/>
      <c r="D164" s="353"/>
      <c r="E164" s="353"/>
      <c r="F164" s="353"/>
      <c r="G164" s="353"/>
      <c r="H164" s="353"/>
      <c r="I164" s="353"/>
      <c r="J164" s="353"/>
      <c r="K164" s="353"/>
      <c r="L164" s="353"/>
      <c r="M164" s="353"/>
      <c r="N164" s="353"/>
      <c r="O164" s="353"/>
      <c r="P164" s="353"/>
      <c r="Q164" s="353"/>
      <c r="R164" s="353"/>
      <c r="S164" s="353"/>
      <c r="T164" s="353"/>
      <c r="U164" s="353"/>
      <c r="V164" s="353"/>
      <c r="W164" s="353"/>
      <c r="X164" s="353"/>
      <c r="Y164" s="353"/>
      <c r="Z164" s="353"/>
    </row>
    <row r="165" ht="12.0" customHeight="1">
      <c r="A165" s="353"/>
      <c r="B165" s="353"/>
      <c r="C165" s="353"/>
      <c r="D165" s="353"/>
      <c r="E165" s="353"/>
      <c r="F165" s="353"/>
      <c r="G165" s="353"/>
      <c r="H165" s="353"/>
      <c r="I165" s="353"/>
      <c r="J165" s="353"/>
      <c r="K165" s="353"/>
      <c r="L165" s="353"/>
      <c r="M165" s="353"/>
      <c r="N165" s="353"/>
      <c r="O165" s="353"/>
      <c r="P165" s="353"/>
      <c r="Q165" s="353"/>
      <c r="R165" s="353"/>
      <c r="S165" s="353"/>
      <c r="T165" s="353"/>
      <c r="U165" s="353"/>
      <c r="V165" s="353"/>
      <c r="W165" s="353"/>
      <c r="X165" s="353"/>
      <c r="Y165" s="353"/>
      <c r="Z165" s="353"/>
    </row>
    <row r="166" ht="12.0" customHeight="1">
      <c r="A166" s="353"/>
      <c r="B166" s="353"/>
      <c r="C166" s="353"/>
      <c r="D166" s="353"/>
      <c r="E166" s="353"/>
      <c r="F166" s="353"/>
      <c r="G166" s="353"/>
      <c r="H166" s="353"/>
      <c r="I166" s="353"/>
      <c r="J166" s="353"/>
      <c r="K166" s="353"/>
      <c r="L166" s="353"/>
      <c r="M166" s="353"/>
      <c r="N166" s="353"/>
      <c r="O166" s="353"/>
      <c r="P166" s="353"/>
      <c r="Q166" s="353"/>
      <c r="R166" s="353"/>
      <c r="S166" s="353"/>
      <c r="T166" s="353"/>
      <c r="U166" s="353"/>
      <c r="V166" s="353"/>
      <c r="W166" s="353"/>
      <c r="X166" s="353"/>
      <c r="Y166" s="353"/>
      <c r="Z166" s="353"/>
    </row>
    <row r="167" ht="12.0" customHeight="1">
      <c r="A167" s="353"/>
      <c r="B167" s="353"/>
      <c r="C167" s="353"/>
      <c r="D167" s="353"/>
      <c r="E167" s="353"/>
      <c r="F167" s="353"/>
      <c r="G167" s="353"/>
      <c r="H167" s="353"/>
      <c r="I167" s="353"/>
      <c r="J167" s="353"/>
      <c r="K167" s="353"/>
      <c r="L167" s="353"/>
      <c r="M167" s="353"/>
      <c r="N167" s="353"/>
      <c r="O167" s="353"/>
      <c r="P167" s="353"/>
      <c r="Q167" s="353"/>
      <c r="R167" s="353"/>
      <c r="S167" s="353"/>
      <c r="T167" s="353"/>
      <c r="U167" s="353"/>
      <c r="V167" s="353"/>
      <c r="W167" s="353"/>
      <c r="X167" s="353"/>
      <c r="Y167" s="353"/>
      <c r="Z167" s="353"/>
    </row>
    <row r="168" ht="12.0" customHeight="1">
      <c r="A168" s="353"/>
      <c r="B168" s="353"/>
      <c r="C168" s="353"/>
      <c r="D168" s="353"/>
      <c r="E168" s="353"/>
      <c r="F168" s="353"/>
      <c r="G168" s="353"/>
      <c r="H168" s="353"/>
      <c r="I168" s="353"/>
      <c r="J168" s="353"/>
      <c r="K168" s="353"/>
      <c r="L168" s="353"/>
      <c r="M168" s="353"/>
      <c r="N168" s="353"/>
      <c r="O168" s="353"/>
      <c r="P168" s="353"/>
      <c r="Q168" s="353"/>
      <c r="R168" s="353"/>
      <c r="S168" s="353"/>
      <c r="T168" s="353"/>
      <c r="U168" s="353"/>
      <c r="V168" s="353"/>
      <c r="W168" s="353"/>
      <c r="X168" s="353"/>
      <c r="Y168" s="353"/>
      <c r="Z168" s="353"/>
    </row>
    <row r="169" ht="12.0" customHeight="1">
      <c r="A169" s="353"/>
      <c r="B169" s="353"/>
      <c r="C169" s="353"/>
      <c r="D169" s="353"/>
      <c r="E169" s="353"/>
      <c r="F169" s="353"/>
      <c r="G169" s="353"/>
      <c r="H169" s="353"/>
      <c r="I169" s="353"/>
      <c r="J169" s="353"/>
      <c r="K169" s="353"/>
      <c r="L169" s="353"/>
      <c r="M169" s="353"/>
      <c r="N169" s="353"/>
      <c r="O169" s="353"/>
      <c r="P169" s="353"/>
      <c r="Q169" s="353"/>
      <c r="R169" s="353"/>
      <c r="S169" s="353"/>
      <c r="T169" s="353"/>
      <c r="U169" s="353"/>
      <c r="V169" s="353"/>
      <c r="W169" s="353"/>
      <c r="X169" s="353"/>
      <c r="Y169" s="353"/>
      <c r="Z169" s="353"/>
    </row>
    <row r="170" ht="12.0" customHeight="1">
      <c r="A170" s="353"/>
      <c r="B170" s="353"/>
      <c r="C170" s="353"/>
      <c r="D170" s="353"/>
      <c r="E170" s="353"/>
      <c r="F170" s="353"/>
      <c r="G170" s="353"/>
      <c r="H170" s="353"/>
      <c r="I170" s="353"/>
      <c r="J170" s="353"/>
      <c r="K170" s="353"/>
      <c r="L170" s="353"/>
      <c r="M170" s="353"/>
      <c r="N170" s="353"/>
      <c r="O170" s="353"/>
      <c r="P170" s="353"/>
      <c r="Q170" s="353"/>
      <c r="R170" s="353"/>
      <c r="S170" s="353"/>
      <c r="T170" s="353"/>
      <c r="U170" s="353"/>
      <c r="V170" s="353"/>
      <c r="W170" s="353"/>
      <c r="X170" s="353"/>
      <c r="Y170" s="353"/>
      <c r="Z170" s="353"/>
    </row>
    <row r="171" ht="12.0" customHeight="1">
      <c r="A171" s="353"/>
      <c r="B171" s="353"/>
      <c r="C171" s="353"/>
      <c r="D171" s="353"/>
      <c r="E171" s="353"/>
      <c r="F171" s="353"/>
      <c r="G171" s="353"/>
      <c r="H171" s="353"/>
      <c r="I171" s="353"/>
      <c r="J171" s="353"/>
      <c r="K171" s="353"/>
      <c r="L171" s="353"/>
      <c r="M171" s="353"/>
      <c r="N171" s="353"/>
      <c r="O171" s="353"/>
      <c r="P171" s="353"/>
      <c r="Q171" s="353"/>
      <c r="R171" s="353"/>
      <c r="S171" s="353"/>
      <c r="T171" s="353"/>
      <c r="U171" s="353"/>
      <c r="V171" s="353"/>
      <c r="W171" s="353"/>
      <c r="X171" s="353"/>
      <c r="Y171" s="353"/>
      <c r="Z171" s="353"/>
    </row>
    <row r="172" ht="12.0" customHeight="1">
      <c r="A172" s="353"/>
      <c r="B172" s="353"/>
      <c r="C172" s="353"/>
      <c r="D172" s="353"/>
      <c r="E172" s="353"/>
      <c r="F172" s="353"/>
      <c r="G172" s="353"/>
      <c r="H172" s="353"/>
      <c r="I172" s="353"/>
      <c r="J172" s="353"/>
      <c r="K172" s="353"/>
      <c r="L172" s="353"/>
      <c r="M172" s="353"/>
      <c r="N172" s="353"/>
      <c r="O172" s="353"/>
      <c r="P172" s="353"/>
      <c r="Q172" s="353"/>
      <c r="R172" s="353"/>
      <c r="S172" s="353"/>
      <c r="T172" s="353"/>
      <c r="U172" s="353"/>
      <c r="V172" s="353"/>
      <c r="W172" s="353"/>
      <c r="X172" s="353"/>
      <c r="Y172" s="353"/>
      <c r="Z172" s="353"/>
    </row>
    <row r="173" ht="12.0" customHeight="1">
      <c r="A173" s="353"/>
      <c r="B173" s="353"/>
      <c r="C173" s="353"/>
      <c r="D173" s="353"/>
      <c r="E173" s="353"/>
      <c r="F173" s="353"/>
      <c r="G173" s="353"/>
      <c r="H173" s="353"/>
      <c r="I173" s="353"/>
      <c r="J173" s="353"/>
      <c r="K173" s="353"/>
      <c r="L173" s="353"/>
      <c r="M173" s="353"/>
      <c r="N173" s="353"/>
      <c r="O173" s="353"/>
      <c r="P173" s="353"/>
      <c r="Q173" s="353"/>
      <c r="R173" s="353"/>
      <c r="S173" s="353"/>
      <c r="T173" s="353"/>
      <c r="U173" s="353"/>
      <c r="V173" s="353"/>
      <c r="W173" s="353"/>
      <c r="X173" s="353"/>
      <c r="Y173" s="353"/>
      <c r="Z173" s="353"/>
    </row>
    <row r="174" ht="12.0" customHeight="1">
      <c r="A174" s="353"/>
      <c r="B174" s="353"/>
      <c r="C174" s="353"/>
      <c r="D174" s="353"/>
      <c r="E174" s="353"/>
      <c r="F174" s="353"/>
      <c r="G174" s="353"/>
      <c r="H174" s="353"/>
      <c r="I174" s="353"/>
      <c r="J174" s="353"/>
      <c r="K174" s="353"/>
      <c r="L174" s="353"/>
      <c r="M174" s="353"/>
      <c r="N174" s="353"/>
      <c r="O174" s="353"/>
      <c r="P174" s="353"/>
      <c r="Q174" s="353"/>
      <c r="R174" s="353"/>
      <c r="S174" s="353"/>
      <c r="T174" s="353"/>
      <c r="U174" s="353"/>
      <c r="V174" s="353"/>
      <c r="W174" s="353"/>
      <c r="X174" s="353"/>
      <c r="Y174" s="353"/>
      <c r="Z174" s="353"/>
    </row>
    <row r="175" ht="12.0" customHeight="1">
      <c r="A175" s="353"/>
      <c r="B175" s="353"/>
      <c r="C175" s="353"/>
      <c r="D175" s="353"/>
      <c r="E175" s="353"/>
      <c r="F175" s="353"/>
      <c r="G175" s="353"/>
      <c r="H175" s="353"/>
      <c r="I175" s="353"/>
      <c r="J175" s="353"/>
      <c r="K175" s="353"/>
      <c r="L175" s="353"/>
      <c r="M175" s="353"/>
      <c r="N175" s="353"/>
      <c r="O175" s="353"/>
      <c r="P175" s="353"/>
      <c r="Q175" s="353"/>
      <c r="R175" s="353"/>
      <c r="S175" s="353"/>
      <c r="T175" s="353"/>
      <c r="U175" s="353"/>
      <c r="V175" s="353"/>
      <c r="W175" s="353"/>
      <c r="X175" s="353"/>
      <c r="Y175" s="353"/>
      <c r="Z175" s="353"/>
    </row>
    <row r="176" ht="12.0" customHeight="1">
      <c r="A176" s="353"/>
      <c r="B176" s="353"/>
      <c r="C176" s="353"/>
      <c r="D176" s="353"/>
      <c r="E176" s="353"/>
      <c r="F176" s="353"/>
      <c r="G176" s="353"/>
      <c r="H176" s="353"/>
      <c r="I176" s="353"/>
      <c r="J176" s="353"/>
      <c r="K176" s="353"/>
      <c r="L176" s="353"/>
      <c r="M176" s="353"/>
      <c r="N176" s="353"/>
      <c r="O176" s="353"/>
      <c r="P176" s="353"/>
      <c r="Q176" s="353"/>
      <c r="R176" s="353"/>
      <c r="S176" s="353"/>
      <c r="T176" s="353"/>
      <c r="U176" s="353"/>
      <c r="V176" s="353"/>
      <c r="W176" s="353"/>
      <c r="X176" s="353"/>
      <c r="Y176" s="353"/>
      <c r="Z176" s="353"/>
    </row>
    <row r="177" ht="12.0" customHeight="1">
      <c r="A177" s="353"/>
      <c r="B177" s="353"/>
      <c r="C177" s="353"/>
      <c r="D177" s="353"/>
      <c r="E177" s="353"/>
      <c r="F177" s="353"/>
      <c r="G177" s="353"/>
      <c r="H177" s="353"/>
      <c r="I177" s="353"/>
      <c r="J177" s="353"/>
      <c r="K177" s="353"/>
      <c r="L177" s="353"/>
      <c r="M177" s="353"/>
      <c r="N177" s="353"/>
      <c r="O177" s="353"/>
      <c r="P177" s="353"/>
      <c r="Q177" s="353"/>
      <c r="R177" s="353"/>
      <c r="S177" s="353"/>
      <c r="T177" s="353"/>
      <c r="U177" s="353"/>
      <c r="V177" s="353"/>
      <c r="W177" s="353"/>
      <c r="X177" s="353"/>
      <c r="Y177" s="353"/>
      <c r="Z177" s="353"/>
    </row>
    <row r="178" ht="12.0" customHeight="1">
      <c r="A178" s="353"/>
      <c r="B178" s="353"/>
      <c r="C178" s="353"/>
      <c r="D178" s="353"/>
      <c r="E178" s="353"/>
      <c r="F178" s="353"/>
      <c r="G178" s="353"/>
      <c r="H178" s="353"/>
      <c r="I178" s="353"/>
      <c r="J178" s="353"/>
      <c r="K178" s="353"/>
      <c r="L178" s="353"/>
      <c r="M178" s="353"/>
      <c r="N178" s="353"/>
      <c r="O178" s="353"/>
      <c r="P178" s="353"/>
      <c r="Q178" s="353"/>
      <c r="R178" s="353"/>
      <c r="S178" s="353"/>
      <c r="T178" s="353"/>
      <c r="U178" s="353"/>
      <c r="V178" s="353"/>
      <c r="W178" s="353"/>
      <c r="X178" s="353"/>
      <c r="Y178" s="353"/>
      <c r="Z178" s="353"/>
    </row>
    <row r="179" ht="12.0" customHeight="1">
      <c r="A179" s="353"/>
      <c r="B179" s="353"/>
      <c r="C179" s="353"/>
      <c r="D179" s="353"/>
      <c r="E179" s="353"/>
      <c r="F179" s="353"/>
      <c r="G179" s="353"/>
      <c r="H179" s="353"/>
      <c r="I179" s="353"/>
      <c r="J179" s="353"/>
      <c r="K179" s="353"/>
      <c r="L179" s="353"/>
      <c r="M179" s="353"/>
      <c r="N179" s="353"/>
      <c r="O179" s="353"/>
      <c r="P179" s="353"/>
      <c r="Q179" s="353"/>
      <c r="R179" s="353"/>
      <c r="S179" s="353"/>
      <c r="T179" s="353"/>
      <c r="U179" s="353"/>
      <c r="V179" s="353"/>
      <c r="W179" s="353"/>
      <c r="X179" s="353"/>
      <c r="Y179" s="353"/>
      <c r="Z179" s="353"/>
    </row>
    <row r="180" ht="12.0" customHeight="1">
      <c r="A180" s="353"/>
      <c r="B180" s="353"/>
      <c r="C180" s="353"/>
      <c r="D180" s="353"/>
      <c r="E180" s="353"/>
      <c r="F180" s="353"/>
      <c r="G180" s="353"/>
      <c r="H180" s="353"/>
      <c r="I180" s="353"/>
      <c r="J180" s="353"/>
      <c r="K180" s="353"/>
      <c r="L180" s="353"/>
      <c r="M180" s="353"/>
      <c r="N180" s="353"/>
      <c r="O180" s="353"/>
      <c r="P180" s="353"/>
      <c r="Q180" s="353"/>
      <c r="R180" s="353"/>
      <c r="S180" s="353"/>
      <c r="T180" s="353"/>
      <c r="U180" s="353"/>
      <c r="V180" s="353"/>
      <c r="W180" s="353"/>
      <c r="X180" s="353"/>
      <c r="Y180" s="353"/>
      <c r="Z180" s="353"/>
    </row>
    <row r="181" ht="12.0" customHeight="1">
      <c r="A181" s="353"/>
      <c r="B181" s="353"/>
      <c r="C181" s="353"/>
      <c r="D181" s="353"/>
      <c r="E181" s="353"/>
      <c r="F181" s="353"/>
      <c r="G181" s="353"/>
      <c r="H181" s="353"/>
      <c r="I181" s="353"/>
      <c r="J181" s="353"/>
      <c r="K181" s="353"/>
      <c r="L181" s="353"/>
      <c r="M181" s="353"/>
      <c r="N181" s="353"/>
      <c r="O181" s="353"/>
      <c r="P181" s="353"/>
      <c r="Q181" s="353"/>
      <c r="R181" s="353"/>
      <c r="S181" s="353"/>
      <c r="T181" s="353"/>
      <c r="U181" s="353"/>
      <c r="V181" s="353"/>
      <c r="W181" s="353"/>
      <c r="X181" s="353"/>
      <c r="Y181" s="353"/>
      <c r="Z181" s="353"/>
    </row>
    <row r="182" ht="12.0" customHeight="1">
      <c r="A182" s="353"/>
      <c r="B182" s="353"/>
      <c r="C182" s="353"/>
      <c r="D182" s="353"/>
      <c r="E182" s="353"/>
      <c r="F182" s="353"/>
      <c r="G182" s="353"/>
      <c r="H182" s="353"/>
      <c r="I182" s="353"/>
      <c r="J182" s="353"/>
      <c r="K182" s="353"/>
      <c r="L182" s="353"/>
      <c r="M182" s="353"/>
      <c r="N182" s="353"/>
      <c r="O182" s="353"/>
      <c r="P182" s="353"/>
      <c r="Q182" s="353"/>
      <c r="R182" s="353"/>
      <c r="S182" s="353"/>
      <c r="T182" s="353"/>
      <c r="U182" s="353"/>
      <c r="V182" s="353"/>
      <c r="W182" s="353"/>
      <c r="X182" s="353"/>
      <c r="Y182" s="353"/>
      <c r="Z182" s="353"/>
    </row>
    <row r="183" ht="12.0" customHeight="1">
      <c r="A183" s="353"/>
      <c r="B183" s="353"/>
      <c r="C183" s="353"/>
      <c r="D183" s="353"/>
      <c r="E183" s="353"/>
      <c r="F183" s="353"/>
      <c r="G183" s="353"/>
      <c r="H183" s="353"/>
      <c r="I183" s="353"/>
      <c r="J183" s="353"/>
      <c r="K183" s="353"/>
      <c r="L183" s="353"/>
      <c r="M183" s="353"/>
      <c r="N183" s="353"/>
      <c r="O183" s="353"/>
      <c r="P183" s="353"/>
      <c r="Q183" s="353"/>
      <c r="R183" s="353"/>
      <c r="S183" s="353"/>
      <c r="T183" s="353"/>
      <c r="U183" s="353"/>
      <c r="V183" s="353"/>
      <c r="W183" s="353"/>
      <c r="X183" s="353"/>
      <c r="Y183" s="353"/>
      <c r="Z183" s="353"/>
    </row>
    <row r="184" ht="12.0" customHeight="1">
      <c r="A184" s="353"/>
      <c r="B184" s="353"/>
      <c r="C184" s="353"/>
      <c r="D184" s="353"/>
      <c r="E184" s="353"/>
      <c r="F184" s="353"/>
      <c r="G184" s="353"/>
      <c r="H184" s="353"/>
      <c r="I184" s="353"/>
      <c r="J184" s="353"/>
      <c r="K184" s="353"/>
      <c r="L184" s="353"/>
      <c r="M184" s="353"/>
      <c r="N184" s="353"/>
      <c r="O184" s="353"/>
      <c r="P184" s="353"/>
      <c r="Q184" s="353"/>
      <c r="R184" s="353"/>
      <c r="S184" s="353"/>
      <c r="T184" s="353"/>
      <c r="U184" s="353"/>
      <c r="V184" s="353"/>
      <c r="W184" s="353"/>
      <c r="X184" s="353"/>
      <c r="Y184" s="353"/>
      <c r="Z184" s="353"/>
    </row>
    <row r="185" ht="12.0" customHeight="1">
      <c r="A185" s="353"/>
      <c r="B185" s="353"/>
      <c r="C185" s="353"/>
      <c r="D185" s="353"/>
      <c r="E185" s="353"/>
      <c r="F185" s="353"/>
      <c r="G185" s="353"/>
      <c r="H185" s="353"/>
      <c r="I185" s="353"/>
      <c r="J185" s="353"/>
      <c r="K185" s="353"/>
      <c r="L185" s="353"/>
      <c r="M185" s="353"/>
      <c r="N185" s="353"/>
      <c r="O185" s="353"/>
      <c r="P185" s="353"/>
      <c r="Q185" s="353"/>
      <c r="R185" s="353"/>
      <c r="S185" s="353"/>
      <c r="T185" s="353"/>
      <c r="U185" s="353"/>
      <c r="V185" s="353"/>
      <c r="W185" s="353"/>
      <c r="X185" s="353"/>
      <c r="Y185" s="353"/>
      <c r="Z185" s="353"/>
    </row>
    <row r="186" ht="12.0" customHeight="1">
      <c r="A186" s="353"/>
      <c r="B186" s="353"/>
      <c r="C186" s="353"/>
      <c r="D186" s="353"/>
      <c r="E186" s="353"/>
      <c r="F186" s="353"/>
      <c r="G186" s="353"/>
      <c r="H186" s="353"/>
      <c r="I186" s="353"/>
      <c r="J186" s="353"/>
      <c r="K186" s="353"/>
      <c r="L186" s="353"/>
      <c r="M186" s="353"/>
      <c r="N186" s="353"/>
      <c r="O186" s="353"/>
      <c r="P186" s="353"/>
      <c r="Q186" s="353"/>
      <c r="R186" s="353"/>
      <c r="S186" s="353"/>
      <c r="T186" s="353"/>
      <c r="U186" s="353"/>
      <c r="V186" s="353"/>
      <c r="W186" s="353"/>
      <c r="X186" s="353"/>
      <c r="Y186" s="353"/>
      <c r="Z186" s="353"/>
    </row>
    <row r="187" ht="12.0" customHeight="1">
      <c r="A187" s="353"/>
      <c r="B187" s="353"/>
      <c r="C187" s="353"/>
      <c r="D187" s="353"/>
      <c r="E187" s="353"/>
      <c r="F187" s="353"/>
      <c r="G187" s="353"/>
      <c r="H187" s="353"/>
      <c r="I187" s="353"/>
      <c r="J187" s="353"/>
      <c r="K187" s="353"/>
      <c r="L187" s="353"/>
      <c r="M187" s="353"/>
      <c r="N187" s="353"/>
      <c r="O187" s="353"/>
      <c r="P187" s="353"/>
      <c r="Q187" s="353"/>
      <c r="R187" s="353"/>
      <c r="S187" s="353"/>
      <c r="T187" s="353"/>
      <c r="U187" s="353"/>
      <c r="V187" s="353"/>
      <c r="W187" s="353"/>
      <c r="X187" s="353"/>
      <c r="Y187" s="353"/>
      <c r="Z187" s="353"/>
    </row>
    <row r="188" ht="12.0" customHeight="1">
      <c r="A188" s="353"/>
      <c r="B188" s="353"/>
      <c r="C188" s="353"/>
      <c r="D188" s="353"/>
      <c r="E188" s="353"/>
      <c r="F188" s="353"/>
      <c r="G188" s="353"/>
      <c r="H188" s="353"/>
      <c r="I188" s="353"/>
      <c r="J188" s="353"/>
      <c r="K188" s="353"/>
      <c r="L188" s="353"/>
      <c r="M188" s="353"/>
      <c r="N188" s="353"/>
      <c r="O188" s="353"/>
      <c r="P188" s="353"/>
      <c r="Q188" s="353"/>
      <c r="R188" s="353"/>
      <c r="S188" s="353"/>
      <c r="T188" s="353"/>
      <c r="U188" s="353"/>
      <c r="V188" s="353"/>
      <c r="W188" s="353"/>
      <c r="X188" s="353"/>
      <c r="Y188" s="353"/>
      <c r="Z188" s="353"/>
    </row>
    <row r="189" ht="12.0" customHeight="1">
      <c r="A189" s="353"/>
      <c r="B189" s="353"/>
      <c r="C189" s="353"/>
      <c r="D189" s="353"/>
      <c r="E189" s="353"/>
      <c r="F189" s="353"/>
      <c r="G189" s="353"/>
      <c r="H189" s="353"/>
      <c r="I189" s="353"/>
      <c r="J189" s="353"/>
      <c r="K189" s="353"/>
      <c r="L189" s="353"/>
      <c r="M189" s="353"/>
      <c r="N189" s="353"/>
      <c r="O189" s="353"/>
      <c r="P189" s="353"/>
      <c r="Q189" s="353"/>
      <c r="R189" s="353"/>
      <c r="S189" s="353"/>
      <c r="T189" s="353"/>
      <c r="U189" s="353"/>
      <c r="V189" s="353"/>
      <c r="W189" s="353"/>
      <c r="X189" s="353"/>
      <c r="Y189" s="353"/>
      <c r="Z189" s="353"/>
    </row>
    <row r="190" ht="12.0" customHeight="1">
      <c r="A190" s="353"/>
      <c r="B190" s="353"/>
      <c r="C190" s="353"/>
      <c r="D190" s="353"/>
      <c r="E190" s="353"/>
      <c r="F190" s="353"/>
      <c r="G190" s="353"/>
      <c r="H190" s="353"/>
      <c r="I190" s="353"/>
      <c r="J190" s="353"/>
      <c r="K190" s="353"/>
      <c r="L190" s="353"/>
      <c r="M190" s="353"/>
      <c r="N190" s="353"/>
      <c r="O190" s="353"/>
      <c r="P190" s="353"/>
      <c r="Q190" s="353"/>
      <c r="R190" s="353"/>
      <c r="S190" s="353"/>
      <c r="T190" s="353"/>
      <c r="U190" s="353"/>
      <c r="V190" s="353"/>
      <c r="W190" s="353"/>
      <c r="X190" s="353"/>
      <c r="Y190" s="353"/>
      <c r="Z190" s="353"/>
    </row>
    <row r="191" ht="12.0" customHeight="1">
      <c r="A191" s="353"/>
      <c r="B191" s="353"/>
      <c r="C191" s="353"/>
      <c r="D191" s="353"/>
      <c r="E191" s="353"/>
      <c r="F191" s="353"/>
      <c r="G191" s="353"/>
      <c r="H191" s="353"/>
      <c r="I191" s="353"/>
      <c r="J191" s="353"/>
      <c r="K191" s="353"/>
      <c r="L191" s="353"/>
      <c r="M191" s="353"/>
      <c r="N191" s="353"/>
      <c r="O191" s="353"/>
      <c r="P191" s="353"/>
      <c r="Q191" s="353"/>
      <c r="R191" s="353"/>
      <c r="S191" s="353"/>
      <c r="T191" s="353"/>
      <c r="U191" s="353"/>
      <c r="V191" s="353"/>
      <c r="W191" s="353"/>
      <c r="X191" s="353"/>
      <c r="Y191" s="353"/>
      <c r="Z191" s="353"/>
    </row>
    <row r="192" ht="12.0" customHeight="1">
      <c r="A192" s="353"/>
      <c r="B192" s="353"/>
      <c r="C192" s="353"/>
      <c r="D192" s="353"/>
      <c r="E192" s="353"/>
      <c r="F192" s="353"/>
      <c r="G192" s="353"/>
      <c r="H192" s="353"/>
      <c r="I192" s="353"/>
      <c r="J192" s="353"/>
      <c r="K192" s="353"/>
      <c r="L192" s="353"/>
      <c r="M192" s="353"/>
      <c r="N192" s="353"/>
      <c r="O192" s="353"/>
      <c r="P192" s="353"/>
      <c r="Q192" s="353"/>
      <c r="R192" s="353"/>
      <c r="S192" s="353"/>
      <c r="T192" s="353"/>
      <c r="U192" s="353"/>
      <c r="V192" s="353"/>
      <c r="W192" s="353"/>
      <c r="X192" s="353"/>
      <c r="Y192" s="353"/>
      <c r="Z192" s="353"/>
    </row>
    <row r="193" ht="12.0" customHeight="1">
      <c r="A193" s="353"/>
      <c r="B193" s="353"/>
      <c r="C193" s="353"/>
      <c r="D193" s="353"/>
      <c r="E193" s="353"/>
      <c r="F193" s="353"/>
      <c r="G193" s="353"/>
      <c r="H193" s="353"/>
      <c r="I193" s="353"/>
      <c r="J193" s="353"/>
      <c r="K193" s="353"/>
      <c r="L193" s="353"/>
      <c r="M193" s="353"/>
      <c r="N193" s="353"/>
      <c r="O193" s="353"/>
      <c r="P193" s="353"/>
      <c r="Q193" s="353"/>
      <c r="R193" s="353"/>
      <c r="S193" s="353"/>
      <c r="T193" s="353"/>
      <c r="U193" s="353"/>
      <c r="V193" s="353"/>
      <c r="W193" s="353"/>
      <c r="X193" s="353"/>
      <c r="Y193" s="353"/>
      <c r="Z193" s="353"/>
    </row>
    <row r="194" ht="12.0" customHeight="1">
      <c r="A194" s="353"/>
      <c r="B194" s="353"/>
      <c r="C194" s="353"/>
      <c r="D194" s="353"/>
      <c r="E194" s="353"/>
      <c r="F194" s="353"/>
      <c r="G194" s="353"/>
      <c r="H194" s="353"/>
      <c r="I194" s="353"/>
      <c r="J194" s="353"/>
      <c r="K194" s="353"/>
      <c r="L194" s="353"/>
      <c r="M194" s="353"/>
      <c r="N194" s="353"/>
      <c r="O194" s="353"/>
      <c r="P194" s="353"/>
      <c r="Q194" s="353"/>
      <c r="R194" s="353"/>
      <c r="S194" s="353"/>
      <c r="T194" s="353"/>
      <c r="U194" s="353"/>
      <c r="V194" s="353"/>
      <c r="W194" s="353"/>
      <c r="X194" s="353"/>
      <c r="Y194" s="353"/>
      <c r="Z194" s="353"/>
    </row>
    <row r="195" ht="12.0" customHeight="1">
      <c r="A195" s="353"/>
      <c r="B195" s="353"/>
      <c r="C195" s="353"/>
      <c r="D195" s="353"/>
      <c r="E195" s="353"/>
      <c r="F195" s="353"/>
      <c r="G195" s="353"/>
      <c r="H195" s="353"/>
      <c r="I195" s="353"/>
      <c r="J195" s="353"/>
      <c r="K195" s="353"/>
      <c r="L195" s="353"/>
      <c r="M195" s="353"/>
      <c r="N195" s="353"/>
      <c r="O195" s="353"/>
      <c r="P195" s="353"/>
      <c r="Q195" s="353"/>
      <c r="R195" s="353"/>
      <c r="S195" s="353"/>
      <c r="T195" s="353"/>
      <c r="U195" s="353"/>
      <c r="V195" s="353"/>
      <c r="W195" s="353"/>
      <c r="X195" s="353"/>
      <c r="Y195" s="353"/>
      <c r="Z195" s="353"/>
    </row>
    <row r="196" ht="12.0" customHeight="1">
      <c r="A196" s="353"/>
      <c r="B196" s="353"/>
      <c r="C196" s="353"/>
      <c r="D196" s="353"/>
      <c r="E196" s="353"/>
      <c r="F196" s="353"/>
      <c r="G196" s="353"/>
      <c r="H196" s="353"/>
      <c r="I196" s="353"/>
      <c r="J196" s="353"/>
      <c r="K196" s="353"/>
      <c r="L196" s="353"/>
      <c r="M196" s="353"/>
      <c r="N196" s="353"/>
      <c r="O196" s="353"/>
      <c r="P196" s="353"/>
      <c r="Q196" s="353"/>
      <c r="R196" s="353"/>
      <c r="S196" s="353"/>
      <c r="T196" s="353"/>
      <c r="U196" s="353"/>
      <c r="V196" s="353"/>
      <c r="W196" s="353"/>
      <c r="X196" s="353"/>
      <c r="Y196" s="353"/>
      <c r="Z196" s="353"/>
    </row>
    <row r="197" ht="12.0" customHeight="1">
      <c r="A197" s="353"/>
      <c r="B197" s="353"/>
      <c r="C197" s="353"/>
      <c r="D197" s="353"/>
      <c r="E197" s="353"/>
      <c r="F197" s="353"/>
      <c r="G197" s="353"/>
      <c r="H197" s="353"/>
      <c r="I197" s="353"/>
      <c r="J197" s="353"/>
      <c r="K197" s="353"/>
      <c r="L197" s="353"/>
      <c r="M197" s="353"/>
      <c r="N197" s="353"/>
      <c r="O197" s="353"/>
      <c r="P197" s="353"/>
      <c r="Q197" s="353"/>
      <c r="R197" s="353"/>
      <c r="S197" s="353"/>
      <c r="T197" s="353"/>
      <c r="U197" s="353"/>
      <c r="V197" s="353"/>
      <c r="W197" s="353"/>
      <c r="X197" s="353"/>
      <c r="Y197" s="353"/>
      <c r="Z197" s="353"/>
    </row>
    <row r="198" ht="12.0" customHeight="1">
      <c r="A198" s="353"/>
      <c r="B198" s="353"/>
      <c r="C198" s="353"/>
      <c r="D198" s="353"/>
      <c r="E198" s="353"/>
      <c r="F198" s="353"/>
      <c r="G198" s="353"/>
      <c r="H198" s="353"/>
      <c r="I198" s="353"/>
      <c r="J198" s="353"/>
      <c r="K198" s="353"/>
      <c r="L198" s="353"/>
      <c r="M198" s="353"/>
      <c r="N198" s="353"/>
      <c r="O198" s="353"/>
      <c r="P198" s="353"/>
      <c r="Q198" s="353"/>
      <c r="R198" s="353"/>
      <c r="S198" s="353"/>
      <c r="T198" s="353"/>
      <c r="U198" s="353"/>
      <c r="V198" s="353"/>
      <c r="W198" s="353"/>
      <c r="X198" s="353"/>
      <c r="Y198" s="353"/>
      <c r="Z198" s="353"/>
    </row>
    <row r="199" ht="12.0" customHeight="1">
      <c r="A199" s="353"/>
      <c r="B199" s="353"/>
      <c r="C199" s="353"/>
      <c r="D199" s="353"/>
      <c r="E199" s="353"/>
      <c r="F199" s="353"/>
      <c r="G199" s="353"/>
      <c r="H199" s="353"/>
      <c r="I199" s="353"/>
      <c r="J199" s="353"/>
      <c r="K199" s="353"/>
      <c r="L199" s="353"/>
      <c r="M199" s="353"/>
      <c r="N199" s="353"/>
      <c r="O199" s="353"/>
      <c r="P199" s="353"/>
      <c r="Q199" s="353"/>
      <c r="R199" s="353"/>
      <c r="S199" s="353"/>
      <c r="T199" s="353"/>
      <c r="U199" s="353"/>
      <c r="V199" s="353"/>
      <c r="W199" s="353"/>
      <c r="X199" s="353"/>
      <c r="Y199" s="353"/>
      <c r="Z199" s="353"/>
    </row>
    <row r="200" ht="12.0" customHeight="1">
      <c r="A200" s="353"/>
      <c r="B200" s="353"/>
      <c r="C200" s="353"/>
      <c r="D200" s="353"/>
      <c r="E200" s="353"/>
      <c r="F200" s="353"/>
      <c r="G200" s="353"/>
      <c r="H200" s="353"/>
      <c r="I200" s="353"/>
      <c r="J200" s="353"/>
      <c r="K200" s="353"/>
      <c r="L200" s="353"/>
      <c r="M200" s="353"/>
      <c r="N200" s="353"/>
      <c r="O200" s="353"/>
      <c r="P200" s="353"/>
      <c r="Q200" s="353"/>
      <c r="R200" s="353"/>
      <c r="S200" s="353"/>
      <c r="T200" s="353"/>
      <c r="U200" s="353"/>
      <c r="V200" s="353"/>
      <c r="W200" s="353"/>
      <c r="X200" s="353"/>
      <c r="Y200" s="353"/>
      <c r="Z200" s="353"/>
    </row>
    <row r="201" ht="12.0" customHeight="1">
      <c r="A201" s="353"/>
      <c r="B201" s="353"/>
      <c r="C201" s="353"/>
      <c r="D201" s="353"/>
      <c r="E201" s="353"/>
      <c r="F201" s="353"/>
      <c r="G201" s="353"/>
      <c r="H201" s="353"/>
      <c r="I201" s="353"/>
      <c r="J201" s="353"/>
      <c r="K201" s="353"/>
      <c r="L201" s="353"/>
      <c r="M201" s="353"/>
      <c r="N201" s="353"/>
      <c r="O201" s="353"/>
      <c r="P201" s="353"/>
      <c r="Q201" s="353"/>
      <c r="R201" s="353"/>
      <c r="S201" s="353"/>
      <c r="T201" s="353"/>
      <c r="U201" s="353"/>
      <c r="V201" s="353"/>
      <c r="W201" s="353"/>
      <c r="X201" s="353"/>
      <c r="Y201" s="353"/>
      <c r="Z201" s="353"/>
    </row>
    <row r="202" ht="12.0" customHeight="1">
      <c r="A202" s="353"/>
      <c r="B202" s="353"/>
      <c r="C202" s="353"/>
      <c r="D202" s="353"/>
      <c r="E202" s="353"/>
      <c r="F202" s="353"/>
      <c r="G202" s="353"/>
      <c r="H202" s="353"/>
      <c r="I202" s="353"/>
      <c r="J202" s="353"/>
      <c r="K202" s="353"/>
      <c r="L202" s="353"/>
      <c r="M202" s="353"/>
      <c r="N202" s="353"/>
      <c r="O202" s="353"/>
      <c r="P202" s="353"/>
      <c r="Q202" s="353"/>
      <c r="R202" s="353"/>
      <c r="S202" s="353"/>
      <c r="T202" s="353"/>
      <c r="U202" s="353"/>
      <c r="V202" s="353"/>
      <c r="W202" s="353"/>
      <c r="X202" s="353"/>
      <c r="Y202" s="353"/>
      <c r="Z202" s="353"/>
    </row>
    <row r="203" ht="12.0" customHeight="1">
      <c r="A203" s="353"/>
      <c r="B203" s="353"/>
      <c r="C203" s="353"/>
      <c r="D203" s="353"/>
      <c r="E203" s="353"/>
      <c r="F203" s="353"/>
      <c r="G203" s="353"/>
      <c r="H203" s="353"/>
      <c r="I203" s="353"/>
      <c r="J203" s="353"/>
      <c r="K203" s="353"/>
      <c r="L203" s="353"/>
      <c r="M203" s="353"/>
      <c r="N203" s="353"/>
      <c r="O203" s="353"/>
      <c r="P203" s="353"/>
      <c r="Q203" s="353"/>
      <c r="R203" s="353"/>
      <c r="S203" s="353"/>
      <c r="T203" s="353"/>
      <c r="U203" s="353"/>
      <c r="V203" s="353"/>
      <c r="W203" s="353"/>
      <c r="X203" s="353"/>
      <c r="Y203" s="353"/>
      <c r="Z203" s="353"/>
    </row>
    <row r="204" ht="12.0" customHeight="1">
      <c r="A204" s="353"/>
      <c r="B204" s="353"/>
      <c r="C204" s="353"/>
      <c r="D204" s="353"/>
      <c r="E204" s="353"/>
      <c r="F204" s="353"/>
      <c r="G204" s="353"/>
      <c r="H204" s="353"/>
      <c r="I204" s="353"/>
      <c r="J204" s="353"/>
      <c r="K204" s="353"/>
      <c r="L204" s="353"/>
      <c r="M204" s="353"/>
      <c r="N204" s="353"/>
      <c r="O204" s="353"/>
      <c r="P204" s="353"/>
      <c r="Q204" s="353"/>
      <c r="R204" s="353"/>
      <c r="S204" s="353"/>
      <c r="T204" s="353"/>
      <c r="U204" s="353"/>
      <c r="V204" s="353"/>
      <c r="W204" s="353"/>
      <c r="X204" s="353"/>
      <c r="Y204" s="353"/>
      <c r="Z204" s="353"/>
    </row>
    <row r="205" ht="12.0" customHeight="1">
      <c r="A205" s="353"/>
      <c r="B205" s="353"/>
      <c r="C205" s="353"/>
      <c r="D205" s="353"/>
      <c r="E205" s="353"/>
      <c r="F205" s="353"/>
      <c r="G205" s="353"/>
      <c r="H205" s="353"/>
      <c r="I205" s="353"/>
      <c r="J205" s="353"/>
      <c r="K205" s="353"/>
      <c r="L205" s="353"/>
      <c r="M205" s="353"/>
      <c r="N205" s="353"/>
      <c r="O205" s="353"/>
      <c r="P205" s="353"/>
      <c r="Q205" s="353"/>
      <c r="R205" s="353"/>
      <c r="S205" s="353"/>
      <c r="T205" s="353"/>
      <c r="U205" s="353"/>
      <c r="V205" s="353"/>
      <c r="W205" s="353"/>
      <c r="X205" s="353"/>
      <c r="Y205" s="353"/>
      <c r="Z205" s="353"/>
    </row>
    <row r="206" ht="12.0" customHeight="1">
      <c r="A206" s="353"/>
      <c r="B206" s="353"/>
      <c r="C206" s="353"/>
      <c r="D206" s="353"/>
      <c r="E206" s="353"/>
      <c r="F206" s="353"/>
      <c r="G206" s="353"/>
      <c r="H206" s="353"/>
      <c r="I206" s="353"/>
      <c r="J206" s="353"/>
      <c r="K206" s="353"/>
      <c r="L206" s="353"/>
      <c r="M206" s="353"/>
      <c r="N206" s="353"/>
      <c r="O206" s="353"/>
      <c r="P206" s="353"/>
      <c r="Q206" s="353"/>
      <c r="R206" s="353"/>
      <c r="S206" s="353"/>
      <c r="T206" s="353"/>
      <c r="U206" s="353"/>
      <c r="V206" s="353"/>
      <c r="W206" s="353"/>
      <c r="X206" s="353"/>
      <c r="Y206" s="353"/>
      <c r="Z206" s="353"/>
    </row>
    <row r="207" ht="12.0" customHeight="1">
      <c r="A207" s="353"/>
      <c r="B207" s="353"/>
      <c r="C207" s="353"/>
      <c r="D207" s="353"/>
      <c r="E207" s="353"/>
      <c r="F207" s="353"/>
      <c r="G207" s="353"/>
      <c r="H207" s="353"/>
      <c r="I207" s="353"/>
      <c r="J207" s="353"/>
      <c r="K207" s="353"/>
      <c r="L207" s="353"/>
      <c r="M207" s="353"/>
      <c r="N207" s="353"/>
      <c r="O207" s="353"/>
      <c r="P207" s="353"/>
      <c r="Q207" s="353"/>
      <c r="R207" s="353"/>
      <c r="S207" s="353"/>
      <c r="T207" s="353"/>
      <c r="U207" s="353"/>
      <c r="V207" s="353"/>
      <c r="W207" s="353"/>
      <c r="X207" s="353"/>
      <c r="Y207" s="353"/>
      <c r="Z207" s="353"/>
    </row>
    <row r="208" ht="12.0" customHeight="1">
      <c r="A208" s="353"/>
      <c r="B208" s="353"/>
      <c r="C208" s="353"/>
      <c r="D208" s="353"/>
      <c r="E208" s="353"/>
      <c r="F208" s="353"/>
      <c r="G208" s="353"/>
      <c r="H208" s="353"/>
      <c r="I208" s="353"/>
      <c r="J208" s="353"/>
      <c r="K208" s="353"/>
      <c r="L208" s="353"/>
      <c r="M208" s="353"/>
      <c r="N208" s="353"/>
      <c r="O208" s="353"/>
      <c r="P208" s="353"/>
      <c r="Q208" s="353"/>
      <c r="R208" s="353"/>
      <c r="S208" s="353"/>
      <c r="T208" s="353"/>
      <c r="U208" s="353"/>
      <c r="V208" s="353"/>
      <c r="W208" s="353"/>
      <c r="X208" s="353"/>
      <c r="Y208" s="353"/>
      <c r="Z208" s="353"/>
    </row>
    <row r="209" ht="12.0" customHeight="1">
      <c r="A209" s="353"/>
      <c r="B209" s="353"/>
      <c r="C209" s="353"/>
      <c r="D209" s="353"/>
      <c r="E209" s="353"/>
      <c r="F209" s="353"/>
      <c r="G209" s="353"/>
      <c r="H209" s="353"/>
      <c r="I209" s="353"/>
      <c r="J209" s="353"/>
      <c r="K209" s="353"/>
      <c r="L209" s="353"/>
      <c r="M209" s="353"/>
      <c r="N209" s="353"/>
      <c r="O209" s="353"/>
      <c r="P209" s="353"/>
      <c r="Q209" s="353"/>
      <c r="R209" s="353"/>
      <c r="S209" s="353"/>
      <c r="T209" s="353"/>
      <c r="U209" s="353"/>
      <c r="V209" s="353"/>
      <c r="W209" s="353"/>
      <c r="X209" s="353"/>
      <c r="Y209" s="353"/>
      <c r="Z209" s="353"/>
    </row>
    <row r="210" ht="12.0" customHeight="1">
      <c r="A210" s="353"/>
      <c r="B210" s="353"/>
      <c r="C210" s="353"/>
      <c r="D210" s="353"/>
      <c r="E210" s="353"/>
      <c r="F210" s="353"/>
      <c r="G210" s="353"/>
      <c r="H210" s="353"/>
      <c r="I210" s="353"/>
      <c r="J210" s="353"/>
      <c r="K210" s="353"/>
      <c r="L210" s="353"/>
      <c r="M210" s="353"/>
      <c r="N210" s="353"/>
      <c r="O210" s="353"/>
      <c r="P210" s="353"/>
      <c r="Q210" s="353"/>
      <c r="R210" s="353"/>
      <c r="S210" s="353"/>
      <c r="T210" s="353"/>
      <c r="U210" s="353"/>
      <c r="V210" s="353"/>
      <c r="W210" s="353"/>
      <c r="X210" s="353"/>
      <c r="Y210" s="353"/>
      <c r="Z210" s="353"/>
    </row>
    <row r="211" ht="12.0" customHeight="1">
      <c r="A211" s="353"/>
      <c r="B211" s="353"/>
      <c r="C211" s="353"/>
      <c r="D211" s="353"/>
      <c r="E211" s="353"/>
      <c r="F211" s="353"/>
      <c r="G211" s="353"/>
      <c r="H211" s="353"/>
      <c r="I211" s="353"/>
      <c r="J211" s="353"/>
      <c r="K211" s="353"/>
      <c r="L211" s="353"/>
      <c r="M211" s="353"/>
      <c r="N211" s="353"/>
      <c r="O211" s="353"/>
      <c r="P211" s="353"/>
      <c r="Q211" s="353"/>
      <c r="R211" s="353"/>
      <c r="S211" s="353"/>
      <c r="T211" s="353"/>
      <c r="U211" s="353"/>
      <c r="V211" s="353"/>
      <c r="W211" s="353"/>
      <c r="X211" s="353"/>
      <c r="Y211" s="353"/>
      <c r="Z211" s="353"/>
    </row>
    <row r="212" ht="12.0" customHeight="1">
      <c r="A212" s="353"/>
      <c r="B212" s="353"/>
      <c r="C212" s="353"/>
      <c r="D212" s="353"/>
      <c r="E212" s="353"/>
      <c r="F212" s="353"/>
      <c r="G212" s="353"/>
      <c r="H212" s="353"/>
      <c r="I212" s="353"/>
      <c r="J212" s="353"/>
      <c r="K212" s="353"/>
      <c r="L212" s="353"/>
      <c r="M212" s="353"/>
      <c r="N212" s="353"/>
      <c r="O212" s="353"/>
      <c r="P212" s="353"/>
      <c r="Q212" s="353"/>
      <c r="R212" s="353"/>
      <c r="S212" s="353"/>
      <c r="T212" s="353"/>
      <c r="U212" s="353"/>
      <c r="V212" s="353"/>
      <c r="W212" s="353"/>
      <c r="X212" s="353"/>
      <c r="Y212" s="353"/>
      <c r="Z212" s="353"/>
    </row>
    <row r="213" ht="12.0" customHeight="1">
      <c r="A213" s="353"/>
      <c r="B213" s="353"/>
      <c r="C213" s="353"/>
      <c r="D213" s="353"/>
      <c r="E213" s="353"/>
      <c r="F213" s="353"/>
      <c r="G213" s="353"/>
      <c r="H213" s="353"/>
      <c r="I213" s="353"/>
      <c r="J213" s="353"/>
      <c r="K213" s="353"/>
      <c r="L213" s="353"/>
      <c r="M213" s="353"/>
      <c r="N213" s="353"/>
      <c r="O213" s="353"/>
      <c r="P213" s="353"/>
      <c r="Q213" s="353"/>
      <c r="R213" s="353"/>
      <c r="S213" s="353"/>
      <c r="T213" s="353"/>
      <c r="U213" s="353"/>
      <c r="V213" s="353"/>
      <c r="W213" s="353"/>
      <c r="X213" s="353"/>
      <c r="Y213" s="353"/>
      <c r="Z213" s="353"/>
    </row>
    <row r="214" ht="12.0" customHeight="1">
      <c r="A214" s="353"/>
      <c r="B214" s="353"/>
      <c r="C214" s="353"/>
      <c r="D214" s="353"/>
      <c r="E214" s="353"/>
      <c r="F214" s="353"/>
      <c r="G214" s="353"/>
      <c r="H214" s="353"/>
      <c r="I214" s="353"/>
      <c r="J214" s="353"/>
      <c r="K214" s="353"/>
      <c r="L214" s="353"/>
      <c r="M214" s="353"/>
      <c r="N214" s="353"/>
      <c r="O214" s="353"/>
      <c r="P214" s="353"/>
      <c r="Q214" s="353"/>
      <c r="R214" s="353"/>
      <c r="S214" s="353"/>
      <c r="T214" s="353"/>
      <c r="U214" s="353"/>
      <c r="V214" s="353"/>
      <c r="W214" s="353"/>
      <c r="X214" s="353"/>
      <c r="Y214" s="353"/>
      <c r="Z214" s="353"/>
    </row>
    <row r="215" ht="12.0" customHeight="1">
      <c r="A215" s="353"/>
      <c r="B215" s="353"/>
      <c r="C215" s="353"/>
      <c r="D215" s="353"/>
      <c r="E215" s="353"/>
      <c r="F215" s="353"/>
      <c r="G215" s="353"/>
      <c r="H215" s="353"/>
      <c r="I215" s="353"/>
      <c r="J215" s="353"/>
      <c r="K215" s="353"/>
      <c r="L215" s="353"/>
      <c r="M215" s="353"/>
      <c r="N215" s="353"/>
      <c r="O215" s="353"/>
      <c r="P215" s="353"/>
      <c r="Q215" s="353"/>
      <c r="R215" s="353"/>
      <c r="S215" s="353"/>
      <c r="T215" s="353"/>
      <c r="U215" s="353"/>
      <c r="V215" s="353"/>
      <c r="W215" s="353"/>
      <c r="X215" s="353"/>
      <c r="Y215" s="353"/>
      <c r="Z215" s="353"/>
    </row>
    <row r="216" ht="12.0" customHeight="1">
      <c r="A216" s="353"/>
      <c r="B216" s="353"/>
      <c r="C216" s="353"/>
      <c r="D216" s="353"/>
      <c r="E216" s="353"/>
      <c r="F216" s="353"/>
      <c r="G216" s="353"/>
      <c r="H216" s="353"/>
      <c r="I216" s="353"/>
      <c r="J216" s="353"/>
      <c r="K216" s="353"/>
      <c r="L216" s="353"/>
      <c r="M216" s="353"/>
      <c r="N216" s="353"/>
      <c r="O216" s="353"/>
      <c r="P216" s="353"/>
      <c r="Q216" s="353"/>
      <c r="R216" s="353"/>
      <c r="S216" s="353"/>
      <c r="T216" s="353"/>
      <c r="U216" s="353"/>
      <c r="V216" s="353"/>
      <c r="W216" s="353"/>
      <c r="X216" s="353"/>
      <c r="Y216" s="353"/>
      <c r="Z216" s="353"/>
    </row>
    <row r="217" ht="12.0" customHeight="1">
      <c r="A217" s="353"/>
      <c r="B217" s="353"/>
      <c r="C217" s="353"/>
      <c r="D217" s="353"/>
      <c r="E217" s="353"/>
      <c r="F217" s="353"/>
      <c r="G217" s="353"/>
      <c r="H217" s="353"/>
      <c r="I217" s="353"/>
      <c r="J217" s="353"/>
      <c r="K217" s="353"/>
      <c r="L217" s="353"/>
      <c r="M217" s="353"/>
      <c r="N217" s="353"/>
      <c r="O217" s="353"/>
      <c r="P217" s="353"/>
      <c r="Q217" s="353"/>
      <c r="R217" s="353"/>
      <c r="S217" s="353"/>
      <c r="T217" s="353"/>
      <c r="U217" s="353"/>
      <c r="V217" s="353"/>
      <c r="W217" s="353"/>
      <c r="X217" s="353"/>
      <c r="Y217" s="353"/>
      <c r="Z217" s="353"/>
    </row>
    <row r="218" ht="12.0" customHeight="1">
      <c r="A218" s="353"/>
      <c r="B218" s="353"/>
      <c r="C218" s="353"/>
      <c r="D218" s="353"/>
      <c r="E218" s="353"/>
      <c r="F218" s="353"/>
      <c r="G218" s="353"/>
      <c r="H218" s="353"/>
      <c r="I218" s="353"/>
      <c r="J218" s="353"/>
      <c r="K218" s="353"/>
      <c r="L218" s="353"/>
      <c r="M218" s="353"/>
      <c r="N218" s="353"/>
      <c r="O218" s="353"/>
      <c r="P218" s="353"/>
      <c r="Q218" s="353"/>
      <c r="R218" s="353"/>
      <c r="S218" s="353"/>
      <c r="T218" s="353"/>
      <c r="U218" s="353"/>
      <c r="V218" s="353"/>
      <c r="W218" s="353"/>
      <c r="X218" s="353"/>
      <c r="Y218" s="353"/>
      <c r="Z218" s="353"/>
    </row>
    <row r="219" ht="12.0" customHeight="1">
      <c r="A219" s="353"/>
      <c r="B219" s="353"/>
      <c r="C219" s="353"/>
      <c r="D219" s="353"/>
      <c r="E219" s="353"/>
      <c r="F219" s="353"/>
      <c r="G219" s="353"/>
      <c r="H219" s="353"/>
      <c r="I219" s="353"/>
      <c r="J219" s="353"/>
      <c r="K219" s="353"/>
      <c r="L219" s="353"/>
      <c r="M219" s="353"/>
      <c r="N219" s="353"/>
      <c r="O219" s="353"/>
      <c r="P219" s="353"/>
      <c r="Q219" s="353"/>
      <c r="R219" s="353"/>
      <c r="S219" s="353"/>
      <c r="T219" s="353"/>
      <c r="U219" s="353"/>
      <c r="V219" s="353"/>
      <c r="W219" s="353"/>
      <c r="X219" s="353"/>
      <c r="Y219" s="353"/>
      <c r="Z219" s="353"/>
    </row>
    <row r="220" ht="12.0" customHeight="1">
      <c r="A220" s="353"/>
      <c r="B220" s="353"/>
      <c r="C220" s="353"/>
      <c r="D220" s="353"/>
      <c r="E220" s="353"/>
      <c r="F220" s="353"/>
      <c r="G220" s="353"/>
      <c r="H220" s="353"/>
      <c r="I220" s="353"/>
      <c r="J220" s="353"/>
      <c r="K220" s="353"/>
      <c r="L220" s="353"/>
      <c r="M220" s="353"/>
      <c r="N220" s="353"/>
      <c r="O220" s="353"/>
      <c r="P220" s="353"/>
      <c r="Q220" s="353"/>
      <c r="R220" s="353"/>
      <c r="S220" s="353"/>
      <c r="T220" s="353"/>
      <c r="U220" s="353"/>
      <c r="V220" s="353"/>
      <c r="W220" s="353"/>
      <c r="X220" s="353"/>
      <c r="Y220" s="353"/>
      <c r="Z220" s="353"/>
    </row>
    <row r="221" ht="12.0" customHeight="1">
      <c r="A221" s="353"/>
      <c r="B221" s="353"/>
      <c r="C221" s="353"/>
      <c r="D221" s="353"/>
      <c r="E221" s="353"/>
      <c r="F221" s="353"/>
      <c r="G221" s="353"/>
      <c r="H221" s="353"/>
      <c r="I221" s="353"/>
      <c r="J221" s="353"/>
      <c r="K221" s="353"/>
      <c r="L221" s="353"/>
      <c r="M221" s="353"/>
      <c r="N221" s="353"/>
      <c r="O221" s="353"/>
      <c r="P221" s="353"/>
      <c r="Q221" s="353"/>
      <c r="R221" s="353"/>
      <c r="S221" s="353"/>
      <c r="T221" s="353"/>
      <c r="U221" s="353"/>
      <c r="V221" s="353"/>
      <c r="W221" s="353"/>
      <c r="X221" s="353"/>
      <c r="Y221" s="353"/>
      <c r="Z221" s="353"/>
    </row>
    <row r="222" ht="12.0" customHeight="1">
      <c r="A222" s="353"/>
      <c r="B222" s="353"/>
      <c r="C222" s="353"/>
      <c r="D222" s="353"/>
      <c r="E222" s="353"/>
      <c r="F222" s="353"/>
      <c r="G222" s="353"/>
      <c r="H222" s="353"/>
      <c r="I222" s="353"/>
      <c r="J222" s="353"/>
      <c r="K222" s="353"/>
      <c r="L222" s="353"/>
      <c r="M222" s="353"/>
      <c r="N222" s="353"/>
      <c r="O222" s="353"/>
      <c r="P222" s="353"/>
      <c r="Q222" s="353"/>
      <c r="R222" s="353"/>
      <c r="S222" s="353"/>
      <c r="T222" s="353"/>
      <c r="U222" s="353"/>
      <c r="V222" s="353"/>
      <c r="W222" s="353"/>
      <c r="X222" s="353"/>
      <c r="Y222" s="353"/>
      <c r="Z222" s="353"/>
    </row>
    <row r="223" ht="12.0" customHeight="1">
      <c r="A223" s="353"/>
      <c r="B223" s="353"/>
      <c r="C223" s="353"/>
      <c r="D223" s="353"/>
      <c r="E223" s="353"/>
      <c r="F223" s="353"/>
      <c r="G223" s="353"/>
      <c r="H223" s="353"/>
      <c r="I223" s="353"/>
      <c r="J223" s="353"/>
      <c r="K223" s="353"/>
      <c r="L223" s="353"/>
      <c r="M223" s="353"/>
      <c r="N223" s="353"/>
      <c r="O223" s="353"/>
      <c r="P223" s="353"/>
      <c r="Q223" s="353"/>
      <c r="R223" s="353"/>
      <c r="S223" s="353"/>
      <c r="T223" s="353"/>
      <c r="U223" s="353"/>
      <c r="V223" s="353"/>
      <c r="W223" s="353"/>
      <c r="X223" s="353"/>
      <c r="Y223" s="353"/>
      <c r="Z223" s="353"/>
    </row>
    <row r="224" ht="12.0" customHeight="1">
      <c r="A224" s="353"/>
      <c r="B224" s="353"/>
      <c r="C224" s="353"/>
      <c r="D224" s="353"/>
      <c r="E224" s="353"/>
      <c r="F224" s="353"/>
      <c r="G224" s="353"/>
      <c r="H224" s="353"/>
      <c r="I224" s="353"/>
      <c r="J224" s="353"/>
      <c r="K224" s="353"/>
      <c r="L224" s="353"/>
      <c r="M224" s="353"/>
      <c r="N224" s="353"/>
      <c r="O224" s="353"/>
      <c r="P224" s="353"/>
      <c r="Q224" s="353"/>
      <c r="R224" s="353"/>
      <c r="S224" s="353"/>
      <c r="T224" s="353"/>
      <c r="U224" s="353"/>
      <c r="V224" s="353"/>
      <c r="W224" s="353"/>
      <c r="X224" s="353"/>
      <c r="Y224" s="353"/>
      <c r="Z224" s="353"/>
    </row>
    <row r="225" ht="12.0" customHeight="1">
      <c r="A225" s="353"/>
      <c r="B225" s="353"/>
      <c r="C225" s="353"/>
      <c r="D225" s="353"/>
      <c r="E225" s="353"/>
      <c r="F225" s="353"/>
      <c r="G225" s="353"/>
      <c r="H225" s="353"/>
      <c r="I225" s="353"/>
      <c r="J225" s="353"/>
      <c r="K225" s="353"/>
      <c r="L225" s="353"/>
      <c r="M225" s="353"/>
      <c r="N225" s="353"/>
      <c r="O225" s="353"/>
      <c r="P225" s="353"/>
      <c r="Q225" s="353"/>
      <c r="R225" s="353"/>
      <c r="S225" s="353"/>
      <c r="T225" s="353"/>
      <c r="U225" s="353"/>
      <c r="V225" s="353"/>
      <c r="W225" s="353"/>
      <c r="X225" s="353"/>
      <c r="Y225" s="353"/>
      <c r="Z225" s="353"/>
    </row>
    <row r="226" ht="12.0" customHeight="1">
      <c r="A226" s="353"/>
      <c r="B226" s="353"/>
      <c r="C226" s="353"/>
      <c r="D226" s="353"/>
      <c r="E226" s="353"/>
      <c r="F226" s="353"/>
      <c r="G226" s="353"/>
      <c r="H226" s="353"/>
      <c r="I226" s="353"/>
      <c r="J226" s="353"/>
      <c r="K226" s="353"/>
      <c r="L226" s="353"/>
      <c r="M226" s="353"/>
      <c r="N226" s="353"/>
      <c r="O226" s="353"/>
      <c r="P226" s="353"/>
      <c r="Q226" s="353"/>
      <c r="R226" s="353"/>
      <c r="S226" s="353"/>
      <c r="T226" s="353"/>
      <c r="U226" s="353"/>
      <c r="V226" s="353"/>
      <c r="W226" s="353"/>
      <c r="X226" s="353"/>
      <c r="Y226" s="353"/>
      <c r="Z226" s="353"/>
    </row>
    <row r="227" ht="12.0" customHeight="1">
      <c r="A227" s="353"/>
      <c r="B227" s="353"/>
      <c r="C227" s="353"/>
      <c r="D227" s="353"/>
      <c r="E227" s="353"/>
      <c r="F227" s="353"/>
      <c r="G227" s="353"/>
      <c r="H227" s="353"/>
      <c r="I227" s="353"/>
      <c r="J227" s="353"/>
      <c r="K227" s="353"/>
      <c r="L227" s="353"/>
      <c r="M227" s="353"/>
      <c r="N227" s="353"/>
      <c r="O227" s="353"/>
      <c r="P227" s="353"/>
      <c r="Q227" s="353"/>
      <c r="R227" s="353"/>
      <c r="S227" s="353"/>
      <c r="T227" s="353"/>
      <c r="U227" s="353"/>
      <c r="V227" s="353"/>
      <c r="W227" s="353"/>
      <c r="X227" s="353"/>
      <c r="Y227" s="353"/>
      <c r="Z227" s="353"/>
    </row>
    <row r="228" ht="12.0" customHeight="1">
      <c r="A228" s="353"/>
      <c r="B228" s="353"/>
      <c r="C228" s="353"/>
      <c r="D228" s="353"/>
      <c r="E228" s="353"/>
      <c r="F228" s="353"/>
      <c r="G228" s="353"/>
      <c r="H228" s="353"/>
      <c r="I228" s="353"/>
      <c r="J228" s="353"/>
      <c r="K228" s="353"/>
      <c r="L228" s="353"/>
      <c r="M228" s="353"/>
      <c r="N228" s="353"/>
      <c r="O228" s="353"/>
      <c r="P228" s="353"/>
      <c r="Q228" s="353"/>
      <c r="R228" s="353"/>
      <c r="S228" s="353"/>
      <c r="T228" s="353"/>
      <c r="U228" s="353"/>
      <c r="V228" s="353"/>
      <c r="W228" s="353"/>
      <c r="X228" s="353"/>
      <c r="Y228" s="353"/>
      <c r="Z228" s="353"/>
    </row>
    <row r="229" ht="12.0" customHeight="1">
      <c r="A229" s="353"/>
      <c r="B229" s="353"/>
      <c r="C229" s="353"/>
      <c r="D229" s="353"/>
      <c r="E229" s="353"/>
      <c r="F229" s="353"/>
      <c r="G229" s="353"/>
      <c r="H229" s="353"/>
      <c r="I229" s="353"/>
      <c r="J229" s="353"/>
      <c r="K229" s="353"/>
      <c r="L229" s="353"/>
      <c r="M229" s="353"/>
      <c r="N229" s="353"/>
      <c r="O229" s="353"/>
      <c r="P229" s="353"/>
      <c r="Q229" s="353"/>
      <c r="R229" s="353"/>
      <c r="S229" s="353"/>
      <c r="T229" s="353"/>
      <c r="U229" s="353"/>
      <c r="V229" s="353"/>
      <c r="W229" s="353"/>
      <c r="X229" s="353"/>
      <c r="Y229" s="353"/>
      <c r="Z229" s="353"/>
    </row>
    <row r="230" ht="12.0" customHeight="1">
      <c r="A230" s="353"/>
      <c r="B230" s="353"/>
      <c r="C230" s="353"/>
      <c r="D230" s="353"/>
      <c r="E230" s="353"/>
      <c r="F230" s="353"/>
      <c r="G230" s="353"/>
      <c r="H230" s="353"/>
      <c r="I230" s="353"/>
      <c r="J230" s="353"/>
      <c r="K230" s="353"/>
      <c r="L230" s="353"/>
      <c r="M230" s="353"/>
      <c r="N230" s="353"/>
      <c r="O230" s="353"/>
      <c r="P230" s="353"/>
      <c r="Q230" s="353"/>
      <c r="R230" s="353"/>
      <c r="S230" s="353"/>
      <c r="T230" s="353"/>
      <c r="U230" s="353"/>
      <c r="V230" s="353"/>
      <c r="W230" s="353"/>
      <c r="X230" s="353"/>
      <c r="Y230" s="353"/>
      <c r="Z230" s="353"/>
    </row>
    <row r="231" ht="12.0" customHeight="1">
      <c r="A231" s="353"/>
      <c r="B231" s="353"/>
      <c r="C231" s="353"/>
      <c r="D231" s="353"/>
      <c r="E231" s="353"/>
      <c r="F231" s="353"/>
      <c r="G231" s="353"/>
      <c r="H231" s="353"/>
      <c r="I231" s="353"/>
      <c r="J231" s="353"/>
      <c r="K231" s="353"/>
      <c r="L231" s="353"/>
      <c r="M231" s="353"/>
      <c r="N231" s="353"/>
      <c r="O231" s="353"/>
      <c r="P231" s="353"/>
      <c r="Q231" s="353"/>
      <c r="R231" s="353"/>
      <c r="S231" s="353"/>
      <c r="T231" s="353"/>
      <c r="U231" s="353"/>
      <c r="V231" s="353"/>
      <c r="W231" s="353"/>
      <c r="X231" s="353"/>
      <c r="Y231" s="353"/>
      <c r="Z231" s="353"/>
    </row>
    <row r="232" ht="12.0" customHeight="1">
      <c r="A232" s="353"/>
      <c r="B232" s="353"/>
      <c r="C232" s="353"/>
      <c r="D232" s="353"/>
      <c r="E232" s="353"/>
      <c r="F232" s="353"/>
      <c r="G232" s="353"/>
      <c r="H232" s="353"/>
      <c r="I232" s="353"/>
      <c r="J232" s="353"/>
      <c r="K232" s="353"/>
      <c r="L232" s="353"/>
      <c r="M232" s="353"/>
      <c r="N232" s="353"/>
      <c r="O232" s="353"/>
      <c r="P232" s="353"/>
      <c r="Q232" s="353"/>
      <c r="R232" s="353"/>
      <c r="S232" s="353"/>
      <c r="T232" s="353"/>
      <c r="U232" s="353"/>
      <c r="V232" s="353"/>
      <c r="W232" s="353"/>
      <c r="X232" s="353"/>
      <c r="Y232" s="353"/>
      <c r="Z232" s="353"/>
    </row>
    <row r="233" ht="12.0" customHeight="1">
      <c r="A233" s="353"/>
      <c r="B233" s="353"/>
      <c r="C233" s="353"/>
      <c r="D233" s="353"/>
      <c r="E233" s="353"/>
      <c r="F233" s="353"/>
      <c r="G233" s="353"/>
      <c r="H233" s="353"/>
      <c r="I233" s="353"/>
      <c r="J233" s="353"/>
      <c r="K233" s="353"/>
      <c r="L233" s="353"/>
      <c r="M233" s="353"/>
      <c r="N233" s="353"/>
      <c r="O233" s="353"/>
      <c r="P233" s="353"/>
      <c r="Q233" s="353"/>
      <c r="R233" s="353"/>
      <c r="S233" s="353"/>
      <c r="T233" s="353"/>
      <c r="U233" s="353"/>
      <c r="V233" s="353"/>
      <c r="W233" s="353"/>
      <c r="X233" s="353"/>
      <c r="Y233" s="353"/>
      <c r="Z233" s="353"/>
    </row>
    <row r="234" ht="12.0" customHeight="1">
      <c r="A234" s="353"/>
      <c r="B234" s="353"/>
      <c r="C234" s="353"/>
      <c r="D234" s="353"/>
      <c r="E234" s="353"/>
      <c r="F234" s="353"/>
      <c r="G234" s="353"/>
      <c r="H234" s="353"/>
      <c r="I234" s="353"/>
      <c r="J234" s="353"/>
      <c r="K234" s="353"/>
      <c r="L234" s="353"/>
      <c r="M234" s="353"/>
      <c r="N234" s="353"/>
      <c r="O234" s="353"/>
      <c r="P234" s="353"/>
      <c r="Q234" s="353"/>
      <c r="R234" s="353"/>
      <c r="S234" s="353"/>
      <c r="T234" s="353"/>
      <c r="U234" s="353"/>
      <c r="V234" s="353"/>
      <c r="W234" s="353"/>
      <c r="X234" s="353"/>
      <c r="Y234" s="353"/>
      <c r="Z234" s="353"/>
    </row>
    <row r="235" ht="12.0" customHeight="1">
      <c r="A235" s="353"/>
      <c r="B235" s="353"/>
      <c r="C235" s="353"/>
      <c r="D235" s="353"/>
      <c r="E235" s="353"/>
      <c r="F235" s="353"/>
      <c r="G235" s="353"/>
      <c r="H235" s="353"/>
      <c r="I235" s="353"/>
      <c r="J235" s="353"/>
      <c r="K235" s="353"/>
      <c r="L235" s="353"/>
      <c r="M235" s="353"/>
      <c r="N235" s="353"/>
      <c r="O235" s="353"/>
      <c r="P235" s="353"/>
      <c r="Q235" s="353"/>
      <c r="R235" s="353"/>
      <c r="S235" s="353"/>
      <c r="T235" s="353"/>
      <c r="U235" s="353"/>
      <c r="V235" s="353"/>
      <c r="W235" s="353"/>
      <c r="X235" s="353"/>
      <c r="Y235" s="353"/>
      <c r="Z235" s="353"/>
    </row>
    <row r="236" ht="12.0" customHeight="1">
      <c r="A236" s="353"/>
      <c r="B236" s="353"/>
      <c r="C236" s="353"/>
      <c r="D236" s="353"/>
      <c r="E236" s="353"/>
      <c r="F236" s="353"/>
      <c r="G236" s="353"/>
      <c r="H236" s="353"/>
      <c r="I236" s="353"/>
      <c r="J236" s="353"/>
      <c r="K236" s="353"/>
      <c r="L236" s="353"/>
      <c r="M236" s="353"/>
      <c r="N236" s="353"/>
      <c r="O236" s="353"/>
      <c r="P236" s="353"/>
      <c r="Q236" s="353"/>
      <c r="R236" s="353"/>
      <c r="S236" s="353"/>
      <c r="T236" s="353"/>
      <c r="U236" s="353"/>
      <c r="V236" s="353"/>
      <c r="W236" s="353"/>
      <c r="X236" s="353"/>
      <c r="Y236" s="353"/>
      <c r="Z236" s="353"/>
    </row>
    <row r="237" ht="12.0" customHeight="1">
      <c r="A237" s="353"/>
      <c r="B237" s="353"/>
      <c r="C237" s="353"/>
      <c r="D237" s="353"/>
      <c r="E237" s="353"/>
      <c r="F237" s="353"/>
      <c r="G237" s="353"/>
      <c r="H237" s="353"/>
      <c r="I237" s="353"/>
      <c r="J237" s="353"/>
      <c r="K237" s="353"/>
      <c r="L237" s="353"/>
      <c r="M237" s="353"/>
      <c r="N237" s="353"/>
      <c r="O237" s="353"/>
      <c r="P237" s="353"/>
      <c r="Q237" s="353"/>
      <c r="R237" s="353"/>
      <c r="S237" s="353"/>
      <c r="T237" s="353"/>
      <c r="U237" s="353"/>
      <c r="V237" s="353"/>
      <c r="W237" s="353"/>
      <c r="X237" s="353"/>
      <c r="Y237" s="353"/>
      <c r="Z237" s="353"/>
    </row>
    <row r="238" ht="12.0" customHeight="1">
      <c r="A238" s="353"/>
      <c r="B238" s="353"/>
      <c r="C238" s="353"/>
      <c r="D238" s="353"/>
      <c r="E238" s="353"/>
      <c r="F238" s="353"/>
      <c r="G238" s="353"/>
      <c r="H238" s="353"/>
      <c r="I238" s="353"/>
      <c r="J238" s="353"/>
      <c r="K238" s="353"/>
      <c r="L238" s="353"/>
      <c r="M238" s="353"/>
      <c r="N238" s="353"/>
      <c r="O238" s="353"/>
      <c r="P238" s="353"/>
      <c r="Q238" s="353"/>
      <c r="R238" s="353"/>
      <c r="S238" s="353"/>
      <c r="T238" s="353"/>
      <c r="U238" s="353"/>
      <c r="V238" s="353"/>
      <c r="W238" s="353"/>
      <c r="X238" s="353"/>
      <c r="Y238" s="353"/>
      <c r="Z238" s="353"/>
    </row>
    <row r="239" ht="12.0" customHeight="1">
      <c r="A239" s="353"/>
      <c r="B239" s="353"/>
      <c r="C239" s="353"/>
      <c r="D239" s="353"/>
      <c r="E239" s="353"/>
      <c r="F239" s="353"/>
      <c r="G239" s="353"/>
      <c r="H239" s="353"/>
      <c r="I239" s="353"/>
      <c r="J239" s="353"/>
      <c r="K239" s="353"/>
      <c r="L239" s="353"/>
      <c r="M239" s="353"/>
      <c r="N239" s="353"/>
      <c r="O239" s="353"/>
      <c r="P239" s="353"/>
      <c r="Q239" s="353"/>
      <c r="R239" s="353"/>
      <c r="S239" s="353"/>
      <c r="T239" s="353"/>
      <c r="U239" s="353"/>
      <c r="V239" s="353"/>
      <c r="W239" s="353"/>
      <c r="X239" s="353"/>
      <c r="Y239" s="353"/>
      <c r="Z239" s="353"/>
    </row>
    <row r="240" ht="12.0" customHeight="1">
      <c r="A240" s="353"/>
      <c r="B240" s="353"/>
      <c r="C240" s="353"/>
      <c r="D240" s="353"/>
      <c r="E240" s="353"/>
      <c r="F240" s="353"/>
      <c r="G240" s="353"/>
      <c r="H240" s="353"/>
      <c r="I240" s="353"/>
      <c r="J240" s="353"/>
      <c r="K240" s="353"/>
      <c r="L240" s="353"/>
      <c r="M240" s="353"/>
      <c r="N240" s="353"/>
      <c r="O240" s="353"/>
      <c r="P240" s="353"/>
      <c r="Q240" s="353"/>
      <c r="R240" s="353"/>
      <c r="S240" s="353"/>
      <c r="T240" s="353"/>
      <c r="U240" s="353"/>
      <c r="V240" s="353"/>
      <c r="W240" s="353"/>
      <c r="X240" s="353"/>
      <c r="Y240" s="353"/>
      <c r="Z240" s="353"/>
    </row>
    <row r="241" ht="12.0" customHeight="1">
      <c r="A241" s="353"/>
      <c r="B241" s="353"/>
      <c r="C241" s="353"/>
      <c r="D241" s="353"/>
      <c r="E241" s="353"/>
      <c r="F241" s="353"/>
      <c r="G241" s="353"/>
      <c r="H241" s="353"/>
      <c r="I241" s="353"/>
      <c r="J241" s="353"/>
      <c r="K241" s="353"/>
      <c r="L241" s="353"/>
      <c r="M241" s="353"/>
      <c r="N241" s="353"/>
      <c r="O241" s="353"/>
      <c r="P241" s="353"/>
      <c r="Q241" s="353"/>
      <c r="R241" s="353"/>
      <c r="S241" s="353"/>
      <c r="T241" s="353"/>
      <c r="U241" s="353"/>
      <c r="V241" s="353"/>
      <c r="W241" s="353"/>
      <c r="X241" s="353"/>
      <c r="Y241" s="353"/>
      <c r="Z241" s="353"/>
    </row>
    <row r="242" ht="12.0" customHeight="1">
      <c r="A242" s="353"/>
      <c r="B242" s="353"/>
      <c r="C242" s="353"/>
      <c r="D242" s="353"/>
      <c r="E242" s="353"/>
      <c r="F242" s="353"/>
      <c r="G242" s="353"/>
      <c r="H242" s="353"/>
      <c r="I242" s="353"/>
      <c r="J242" s="353"/>
      <c r="K242" s="353"/>
      <c r="L242" s="353"/>
      <c r="M242" s="353"/>
      <c r="N242" s="353"/>
      <c r="O242" s="353"/>
      <c r="P242" s="353"/>
      <c r="Q242" s="353"/>
      <c r="R242" s="353"/>
      <c r="S242" s="353"/>
      <c r="T242" s="353"/>
      <c r="U242" s="353"/>
      <c r="V242" s="353"/>
      <c r="W242" s="353"/>
      <c r="X242" s="353"/>
      <c r="Y242" s="353"/>
      <c r="Z242" s="353"/>
    </row>
    <row r="243" ht="12.0" customHeight="1">
      <c r="A243" s="353"/>
      <c r="B243" s="353"/>
      <c r="C243" s="353"/>
      <c r="D243" s="353"/>
      <c r="E243" s="353"/>
      <c r="F243" s="353"/>
      <c r="G243" s="353"/>
      <c r="H243" s="353"/>
      <c r="I243" s="353"/>
      <c r="J243" s="353"/>
      <c r="K243" s="353"/>
      <c r="L243" s="353"/>
      <c r="M243" s="353"/>
      <c r="N243" s="353"/>
      <c r="O243" s="353"/>
      <c r="P243" s="353"/>
      <c r="Q243" s="353"/>
      <c r="R243" s="353"/>
      <c r="S243" s="353"/>
      <c r="T243" s="353"/>
      <c r="U243" s="353"/>
      <c r="V243" s="353"/>
      <c r="W243" s="353"/>
      <c r="X243" s="353"/>
      <c r="Y243" s="353"/>
      <c r="Z243" s="353"/>
    </row>
    <row r="244" ht="12.0" customHeight="1">
      <c r="A244" s="353"/>
      <c r="B244" s="353"/>
      <c r="C244" s="353"/>
      <c r="D244" s="353"/>
      <c r="E244" s="353"/>
      <c r="F244" s="353"/>
      <c r="G244" s="353"/>
      <c r="H244" s="353"/>
      <c r="I244" s="353"/>
      <c r="J244" s="353"/>
      <c r="K244" s="353"/>
      <c r="L244" s="353"/>
      <c r="M244" s="353"/>
      <c r="N244" s="353"/>
      <c r="O244" s="353"/>
      <c r="P244" s="353"/>
      <c r="Q244" s="353"/>
      <c r="R244" s="353"/>
      <c r="S244" s="353"/>
      <c r="T244" s="353"/>
      <c r="U244" s="353"/>
      <c r="V244" s="353"/>
      <c r="W244" s="353"/>
      <c r="X244" s="353"/>
      <c r="Y244" s="353"/>
      <c r="Z244" s="353"/>
    </row>
    <row r="245" ht="12.0" customHeight="1">
      <c r="A245" s="353"/>
      <c r="B245" s="353"/>
      <c r="C245" s="353"/>
      <c r="D245" s="353"/>
      <c r="E245" s="353"/>
      <c r="F245" s="353"/>
      <c r="G245" s="353"/>
      <c r="H245" s="353"/>
      <c r="I245" s="353"/>
      <c r="J245" s="353"/>
      <c r="K245" s="353"/>
      <c r="L245" s="353"/>
      <c r="M245" s="353"/>
      <c r="N245" s="353"/>
      <c r="O245" s="353"/>
      <c r="P245" s="353"/>
      <c r="Q245" s="353"/>
      <c r="R245" s="353"/>
      <c r="S245" s="353"/>
      <c r="T245" s="353"/>
      <c r="U245" s="353"/>
      <c r="V245" s="353"/>
      <c r="W245" s="353"/>
      <c r="X245" s="353"/>
      <c r="Y245" s="353"/>
      <c r="Z245" s="353"/>
    </row>
    <row r="246" ht="12.0" customHeight="1">
      <c r="A246" s="353"/>
      <c r="B246" s="353"/>
      <c r="C246" s="353"/>
      <c r="D246" s="353"/>
      <c r="E246" s="353"/>
      <c r="F246" s="353"/>
      <c r="G246" s="353"/>
      <c r="H246" s="353"/>
      <c r="I246" s="353"/>
      <c r="J246" s="353"/>
      <c r="K246" s="353"/>
      <c r="L246" s="353"/>
      <c r="M246" s="353"/>
      <c r="N246" s="353"/>
      <c r="O246" s="353"/>
      <c r="P246" s="353"/>
      <c r="Q246" s="353"/>
      <c r="R246" s="353"/>
      <c r="S246" s="353"/>
      <c r="T246" s="353"/>
      <c r="U246" s="353"/>
      <c r="V246" s="353"/>
      <c r="W246" s="353"/>
      <c r="X246" s="353"/>
      <c r="Y246" s="353"/>
      <c r="Z246" s="353"/>
    </row>
    <row r="247" ht="12.0" customHeight="1">
      <c r="A247" s="353"/>
      <c r="B247" s="353"/>
      <c r="C247" s="353"/>
      <c r="D247" s="353"/>
      <c r="E247" s="353"/>
      <c r="F247" s="353"/>
      <c r="G247" s="353"/>
      <c r="H247" s="353"/>
      <c r="I247" s="353"/>
      <c r="J247" s="353"/>
      <c r="K247" s="353"/>
      <c r="L247" s="353"/>
      <c r="M247" s="353"/>
      <c r="N247" s="353"/>
      <c r="O247" s="353"/>
      <c r="P247" s="353"/>
      <c r="Q247" s="353"/>
      <c r="R247" s="353"/>
      <c r="S247" s="353"/>
      <c r="T247" s="353"/>
      <c r="U247" s="353"/>
      <c r="V247" s="353"/>
      <c r="W247" s="353"/>
      <c r="X247" s="353"/>
      <c r="Y247" s="353"/>
      <c r="Z247" s="353"/>
    </row>
    <row r="248" ht="12.0" customHeight="1">
      <c r="A248" s="353"/>
      <c r="B248" s="353"/>
      <c r="C248" s="353"/>
      <c r="D248" s="353"/>
      <c r="E248" s="353"/>
      <c r="F248" s="353"/>
      <c r="G248" s="353"/>
      <c r="H248" s="353"/>
      <c r="I248" s="353"/>
      <c r="J248" s="353"/>
      <c r="K248" s="353"/>
      <c r="L248" s="353"/>
      <c r="M248" s="353"/>
      <c r="N248" s="353"/>
      <c r="O248" s="353"/>
      <c r="P248" s="353"/>
      <c r="Q248" s="353"/>
      <c r="R248" s="353"/>
      <c r="S248" s="353"/>
      <c r="T248" s="353"/>
      <c r="U248" s="353"/>
      <c r="V248" s="353"/>
      <c r="W248" s="353"/>
      <c r="X248" s="353"/>
      <c r="Y248" s="353"/>
      <c r="Z248" s="353"/>
    </row>
    <row r="249" ht="12.0" customHeight="1">
      <c r="A249" s="353"/>
      <c r="B249" s="353"/>
      <c r="C249" s="353"/>
      <c r="D249" s="353"/>
      <c r="E249" s="353"/>
      <c r="F249" s="353"/>
      <c r="G249" s="353"/>
      <c r="H249" s="353"/>
      <c r="I249" s="353"/>
      <c r="J249" s="353"/>
      <c r="K249" s="353"/>
      <c r="L249" s="353"/>
      <c r="M249" s="353"/>
      <c r="N249" s="353"/>
      <c r="O249" s="353"/>
      <c r="P249" s="353"/>
      <c r="Q249" s="353"/>
      <c r="R249" s="353"/>
      <c r="S249" s="353"/>
      <c r="T249" s="353"/>
      <c r="U249" s="353"/>
      <c r="V249" s="353"/>
      <c r="W249" s="353"/>
      <c r="X249" s="353"/>
      <c r="Y249" s="353"/>
      <c r="Z249" s="353"/>
    </row>
    <row r="250" ht="12.0" customHeight="1">
      <c r="A250" s="353"/>
      <c r="B250" s="353"/>
      <c r="C250" s="353"/>
      <c r="D250" s="353"/>
      <c r="E250" s="353"/>
      <c r="F250" s="353"/>
      <c r="G250" s="353"/>
      <c r="H250" s="353"/>
      <c r="I250" s="353"/>
      <c r="J250" s="353"/>
      <c r="K250" s="353"/>
      <c r="L250" s="353"/>
      <c r="M250" s="353"/>
      <c r="N250" s="353"/>
      <c r="O250" s="353"/>
      <c r="P250" s="353"/>
      <c r="Q250" s="353"/>
      <c r="R250" s="353"/>
      <c r="S250" s="353"/>
      <c r="T250" s="353"/>
      <c r="U250" s="353"/>
      <c r="V250" s="353"/>
      <c r="W250" s="353"/>
      <c r="X250" s="353"/>
      <c r="Y250" s="353"/>
      <c r="Z250" s="353"/>
    </row>
    <row r="251" ht="12.0" customHeight="1">
      <c r="A251" s="353"/>
      <c r="B251" s="353"/>
      <c r="C251" s="353"/>
      <c r="D251" s="353"/>
      <c r="E251" s="353"/>
      <c r="F251" s="353"/>
      <c r="G251" s="353"/>
      <c r="H251" s="353"/>
      <c r="I251" s="353"/>
      <c r="J251" s="353"/>
      <c r="K251" s="353"/>
      <c r="L251" s="353"/>
      <c r="M251" s="353"/>
      <c r="N251" s="353"/>
      <c r="O251" s="353"/>
      <c r="P251" s="353"/>
      <c r="Q251" s="353"/>
      <c r="R251" s="353"/>
      <c r="S251" s="353"/>
      <c r="T251" s="353"/>
      <c r="U251" s="353"/>
      <c r="V251" s="353"/>
      <c r="W251" s="353"/>
      <c r="X251" s="353"/>
      <c r="Y251" s="353"/>
      <c r="Z251" s="353"/>
    </row>
    <row r="252" ht="12.0" customHeight="1">
      <c r="A252" s="353"/>
      <c r="B252" s="353"/>
      <c r="C252" s="353"/>
      <c r="D252" s="353"/>
      <c r="E252" s="353"/>
      <c r="F252" s="353"/>
      <c r="G252" s="353"/>
      <c r="H252" s="353"/>
      <c r="I252" s="353"/>
      <c r="J252" s="353"/>
      <c r="K252" s="353"/>
      <c r="L252" s="353"/>
      <c r="M252" s="353"/>
      <c r="N252" s="353"/>
      <c r="O252" s="353"/>
      <c r="P252" s="353"/>
      <c r="Q252" s="353"/>
      <c r="R252" s="353"/>
      <c r="S252" s="353"/>
      <c r="T252" s="353"/>
      <c r="U252" s="353"/>
      <c r="V252" s="353"/>
      <c r="W252" s="353"/>
      <c r="X252" s="353"/>
      <c r="Y252" s="353"/>
      <c r="Z252" s="353"/>
    </row>
    <row r="253" ht="12.0" customHeight="1">
      <c r="A253" s="353"/>
      <c r="B253" s="353"/>
      <c r="C253" s="353"/>
      <c r="D253" s="353"/>
      <c r="E253" s="353"/>
      <c r="F253" s="353"/>
      <c r="G253" s="353"/>
      <c r="H253" s="353"/>
      <c r="I253" s="353"/>
      <c r="J253" s="353"/>
      <c r="K253" s="353"/>
      <c r="L253" s="353"/>
      <c r="M253" s="353"/>
      <c r="N253" s="353"/>
      <c r="O253" s="353"/>
      <c r="P253" s="353"/>
      <c r="Q253" s="353"/>
      <c r="R253" s="353"/>
      <c r="S253" s="353"/>
      <c r="T253" s="353"/>
      <c r="U253" s="353"/>
      <c r="V253" s="353"/>
      <c r="W253" s="353"/>
      <c r="X253" s="353"/>
      <c r="Y253" s="353"/>
      <c r="Z253" s="353"/>
    </row>
    <row r="254" ht="12.0" customHeight="1">
      <c r="A254" s="353"/>
      <c r="B254" s="353"/>
      <c r="C254" s="353"/>
      <c r="D254" s="353"/>
      <c r="E254" s="353"/>
      <c r="F254" s="353"/>
      <c r="G254" s="353"/>
      <c r="H254" s="353"/>
      <c r="I254" s="353"/>
      <c r="J254" s="353"/>
      <c r="K254" s="353"/>
      <c r="L254" s="353"/>
      <c r="M254" s="353"/>
      <c r="N254" s="353"/>
      <c r="O254" s="353"/>
      <c r="P254" s="353"/>
      <c r="Q254" s="353"/>
      <c r="R254" s="353"/>
      <c r="S254" s="353"/>
      <c r="T254" s="353"/>
      <c r="U254" s="353"/>
      <c r="V254" s="353"/>
      <c r="W254" s="353"/>
      <c r="X254" s="353"/>
      <c r="Y254" s="353"/>
      <c r="Z254" s="353"/>
    </row>
    <row r="255" ht="12.0" customHeight="1">
      <c r="A255" s="353"/>
      <c r="B255" s="353"/>
      <c r="C255" s="353"/>
      <c r="D255" s="353"/>
      <c r="E255" s="353"/>
      <c r="F255" s="353"/>
      <c r="G255" s="353"/>
      <c r="H255" s="353"/>
      <c r="I255" s="353"/>
      <c r="J255" s="353"/>
      <c r="K255" s="353"/>
      <c r="L255" s="353"/>
      <c r="M255" s="353"/>
      <c r="N255" s="353"/>
      <c r="O255" s="353"/>
      <c r="P255" s="353"/>
      <c r="Q255" s="353"/>
      <c r="R255" s="353"/>
      <c r="S255" s="353"/>
      <c r="T255" s="353"/>
      <c r="U255" s="353"/>
      <c r="V255" s="353"/>
      <c r="W255" s="353"/>
      <c r="X255" s="353"/>
      <c r="Y255" s="353"/>
      <c r="Z255" s="353"/>
    </row>
    <row r="256" ht="12.0" customHeight="1">
      <c r="A256" s="353"/>
      <c r="B256" s="353"/>
      <c r="C256" s="353"/>
      <c r="D256" s="353"/>
      <c r="E256" s="353"/>
      <c r="F256" s="353"/>
      <c r="G256" s="353"/>
      <c r="H256" s="353"/>
      <c r="I256" s="353"/>
      <c r="J256" s="353"/>
      <c r="K256" s="353"/>
      <c r="L256" s="353"/>
      <c r="M256" s="353"/>
      <c r="N256" s="353"/>
      <c r="O256" s="353"/>
      <c r="P256" s="353"/>
      <c r="Q256" s="353"/>
      <c r="R256" s="353"/>
      <c r="S256" s="353"/>
      <c r="T256" s="353"/>
      <c r="U256" s="353"/>
      <c r="V256" s="353"/>
      <c r="W256" s="353"/>
      <c r="X256" s="353"/>
      <c r="Y256" s="353"/>
      <c r="Z256" s="353"/>
    </row>
    <row r="257" ht="12.0" customHeight="1">
      <c r="A257" s="353"/>
      <c r="B257" s="353"/>
      <c r="C257" s="353"/>
      <c r="D257" s="353"/>
      <c r="E257" s="353"/>
      <c r="F257" s="353"/>
      <c r="G257" s="353"/>
      <c r="H257" s="353"/>
      <c r="I257" s="353"/>
      <c r="J257" s="353"/>
      <c r="K257" s="353"/>
      <c r="L257" s="353"/>
      <c r="M257" s="353"/>
      <c r="N257" s="353"/>
      <c r="O257" s="353"/>
      <c r="P257" s="353"/>
      <c r="Q257" s="353"/>
      <c r="R257" s="353"/>
      <c r="S257" s="353"/>
      <c r="T257" s="353"/>
      <c r="U257" s="353"/>
      <c r="V257" s="353"/>
      <c r="W257" s="353"/>
      <c r="X257" s="353"/>
      <c r="Y257" s="353"/>
      <c r="Z257" s="353"/>
    </row>
    <row r="258" ht="12.0" customHeight="1">
      <c r="A258" s="353"/>
      <c r="B258" s="353"/>
      <c r="C258" s="353"/>
      <c r="D258" s="353"/>
      <c r="E258" s="353"/>
      <c r="F258" s="353"/>
      <c r="G258" s="353"/>
      <c r="H258" s="353"/>
      <c r="I258" s="353"/>
      <c r="J258" s="353"/>
      <c r="K258" s="353"/>
      <c r="L258" s="353"/>
      <c r="M258" s="353"/>
      <c r="N258" s="353"/>
      <c r="O258" s="353"/>
      <c r="P258" s="353"/>
      <c r="Q258" s="353"/>
      <c r="R258" s="353"/>
      <c r="S258" s="353"/>
      <c r="T258" s="353"/>
      <c r="U258" s="353"/>
      <c r="V258" s="353"/>
      <c r="W258" s="353"/>
      <c r="X258" s="353"/>
      <c r="Y258" s="353"/>
      <c r="Z258" s="353"/>
    </row>
    <row r="259" ht="12.0" customHeight="1">
      <c r="A259" s="353"/>
      <c r="B259" s="353"/>
      <c r="C259" s="353"/>
      <c r="D259" s="353"/>
      <c r="E259" s="353"/>
      <c r="F259" s="353"/>
      <c r="G259" s="353"/>
      <c r="H259" s="353"/>
      <c r="I259" s="353"/>
      <c r="J259" s="353"/>
      <c r="K259" s="353"/>
      <c r="L259" s="353"/>
      <c r="M259" s="353"/>
      <c r="N259" s="353"/>
      <c r="O259" s="353"/>
      <c r="P259" s="353"/>
      <c r="Q259" s="353"/>
      <c r="R259" s="353"/>
      <c r="S259" s="353"/>
      <c r="T259" s="353"/>
      <c r="U259" s="353"/>
      <c r="V259" s="353"/>
      <c r="W259" s="353"/>
      <c r="X259" s="353"/>
      <c r="Y259" s="353"/>
      <c r="Z259" s="353"/>
    </row>
    <row r="260" ht="12.0" customHeight="1">
      <c r="A260" s="353"/>
      <c r="B260" s="353"/>
      <c r="C260" s="353"/>
      <c r="D260" s="353"/>
      <c r="E260" s="353"/>
      <c r="F260" s="353"/>
      <c r="G260" s="353"/>
      <c r="H260" s="353"/>
      <c r="I260" s="353"/>
      <c r="J260" s="353"/>
      <c r="K260" s="353"/>
      <c r="L260" s="353"/>
      <c r="M260" s="353"/>
      <c r="N260" s="353"/>
      <c r="O260" s="353"/>
      <c r="P260" s="353"/>
      <c r="Q260" s="353"/>
      <c r="R260" s="353"/>
      <c r="S260" s="353"/>
      <c r="T260" s="353"/>
      <c r="U260" s="353"/>
      <c r="V260" s="353"/>
      <c r="W260" s="353"/>
      <c r="X260" s="353"/>
      <c r="Y260" s="353"/>
      <c r="Z260" s="353"/>
    </row>
    <row r="261" ht="12.0" customHeight="1">
      <c r="A261" s="353"/>
      <c r="B261" s="353"/>
      <c r="C261" s="353"/>
      <c r="D261" s="353"/>
      <c r="E261" s="353"/>
      <c r="F261" s="353"/>
      <c r="G261" s="353"/>
      <c r="H261" s="353"/>
      <c r="I261" s="353"/>
      <c r="J261" s="353"/>
      <c r="K261" s="353"/>
      <c r="L261" s="353"/>
      <c r="M261" s="353"/>
      <c r="N261" s="353"/>
      <c r="O261" s="353"/>
      <c r="P261" s="353"/>
      <c r="Q261" s="353"/>
      <c r="R261" s="353"/>
      <c r="S261" s="353"/>
      <c r="T261" s="353"/>
      <c r="U261" s="353"/>
      <c r="V261" s="353"/>
      <c r="W261" s="353"/>
      <c r="X261" s="353"/>
      <c r="Y261" s="353"/>
      <c r="Z261" s="353"/>
    </row>
    <row r="262" ht="12.0" customHeight="1">
      <c r="A262" s="353"/>
      <c r="B262" s="353"/>
      <c r="C262" s="353"/>
      <c r="D262" s="353"/>
      <c r="E262" s="353"/>
      <c r="F262" s="353"/>
      <c r="G262" s="353"/>
      <c r="H262" s="353"/>
      <c r="I262" s="353"/>
      <c r="J262" s="353"/>
      <c r="K262" s="353"/>
      <c r="L262" s="353"/>
      <c r="M262" s="353"/>
      <c r="N262" s="353"/>
      <c r="O262" s="353"/>
      <c r="P262" s="353"/>
      <c r="Q262" s="353"/>
      <c r="R262" s="353"/>
      <c r="S262" s="353"/>
      <c r="T262" s="353"/>
      <c r="U262" s="353"/>
      <c r="V262" s="353"/>
      <c r="W262" s="353"/>
      <c r="X262" s="353"/>
      <c r="Y262" s="353"/>
      <c r="Z262" s="353"/>
    </row>
    <row r="263" ht="12.0" customHeight="1">
      <c r="A263" s="353"/>
      <c r="B263" s="353"/>
      <c r="C263" s="353"/>
      <c r="D263" s="353"/>
      <c r="E263" s="353"/>
      <c r="F263" s="353"/>
      <c r="G263" s="353"/>
      <c r="H263" s="353"/>
      <c r="I263" s="353"/>
      <c r="J263" s="353"/>
      <c r="K263" s="353"/>
      <c r="L263" s="353"/>
      <c r="M263" s="353"/>
      <c r="N263" s="353"/>
      <c r="O263" s="353"/>
      <c r="P263" s="353"/>
      <c r="Q263" s="353"/>
      <c r="R263" s="353"/>
      <c r="S263" s="353"/>
      <c r="T263" s="353"/>
      <c r="U263" s="353"/>
      <c r="V263" s="353"/>
      <c r="W263" s="353"/>
      <c r="X263" s="353"/>
      <c r="Y263" s="353"/>
      <c r="Z263" s="353"/>
    </row>
    <row r="264" ht="12.0" customHeight="1">
      <c r="A264" s="353"/>
      <c r="B264" s="353"/>
      <c r="C264" s="353"/>
      <c r="D264" s="353"/>
      <c r="E264" s="353"/>
      <c r="F264" s="353"/>
      <c r="G264" s="353"/>
      <c r="H264" s="353"/>
      <c r="I264" s="353"/>
      <c r="J264" s="353"/>
      <c r="K264" s="353"/>
      <c r="L264" s="353"/>
      <c r="M264" s="353"/>
      <c r="N264" s="353"/>
      <c r="O264" s="353"/>
      <c r="P264" s="353"/>
      <c r="Q264" s="353"/>
      <c r="R264" s="353"/>
      <c r="S264" s="353"/>
      <c r="T264" s="353"/>
      <c r="U264" s="353"/>
      <c r="V264" s="353"/>
      <c r="W264" s="353"/>
      <c r="X264" s="353"/>
      <c r="Y264" s="353"/>
      <c r="Z264" s="353"/>
    </row>
    <row r="265" ht="12.0" customHeight="1">
      <c r="A265" s="353"/>
      <c r="B265" s="353"/>
      <c r="C265" s="353"/>
      <c r="D265" s="353"/>
      <c r="E265" s="353"/>
      <c r="F265" s="353"/>
      <c r="G265" s="353"/>
      <c r="H265" s="353"/>
      <c r="I265" s="353"/>
      <c r="J265" s="353"/>
      <c r="K265" s="353"/>
      <c r="L265" s="353"/>
      <c r="M265" s="353"/>
      <c r="N265" s="353"/>
      <c r="O265" s="353"/>
      <c r="P265" s="353"/>
      <c r="Q265" s="353"/>
      <c r="R265" s="353"/>
      <c r="S265" s="353"/>
      <c r="T265" s="353"/>
      <c r="U265" s="353"/>
      <c r="V265" s="353"/>
      <c r="W265" s="353"/>
      <c r="X265" s="353"/>
      <c r="Y265" s="353"/>
      <c r="Z265" s="353"/>
    </row>
    <row r="266" ht="12.0" customHeight="1">
      <c r="A266" s="353"/>
      <c r="B266" s="353"/>
      <c r="C266" s="353"/>
      <c r="D266" s="353"/>
      <c r="E266" s="353"/>
      <c r="F266" s="353"/>
      <c r="G266" s="353"/>
      <c r="H266" s="353"/>
      <c r="I266" s="353"/>
      <c r="J266" s="353"/>
      <c r="K266" s="353"/>
      <c r="L266" s="353"/>
      <c r="M266" s="353"/>
      <c r="N266" s="353"/>
      <c r="O266" s="353"/>
      <c r="P266" s="353"/>
      <c r="Q266" s="353"/>
      <c r="R266" s="353"/>
      <c r="S266" s="353"/>
      <c r="T266" s="353"/>
      <c r="U266" s="353"/>
      <c r="V266" s="353"/>
      <c r="W266" s="353"/>
      <c r="X266" s="353"/>
      <c r="Y266" s="353"/>
      <c r="Z266" s="353"/>
    </row>
    <row r="267" ht="12.0" customHeight="1">
      <c r="A267" s="353"/>
      <c r="B267" s="353"/>
      <c r="C267" s="353"/>
      <c r="D267" s="353"/>
      <c r="E267" s="353"/>
      <c r="F267" s="353"/>
      <c r="G267" s="353"/>
      <c r="H267" s="353"/>
      <c r="I267" s="353"/>
      <c r="J267" s="353"/>
      <c r="K267" s="353"/>
      <c r="L267" s="353"/>
      <c r="M267" s="353"/>
      <c r="N267" s="353"/>
      <c r="O267" s="353"/>
      <c r="P267" s="353"/>
      <c r="Q267" s="353"/>
      <c r="R267" s="353"/>
      <c r="S267" s="353"/>
      <c r="T267" s="353"/>
      <c r="U267" s="353"/>
      <c r="V267" s="353"/>
      <c r="W267" s="353"/>
      <c r="X267" s="353"/>
      <c r="Y267" s="353"/>
      <c r="Z267" s="353"/>
    </row>
    <row r="268" ht="12.0" customHeight="1">
      <c r="A268" s="353"/>
      <c r="B268" s="353"/>
      <c r="C268" s="353"/>
      <c r="D268" s="353"/>
      <c r="E268" s="353"/>
      <c r="F268" s="353"/>
      <c r="G268" s="353"/>
      <c r="H268" s="353"/>
      <c r="I268" s="353"/>
      <c r="J268" s="353"/>
      <c r="K268" s="353"/>
      <c r="L268" s="353"/>
      <c r="M268" s="353"/>
      <c r="N268" s="353"/>
      <c r="O268" s="353"/>
      <c r="P268" s="353"/>
      <c r="Q268" s="353"/>
      <c r="R268" s="353"/>
      <c r="S268" s="353"/>
      <c r="T268" s="353"/>
      <c r="U268" s="353"/>
      <c r="V268" s="353"/>
      <c r="W268" s="353"/>
      <c r="X268" s="353"/>
      <c r="Y268" s="353"/>
      <c r="Z268" s="353"/>
    </row>
    <row r="269" ht="12.0" customHeight="1">
      <c r="A269" s="353"/>
      <c r="B269" s="353"/>
      <c r="C269" s="353"/>
      <c r="D269" s="353"/>
      <c r="E269" s="353"/>
      <c r="F269" s="353"/>
      <c r="G269" s="353"/>
      <c r="H269" s="353"/>
      <c r="I269" s="353"/>
      <c r="J269" s="353"/>
      <c r="K269" s="353"/>
      <c r="L269" s="353"/>
      <c r="M269" s="353"/>
      <c r="N269" s="353"/>
      <c r="O269" s="353"/>
      <c r="P269" s="353"/>
      <c r="Q269" s="353"/>
      <c r="R269" s="353"/>
      <c r="S269" s="353"/>
      <c r="T269" s="353"/>
      <c r="U269" s="353"/>
      <c r="V269" s="353"/>
      <c r="W269" s="353"/>
      <c r="X269" s="353"/>
      <c r="Y269" s="353"/>
      <c r="Z269" s="353"/>
    </row>
    <row r="270" ht="12.0" customHeight="1">
      <c r="A270" s="353"/>
      <c r="B270" s="353"/>
      <c r="C270" s="353"/>
      <c r="D270" s="353"/>
      <c r="E270" s="353"/>
      <c r="F270" s="353"/>
      <c r="G270" s="353"/>
      <c r="H270" s="353"/>
      <c r="I270" s="353"/>
      <c r="J270" s="353"/>
      <c r="K270" s="353"/>
      <c r="L270" s="353"/>
      <c r="M270" s="353"/>
      <c r="N270" s="353"/>
      <c r="O270" s="353"/>
      <c r="P270" s="353"/>
      <c r="Q270" s="353"/>
      <c r="R270" s="353"/>
      <c r="S270" s="353"/>
      <c r="T270" s="353"/>
      <c r="U270" s="353"/>
      <c r="V270" s="353"/>
      <c r="W270" s="353"/>
      <c r="X270" s="353"/>
      <c r="Y270" s="353"/>
      <c r="Z270" s="353"/>
    </row>
    <row r="271" ht="12.0" customHeight="1">
      <c r="A271" s="353"/>
      <c r="B271" s="353"/>
      <c r="C271" s="353"/>
      <c r="D271" s="353"/>
      <c r="E271" s="353"/>
      <c r="F271" s="353"/>
      <c r="G271" s="353"/>
      <c r="H271" s="353"/>
      <c r="I271" s="353"/>
      <c r="J271" s="353"/>
      <c r="K271" s="353"/>
      <c r="L271" s="353"/>
      <c r="M271" s="353"/>
      <c r="N271" s="353"/>
      <c r="O271" s="353"/>
      <c r="P271" s="353"/>
      <c r="Q271" s="353"/>
      <c r="R271" s="353"/>
      <c r="S271" s="353"/>
      <c r="T271" s="353"/>
      <c r="U271" s="353"/>
      <c r="V271" s="353"/>
      <c r="W271" s="353"/>
      <c r="X271" s="353"/>
      <c r="Y271" s="353"/>
      <c r="Z271" s="353"/>
    </row>
    <row r="272" ht="12.0" customHeight="1">
      <c r="A272" s="353"/>
      <c r="B272" s="353"/>
      <c r="C272" s="353"/>
      <c r="D272" s="353"/>
      <c r="E272" s="353"/>
      <c r="F272" s="353"/>
      <c r="G272" s="353"/>
      <c r="H272" s="353"/>
      <c r="I272" s="353"/>
      <c r="J272" s="353"/>
      <c r="K272" s="353"/>
      <c r="L272" s="353"/>
      <c r="M272" s="353"/>
      <c r="N272" s="353"/>
      <c r="O272" s="353"/>
      <c r="P272" s="353"/>
      <c r="Q272" s="353"/>
      <c r="R272" s="353"/>
      <c r="S272" s="353"/>
      <c r="T272" s="353"/>
      <c r="U272" s="353"/>
      <c r="V272" s="353"/>
      <c r="W272" s="353"/>
      <c r="X272" s="353"/>
      <c r="Y272" s="353"/>
      <c r="Z272" s="353"/>
    </row>
    <row r="273" ht="12.0" customHeight="1">
      <c r="A273" s="353"/>
      <c r="B273" s="353"/>
      <c r="C273" s="353"/>
      <c r="D273" s="353"/>
      <c r="E273" s="353"/>
      <c r="F273" s="353"/>
      <c r="G273" s="353"/>
      <c r="H273" s="353"/>
      <c r="I273" s="353"/>
      <c r="J273" s="353"/>
      <c r="K273" s="353"/>
      <c r="L273" s="353"/>
      <c r="M273" s="353"/>
      <c r="N273" s="353"/>
      <c r="O273" s="353"/>
      <c r="P273" s="353"/>
      <c r="Q273" s="353"/>
      <c r="R273" s="353"/>
      <c r="S273" s="353"/>
      <c r="T273" s="353"/>
      <c r="U273" s="353"/>
      <c r="V273" s="353"/>
      <c r="W273" s="353"/>
      <c r="X273" s="353"/>
      <c r="Y273" s="353"/>
      <c r="Z273" s="353"/>
    </row>
    <row r="274" ht="12.0" customHeight="1">
      <c r="A274" s="353"/>
      <c r="B274" s="353"/>
      <c r="C274" s="353"/>
      <c r="D274" s="353"/>
      <c r="E274" s="353"/>
      <c r="F274" s="353"/>
      <c r="G274" s="353"/>
      <c r="H274" s="353"/>
      <c r="I274" s="353"/>
      <c r="J274" s="353"/>
      <c r="K274" s="353"/>
      <c r="L274" s="353"/>
      <c r="M274" s="353"/>
      <c r="N274" s="353"/>
      <c r="O274" s="353"/>
      <c r="P274" s="353"/>
      <c r="Q274" s="353"/>
      <c r="R274" s="353"/>
      <c r="S274" s="353"/>
      <c r="T274" s="353"/>
      <c r="U274" s="353"/>
      <c r="V274" s="353"/>
      <c r="W274" s="353"/>
      <c r="X274" s="353"/>
      <c r="Y274" s="353"/>
      <c r="Z274" s="353"/>
    </row>
    <row r="275" ht="12.0" customHeight="1">
      <c r="A275" s="353"/>
      <c r="B275" s="353"/>
      <c r="C275" s="353"/>
      <c r="D275" s="353"/>
      <c r="E275" s="353"/>
      <c r="F275" s="353"/>
      <c r="G275" s="353"/>
      <c r="H275" s="353"/>
      <c r="I275" s="353"/>
      <c r="J275" s="353"/>
      <c r="K275" s="353"/>
      <c r="L275" s="353"/>
      <c r="M275" s="353"/>
      <c r="N275" s="353"/>
      <c r="O275" s="353"/>
      <c r="P275" s="353"/>
      <c r="Q275" s="353"/>
      <c r="R275" s="353"/>
      <c r="S275" s="353"/>
      <c r="T275" s="353"/>
      <c r="U275" s="353"/>
      <c r="V275" s="353"/>
      <c r="W275" s="353"/>
      <c r="X275" s="353"/>
      <c r="Y275" s="353"/>
      <c r="Z275" s="353"/>
    </row>
    <row r="276" ht="12.0" customHeight="1">
      <c r="A276" s="353"/>
      <c r="B276" s="353"/>
      <c r="C276" s="353"/>
      <c r="D276" s="353"/>
      <c r="E276" s="353"/>
      <c r="F276" s="353"/>
      <c r="G276" s="353"/>
      <c r="H276" s="353"/>
      <c r="I276" s="353"/>
      <c r="J276" s="353"/>
      <c r="K276" s="353"/>
      <c r="L276" s="353"/>
      <c r="M276" s="353"/>
      <c r="N276" s="353"/>
      <c r="O276" s="353"/>
      <c r="P276" s="353"/>
      <c r="Q276" s="353"/>
      <c r="R276" s="353"/>
      <c r="S276" s="353"/>
      <c r="T276" s="353"/>
      <c r="U276" s="353"/>
      <c r="V276" s="353"/>
      <c r="W276" s="353"/>
      <c r="X276" s="353"/>
      <c r="Y276" s="353"/>
      <c r="Z276" s="353"/>
    </row>
    <row r="277" ht="12.0" customHeight="1">
      <c r="A277" s="353"/>
      <c r="B277" s="353"/>
      <c r="C277" s="353"/>
      <c r="D277" s="353"/>
      <c r="E277" s="353"/>
      <c r="F277" s="353"/>
      <c r="G277" s="353"/>
      <c r="H277" s="353"/>
      <c r="I277" s="353"/>
      <c r="J277" s="353"/>
      <c r="K277" s="353"/>
      <c r="L277" s="353"/>
      <c r="M277" s="353"/>
      <c r="N277" s="353"/>
      <c r="O277" s="353"/>
      <c r="P277" s="353"/>
      <c r="Q277" s="353"/>
      <c r="R277" s="353"/>
      <c r="S277" s="353"/>
      <c r="T277" s="353"/>
      <c r="U277" s="353"/>
      <c r="V277" s="353"/>
      <c r="W277" s="353"/>
      <c r="X277" s="353"/>
      <c r="Y277" s="353"/>
      <c r="Z277" s="353"/>
    </row>
    <row r="278" ht="12.0" customHeight="1">
      <c r="A278" s="353"/>
      <c r="B278" s="353"/>
      <c r="C278" s="353"/>
      <c r="D278" s="353"/>
      <c r="E278" s="353"/>
      <c r="F278" s="353"/>
      <c r="G278" s="353"/>
      <c r="H278" s="353"/>
      <c r="I278" s="353"/>
      <c r="J278" s="353"/>
      <c r="K278" s="353"/>
      <c r="L278" s="353"/>
      <c r="M278" s="353"/>
      <c r="N278" s="353"/>
      <c r="O278" s="353"/>
      <c r="P278" s="353"/>
      <c r="Q278" s="353"/>
      <c r="R278" s="353"/>
      <c r="S278" s="353"/>
      <c r="T278" s="353"/>
      <c r="U278" s="353"/>
      <c r="V278" s="353"/>
      <c r="W278" s="353"/>
      <c r="X278" s="353"/>
      <c r="Y278" s="353"/>
      <c r="Z278" s="353"/>
    </row>
    <row r="279" ht="12.0" customHeight="1">
      <c r="A279" s="353"/>
      <c r="B279" s="353"/>
      <c r="C279" s="353"/>
      <c r="D279" s="353"/>
      <c r="E279" s="353"/>
      <c r="F279" s="353"/>
      <c r="G279" s="353"/>
      <c r="H279" s="353"/>
      <c r="I279" s="353"/>
      <c r="J279" s="353"/>
      <c r="K279" s="353"/>
      <c r="L279" s="353"/>
      <c r="M279" s="353"/>
      <c r="N279" s="353"/>
      <c r="O279" s="353"/>
      <c r="P279" s="353"/>
      <c r="Q279" s="353"/>
      <c r="R279" s="353"/>
      <c r="S279" s="353"/>
      <c r="T279" s="353"/>
      <c r="U279" s="353"/>
      <c r="V279" s="353"/>
      <c r="W279" s="353"/>
      <c r="X279" s="353"/>
      <c r="Y279" s="353"/>
      <c r="Z279" s="353"/>
    </row>
    <row r="280" ht="12.0" customHeight="1">
      <c r="A280" s="353"/>
      <c r="B280" s="353"/>
      <c r="C280" s="353"/>
      <c r="D280" s="353"/>
      <c r="E280" s="353"/>
      <c r="F280" s="353"/>
      <c r="G280" s="353"/>
      <c r="H280" s="353"/>
      <c r="I280" s="353"/>
      <c r="J280" s="353"/>
      <c r="K280" s="353"/>
      <c r="L280" s="353"/>
      <c r="M280" s="353"/>
      <c r="N280" s="353"/>
      <c r="O280" s="353"/>
      <c r="P280" s="353"/>
      <c r="Q280" s="353"/>
      <c r="R280" s="353"/>
      <c r="S280" s="353"/>
      <c r="T280" s="353"/>
      <c r="U280" s="353"/>
      <c r="V280" s="353"/>
      <c r="W280" s="353"/>
      <c r="X280" s="353"/>
      <c r="Y280" s="353"/>
      <c r="Z280" s="353"/>
    </row>
    <row r="281" ht="12.0" customHeight="1">
      <c r="A281" s="353"/>
      <c r="B281" s="353"/>
      <c r="C281" s="353"/>
      <c r="D281" s="353"/>
      <c r="E281" s="353"/>
      <c r="F281" s="353"/>
      <c r="G281" s="353"/>
      <c r="H281" s="353"/>
      <c r="I281" s="353"/>
      <c r="J281" s="353"/>
      <c r="K281" s="353"/>
      <c r="L281" s="353"/>
      <c r="M281" s="353"/>
      <c r="N281" s="353"/>
      <c r="O281" s="353"/>
      <c r="P281" s="353"/>
      <c r="Q281" s="353"/>
      <c r="R281" s="353"/>
      <c r="S281" s="353"/>
      <c r="T281" s="353"/>
      <c r="U281" s="353"/>
      <c r="V281" s="353"/>
      <c r="W281" s="353"/>
      <c r="X281" s="353"/>
      <c r="Y281" s="353"/>
      <c r="Z281" s="353"/>
    </row>
    <row r="282" ht="12.0" customHeight="1">
      <c r="A282" s="353"/>
      <c r="B282" s="353"/>
      <c r="C282" s="353"/>
      <c r="D282" s="353"/>
      <c r="E282" s="353"/>
      <c r="F282" s="353"/>
      <c r="G282" s="353"/>
      <c r="H282" s="353"/>
      <c r="I282" s="353"/>
      <c r="J282" s="353"/>
      <c r="K282" s="353"/>
      <c r="L282" s="353"/>
      <c r="M282" s="353"/>
      <c r="N282" s="353"/>
      <c r="O282" s="353"/>
      <c r="P282" s="353"/>
      <c r="Q282" s="353"/>
      <c r="R282" s="353"/>
      <c r="S282" s="353"/>
      <c r="T282" s="353"/>
      <c r="U282" s="353"/>
      <c r="V282" s="353"/>
      <c r="W282" s="353"/>
      <c r="X282" s="353"/>
      <c r="Y282" s="353"/>
      <c r="Z282" s="353"/>
    </row>
    <row r="283" ht="12.0" customHeight="1">
      <c r="A283" s="353"/>
      <c r="B283" s="353"/>
      <c r="C283" s="353"/>
      <c r="D283" s="353"/>
      <c r="E283" s="353"/>
      <c r="F283" s="353"/>
      <c r="G283" s="353"/>
      <c r="H283" s="353"/>
      <c r="I283" s="353"/>
      <c r="J283" s="353"/>
      <c r="K283" s="353"/>
      <c r="L283" s="353"/>
      <c r="M283" s="353"/>
      <c r="N283" s="353"/>
      <c r="O283" s="353"/>
      <c r="P283" s="353"/>
      <c r="Q283" s="353"/>
      <c r="R283" s="353"/>
      <c r="S283" s="353"/>
      <c r="T283" s="353"/>
      <c r="U283" s="353"/>
      <c r="V283" s="353"/>
      <c r="W283" s="353"/>
      <c r="X283" s="353"/>
      <c r="Y283" s="353"/>
      <c r="Z283" s="353"/>
    </row>
    <row r="284" ht="12.0" customHeight="1">
      <c r="A284" s="353"/>
      <c r="B284" s="353"/>
      <c r="C284" s="353"/>
      <c r="D284" s="353"/>
      <c r="E284" s="353"/>
      <c r="F284" s="353"/>
      <c r="G284" s="353"/>
      <c r="H284" s="353"/>
      <c r="I284" s="353"/>
      <c r="J284" s="353"/>
      <c r="K284" s="353"/>
      <c r="L284" s="353"/>
      <c r="M284" s="353"/>
      <c r="N284" s="353"/>
      <c r="O284" s="353"/>
      <c r="P284" s="353"/>
      <c r="Q284" s="353"/>
      <c r="R284" s="353"/>
      <c r="S284" s="353"/>
      <c r="T284" s="353"/>
      <c r="U284" s="353"/>
      <c r="V284" s="353"/>
      <c r="W284" s="353"/>
      <c r="X284" s="353"/>
      <c r="Y284" s="353"/>
      <c r="Z284" s="353"/>
    </row>
    <row r="285" ht="12.0" customHeight="1">
      <c r="A285" s="353"/>
      <c r="B285" s="353"/>
      <c r="C285" s="353"/>
      <c r="D285" s="353"/>
      <c r="E285" s="353"/>
      <c r="F285" s="353"/>
      <c r="G285" s="353"/>
      <c r="H285" s="353"/>
      <c r="I285" s="353"/>
      <c r="J285" s="353"/>
      <c r="K285" s="353"/>
      <c r="L285" s="353"/>
      <c r="M285" s="353"/>
      <c r="N285" s="353"/>
      <c r="O285" s="353"/>
      <c r="P285" s="353"/>
      <c r="Q285" s="353"/>
      <c r="R285" s="353"/>
      <c r="S285" s="353"/>
      <c r="T285" s="353"/>
      <c r="U285" s="353"/>
      <c r="V285" s="353"/>
      <c r="W285" s="353"/>
      <c r="X285" s="353"/>
      <c r="Y285" s="353"/>
      <c r="Z285" s="353"/>
    </row>
    <row r="286" ht="12.0" customHeight="1">
      <c r="A286" s="353"/>
      <c r="B286" s="353"/>
      <c r="C286" s="353"/>
      <c r="D286" s="353"/>
      <c r="E286" s="353"/>
      <c r="F286" s="353"/>
      <c r="G286" s="353"/>
      <c r="H286" s="353"/>
      <c r="I286" s="353"/>
      <c r="J286" s="353"/>
      <c r="K286" s="353"/>
      <c r="L286" s="353"/>
      <c r="M286" s="353"/>
      <c r="N286" s="353"/>
      <c r="O286" s="353"/>
      <c r="P286" s="353"/>
      <c r="Q286" s="353"/>
      <c r="R286" s="353"/>
      <c r="S286" s="353"/>
      <c r="T286" s="353"/>
      <c r="U286" s="353"/>
      <c r="V286" s="353"/>
      <c r="W286" s="353"/>
      <c r="X286" s="353"/>
      <c r="Y286" s="353"/>
      <c r="Z286" s="353"/>
    </row>
    <row r="287" ht="12.0" customHeight="1">
      <c r="A287" s="353"/>
      <c r="B287" s="353"/>
      <c r="C287" s="353"/>
      <c r="D287" s="353"/>
      <c r="E287" s="353"/>
      <c r="F287" s="353"/>
      <c r="G287" s="353"/>
      <c r="H287" s="353"/>
      <c r="I287" s="353"/>
      <c r="J287" s="353"/>
      <c r="K287" s="353"/>
      <c r="L287" s="353"/>
      <c r="M287" s="353"/>
      <c r="N287" s="353"/>
      <c r="O287" s="353"/>
      <c r="P287" s="353"/>
      <c r="Q287" s="353"/>
      <c r="R287" s="353"/>
      <c r="S287" s="353"/>
      <c r="T287" s="353"/>
      <c r="U287" s="353"/>
      <c r="V287" s="353"/>
      <c r="W287" s="353"/>
      <c r="X287" s="353"/>
      <c r="Y287" s="353"/>
      <c r="Z287" s="353"/>
    </row>
    <row r="288" ht="12.0" customHeight="1">
      <c r="A288" s="353"/>
      <c r="B288" s="353"/>
      <c r="C288" s="353"/>
      <c r="D288" s="353"/>
      <c r="E288" s="353"/>
      <c r="F288" s="353"/>
      <c r="G288" s="353"/>
      <c r="H288" s="353"/>
      <c r="I288" s="353"/>
      <c r="J288" s="353"/>
      <c r="K288" s="353"/>
      <c r="L288" s="353"/>
      <c r="M288" s="353"/>
      <c r="N288" s="353"/>
      <c r="O288" s="353"/>
      <c r="P288" s="353"/>
      <c r="Q288" s="353"/>
      <c r="R288" s="353"/>
      <c r="S288" s="353"/>
      <c r="T288" s="353"/>
      <c r="U288" s="353"/>
      <c r="V288" s="353"/>
      <c r="W288" s="353"/>
      <c r="X288" s="353"/>
      <c r="Y288" s="353"/>
      <c r="Z288" s="353"/>
    </row>
    <row r="289" ht="12.0" customHeight="1">
      <c r="A289" s="353"/>
      <c r="B289" s="353"/>
      <c r="C289" s="353"/>
      <c r="D289" s="353"/>
      <c r="E289" s="353"/>
      <c r="F289" s="353"/>
      <c r="G289" s="353"/>
      <c r="H289" s="353"/>
      <c r="I289" s="353"/>
      <c r="J289" s="353"/>
      <c r="K289" s="353"/>
      <c r="L289" s="353"/>
      <c r="M289" s="353"/>
      <c r="N289" s="353"/>
      <c r="O289" s="353"/>
      <c r="P289" s="353"/>
      <c r="Q289" s="353"/>
      <c r="R289" s="353"/>
      <c r="S289" s="353"/>
      <c r="T289" s="353"/>
      <c r="U289" s="353"/>
      <c r="V289" s="353"/>
      <c r="W289" s="353"/>
      <c r="X289" s="353"/>
      <c r="Y289" s="353"/>
      <c r="Z289" s="353"/>
    </row>
    <row r="290" ht="12.0" customHeight="1">
      <c r="A290" s="353"/>
      <c r="B290" s="353"/>
      <c r="C290" s="353"/>
      <c r="D290" s="353"/>
      <c r="E290" s="353"/>
      <c r="F290" s="353"/>
      <c r="G290" s="353"/>
      <c r="H290" s="353"/>
      <c r="I290" s="353"/>
      <c r="J290" s="353"/>
      <c r="K290" s="353"/>
      <c r="L290" s="353"/>
      <c r="M290" s="353"/>
      <c r="N290" s="353"/>
      <c r="O290" s="353"/>
      <c r="P290" s="353"/>
      <c r="Q290" s="353"/>
      <c r="R290" s="353"/>
      <c r="S290" s="353"/>
      <c r="T290" s="353"/>
      <c r="U290" s="353"/>
      <c r="V290" s="353"/>
      <c r="W290" s="353"/>
      <c r="X290" s="353"/>
      <c r="Y290" s="353"/>
      <c r="Z290" s="353"/>
    </row>
    <row r="291" ht="12.0" customHeight="1">
      <c r="A291" s="353"/>
      <c r="B291" s="353"/>
      <c r="C291" s="353"/>
      <c r="D291" s="353"/>
      <c r="E291" s="353"/>
      <c r="F291" s="353"/>
      <c r="G291" s="353"/>
      <c r="H291" s="353"/>
      <c r="I291" s="353"/>
      <c r="J291" s="353"/>
      <c r="K291" s="353"/>
      <c r="L291" s="353"/>
      <c r="M291" s="353"/>
      <c r="N291" s="353"/>
      <c r="O291" s="353"/>
      <c r="P291" s="353"/>
      <c r="Q291" s="353"/>
      <c r="R291" s="353"/>
      <c r="S291" s="353"/>
      <c r="T291" s="353"/>
      <c r="U291" s="353"/>
      <c r="V291" s="353"/>
      <c r="W291" s="353"/>
      <c r="X291" s="353"/>
      <c r="Y291" s="353"/>
      <c r="Z291" s="353"/>
    </row>
    <row r="292" ht="12.0" customHeight="1">
      <c r="A292" s="353"/>
      <c r="B292" s="353"/>
      <c r="C292" s="353"/>
      <c r="D292" s="353"/>
      <c r="E292" s="353"/>
      <c r="F292" s="353"/>
      <c r="G292" s="353"/>
      <c r="H292" s="353"/>
      <c r="I292" s="353"/>
      <c r="J292" s="353"/>
      <c r="K292" s="353"/>
      <c r="L292" s="353"/>
      <c r="M292" s="353"/>
      <c r="N292" s="353"/>
      <c r="O292" s="353"/>
      <c r="P292" s="353"/>
      <c r="Q292" s="353"/>
      <c r="R292" s="353"/>
      <c r="S292" s="353"/>
      <c r="T292" s="353"/>
      <c r="U292" s="353"/>
      <c r="V292" s="353"/>
      <c r="W292" s="353"/>
      <c r="X292" s="353"/>
      <c r="Y292" s="353"/>
      <c r="Z292" s="353"/>
    </row>
    <row r="293" ht="12.0" customHeight="1">
      <c r="A293" s="353"/>
      <c r="B293" s="353"/>
      <c r="C293" s="353"/>
      <c r="D293" s="353"/>
      <c r="E293" s="353"/>
      <c r="F293" s="353"/>
      <c r="G293" s="353"/>
      <c r="H293" s="353"/>
      <c r="I293" s="353"/>
      <c r="J293" s="353"/>
      <c r="K293" s="353"/>
      <c r="L293" s="353"/>
      <c r="M293" s="353"/>
      <c r="N293" s="353"/>
      <c r="O293" s="353"/>
      <c r="P293" s="353"/>
      <c r="Q293" s="353"/>
      <c r="R293" s="353"/>
      <c r="S293" s="353"/>
      <c r="T293" s="353"/>
      <c r="U293" s="353"/>
      <c r="V293" s="353"/>
      <c r="W293" s="353"/>
      <c r="X293" s="353"/>
      <c r="Y293" s="353"/>
      <c r="Z293" s="353"/>
    </row>
    <row r="294" ht="12.0" customHeight="1">
      <c r="A294" s="353"/>
      <c r="B294" s="353"/>
      <c r="C294" s="353"/>
      <c r="D294" s="353"/>
      <c r="E294" s="353"/>
      <c r="F294" s="353"/>
      <c r="G294" s="353"/>
      <c r="H294" s="353"/>
      <c r="I294" s="353"/>
      <c r="J294" s="353"/>
      <c r="K294" s="353"/>
      <c r="L294" s="353"/>
      <c r="M294" s="353"/>
      <c r="N294" s="353"/>
      <c r="O294" s="353"/>
      <c r="P294" s="353"/>
      <c r="Q294" s="353"/>
      <c r="R294" s="353"/>
      <c r="S294" s="353"/>
      <c r="T294" s="353"/>
      <c r="U294" s="353"/>
      <c r="V294" s="353"/>
      <c r="W294" s="353"/>
      <c r="X294" s="353"/>
      <c r="Y294" s="353"/>
      <c r="Z294" s="353"/>
    </row>
    <row r="295" ht="12.0" customHeight="1">
      <c r="A295" s="353"/>
      <c r="B295" s="353"/>
      <c r="C295" s="353"/>
      <c r="D295" s="353"/>
      <c r="E295" s="353"/>
      <c r="F295" s="353"/>
      <c r="G295" s="353"/>
      <c r="H295" s="353"/>
      <c r="I295" s="353"/>
      <c r="J295" s="353"/>
      <c r="K295" s="353"/>
      <c r="L295" s="353"/>
      <c r="M295" s="353"/>
      <c r="N295" s="353"/>
      <c r="O295" s="353"/>
      <c r="P295" s="353"/>
      <c r="Q295" s="353"/>
      <c r="R295" s="353"/>
      <c r="S295" s="353"/>
      <c r="T295" s="353"/>
      <c r="U295" s="353"/>
      <c r="V295" s="353"/>
      <c r="W295" s="353"/>
      <c r="X295" s="353"/>
      <c r="Y295" s="353"/>
      <c r="Z295" s="353"/>
    </row>
    <row r="296" ht="12.0" customHeight="1">
      <c r="A296" s="353"/>
      <c r="B296" s="353"/>
      <c r="C296" s="353"/>
      <c r="D296" s="353"/>
      <c r="E296" s="353"/>
      <c r="F296" s="353"/>
      <c r="G296" s="353"/>
      <c r="H296" s="353"/>
      <c r="I296" s="353"/>
      <c r="J296" s="353"/>
      <c r="K296" s="353"/>
      <c r="L296" s="353"/>
      <c r="M296" s="353"/>
      <c r="N296" s="353"/>
      <c r="O296" s="353"/>
      <c r="P296" s="353"/>
      <c r="Q296" s="353"/>
      <c r="R296" s="353"/>
      <c r="S296" s="353"/>
      <c r="T296" s="353"/>
      <c r="U296" s="353"/>
      <c r="V296" s="353"/>
      <c r="W296" s="353"/>
      <c r="X296" s="353"/>
      <c r="Y296" s="353"/>
      <c r="Z296" s="353"/>
    </row>
    <row r="297" ht="12.0" customHeight="1">
      <c r="A297" s="353"/>
      <c r="B297" s="353"/>
      <c r="C297" s="353"/>
      <c r="D297" s="353"/>
      <c r="E297" s="353"/>
      <c r="F297" s="353"/>
      <c r="G297" s="353"/>
      <c r="H297" s="353"/>
      <c r="I297" s="353"/>
      <c r="J297" s="353"/>
      <c r="K297" s="353"/>
      <c r="L297" s="353"/>
      <c r="M297" s="353"/>
      <c r="N297" s="353"/>
      <c r="O297" s="353"/>
      <c r="P297" s="353"/>
      <c r="Q297" s="353"/>
      <c r="R297" s="353"/>
      <c r="S297" s="353"/>
      <c r="T297" s="353"/>
      <c r="U297" s="353"/>
      <c r="V297" s="353"/>
      <c r="W297" s="353"/>
      <c r="X297" s="353"/>
      <c r="Y297" s="353"/>
      <c r="Z297" s="353"/>
    </row>
    <row r="298" ht="12.0" customHeight="1">
      <c r="A298" s="353"/>
      <c r="B298" s="353"/>
      <c r="C298" s="353"/>
      <c r="D298" s="353"/>
      <c r="E298" s="353"/>
      <c r="F298" s="353"/>
      <c r="G298" s="353"/>
      <c r="H298" s="353"/>
      <c r="I298" s="353"/>
      <c r="J298" s="353"/>
      <c r="K298" s="353"/>
      <c r="L298" s="353"/>
      <c r="M298" s="353"/>
      <c r="N298" s="353"/>
      <c r="O298" s="353"/>
      <c r="P298" s="353"/>
      <c r="Q298" s="353"/>
      <c r="R298" s="353"/>
      <c r="S298" s="353"/>
      <c r="T298" s="353"/>
      <c r="U298" s="353"/>
      <c r="V298" s="353"/>
      <c r="W298" s="353"/>
      <c r="X298" s="353"/>
      <c r="Y298" s="353"/>
      <c r="Z298" s="353"/>
    </row>
    <row r="299" ht="12.0" customHeight="1">
      <c r="A299" s="353"/>
      <c r="B299" s="353"/>
      <c r="C299" s="353"/>
      <c r="D299" s="353"/>
      <c r="E299" s="353"/>
      <c r="F299" s="353"/>
      <c r="G299" s="353"/>
      <c r="H299" s="353"/>
      <c r="I299" s="353"/>
      <c r="J299" s="353"/>
      <c r="K299" s="353"/>
      <c r="L299" s="353"/>
      <c r="M299" s="353"/>
      <c r="N299" s="353"/>
      <c r="O299" s="353"/>
      <c r="P299" s="353"/>
      <c r="Q299" s="353"/>
      <c r="R299" s="353"/>
      <c r="S299" s="353"/>
      <c r="T299" s="353"/>
      <c r="U299" s="353"/>
      <c r="V299" s="353"/>
      <c r="W299" s="353"/>
      <c r="X299" s="353"/>
      <c r="Y299" s="353"/>
      <c r="Z299" s="353"/>
    </row>
    <row r="300" ht="12.0" customHeight="1">
      <c r="A300" s="353"/>
      <c r="B300" s="353"/>
      <c r="C300" s="353"/>
      <c r="D300" s="353"/>
      <c r="E300" s="353"/>
      <c r="F300" s="353"/>
      <c r="G300" s="353"/>
      <c r="H300" s="353"/>
      <c r="I300" s="353"/>
      <c r="J300" s="353"/>
      <c r="K300" s="353"/>
      <c r="L300" s="353"/>
      <c r="M300" s="353"/>
      <c r="N300" s="353"/>
      <c r="O300" s="353"/>
      <c r="P300" s="353"/>
      <c r="Q300" s="353"/>
      <c r="R300" s="353"/>
      <c r="S300" s="353"/>
      <c r="T300" s="353"/>
      <c r="U300" s="353"/>
      <c r="V300" s="353"/>
      <c r="W300" s="353"/>
      <c r="X300" s="353"/>
      <c r="Y300" s="353"/>
      <c r="Z300" s="353"/>
    </row>
    <row r="301" ht="12.0" customHeight="1">
      <c r="A301" s="353"/>
      <c r="B301" s="353"/>
      <c r="C301" s="353"/>
      <c r="D301" s="353"/>
      <c r="E301" s="353"/>
      <c r="F301" s="353"/>
      <c r="G301" s="353"/>
      <c r="H301" s="353"/>
      <c r="I301" s="353"/>
      <c r="J301" s="353"/>
      <c r="K301" s="353"/>
      <c r="L301" s="353"/>
      <c r="M301" s="353"/>
      <c r="N301" s="353"/>
      <c r="O301" s="353"/>
      <c r="P301" s="353"/>
      <c r="Q301" s="353"/>
      <c r="R301" s="353"/>
      <c r="S301" s="353"/>
      <c r="T301" s="353"/>
      <c r="U301" s="353"/>
      <c r="V301" s="353"/>
      <c r="W301" s="353"/>
      <c r="X301" s="353"/>
      <c r="Y301" s="353"/>
      <c r="Z301" s="353"/>
    </row>
    <row r="302" ht="12.0" customHeight="1">
      <c r="A302" s="353"/>
      <c r="B302" s="353"/>
      <c r="C302" s="353"/>
      <c r="D302" s="353"/>
      <c r="E302" s="353"/>
      <c r="F302" s="353"/>
      <c r="G302" s="353"/>
      <c r="H302" s="353"/>
      <c r="I302" s="353"/>
      <c r="J302" s="353"/>
      <c r="K302" s="353"/>
      <c r="L302" s="353"/>
      <c r="M302" s="353"/>
      <c r="N302" s="353"/>
      <c r="O302" s="353"/>
      <c r="P302" s="353"/>
      <c r="Q302" s="353"/>
      <c r="R302" s="353"/>
      <c r="S302" s="353"/>
      <c r="T302" s="353"/>
      <c r="U302" s="353"/>
      <c r="V302" s="353"/>
      <c r="W302" s="353"/>
      <c r="X302" s="353"/>
      <c r="Y302" s="353"/>
      <c r="Z302" s="353"/>
    </row>
    <row r="303" ht="12.0" customHeight="1">
      <c r="A303" s="353"/>
      <c r="B303" s="353"/>
      <c r="C303" s="353"/>
      <c r="D303" s="353"/>
      <c r="E303" s="353"/>
      <c r="F303" s="353"/>
      <c r="G303" s="353"/>
      <c r="H303" s="353"/>
      <c r="I303" s="353"/>
      <c r="J303" s="353"/>
      <c r="K303" s="353"/>
      <c r="L303" s="353"/>
      <c r="M303" s="353"/>
      <c r="N303" s="353"/>
      <c r="O303" s="353"/>
      <c r="P303" s="353"/>
      <c r="Q303" s="353"/>
      <c r="R303" s="353"/>
      <c r="S303" s="353"/>
      <c r="T303" s="353"/>
      <c r="U303" s="353"/>
      <c r="V303" s="353"/>
      <c r="W303" s="353"/>
      <c r="X303" s="353"/>
      <c r="Y303" s="353"/>
      <c r="Z303" s="353"/>
    </row>
    <row r="304" ht="12.0" customHeight="1">
      <c r="A304" s="353"/>
      <c r="B304" s="353"/>
      <c r="C304" s="353"/>
      <c r="D304" s="353"/>
      <c r="E304" s="353"/>
      <c r="F304" s="353"/>
      <c r="G304" s="353"/>
      <c r="H304" s="353"/>
      <c r="I304" s="353"/>
      <c r="J304" s="353"/>
      <c r="K304" s="353"/>
      <c r="L304" s="353"/>
      <c r="M304" s="353"/>
      <c r="N304" s="353"/>
      <c r="O304" s="353"/>
      <c r="P304" s="353"/>
      <c r="Q304" s="353"/>
      <c r="R304" s="353"/>
      <c r="S304" s="353"/>
      <c r="T304" s="353"/>
      <c r="U304" s="353"/>
      <c r="V304" s="353"/>
      <c r="W304" s="353"/>
      <c r="X304" s="353"/>
      <c r="Y304" s="353"/>
      <c r="Z304" s="353"/>
    </row>
    <row r="305" ht="12.0" customHeight="1">
      <c r="A305" s="353"/>
      <c r="B305" s="353"/>
      <c r="C305" s="353"/>
      <c r="D305" s="353"/>
      <c r="E305" s="353"/>
      <c r="F305" s="353"/>
      <c r="G305" s="353"/>
      <c r="H305" s="353"/>
      <c r="I305" s="353"/>
      <c r="J305" s="353"/>
      <c r="K305" s="353"/>
      <c r="L305" s="353"/>
      <c r="M305" s="353"/>
      <c r="N305" s="353"/>
      <c r="O305" s="353"/>
      <c r="P305" s="353"/>
      <c r="Q305" s="353"/>
      <c r="R305" s="353"/>
      <c r="S305" s="353"/>
      <c r="T305" s="353"/>
      <c r="U305" s="353"/>
      <c r="V305" s="353"/>
      <c r="W305" s="353"/>
      <c r="X305" s="353"/>
      <c r="Y305" s="353"/>
      <c r="Z305" s="353"/>
    </row>
    <row r="306" ht="12.0" customHeight="1">
      <c r="A306" s="353"/>
      <c r="B306" s="353"/>
      <c r="C306" s="353"/>
      <c r="D306" s="353"/>
      <c r="E306" s="353"/>
      <c r="F306" s="353"/>
      <c r="G306" s="353"/>
      <c r="H306" s="353"/>
      <c r="I306" s="353"/>
      <c r="J306" s="353"/>
      <c r="K306" s="353"/>
      <c r="L306" s="353"/>
      <c r="M306" s="353"/>
      <c r="N306" s="353"/>
      <c r="O306" s="353"/>
      <c r="P306" s="353"/>
      <c r="Q306" s="353"/>
      <c r="R306" s="353"/>
      <c r="S306" s="353"/>
      <c r="T306" s="353"/>
      <c r="U306" s="353"/>
      <c r="V306" s="353"/>
      <c r="W306" s="353"/>
      <c r="X306" s="353"/>
      <c r="Y306" s="353"/>
      <c r="Z306" s="353"/>
    </row>
    <row r="307" ht="12.0" customHeight="1">
      <c r="A307" s="353"/>
      <c r="B307" s="353"/>
      <c r="C307" s="353"/>
      <c r="D307" s="353"/>
      <c r="E307" s="353"/>
      <c r="F307" s="353"/>
      <c r="G307" s="353"/>
      <c r="H307" s="353"/>
      <c r="I307" s="353"/>
      <c r="J307" s="353"/>
      <c r="K307" s="353"/>
      <c r="L307" s="353"/>
      <c r="M307" s="353"/>
      <c r="N307" s="353"/>
      <c r="O307" s="353"/>
      <c r="P307" s="353"/>
      <c r="Q307" s="353"/>
      <c r="R307" s="353"/>
      <c r="S307" s="353"/>
      <c r="T307" s="353"/>
      <c r="U307" s="353"/>
      <c r="V307" s="353"/>
      <c r="W307" s="353"/>
      <c r="X307" s="353"/>
      <c r="Y307" s="353"/>
      <c r="Z307" s="353"/>
    </row>
    <row r="308" ht="12.0" customHeight="1">
      <c r="A308" s="353"/>
      <c r="B308" s="353"/>
      <c r="C308" s="353"/>
      <c r="D308" s="353"/>
      <c r="E308" s="353"/>
      <c r="F308" s="353"/>
      <c r="G308" s="353"/>
      <c r="H308" s="353"/>
      <c r="I308" s="353"/>
      <c r="J308" s="353"/>
      <c r="K308" s="353"/>
      <c r="L308" s="353"/>
      <c r="M308" s="353"/>
      <c r="N308" s="353"/>
      <c r="O308" s="353"/>
      <c r="P308" s="353"/>
      <c r="Q308" s="353"/>
      <c r="R308" s="353"/>
      <c r="S308" s="353"/>
      <c r="T308" s="353"/>
      <c r="U308" s="353"/>
      <c r="V308" s="353"/>
      <c r="W308" s="353"/>
      <c r="X308" s="353"/>
      <c r="Y308" s="353"/>
      <c r="Z308" s="353"/>
    </row>
    <row r="309" ht="12.0" customHeight="1">
      <c r="A309" s="353"/>
      <c r="B309" s="353"/>
      <c r="C309" s="353"/>
      <c r="D309" s="353"/>
      <c r="E309" s="353"/>
      <c r="F309" s="353"/>
      <c r="G309" s="353"/>
      <c r="H309" s="353"/>
      <c r="I309" s="353"/>
      <c r="J309" s="353"/>
      <c r="K309" s="353"/>
      <c r="L309" s="353"/>
      <c r="M309" s="353"/>
      <c r="N309" s="353"/>
      <c r="O309" s="353"/>
      <c r="P309" s="353"/>
      <c r="Q309" s="353"/>
      <c r="R309" s="353"/>
      <c r="S309" s="353"/>
      <c r="T309" s="353"/>
      <c r="U309" s="353"/>
      <c r="V309" s="353"/>
      <c r="W309" s="353"/>
      <c r="X309" s="353"/>
      <c r="Y309" s="353"/>
      <c r="Z309" s="353"/>
    </row>
    <row r="310" ht="12.0" customHeight="1">
      <c r="A310" s="353"/>
      <c r="B310" s="353"/>
      <c r="C310" s="353"/>
      <c r="D310" s="353"/>
      <c r="E310" s="353"/>
      <c r="F310" s="353"/>
      <c r="G310" s="353"/>
      <c r="H310" s="353"/>
      <c r="I310" s="353"/>
      <c r="J310" s="353"/>
      <c r="K310" s="353"/>
      <c r="L310" s="353"/>
      <c r="M310" s="353"/>
      <c r="N310" s="353"/>
      <c r="O310" s="353"/>
      <c r="P310" s="353"/>
      <c r="Q310" s="353"/>
      <c r="R310" s="353"/>
      <c r="S310" s="353"/>
      <c r="T310" s="353"/>
      <c r="U310" s="353"/>
      <c r="V310" s="353"/>
      <c r="W310" s="353"/>
      <c r="X310" s="353"/>
      <c r="Y310" s="353"/>
      <c r="Z310" s="353"/>
    </row>
    <row r="311" ht="12.0" customHeight="1">
      <c r="A311" s="353"/>
      <c r="B311" s="353"/>
      <c r="C311" s="353"/>
      <c r="D311" s="353"/>
      <c r="E311" s="353"/>
      <c r="F311" s="353"/>
      <c r="G311" s="353"/>
      <c r="H311" s="353"/>
      <c r="I311" s="353"/>
      <c r="J311" s="353"/>
      <c r="K311" s="353"/>
      <c r="L311" s="353"/>
      <c r="M311" s="353"/>
      <c r="N311" s="353"/>
      <c r="O311" s="353"/>
      <c r="P311" s="353"/>
      <c r="Q311" s="353"/>
      <c r="R311" s="353"/>
      <c r="S311" s="353"/>
      <c r="T311" s="353"/>
      <c r="U311" s="353"/>
      <c r="V311" s="353"/>
      <c r="W311" s="353"/>
      <c r="X311" s="353"/>
      <c r="Y311" s="353"/>
      <c r="Z311" s="353"/>
    </row>
    <row r="312" ht="12.0" customHeight="1">
      <c r="A312" s="353"/>
      <c r="B312" s="353"/>
      <c r="C312" s="353"/>
      <c r="D312" s="353"/>
      <c r="E312" s="353"/>
      <c r="F312" s="353"/>
      <c r="G312" s="353"/>
      <c r="H312" s="353"/>
      <c r="I312" s="353"/>
      <c r="J312" s="353"/>
      <c r="K312" s="353"/>
      <c r="L312" s="353"/>
      <c r="M312" s="353"/>
      <c r="N312" s="353"/>
      <c r="O312" s="353"/>
      <c r="P312" s="353"/>
      <c r="Q312" s="353"/>
      <c r="R312" s="353"/>
      <c r="S312" s="353"/>
      <c r="T312" s="353"/>
      <c r="U312" s="353"/>
      <c r="V312" s="353"/>
      <c r="W312" s="353"/>
      <c r="X312" s="353"/>
      <c r="Y312" s="353"/>
      <c r="Z312" s="353"/>
    </row>
    <row r="313" ht="12.0" customHeight="1">
      <c r="A313" s="353"/>
      <c r="B313" s="353"/>
      <c r="C313" s="353"/>
      <c r="D313" s="353"/>
      <c r="E313" s="353"/>
      <c r="F313" s="353"/>
      <c r="G313" s="353"/>
      <c r="H313" s="353"/>
      <c r="I313" s="353"/>
      <c r="J313" s="353"/>
      <c r="K313" s="353"/>
      <c r="L313" s="353"/>
      <c r="M313" s="353"/>
      <c r="N313" s="353"/>
      <c r="O313" s="353"/>
      <c r="P313" s="353"/>
      <c r="Q313" s="353"/>
      <c r="R313" s="353"/>
      <c r="S313" s="353"/>
      <c r="T313" s="353"/>
      <c r="U313" s="353"/>
      <c r="V313" s="353"/>
      <c r="W313" s="353"/>
      <c r="X313" s="353"/>
      <c r="Y313" s="353"/>
      <c r="Z313" s="353"/>
    </row>
    <row r="314" ht="12.0" customHeight="1">
      <c r="A314" s="353"/>
      <c r="B314" s="353"/>
      <c r="C314" s="353"/>
      <c r="D314" s="353"/>
      <c r="E314" s="353"/>
      <c r="F314" s="353"/>
      <c r="G314" s="353"/>
      <c r="H314" s="353"/>
      <c r="I314" s="353"/>
      <c r="J314" s="353"/>
      <c r="K314" s="353"/>
      <c r="L314" s="353"/>
      <c r="M314" s="353"/>
      <c r="N314" s="353"/>
      <c r="O314" s="353"/>
      <c r="P314" s="353"/>
      <c r="Q314" s="353"/>
      <c r="R314" s="353"/>
      <c r="S314" s="353"/>
      <c r="T314" s="353"/>
      <c r="U314" s="353"/>
      <c r="V314" s="353"/>
      <c r="W314" s="353"/>
      <c r="X314" s="353"/>
      <c r="Y314" s="353"/>
      <c r="Z314" s="353"/>
    </row>
    <row r="315" ht="12.0" customHeight="1">
      <c r="A315" s="353"/>
      <c r="B315" s="353"/>
      <c r="C315" s="353"/>
      <c r="D315" s="353"/>
      <c r="E315" s="353"/>
      <c r="F315" s="353"/>
      <c r="G315" s="353"/>
      <c r="H315" s="353"/>
      <c r="I315" s="353"/>
      <c r="J315" s="353"/>
      <c r="K315" s="353"/>
      <c r="L315" s="353"/>
      <c r="M315" s="353"/>
      <c r="N315" s="353"/>
      <c r="O315" s="353"/>
      <c r="P315" s="353"/>
      <c r="Q315" s="353"/>
      <c r="R315" s="353"/>
      <c r="S315" s="353"/>
      <c r="T315" s="353"/>
      <c r="U315" s="353"/>
      <c r="V315" s="353"/>
      <c r="W315" s="353"/>
      <c r="X315" s="353"/>
      <c r="Y315" s="353"/>
      <c r="Z315" s="353"/>
    </row>
    <row r="316" ht="12.0" customHeight="1">
      <c r="A316" s="353"/>
      <c r="B316" s="353"/>
      <c r="C316" s="353"/>
      <c r="D316" s="353"/>
      <c r="E316" s="353"/>
      <c r="F316" s="353"/>
      <c r="G316" s="353"/>
      <c r="H316" s="353"/>
      <c r="I316" s="353"/>
      <c r="J316" s="353"/>
      <c r="K316" s="353"/>
      <c r="L316" s="353"/>
      <c r="M316" s="353"/>
      <c r="N316" s="353"/>
      <c r="O316" s="353"/>
      <c r="P316" s="353"/>
      <c r="Q316" s="353"/>
      <c r="R316" s="353"/>
      <c r="S316" s="353"/>
      <c r="T316" s="353"/>
      <c r="U316" s="353"/>
      <c r="V316" s="353"/>
      <c r="W316" s="353"/>
      <c r="X316" s="353"/>
      <c r="Y316" s="353"/>
      <c r="Z316" s="353"/>
    </row>
    <row r="317" ht="12.0" customHeight="1">
      <c r="A317" s="353"/>
      <c r="B317" s="353"/>
      <c r="C317" s="353"/>
      <c r="D317" s="353"/>
      <c r="E317" s="353"/>
      <c r="F317" s="353"/>
      <c r="G317" s="353"/>
      <c r="H317" s="353"/>
      <c r="I317" s="353"/>
      <c r="J317" s="353"/>
      <c r="K317" s="353"/>
      <c r="L317" s="353"/>
      <c r="M317" s="353"/>
      <c r="N317" s="353"/>
      <c r="O317" s="353"/>
      <c r="P317" s="353"/>
      <c r="Q317" s="353"/>
      <c r="R317" s="353"/>
      <c r="S317" s="353"/>
      <c r="T317" s="353"/>
      <c r="U317" s="353"/>
      <c r="V317" s="353"/>
      <c r="W317" s="353"/>
      <c r="X317" s="353"/>
      <c r="Y317" s="353"/>
      <c r="Z317" s="353"/>
    </row>
    <row r="318" ht="12.0" customHeight="1">
      <c r="A318" s="353"/>
      <c r="B318" s="353"/>
      <c r="C318" s="353"/>
      <c r="D318" s="353"/>
      <c r="E318" s="353"/>
      <c r="F318" s="353"/>
      <c r="G318" s="353"/>
      <c r="H318" s="353"/>
      <c r="I318" s="353"/>
      <c r="J318" s="353"/>
      <c r="K318" s="353"/>
      <c r="L318" s="353"/>
      <c r="M318" s="353"/>
      <c r="N318" s="353"/>
      <c r="O318" s="353"/>
      <c r="P318" s="353"/>
      <c r="Q318" s="353"/>
      <c r="R318" s="353"/>
      <c r="S318" s="353"/>
      <c r="T318" s="353"/>
      <c r="U318" s="353"/>
      <c r="V318" s="353"/>
      <c r="W318" s="353"/>
      <c r="X318" s="353"/>
      <c r="Y318" s="353"/>
      <c r="Z318" s="353"/>
    </row>
    <row r="319" ht="12.0" customHeight="1">
      <c r="A319" s="353"/>
      <c r="B319" s="353"/>
      <c r="C319" s="353"/>
      <c r="D319" s="353"/>
      <c r="E319" s="353"/>
      <c r="F319" s="353"/>
      <c r="G319" s="353"/>
      <c r="H319" s="353"/>
      <c r="I319" s="353"/>
      <c r="J319" s="353"/>
      <c r="K319" s="353"/>
      <c r="L319" s="353"/>
      <c r="M319" s="353"/>
      <c r="N319" s="353"/>
      <c r="O319" s="353"/>
      <c r="P319" s="353"/>
      <c r="Q319" s="353"/>
      <c r="R319" s="353"/>
      <c r="S319" s="353"/>
      <c r="T319" s="353"/>
      <c r="U319" s="353"/>
      <c r="V319" s="353"/>
      <c r="W319" s="353"/>
      <c r="X319" s="353"/>
      <c r="Y319" s="353"/>
      <c r="Z319" s="353"/>
    </row>
    <row r="320" ht="12.0" customHeight="1">
      <c r="A320" s="353"/>
      <c r="B320" s="353"/>
      <c r="C320" s="353"/>
      <c r="D320" s="353"/>
      <c r="E320" s="353"/>
      <c r="F320" s="353"/>
      <c r="G320" s="353"/>
      <c r="H320" s="353"/>
      <c r="I320" s="353"/>
      <c r="J320" s="353"/>
      <c r="K320" s="353"/>
      <c r="L320" s="353"/>
      <c r="M320" s="353"/>
      <c r="N320" s="353"/>
      <c r="O320" s="353"/>
      <c r="P320" s="353"/>
      <c r="Q320" s="353"/>
      <c r="R320" s="353"/>
      <c r="S320" s="353"/>
      <c r="T320" s="353"/>
      <c r="U320" s="353"/>
      <c r="V320" s="353"/>
      <c r="W320" s="353"/>
      <c r="X320" s="353"/>
      <c r="Y320" s="353"/>
      <c r="Z320" s="353"/>
    </row>
    <row r="321" ht="12.0" customHeight="1">
      <c r="A321" s="353"/>
      <c r="B321" s="353"/>
      <c r="C321" s="353"/>
      <c r="D321" s="353"/>
      <c r="E321" s="353"/>
      <c r="F321" s="353"/>
      <c r="G321" s="353"/>
      <c r="H321" s="353"/>
      <c r="I321" s="353"/>
      <c r="J321" s="353"/>
      <c r="K321" s="353"/>
      <c r="L321" s="353"/>
      <c r="M321" s="353"/>
      <c r="N321" s="353"/>
      <c r="O321" s="353"/>
      <c r="P321" s="353"/>
      <c r="Q321" s="353"/>
      <c r="R321" s="353"/>
      <c r="S321" s="353"/>
      <c r="T321" s="353"/>
      <c r="U321" s="353"/>
      <c r="V321" s="353"/>
      <c r="W321" s="353"/>
      <c r="X321" s="353"/>
      <c r="Y321" s="353"/>
      <c r="Z321" s="353"/>
    </row>
    <row r="322" ht="12.0" customHeight="1">
      <c r="A322" s="353"/>
      <c r="B322" s="353"/>
      <c r="C322" s="353"/>
      <c r="D322" s="353"/>
      <c r="E322" s="353"/>
      <c r="F322" s="353"/>
      <c r="G322" s="353"/>
      <c r="H322" s="353"/>
      <c r="I322" s="353"/>
      <c r="J322" s="353"/>
      <c r="K322" s="353"/>
      <c r="L322" s="353"/>
      <c r="M322" s="353"/>
      <c r="N322" s="353"/>
      <c r="O322" s="353"/>
      <c r="P322" s="353"/>
      <c r="Q322" s="353"/>
      <c r="R322" s="353"/>
      <c r="S322" s="353"/>
      <c r="T322" s="353"/>
      <c r="U322" s="353"/>
      <c r="V322" s="353"/>
      <c r="W322" s="353"/>
      <c r="X322" s="353"/>
      <c r="Y322" s="353"/>
      <c r="Z322" s="353"/>
    </row>
    <row r="323" ht="12.0" customHeight="1">
      <c r="A323" s="353"/>
      <c r="B323" s="353"/>
      <c r="C323" s="353"/>
      <c r="D323" s="353"/>
      <c r="E323" s="353"/>
      <c r="F323" s="353"/>
      <c r="G323" s="353"/>
      <c r="H323" s="353"/>
      <c r="I323" s="353"/>
      <c r="J323" s="353"/>
      <c r="K323" s="353"/>
      <c r="L323" s="353"/>
      <c r="M323" s="353"/>
      <c r="N323" s="353"/>
      <c r="O323" s="353"/>
      <c r="P323" s="353"/>
      <c r="Q323" s="353"/>
      <c r="R323" s="353"/>
      <c r="S323" s="353"/>
      <c r="T323" s="353"/>
      <c r="U323" s="353"/>
      <c r="V323" s="353"/>
      <c r="W323" s="353"/>
      <c r="X323" s="353"/>
      <c r="Y323" s="353"/>
      <c r="Z323" s="353"/>
    </row>
    <row r="324" ht="12.0" customHeight="1">
      <c r="A324" s="353"/>
      <c r="B324" s="353"/>
      <c r="C324" s="353"/>
      <c r="D324" s="353"/>
      <c r="E324" s="353"/>
      <c r="F324" s="353"/>
      <c r="G324" s="353"/>
      <c r="H324" s="353"/>
      <c r="I324" s="353"/>
      <c r="J324" s="353"/>
      <c r="K324" s="353"/>
      <c r="L324" s="353"/>
      <c r="M324" s="353"/>
      <c r="N324" s="353"/>
      <c r="O324" s="353"/>
      <c r="P324" s="353"/>
      <c r="Q324" s="353"/>
      <c r="R324" s="353"/>
      <c r="S324" s="353"/>
      <c r="T324" s="353"/>
      <c r="U324" s="353"/>
      <c r="V324" s="353"/>
      <c r="W324" s="353"/>
      <c r="X324" s="353"/>
      <c r="Y324" s="353"/>
      <c r="Z324" s="353"/>
    </row>
    <row r="325" ht="12.0" customHeight="1">
      <c r="A325" s="353"/>
      <c r="B325" s="353"/>
      <c r="C325" s="353"/>
      <c r="D325" s="353"/>
      <c r="E325" s="353"/>
      <c r="F325" s="353"/>
      <c r="G325" s="353"/>
      <c r="H325" s="353"/>
      <c r="I325" s="353"/>
      <c r="J325" s="353"/>
      <c r="K325" s="353"/>
      <c r="L325" s="353"/>
      <c r="M325" s="353"/>
      <c r="N325" s="353"/>
      <c r="O325" s="353"/>
      <c r="P325" s="353"/>
      <c r="Q325" s="353"/>
      <c r="R325" s="353"/>
      <c r="S325" s="353"/>
      <c r="T325" s="353"/>
      <c r="U325" s="353"/>
      <c r="V325" s="353"/>
      <c r="W325" s="353"/>
      <c r="X325" s="353"/>
      <c r="Y325" s="353"/>
      <c r="Z325" s="353"/>
    </row>
    <row r="326" ht="12.0" customHeight="1">
      <c r="A326" s="353"/>
      <c r="B326" s="353"/>
      <c r="C326" s="353"/>
      <c r="D326" s="353"/>
      <c r="E326" s="353"/>
      <c r="F326" s="353"/>
      <c r="G326" s="353"/>
      <c r="H326" s="353"/>
      <c r="I326" s="353"/>
      <c r="J326" s="353"/>
      <c r="K326" s="353"/>
      <c r="L326" s="353"/>
      <c r="M326" s="353"/>
      <c r="N326" s="353"/>
      <c r="O326" s="353"/>
      <c r="P326" s="353"/>
      <c r="Q326" s="353"/>
      <c r="R326" s="353"/>
      <c r="S326" s="353"/>
      <c r="T326" s="353"/>
      <c r="U326" s="353"/>
      <c r="V326" s="353"/>
      <c r="W326" s="353"/>
      <c r="X326" s="353"/>
      <c r="Y326" s="353"/>
      <c r="Z326" s="353"/>
    </row>
    <row r="327" ht="12.0" customHeight="1">
      <c r="A327" s="353"/>
      <c r="B327" s="353"/>
      <c r="C327" s="353"/>
      <c r="D327" s="353"/>
      <c r="E327" s="353"/>
      <c r="F327" s="353"/>
      <c r="G327" s="353"/>
      <c r="H327" s="353"/>
      <c r="I327" s="353"/>
      <c r="J327" s="353"/>
      <c r="K327" s="353"/>
      <c r="L327" s="353"/>
      <c r="M327" s="353"/>
      <c r="N327" s="353"/>
      <c r="O327" s="353"/>
      <c r="P327" s="353"/>
      <c r="Q327" s="353"/>
      <c r="R327" s="353"/>
      <c r="S327" s="353"/>
      <c r="T327" s="353"/>
      <c r="U327" s="353"/>
      <c r="V327" s="353"/>
      <c r="W327" s="353"/>
      <c r="X327" s="353"/>
      <c r="Y327" s="353"/>
      <c r="Z327" s="353"/>
    </row>
    <row r="328" ht="12.0" customHeight="1">
      <c r="A328" s="353"/>
      <c r="B328" s="353"/>
      <c r="C328" s="353"/>
      <c r="D328" s="353"/>
      <c r="E328" s="353"/>
      <c r="F328" s="353"/>
      <c r="G328" s="353"/>
      <c r="H328" s="353"/>
      <c r="I328" s="353"/>
      <c r="J328" s="353"/>
      <c r="K328" s="353"/>
      <c r="L328" s="353"/>
      <c r="M328" s="353"/>
      <c r="N328" s="353"/>
      <c r="O328" s="353"/>
      <c r="P328" s="353"/>
      <c r="Q328" s="353"/>
      <c r="R328" s="353"/>
      <c r="S328" s="353"/>
      <c r="T328" s="353"/>
      <c r="U328" s="353"/>
      <c r="V328" s="353"/>
      <c r="W328" s="353"/>
      <c r="X328" s="353"/>
      <c r="Y328" s="353"/>
      <c r="Z328" s="353"/>
    </row>
    <row r="329" ht="12.0" customHeight="1">
      <c r="A329" s="353"/>
      <c r="B329" s="353"/>
      <c r="C329" s="353"/>
      <c r="D329" s="353"/>
      <c r="E329" s="353"/>
      <c r="F329" s="353"/>
      <c r="G329" s="353"/>
      <c r="H329" s="353"/>
      <c r="I329" s="353"/>
      <c r="J329" s="353"/>
      <c r="K329" s="353"/>
      <c r="L329" s="353"/>
      <c r="M329" s="353"/>
      <c r="N329" s="353"/>
      <c r="O329" s="353"/>
      <c r="P329" s="353"/>
      <c r="Q329" s="353"/>
      <c r="R329" s="353"/>
      <c r="S329" s="353"/>
      <c r="T329" s="353"/>
      <c r="U329" s="353"/>
      <c r="V329" s="353"/>
      <c r="W329" s="353"/>
      <c r="X329" s="353"/>
      <c r="Y329" s="353"/>
      <c r="Z329" s="353"/>
    </row>
    <row r="330" ht="12.0" customHeight="1">
      <c r="A330" s="353"/>
      <c r="B330" s="353"/>
      <c r="C330" s="353"/>
      <c r="D330" s="353"/>
      <c r="E330" s="353"/>
      <c r="F330" s="353"/>
      <c r="G330" s="353"/>
      <c r="H330" s="353"/>
      <c r="I330" s="353"/>
      <c r="J330" s="353"/>
      <c r="K330" s="353"/>
      <c r="L330" s="353"/>
      <c r="M330" s="353"/>
      <c r="N330" s="353"/>
      <c r="O330" s="353"/>
      <c r="P330" s="353"/>
      <c r="Q330" s="353"/>
      <c r="R330" s="353"/>
      <c r="S330" s="353"/>
      <c r="T330" s="353"/>
      <c r="U330" s="353"/>
      <c r="V330" s="353"/>
      <c r="W330" s="353"/>
      <c r="X330" s="353"/>
      <c r="Y330" s="353"/>
      <c r="Z330" s="353"/>
    </row>
    <row r="331" ht="12.0" customHeight="1">
      <c r="A331" s="353"/>
      <c r="B331" s="353"/>
      <c r="C331" s="353"/>
      <c r="D331" s="353"/>
      <c r="E331" s="353"/>
      <c r="F331" s="353"/>
      <c r="G331" s="353"/>
      <c r="H331" s="353"/>
      <c r="I331" s="353"/>
      <c r="J331" s="353"/>
      <c r="K331" s="353"/>
      <c r="L331" s="353"/>
      <c r="M331" s="353"/>
      <c r="N331" s="353"/>
      <c r="O331" s="353"/>
      <c r="P331" s="353"/>
      <c r="Q331" s="353"/>
      <c r="R331" s="353"/>
      <c r="S331" s="353"/>
      <c r="T331" s="353"/>
      <c r="U331" s="353"/>
      <c r="V331" s="353"/>
      <c r="W331" s="353"/>
      <c r="X331" s="353"/>
      <c r="Y331" s="353"/>
      <c r="Z331" s="353"/>
    </row>
    <row r="332" ht="12.0" customHeight="1">
      <c r="A332" s="353"/>
      <c r="B332" s="353"/>
      <c r="C332" s="353"/>
      <c r="D332" s="353"/>
      <c r="E332" s="353"/>
      <c r="F332" s="353"/>
      <c r="G332" s="353"/>
      <c r="H332" s="353"/>
      <c r="I332" s="353"/>
      <c r="J332" s="353"/>
      <c r="K332" s="353"/>
      <c r="L332" s="353"/>
      <c r="M332" s="353"/>
      <c r="N332" s="353"/>
      <c r="O332" s="353"/>
      <c r="P332" s="353"/>
      <c r="Q332" s="353"/>
      <c r="R332" s="353"/>
      <c r="S332" s="353"/>
      <c r="T332" s="353"/>
      <c r="U332" s="353"/>
      <c r="V332" s="353"/>
      <c r="W332" s="353"/>
      <c r="X332" s="353"/>
      <c r="Y332" s="353"/>
      <c r="Z332" s="353"/>
    </row>
    <row r="333" ht="12.0" customHeight="1">
      <c r="A333" s="353"/>
      <c r="B333" s="353"/>
      <c r="C333" s="353"/>
      <c r="D333" s="353"/>
      <c r="E333" s="353"/>
      <c r="F333" s="353"/>
      <c r="G333" s="353"/>
      <c r="H333" s="353"/>
      <c r="I333" s="353"/>
      <c r="J333" s="353"/>
      <c r="K333" s="353"/>
      <c r="L333" s="353"/>
      <c r="M333" s="353"/>
      <c r="N333" s="353"/>
      <c r="O333" s="353"/>
      <c r="P333" s="353"/>
      <c r="Q333" s="353"/>
      <c r="R333" s="353"/>
      <c r="S333" s="353"/>
      <c r="T333" s="353"/>
      <c r="U333" s="353"/>
      <c r="V333" s="353"/>
      <c r="W333" s="353"/>
      <c r="X333" s="353"/>
      <c r="Y333" s="353"/>
      <c r="Z333" s="353"/>
    </row>
    <row r="334" ht="12.0" customHeight="1">
      <c r="A334" s="353"/>
      <c r="B334" s="353"/>
      <c r="C334" s="353"/>
      <c r="D334" s="353"/>
      <c r="E334" s="353"/>
      <c r="F334" s="353"/>
      <c r="G334" s="353"/>
      <c r="H334" s="353"/>
      <c r="I334" s="353"/>
      <c r="J334" s="353"/>
      <c r="K334" s="353"/>
      <c r="L334" s="353"/>
      <c r="M334" s="353"/>
      <c r="N334" s="353"/>
      <c r="O334" s="353"/>
      <c r="P334" s="353"/>
      <c r="Q334" s="353"/>
      <c r="R334" s="353"/>
      <c r="S334" s="353"/>
      <c r="T334" s="353"/>
      <c r="U334" s="353"/>
      <c r="V334" s="353"/>
      <c r="W334" s="353"/>
      <c r="X334" s="353"/>
      <c r="Y334" s="353"/>
      <c r="Z334" s="353"/>
    </row>
    <row r="335" ht="12.0" customHeight="1">
      <c r="A335" s="353"/>
      <c r="B335" s="353"/>
      <c r="C335" s="353"/>
      <c r="D335" s="353"/>
      <c r="E335" s="353"/>
      <c r="F335" s="353"/>
      <c r="G335" s="353"/>
      <c r="H335" s="353"/>
      <c r="I335" s="353"/>
      <c r="J335" s="353"/>
      <c r="K335" s="353"/>
      <c r="L335" s="353"/>
      <c r="M335" s="353"/>
      <c r="N335" s="353"/>
      <c r="O335" s="353"/>
      <c r="P335" s="353"/>
      <c r="Q335" s="353"/>
      <c r="R335" s="353"/>
      <c r="S335" s="353"/>
      <c r="T335" s="353"/>
      <c r="U335" s="353"/>
      <c r="V335" s="353"/>
      <c r="W335" s="353"/>
      <c r="X335" s="353"/>
      <c r="Y335" s="353"/>
      <c r="Z335" s="353"/>
    </row>
    <row r="336" ht="12.0" customHeight="1">
      <c r="A336" s="353"/>
      <c r="B336" s="353"/>
      <c r="C336" s="353"/>
      <c r="D336" s="353"/>
      <c r="E336" s="353"/>
      <c r="F336" s="353"/>
      <c r="G336" s="353"/>
      <c r="H336" s="353"/>
      <c r="I336" s="353"/>
      <c r="J336" s="353"/>
      <c r="K336" s="353"/>
      <c r="L336" s="353"/>
      <c r="M336" s="353"/>
      <c r="N336" s="353"/>
      <c r="O336" s="353"/>
      <c r="P336" s="353"/>
      <c r="Q336" s="353"/>
      <c r="R336" s="353"/>
      <c r="S336" s="353"/>
      <c r="T336" s="353"/>
      <c r="U336" s="353"/>
      <c r="V336" s="353"/>
      <c r="W336" s="353"/>
      <c r="X336" s="353"/>
      <c r="Y336" s="353"/>
      <c r="Z336" s="353"/>
    </row>
    <row r="337" ht="12.0" customHeight="1">
      <c r="A337" s="353"/>
      <c r="B337" s="353"/>
      <c r="C337" s="353"/>
      <c r="D337" s="353"/>
      <c r="E337" s="353"/>
      <c r="F337" s="353"/>
      <c r="G337" s="353"/>
      <c r="H337" s="353"/>
      <c r="I337" s="353"/>
      <c r="J337" s="353"/>
      <c r="K337" s="353"/>
      <c r="L337" s="353"/>
      <c r="M337" s="353"/>
      <c r="N337" s="353"/>
      <c r="O337" s="353"/>
      <c r="P337" s="353"/>
      <c r="Q337" s="353"/>
      <c r="R337" s="353"/>
      <c r="S337" s="353"/>
      <c r="T337" s="353"/>
      <c r="U337" s="353"/>
      <c r="V337" s="353"/>
      <c r="W337" s="353"/>
      <c r="X337" s="353"/>
      <c r="Y337" s="353"/>
      <c r="Z337" s="353"/>
    </row>
    <row r="338" ht="12.0" customHeight="1">
      <c r="A338" s="353"/>
      <c r="B338" s="353"/>
      <c r="C338" s="353"/>
      <c r="D338" s="353"/>
      <c r="E338" s="353"/>
      <c r="F338" s="353"/>
      <c r="G338" s="353"/>
      <c r="H338" s="353"/>
      <c r="I338" s="353"/>
      <c r="J338" s="353"/>
      <c r="K338" s="353"/>
      <c r="L338" s="353"/>
      <c r="M338" s="353"/>
      <c r="N338" s="353"/>
      <c r="O338" s="353"/>
      <c r="P338" s="353"/>
      <c r="Q338" s="353"/>
      <c r="R338" s="353"/>
      <c r="S338" s="353"/>
      <c r="T338" s="353"/>
      <c r="U338" s="353"/>
      <c r="V338" s="353"/>
      <c r="W338" s="353"/>
      <c r="X338" s="353"/>
      <c r="Y338" s="353"/>
      <c r="Z338" s="353"/>
    </row>
    <row r="339" ht="12.0" customHeight="1">
      <c r="A339" s="353"/>
      <c r="B339" s="353"/>
      <c r="C339" s="353"/>
      <c r="D339" s="353"/>
      <c r="E339" s="353"/>
      <c r="F339" s="353"/>
      <c r="G339" s="353"/>
      <c r="H339" s="353"/>
      <c r="I339" s="353"/>
      <c r="J339" s="353"/>
      <c r="K339" s="353"/>
      <c r="L339" s="353"/>
      <c r="M339" s="353"/>
      <c r="N339" s="353"/>
      <c r="O339" s="353"/>
      <c r="P339" s="353"/>
      <c r="Q339" s="353"/>
      <c r="R339" s="353"/>
      <c r="S339" s="353"/>
      <c r="T339" s="353"/>
      <c r="U339" s="353"/>
      <c r="V339" s="353"/>
      <c r="W339" s="353"/>
      <c r="X339" s="353"/>
      <c r="Y339" s="353"/>
      <c r="Z339" s="353"/>
    </row>
    <row r="340" ht="12.0" customHeight="1">
      <c r="A340" s="353"/>
      <c r="B340" s="353"/>
      <c r="C340" s="353"/>
      <c r="D340" s="353"/>
      <c r="E340" s="353"/>
      <c r="F340" s="353"/>
      <c r="G340" s="353"/>
      <c r="H340" s="353"/>
      <c r="I340" s="353"/>
      <c r="J340" s="353"/>
      <c r="K340" s="353"/>
      <c r="L340" s="353"/>
      <c r="M340" s="353"/>
      <c r="N340" s="353"/>
      <c r="O340" s="353"/>
      <c r="P340" s="353"/>
      <c r="Q340" s="353"/>
      <c r="R340" s="353"/>
      <c r="S340" s="353"/>
      <c r="T340" s="353"/>
      <c r="U340" s="353"/>
      <c r="V340" s="353"/>
      <c r="W340" s="353"/>
      <c r="X340" s="353"/>
      <c r="Y340" s="353"/>
      <c r="Z340" s="353"/>
    </row>
    <row r="341" ht="12.0" customHeight="1">
      <c r="A341" s="353"/>
      <c r="B341" s="353"/>
      <c r="C341" s="353"/>
      <c r="D341" s="353"/>
      <c r="E341" s="353"/>
      <c r="F341" s="353"/>
      <c r="G341" s="353"/>
      <c r="H341" s="353"/>
      <c r="I341" s="353"/>
      <c r="J341" s="353"/>
      <c r="K341" s="353"/>
      <c r="L341" s="353"/>
      <c r="M341" s="353"/>
      <c r="N341" s="353"/>
      <c r="O341" s="353"/>
      <c r="P341" s="353"/>
      <c r="Q341" s="353"/>
      <c r="R341" s="353"/>
      <c r="S341" s="353"/>
      <c r="T341" s="353"/>
      <c r="U341" s="353"/>
      <c r="V341" s="353"/>
      <c r="W341" s="353"/>
      <c r="X341" s="353"/>
      <c r="Y341" s="353"/>
      <c r="Z341" s="353"/>
    </row>
    <row r="342" ht="12.0" customHeight="1">
      <c r="A342" s="353"/>
      <c r="B342" s="353"/>
      <c r="C342" s="353"/>
      <c r="D342" s="353"/>
      <c r="E342" s="353"/>
      <c r="F342" s="353"/>
      <c r="G342" s="353"/>
      <c r="H342" s="353"/>
      <c r="I342" s="353"/>
      <c r="J342" s="353"/>
      <c r="K342" s="353"/>
      <c r="L342" s="353"/>
      <c r="M342" s="353"/>
      <c r="N342" s="353"/>
      <c r="O342" s="353"/>
      <c r="P342" s="353"/>
      <c r="Q342" s="353"/>
      <c r="R342" s="353"/>
      <c r="S342" s="353"/>
      <c r="T342" s="353"/>
      <c r="U342" s="353"/>
      <c r="V342" s="353"/>
      <c r="W342" s="353"/>
      <c r="X342" s="353"/>
      <c r="Y342" s="353"/>
      <c r="Z342" s="353"/>
    </row>
    <row r="343" ht="12.0" customHeight="1">
      <c r="A343" s="353"/>
      <c r="B343" s="353"/>
      <c r="C343" s="353"/>
      <c r="D343" s="353"/>
      <c r="E343" s="353"/>
      <c r="F343" s="353"/>
      <c r="G343" s="353"/>
      <c r="H343" s="353"/>
      <c r="I343" s="353"/>
      <c r="J343" s="353"/>
      <c r="K343" s="353"/>
      <c r="L343" s="353"/>
      <c r="M343" s="353"/>
      <c r="N343" s="353"/>
      <c r="O343" s="353"/>
      <c r="P343" s="353"/>
      <c r="Q343" s="353"/>
      <c r="R343" s="353"/>
      <c r="S343" s="353"/>
      <c r="T343" s="353"/>
      <c r="U343" s="353"/>
      <c r="V343" s="353"/>
      <c r="W343" s="353"/>
      <c r="X343" s="353"/>
      <c r="Y343" s="353"/>
      <c r="Z343" s="353"/>
    </row>
    <row r="344" ht="12.0" customHeight="1">
      <c r="A344" s="353"/>
      <c r="B344" s="353"/>
      <c r="C344" s="353"/>
      <c r="D344" s="353"/>
      <c r="E344" s="353"/>
      <c r="F344" s="353"/>
      <c r="G344" s="353"/>
      <c r="H344" s="353"/>
      <c r="I344" s="353"/>
      <c r="J344" s="353"/>
      <c r="K344" s="353"/>
      <c r="L344" s="353"/>
      <c r="M344" s="353"/>
      <c r="N344" s="353"/>
      <c r="O344" s="353"/>
      <c r="P344" s="353"/>
      <c r="Q344" s="353"/>
      <c r="R344" s="353"/>
      <c r="S344" s="353"/>
      <c r="T344" s="353"/>
      <c r="U344" s="353"/>
      <c r="V344" s="353"/>
      <c r="W344" s="353"/>
      <c r="X344" s="353"/>
      <c r="Y344" s="353"/>
      <c r="Z344" s="353"/>
    </row>
    <row r="345" ht="12.0" customHeight="1">
      <c r="A345" s="353"/>
      <c r="B345" s="353"/>
      <c r="C345" s="353"/>
      <c r="D345" s="353"/>
      <c r="E345" s="353"/>
      <c r="F345" s="353"/>
      <c r="G345" s="353"/>
      <c r="H345" s="353"/>
      <c r="I345" s="353"/>
      <c r="J345" s="353"/>
      <c r="K345" s="353"/>
      <c r="L345" s="353"/>
      <c r="M345" s="353"/>
      <c r="N345" s="353"/>
      <c r="O345" s="353"/>
      <c r="P345" s="353"/>
      <c r="Q345" s="353"/>
      <c r="R345" s="353"/>
      <c r="S345" s="353"/>
      <c r="T345" s="353"/>
      <c r="U345" s="353"/>
      <c r="V345" s="353"/>
      <c r="W345" s="353"/>
      <c r="X345" s="353"/>
      <c r="Y345" s="353"/>
      <c r="Z345" s="353"/>
    </row>
    <row r="346" ht="12.0" customHeight="1">
      <c r="A346" s="353"/>
      <c r="B346" s="353"/>
      <c r="C346" s="353"/>
      <c r="D346" s="353"/>
      <c r="E346" s="353"/>
      <c r="F346" s="353"/>
      <c r="G346" s="353"/>
      <c r="H346" s="353"/>
      <c r="I346" s="353"/>
      <c r="J346" s="353"/>
      <c r="K346" s="353"/>
      <c r="L346" s="353"/>
      <c r="M346" s="353"/>
      <c r="N346" s="353"/>
      <c r="O346" s="353"/>
      <c r="P346" s="353"/>
      <c r="Q346" s="353"/>
      <c r="R346" s="353"/>
      <c r="S346" s="353"/>
      <c r="T346" s="353"/>
      <c r="U346" s="353"/>
      <c r="V346" s="353"/>
      <c r="W346" s="353"/>
      <c r="X346" s="353"/>
      <c r="Y346" s="353"/>
      <c r="Z346" s="353"/>
    </row>
    <row r="347" ht="12.0" customHeight="1">
      <c r="A347" s="353"/>
      <c r="B347" s="353"/>
      <c r="C347" s="353"/>
      <c r="D347" s="353"/>
      <c r="E347" s="353"/>
      <c r="F347" s="353"/>
      <c r="G347" s="353"/>
      <c r="H347" s="353"/>
      <c r="I347" s="353"/>
      <c r="J347" s="353"/>
      <c r="K347" s="353"/>
      <c r="L347" s="353"/>
      <c r="M347" s="353"/>
      <c r="N347" s="353"/>
      <c r="O347" s="353"/>
      <c r="P347" s="353"/>
      <c r="Q347" s="353"/>
      <c r="R347" s="353"/>
      <c r="S347" s="353"/>
      <c r="T347" s="353"/>
      <c r="U347" s="353"/>
      <c r="V347" s="353"/>
      <c r="W347" s="353"/>
      <c r="X347" s="353"/>
      <c r="Y347" s="353"/>
      <c r="Z347" s="353"/>
    </row>
    <row r="348" ht="12.0" customHeight="1">
      <c r="A348" s="353"/>
      <c r="B348" s="353"/>
      <c r="C348" s="353"/>
      <c r="D348" s="353"/>
      <c r="E348" s="353"/>
      <c r="F348" s="353"/>
      <c r="G348" s="353"/>
      <c r="H348" s="353"/>
      <c r="I348" s="353"/>
      <c r="J348" s="353"/>
      <c r="K348" s="353"/>
      <c r="L348" s="353"/>
      <c r="M348" s="353"/>
      <c r="N348" s="353"/>
      <c r="O348" s="353"/>
      <c r="P348" s="353"/>
      <c r="Q348" s="353"/>
      <c r="R348" s="353"/>
      <c r="S348" s="353"/>
      <c r="T348" s="353"/>
      <c r="U348" s="353"/>
      <c r="V348" s="353"/>
      <c r="W348" s="353"/>
      <c r="X348" s="353"/>
      <c r="Y348" s="353"/>
      <c r="Z348" s="353"/>
    </row>
    <row r="349" ht="12.0" customHeight="1">
      <c r="A349" s="353"/>
      <c r="B349" s="353"/>
      <c r="C349" s="353"/>
      <c r="D349" s="353"/>
      <c r="E349" s="353"/>
      <c r="F349" s="353"/>
      <c r="G349" s="353"/>
      <c r="H349" s="353"/>
      <c r="I349" s="353"/>
      <c r="J349" s="353"/>
      <c r="K349" s="353"/>
      <c r="L349" s="353"/>
      <c r="M349" s="353"/>
      <c r="N349" s="353"/>
      <c r="O349" s="353"/>
      <c r="P349" s="353"/>
      <c r="Q349" s="353"/>
      <c r="R349" s="353"/>
      <c r="S349" s="353"/>
      <c r="T349" s="353"/>
      <c r="U349" s="353"/>
      <c r="V349" s="353"/>
      <c r="W349" s="353"/>
      <c r="X349" s="353"/>
      <c r="Y349" s="353"/>
      <c r="Z349" s="353"/>
    </row>
    <row r="350" ht="12.0" customHeight="1">
      <c r="A350" s="353"/>
      <c r="B350" s="353"/>
      <c r="C350" s="353"/>
      <c r="D350" s="353"/>
      <c r="E350" s="353"/>
      <c r="F350" s="353"/>
      <c r="G350" s="353"/>
      <c r="H350" s="353"/>
      <c r="I350" s="353"/>
      <c r="J350" s="353"/>
      <c r="K350" s="353"/>
      <c r="L350" s="353"/>
      <c r="M350" s="353"/>
      <c r="N350" s="353"/>
      <c r="O350" s="353"/>
      <c r="P350" s="353"/>
      <c r="Q350" s="353"/>
      <c r="R350" s="353"/>
      <c r="S350" s="353"/>
      <c r="T350" s="353"/>
      <c r="U350" s="353"/>
      <c r="V350" s="353"/>
      <c r="W350" s="353"/>
      <c r="X350" s="353"/>
      <c r="Y350" s="353"/>
      <c r="Z350" s="353"/>
    </row>
    <row r="351" ht="12.0" customHeight="1">
      <c r="A351" s="353"/>
      <c r="B351" s="353"/>
      <c r="C351" s="353"/>
      <c r="D351" s="353"/>
      <c r="E351" s="353"/>
      <c r="F351" s="353"/>
      <c r="G351" s="353"/>
      <c r="H351" s="353"/>
      <c r="I351" s="353"/>
      <c r="J351" s="353"/>
      <c r="K351" s="353"/>
      <c r="L351" s="353"/>
      <c r="M351" s="353"/>
      <c r="N351" s="353"/>
      <c r="O351" s="353"/>
      <c r="P351" s="353"/>
      <c r="Q351" s="353"/>
      <c r="R351" s="353"/>
      <c r="S351" s="353"/>
      <c r="T351" s="353"/>
      <c r="U351" s="353"/>
      <c r="V351" s="353"/>
      <c r="W351" s="353"/>
      <c r="X351" s="353"/>
      <c r="Y351" s="353"/>
      <c r="Z351" s="353"/>
    </row>
    <row r="352" ht="12.0" customHeight="1">
      <c r="A352" s="353"/>
      <c r="B352" s="353"/>
      <c r="C352" s="353"/>
      <c r="D352" s="353"/>
      <c r="E352" s="353"/>
      <c r="F352" s="353"/>
      <c r="G352" s="353"/>
      <c r="H352" s="353"/>
      <c r="I352" s="353"/>
      <c r="J352" s="353"/>
      <c r="K352" s="353"/>
      <c r="L352" s="353"/>
      <c r="M352" s="353"/>
      <c r="N352" s="353"/>
      <c r="O352" s="353"/>
      <c r="P352" s="353"/>
      <c r="Q352" s="353"/>
      <c r="R352" s="353"/>
      <c r="S352" s="353"/>
      <c r="T352" s="353"/>
      <c r="U352" s="353"/>
      <c r="V352" s="353"/>
      <c r="W352" s="353"/>
      <c r="X352" s="353"/>
      <c r="Y352" s="353"/>
      <c r="Z352" s="353"/>
    </row>
    <row r="353" ht="12.0" customHeight="1">
      <c r="A353" s="353"/>
      <c r="B353" s="353"/>
      <c r="C353" s="353"/>
      <c r="D353" s="353"/>
      <c r="E353" s="353"/>
      <c r="F353" s="353"/>
      <c r="G353" s="353"/>
      <c r="H353" s="353"/>
      <c r="I353" s="353"/>
      <c r="J353" s="353"/>
      <c r="K353" s="353"/>
      <c r="L353" s="353"/>
      <c r="M353" s="353"/>
      <c r="N353" s="353"/>
      <c r="O353" s="353"/>
      <c r="P353" s="353"/>
      <c r="Q353" s="353"/>
      <c r="R353" s="353"/>
      <c r="S353" s="353"/>
      <c r="T353" s="353"/>
      <c r="U353" s="353"/>
      <c r="V353" s="353"/>
      <c r="W353" s="353"/>
      <c r="X353" s="353"/>
      <c r="Y353" s="353"/>
      <c r="Z353" s="353"/>
    </row>
    <row r="354" ht="12.0" customHeight="1">
      <c r="A354" s="353"/>
      <c r="B354" s="353"/>
      <c r="C354" s="353"/>
      <c r="D354" s="353"/>
      <c r="E354" s="353"/>
      <c r="F354" s="353"/>
      <c r="G354" s="353"/>
      <c r="H354" s="353"/>
      <c r="I354" s="353"/>
      <c r="J354" s="353"/>
      <c r="K354" s="353"/>
      <c r="L354" s="353"/>
      <c r="M354" s="353"/>
      <c r="N354" s="353"/>
      <c r="O354" s="353"/>
      <c r="P354" s="353"/>
      <c r="Q354" s="353"/>
      <c r="R354" s="353"/>
      <c r="S354" s="353"/>
      <c r="T354" s="353"/>
      <c r="U354" s="353"/>
      <c r="V354" s="353"/>
      <c r="W354" s="353"/>
      <c r="X354" s="353"/>
      <c r="Y354" s="353"/>
      <c r="Z354" s="353"/>
    </row>
    <row r="355" ht="12.0" customHeight="1">
      <c r="A355" s="353"/>
      <c r="B355" s="353"/>
      <c r="C355" s="353"/>
      <c r="D355" s="353"/>
      <c r="E355" s="353"/>
      <c r="F355" s="353"/>
      <c r="G355" s="353"/>
      <c r="H355" s="353"/>
      <c r="I355" s="353"/>
      <c r="J355" s="353"/>
      <c r="K355" s="353"/>
      <c r="L355" s="353"/>
      <c r="M355" s="353"/>
      <c r="N355" s="353"/>
      <c r="O355" s="353"/>
      <c r="P355" s="353"/>
      <c r="Q355" s="353"/>
      <c r="R355" s="353"/>
      <c r="S355" s="353"/>
      <c r="T355" s="353"/>
      <c r="U355" s="353"/>
      <c r="V355" s="353"/>
      <c r="W355" s="353"/>
      <c r="X355" s="353"/>
      <c r="Y355" s="353"/>
      <c r="Z355" s="353"/>
    </row>
    <row r="356" ht="12.0" customHeight="1">
      <c r="A356" s="353"/>
      <c r="B356" s="353"/>
      <c r="C356" s="353"/>
      <c r="D356" s="353"/>
      <c r="E356" s="353"/>
      <c r="F356" s="353"/>
      <c r="G356" s="353"/>
      <c r="H356" s="353"/>
      <c r="I356" s="353"/>
      <c r="J356" s="353"/>
      <c r="K356" s="353"/>
      <c r="L356" s="353"/>
      <c r="M356" s="353"/>
      <c r="N356" s="353"/>
      <c r="O356" s="353"/>
      <c r="P356" s="353"/>
      <c r="Q356" s="353"/>
      <c r="R356" s="353"/>
      <c r="S356" s="353"/>
      <c r="T356" s="353"/>
      <c r="U356" s="353"/>
      <c r="V356" s="353"/>
      <c r="W356" s="353"/>
      <c r="X356" s="353"/>
      <c r="Y356" s="353"/>
      <c r="Z356" s="353"/>
    </row>
    <row r="357" ht="12.0" customHeight="1">
      <c r="A357" s="353"/>
      <c r="B357" s="353"/>
      <c r="C357" s="353"/>
      <c r="D357" s="353"/>
      <c r="E357" s="353"/>
      <c r="F357" s="353"/>
      <c r="G357" s="353"/>
      <c r="H357" s="353"/>
      <c r="I357" s="353"/>
      <c r="J357" s="353"/>
      <c r="K357" s="353"/>
      <c r="L357" s="353"/>
      <c r="M357" s="353"/>
      <c r="N357" s="353"/>
      <c r="O357" s="353"/>
      <c r="P357" s="353"/>
      <c r="Q357" s="353"/>
      <c r="R357" s="353"/>
      <c r="S357" s="353"/>
      <c r="T357" s="353"/>
      <c r="U357" s="353"/>
      <c r="V357" s="353"/>
      <c r="W357" s="353"/>
      <c r="X357" s="353"/>
      <c r="Y357" s="353"/>
      <c r="Z357" s="353"/>
    </row>
    <row r="358" ht="12.0" customHeight="1">
      <c r="A358" s="353"/>
      <c r="B358" s="353"/>
      <c r="C358" s="353"/>
      <c r="D358" s="353"/>
      <c r="E358" s="353"/>
      <c r="F358" s="353"/>
      <c r="G358" s="353"/>
      <c r="H358" s="353"/>
      <c r="I358" s="353"/>
      <c r="J358" s="353"/>
      <c r="K358" s="353"/>
      <c r="L358" s="353"/>
      <c r="M358" s="353"/>
      <c r="N358" s="353"/>
      <c r="O358" s="353"/>
      <c r="P358" s="353"/>
      <c r="Q358" s="353"/>
      <c r="R358" s="353"/>
      <c r="S358" s="353"/>
      <c r="T358" s="353"/>
      <c r="U358" s="353"/>
      <c r="V358" s="353"/>
      <c r="W358" s="353"/>
      <c r="X358" s="353"/>
      <c r="Y358" s="353"/>
      <c r="Z358" s="353"/>
    </row>
    <row r="359" ht="12.0" customHeight="1">
      <c r="A359" s="353"/>
      <c r="B359" s="353"/>
      <c r="C359" s="353"/>
      <c r="D359" s="353"/>
      <c r="E359" s="353"/>
      <c r="F359" s="353"/>
      <c r="G359" s="353"/>
      <c r="H359" s="353"/>
      <c r="I359" s="353"/>
      <c r="J359" s="353"/>
      <c r="K359" s="353"/>
      <c r="L359" s="353"/>
      <c r="M359" s="353"/>
      <c r="N359" s="353"/>
      <c r="O359" s="353"/>
      <c r="P359" s="353"/>
      <c r="Q359" s="353"/>
      <c r="R359" s="353"/>
      <c r="S359" s="353"/>
      <c r="T359" s="353"/>
      <c r="U359" s="353"/>
      <c r="V359" s="353"/>
      <c r="W359" s="353"/>
      <c r="X359" s="353"/>
      <c r="Y359" s="353"/>
      <c r="Z359" s="353"/>
    </row>
    <row r="360" ht="12.0" customHeight="1">
      <c r="A360" s="353"/>
      <c r="B360" s="353"/>
      <c r="C360" s="353"/>
      <c r="D360" s="353"/>
      <c r="E360" s="353"/>
      <c r="F360" s="353"/>
      <c r="G360" s="353"/>
      <c r="H360" s="353"/>
      <c r="I360" s="353"/>
      <c r="J360" s="353"/>
      <c r="K360" s="353"/>
      <c r="L360" s="353"/>
      <c r="M360" s="353"/>
      <c r="N360" s="353"/>
      <c r="O360" s="353"/>
      <c r="P360" s="353"/>
      <c r="Q360" s="353"/>
      <c r="R360" s="353"/>
      <c r="S360" s="353"/>
      <c r="T360" s="353"/>
      <c r="U360" s="353"/>
      <c r="V360" s="353"/>
      <c r="W360" s="353"/>
      <c r="X360" s="353"/>
      <c r="Y360" s="353"/>
      <c r="Z360" s="353"/>
    </row>
    <row r="361" ht="12.0" customHeight="1">
      <c r="A361" s="353"/>
      <c r="B361" s="353"/>
      <c r="C361" s="353"/>
      <c r="D361" s="353"/>
      <c r="E361" s="353"/>
      <c r="F361" s="353"/>
      <c r="G361" s="353"/>
      <c r="H361" s="353"/>
      <c r="I361" s="353"/>
      <c r="J361" s="353"/>
      <c r="K361" s="353"/>
      <c r="L361" s="353"/>
      <c r="M361" s="353"/>
      <c r="N361" s="353"/>
      <c r="O361" s="353"/>
      <c r="P361" s="353"/>
      <c r="Q361" s="353"/>
      <c r="R361" s="353"/>
      <c r="S361" s="353"/>
      <c r="T361" s="353"/>
      <c r="U361" s="353"/>
      <c r="V361" s="353"/>
      <c r="W361" s="353"/>
      <c r="X361" s="353"/>
      <c r="Y361" s="353"/>
      <c r="Z361" s="353"/>
    </row>
    <row r="362" ht="12.0" customHeight="1">
      <c r="A362" s="353"/>
      <c r="B362" s="353"/>
      <c r="C362" s="353"/>
      <c r="D362" s="353"/>
      <c r="E362" s="353"/>
      <c r="F362" s="353"/>
      <c r="G362" s="353"/>
      <c r="H362" s="353"/>
      <c r="I362" s="353"/>
      <c r="J362" s="353"/>
      <c r="K362" s="353"/>
      <c r="L362" s="353"/>
      <c r="M362" s="353"/>
      <c r="N362" s="353"/>
      <c r="O362" s="353"/>
      <c r="P362" s="353"/>
      <c r="Q362" s="353"/>
      <c r="R362" s="353"/>
      <c r="S362" s="353"/>
      <c r="T362" s="353"/>
      <c r="U362" s="353"/>
      <c r="V362" s="353"/>
      <c r="W362" s="353"/>
      <c r="X362" s="353"/>
      <c r="Y362" s="353"/>
      <c r="Z362" s="353"/>
    </row>
    <row r="363" ht="12.0" customHeight="1">
      <c r="A363" s="353"/>
      <c r="B363" s="353"/>
      <c r="C363" s="353"/>
      <c r="D363" s="353"/>
      <c r="E363" s="353"/>
      <c r="F363" s="353"/>
      <c r="G363" s="353"/>
      <c r="H363" s="353"/>
      <c r="I363" s="353"/>
      <c r="J363" s="353"/>
      <c r="K363" s="353"/>
      <c r="L363" s="353"/>
      <c r="M363" s="353"/>
      <c r="N363" s="353"/>
      <c r="O363" s="353"/>
      <c r="P363" s="353"/>
      <c r="Q363" s="353"/>
      <c r="R363" s="353"/>
      <c r="S363" s="353"/>
      <c r="T363" s="353"/>
      <c r="U363" s="353"/>
      <c r="V363" s="353"/>
      <c r="W363" s="353"/>
      <c r="X363" s="353"/>
      <c r="Y363" s="353"/>
      <c r="Z363" s="353"/>
    </row>
    <row r="364" ht="12.0" customHeight="1">
      <c r="A364" s="353"/>
      <c r="B364" s="353"/>
      <c r="C364" s="353"/>
      <c r="D364" s="353"/>
      <c r="E364" s="353"/>
      <c r="F364" s="353"/>
      <c r="G364" s="353"/>
      <c r="H364" s="353"/>
      <c r="I364" s="353"/>
      <c r="J364" s="353"/>
      <c r="K364" s="353"/>
      <c r="L364" s="353"/>
      <c r="M364" s="353"/>
      <c r="N364" s="353"/>
      <c r="O364" s="353"/>
      <c r="P364" s="353"/>
      <c r="Q364" s="353"/>
      <c r="R364" s="353"/>
      <c r="S364" s="353"/>
      <c r="T364" s="353"/>
      <c r="U364" s="353"/>
      <c r="V364" s="353"/>
      <c r="W364" s="353"/>
      <c r="X364" s="353"/>
      <c r="Y364" s="353"/>
      <c r="Z364" s="353"/>
    </row>
    <row r="365" ht="12.0" customHeight="1">
      <c r="A365" s="353"/>
      <c r="B365" s="353"/>
      <c r="C365" s="353"/>
      <c r="D365" s="353"/>
      <c r="E365" s="353"/>
      <c r="F365" s="353"/>
      <c r="G365" s="353"/>
      <c r="H365" s="353"/>
      <c r="I365" s="353"/>
      <c r="J365" s="353"/>
      <c r="K365" s="353"/>
      <c r="L365" s="353"/>
      <c r="M365" s="353"/>
      <c r="N365" s="353"/>
      <c r="O365" s="353"/>
      <c r="P365" s="353"/>
      <c r="Q365" s="353"/>
      <c r="R365" s="353"/>
      <c r="S365" s="353"/>
      <c r="T365" s="353"/>
      <c r="U365" s="353"/>
      <c r="V365" s="353"/>
      <c r="W365" s="353"/>
      <c r="X365" s="353"/>
      <c r="Y365" s="353"/>
      <c r="Z365" s="353"/>
    </row>
    <row r="366" ht="12.0" customHeight="1">
      <c r="A366" s="353"/>
      <c r="B366" s="353"/>
      <c r="C366" s="353"/>
      <c r="D366" s="353"/>
      <c r="E366" s="353"/>
      <c r="F366" s="353"/>
      <c r="G366" s="353"/>
      <c r="H366" s="353"/>
      <c r="I366" s="353"/>
      <c r="J366" s="353"/>
      <c r="K366" s="353"/>
      <c r="L366" s="353"/>
      <c r="M366" s="353"/>
      <c r="N366" s="353"/>
      <c r="O366" s="353"/>
      <c r="P366" s="353"/>
      <c r="Q366" s="353"/>
      <c r="R366" s="353"/>
      <c r="S366" s="353"/>
      <c r="T366" s="353"/>
      <c r="U366" s="353"/>
      <c r="V366" s="353"/>
      <c r="W366" s="353"/>
      <c r="X366" s="353"/>
      <c r="Y366" s="353"/>
      <c r="Z366" s="353"/>
    </row>
    <row r="367" ht="12.0" customHeight="1">
      <c r="A367" s="353"/>
      <c r="B367" s="353"/>
      <c r="C367" s="353"/>
      <c r="D367" s="353"/>
      <c r="E367" s="353"/>
      <c r="F367" s="353"/>
      <c r="G367" s="353"/>
      <c r="H367" s="353"/>
      <c r="I367" s="353"/>
      <c r="J367" s="353"/>
      <c r="K367" s="353"/>
      <c r="L367" s="353"/>
      <c r="M367" s="353"/>
      <c r="N367" s="353"/>
      <c r="O367" s="353"/>
      <c r="P367" s="353"/>
      <c r="Q367" s="353"/>
      <c r="R367" s="353"/>
      <c r="S367" s="353"/>
      <c r="T367" s="353"/>
      <c r="U367" s="353"/>
      <c r="V367" s="353"/>
      <c r="W367" s="353"/>
      <c r="X367" s="353"/>
      <c r="Y367" s="353"/>
      <c r="Z367" s="353"/>
    </row>
    <row r="368" ht="12.0" customHeight="1">
      <c r="A368" s="353"/>
      <c r="B368" s="353"/>
      <c r="C368" s="353"/>
      <c r="D368" s="353"/>
      <c r="E368" s="353"/>
      <c r="F368" s="353"/>
      <c r="G368" s="353"/>
      <c r="H368" s="353"/>
      <c r="I368" s="353"/>
      <c r="J368" s="353"/>
      <c r="K368" s="353"/>
      <c r="L368" s="353"/>
      <c r="M368" s="353"/>
      <c r="N368" s="353"/>
      <c r="O368" s="353"/>
      <c r="P368" s="353"/>
      <c r="Q368" s="353"/>
      <c r="R368" s="353"/>
      <c r="S368" s="353"/>
      <c r="T368" s="353"/>
      <c r="U368" s="353"/>
      <c r="V368" s="353"/>
      <c r="W368" s="353"/>
      <c r="X368" s="353"/>
      <c r="Y368" s="353"/>
      <c r="Z368" s="353"/>
    </row>
    <row r="369" ht="12.0" customHeight="1">
      <c r="A369" s="353"/>
      <c r="B369" s="353"/>
      <c r="C369" s="353"/>
      <c r="D369" s="353"/>
      <c r="E369" s="353"/>
      <c r="F369" s="353"/>
      <c r="G369" s="353"/>
      <c r="H369" s="353"/>
      <c r="I369" s="353"/>
      <c r="J369" s="353"/>
      <c r="K369" s="353"/>
      <c r="L369" s="353"/>
      <c r="M369" s="353"/>
      <c r="N369" s="353"/>
      <c r="O369" s="353"/>
      <c r="P369" s="353"/>
      <c r="Q369" s="353"/>
      <c r="R369" s="353"/>
      <c r="S369" s="353"/>
      <c r="T369" s="353"/>
      <c r="U369" s="353"/>
      <c r="V369" s="353"/>
      <c r="W369" s="353"/>
      <c r="X369" s="353"/>
      <c r="Y369" s="353"/>
      <c r="Z369" s="353"/>
    </row>
    <row r="370" ht="12.0" customHeight="1">
      <c r="A370" s="353"/>
      <c r="B370" s="353"/>
      <c r="C370" s="353"/>
      <c r="D370" s="353"/>
      <c r="E370" s="353"/>
      <c r="F370" s="353"/>
      <c r="G370" s="353"/>
      <c r="H370" s="353"/>
      <c r="I370" s="353"/>
      <c r="J370" s="353"/>
      <c r="K370" s="353"/>
      <c r="L370" s="353"/>
      <c r="M370" s="353"/>
      <c r="N370" s="353"/>
      <c r="O370" s="353"/>
      <c r="P370" s="353"/>
      <c r="Q370" s="353"/>
      <c r="R370" s="353"/>
      <c r="S370" s="353"/>
      <c r="T370" s="353"/>
      <c r="U370" s="353"/>
      <c r="V370" s="353"/>
      <c r="W370" s="353"/>
      <c r="X370" s="353"/>
      <c r="Y370" s="353"/>
      <c r="Z370" s="353"/>
    </row>
    <row r="371" ht="12.0" customHeight="1">
      <c r="A371" s="353"/>
      <c r="B371" s="353"/>
      <c r="C371" s="353"/>
      <c r="D371" s="353"/>
      <c r="E371" s="353"/>
      <c r="F371" s="353"/>
      <c r="G371" s="353"/>
      <c r="H371" s="353"/>
      <c r="I371" s="353"/>
      <c r="J371" s="353"/>
      <c r="K371" s="353"/>
      <c r="L371" s="353"/>
      <c r="M371" s="353"/>
      <c r="N371" s="353"/>
      <c r="O371" s="353"/>
      <c r="P371" s="353"/>
      <c r="Q371" s="353"/>
      <c r="R371" s="353"/>
      <c r="S371" s="353"/>
      <c r="T371" s="353"/>
      <c r="U371" s="353"/>
      <c r="V371" s="353"/>
      <c r="W371" s="353"/>
      <c r="X371" s="353"/>
      <c r="Y371" s="353"/>
      <c r="Z371" s="353"/>
    </row>
    <row r="372" ht="12.0" customHeight="1">
      <c r="A372" s="353"/>
      <c r="B372" s="353"/>
      <c r="C372" s="353"/>
      <c r="D372" s="353"/>
      <c r="E372" s="353"/>
      <c r="F372" s="353"/>
      <c r="G372" s="353"/>
      <c r="H372" s="353"/>
      <c r="I372" s="353"/>
      <c r="J372" s="353"/>
      <c r="K372" s="353"/>
      <c r="L372" s="353"/>
      <c r="M372" s="353"/>
      <c r="N372" s="353"/>
      <c r="O372" s="353"/>
      <c r="P372" s="353"/>
      <c r="Q372" s="353"/>
      <c r="R372" s="353"/>
      <c r="S372" s="353"/>
      <c r="T372" s="353"/>
      <c r="U372" s="353"/>
      <c r="V372" s="353"/>
      <c r="W372" s="353"/>
      <c r="X372" s="353"/>
      <c r="Y372" s="353"/>
      <c r="Z372" s="353"/>
    </row>
    <row r="373" ht="12.0" customHeight="1">
      <c r="A373" s="353"/>
      <c r="B373" s="353"/>
      <c r="C373" s="353"/>
      <c r="D373" s="353"/>
      <c r="E373" s="353"/>
      <c r="F373" s="353"/>
      <c r="G373" s="353"/>
      <c r="H373" s="353"/>
      <c r="I373" s="353"/>
      <c r="J373" s="353"/>
      <c r="K373" s="353"/>
      <c r="L373" s="353"/>
      <c r="M373" s="353"/>
      <c r="N373" s="353"/>
      <c r="O373" s="353"/>
      <c r="P373" s="353"/>
      <c r="Q373" s="353"/>
      <c r="R373" s="353"/>
      <c r="S373" s="353"/>
      <c r="T373" s="353"/>
      <c r="U373" s="353"/>
      <c r="V373" s="353"/>
      <c r="W373" s="353"/>
      <c r="X373" s="353"/>
      <c r="Y373" s="353"/>
      <c r="Z373" s="353"/>
    </row>
    <row r="374" ht="12.0" customHeight="1">
      <c r="A374" s="353"/>
      <c r="B374" s="353"/>
      <c r="C374" s="353"/>
      <c r="D374" s="353"/>
      <c r="E374" s="353"/>
      <c r="F374" s="353"/>
      <c r="G374" s="353"/>
      <c r="H374" s="353"/>
      <c r="I374" s="353"/>
      <c r="J374" s="353"/>
      <c r="K374" s="353"/>
      <c r="L374" s="353"/>
      <c r="M374" s="353"/>
      <c r="N374" s="353"/>
      <c r="O374" s="353"/>
      <c r="P374" s="353"/>
      <c r="Q374" s="353"/>
      <c r="R374" s="353"/>
      <c r="S374" s="353"/>
      <c r="T374" s="353"/>
      <c r="U374" s="353"/>
      <c r="V374" s="353"/>
      <c r="W374" s="353"/>
      <c r="X374" s="353"/>
      <c r="Y374" s="353"/>
      <c r="Z374" s="353"/>
    </row>
    <row r="375" ht="12.0" customHeight="1">
      <c r="A375" s="353"/>
      <c r="B375" s="353"/>
      <c r="C375" s="353"/>
      <c r="D375" s="353"/>
      <c r="E375" s="353"/>
      <c r="F375" s="353"/>
      <c r="G375" s="353"/>
      <c r="H375" s="353"/>
      <c r="I375" s="353"/>
      <c r="J375" s="353"/>
      <c r="K375" s="353"/>
      <c r="L375" s="353"/>
      <c r="M375" s="353"/>
      <c r="N375" s="353"/>
      <c r="O375" s="353"/>
      <c r="P375" s="353"/>
      <c r="Q375" s="353"/>
      <c r="R375" s="353"/>
      <c r="S375" s="353"/>
      <c r="T375" s="353"/>
      <c r="U375" s="353"/>
      <c r="V375" s="353"/>
      <c r="W375" s="353"/>
      <c r="X375" s="353"/>
      <c r="Y375" s="353"/>
      <c r="Z375" s="353"/>
    </row>
    <row r="376" ht="12.0" customHeight="1">
      <c r="A376" s="353"/>
      <c r="B376" s="353"/>
      <c r="C376" s="353"/>
      <c r="D376" s="353"/>
      <c r="E376" s="353"/>
      <c r="F376" s="353"/>
      <c r="G376" s="353"/>
      <c r="H376" s="353"/>
      <c r="I376" s="353"/>
      <c r="J376" s="353"/>
      <c r="K376" s="353"/>
      <c r="L376" s="353"/>
      <c r="M376" s="353"/>
      <c r="N376" s="353"/>
      <c r="O376" s="353"/>
      <c r="P376" s="353"/>
      <c r="Q376" s="353"/>
      <c r="R376" s="353"/>
      <c r="S376" s="353"/>
      <c r="T376" s="353"/>
      <c r="U376" s="353"/>
      <c r="V376" s="353"/>
      <c r="W376" s="353"/>
      <c r="X376" s="353"/>
      <c r="Y376" s="353"/>
      <c r="Z376" s="353"/>
    </row>
    <row r="377" ht="12.0" customHeight="1">
      <c r="A377" s="353"/>
      <c r="B377" s="353"/>
      <c r="C377" s="353"/>
      <c r="D377" s="353"/>
      <c r="E377" s="353"/>
      <c r="F377" s="353"/>
      <c r="G377" s="353"/>
      <c r="H377" s="353"/>
      <c r="I377" s="353"/>
      <c r="J377" s="353"/>
      <c r="K377" s="353"/>
      <c r="L377" s="353"/>
      <c r="M377" s="353"/>
      <c r="N377" s="353"/>
      <c r="O377" s="353"/>
      <c r="P377" s="353"/>
      <c r="Q377" s="353"/>
      <c r="R377" s="353"/>
      <c r="S377" s="353"/>
      <c r="T377" s="353"/>
      <c r="U377" s="353"/>
      <c r="V377" s="353"/>
      <c r="W377" s="353"/>
      <c r="X377" s="353"/>
      <c r="Y377" s="353"/>
      <c r="Z377" s="353"/>
    </row>
    <row r="378" ht="12.0" customHeight="1">
      <c r="A378" s="353"/>
      <c r="B378" s="353"/>
      <c r="C378" s="353"/>
      <c r="D378" s="353"/>
      <c r="E378" s="353"/>
      <c r="F378" s="353"/>
      <c r="G378" s="353"/>
      <c r="H378" s="353"/>
      <c r="I378" s="353"/>
      <c r="J378" s="353"/>
      <c r="K378" s="353"/>
      <c r="L378" s="353"/>
      <c r="M378" s="353"/>
      <c r="N378" s="353"/>
      <c r="O378" s="353"/>
      <c r="P378" s="353"/>
      <c r="Q378" s="353"/>
      <c r="R378" s="353"/>
      <c r="S378" s="353"/>
      <c r="T378" s="353"/>
      <c r="U378" s="353"/>
      <c r="V378" s="353"/>
      <c r="W378" s="353"/>
      <c r="X378" s="353"/>
      <c r="Y378" s="353"/>
      <c r="Z378" s="353"/>
    </row>
    <row r="379" ht="12.0" customHeight="1">
      <c r="A379" s="353"/>
      <c r="B379" s="353"/>
      <c r="C379" s="353"/>
      <c r="D379" s="353"/>
      <c r="E379" s="353"/>
      <c r="F379" s="353"/>
      <c r="G379" s="353"/>
      <c r="H379" s="353"/>
      <c r="I379" s="353"/>
      <c r="J379" s="353"/>
      <c r="K379" s="353"/>
      <c r="L379" s="353"/>
      <c r="M379" s="353"/>
      <c r="N379" s="353"/>
      <c r="O379" s="353"/>
      <c r="P379" s="353"/>
      <c r="Q379" s="353"/>
      <c r="R379" s="353"/>
      <c r="S379" s="353"/>
      <c r="T379" s="353"/>
      <c r="U379" s="353"/>
      <c r="V379" s="353"/>
      <c r="W379" s="353"/>
      <c r="X379" s="353"/>
      <c r="Y379" s="353"/>
      <c r="Z379" s="353"/>
    </row>
    <row r="380" ht="12.0" customHeight="1">
      <c r="A380" s="353"/>
      <c r="B380" s="353"/>
      <c r="C380" s="353"/>
      <c r="D380" s="353"/>
      <c r="E380" s="353"/>
      <c r="F380" s="353"/>
      <c r="G380" s="353"/>
      <c r="H380" s="353"/>
      <c r="I380" s="353"/>
      <c r="J380" s="353"/>
      <c r="K380" s="353"/>
      <c r="L380" s="353"/>
      <c r="M380" s="353"/>
      <c r="N380" s="353"/>
      <c r="O380" s="353"/>
      <c r="P380" s="353"/>
      <c r="Q380" s="353"/>
      <c r="R380" s="353"/>
      <c r="S380" s="353"/>
      <c r="T380" s="353"/>
      <c r="U380" s="353"/>
      <c r="V380" s="353"/>
      <c r="W380" s="353"/>
      <c r="X380" s="353"/>
      <c r="Y380" s="353"/>
      <c r="Z380" s="353"/>
    </row>
    <row r="381" ht="12.0" customHeight="1">
      <c r="A381" s="353"/>
      <c r="B381" s="353"/>
      <c r="C381" s="353"/>
      <c r="D381" s="353"/>
      <c r="E381" s="353"/>
      <c r="F381" s="353"/>
      <c r="G381" s="353"/>
      <c r="H381" s="353"/>
      <c r="I381" s="353"/>
      <c r="J381" s="353"/>
      <c r="K381" s="353"/>
      <c r="L381" s="353"/>
      <c r="M381" s="353"/>
      <c r="N381" s="353"/>
      <c r="O381" s="353"/>
      <c r="P381" s="353"/>
      <c r="Q381" s="353"/>
      <c r="R381" s="353"/>
      <c r="S381" s="353"/>
      <c r="T381" s="353"/>
      <c r="U381" s="353"/>
      <c r="V381" s="353"/>
      <c r="W381" s="353"/>
      <c r="X381" s="353"/>
      <c r="Y381" s="353"/>
      <c r="Z381" s="353"/>
    </row>
    <row r="382" ht="12.0" customHeight="1">
      <c r="A382" s="353"/>
      <c r="B382" s="353"/>
      <c r="C382" s="353"/>
      <c r="D382" s="353"/>
      <c r="E382" s="353"/>
      <c r="F382" s="353"/>
      <c r="G382" s="353"/>
      <c r="H382" s="353"/>
      <c r="I382" s="353"/>
      <c r="J382" s="353"/>
      <c r="K382" s="353"/>
      <c r="L382" s="353"/>
      <c r="M382" s="353"/>
      <c r="N382" s="353"/>
      <c r="O382" s="353"/>
      <c r="P382" s="353"/>
      <c r="Q382" s="353"/>
      <c r="R382" s="353"/>
      <c r="S382" s="353"/>
      <c r="T382" s="353"/>
      <c r="U382" s="353"/>
      <c r="V382" s="353"/>
      <c r="W382" s="353"/>
      <c r="X382" s="353"/>
      <c r="Y382" s="353"/>
      <c r="Z382" s="353"/>
    </row>
    <row r="383" ht="12.0" customHeight="1">
      <c r="A383" s="353"/>
      <c r="B383" s="353"/>
      <c r="C383" s="353"/>
      <c r="D383" s="353"/>
      <c r="E383" s="353"/>
      <c r="F383" s="353"/>
      <c r="G383" s="353"/>
      <c r="H383" s="353"/>
      <c r="I383" s="353"/>
      <c r="J383" s="353"/>
      <c r="K383" s="353"/>
      <c r="L383" s="353"/>
      <c r="M383" s="353"/>
      <c r="N383" s="353"/>
      <c r="O383" s="353"/>
      <c r="P383" s="353"/>
      <c r="Q383" s="353"/>
      <c r="R383" s="353"/>
      <c r="S383" s="353"/>
      <c r="T383" s="353"/>
      <c r="U383" s="353"/>
      <c r="V383" s="353"/>
      <c r="W383" s="353"/>
      <c r="X383" s="353"/>
      <c r="Y383" s="353"/>
      <c r="Z383" s="353"/>
    </row>
    <row r="384" ht="12.0" customHeight="1">
      <c r="A384" s="353"/>
      <c r="B384" s="353"/>
      <c r="C384" s="353"/>
      <c r="D384" s="353"/>
      <c r="E384" s="353"/>
      <c r="F384" s="353"/>
      <c r="G384" s="353"/>
      <c r="H384" s="353"/>
      <c r="I384" s="353"/>
      <c r="J384" s="353"/>
      <c r="K384" s="353"/>
      <c r="L384" s="353"/>
      <c r="M384" s="353"/>
      <c r="N384" s="353"/>
      <c r="O384" s="353"/>
      <c r="P384" s="353"/>
      <c r="Q384" s="353"/>
      <c r="R384" s="353"/>
      <c r="S384" s="353"/>
      <c r="T384" s="353"/>
      <c r="U384" s="353"/>
      <c r="V384" s="353"/>
      <c r="W384" s="353"/>
      <c r="X384" s="353"/>
      <c r="Y384" s="353"/>
      <c r="Z384" s="353"/>
    </row>
    <row r="385" ht="12.0" customHeight="1">
      <c r="A385" s="353"/>
      <c r="B385" s="353"/>
      <c r="C385" s="353"/>
      <c r="D385" s="353"/>
      <c r="E385" s="353"/>
      <c r="F385" s="353"/>
      <c r="G385" s="353"/>
      <c r="H385" s="353"/>
      <c r="I385" s="353"/>
      <c r="J385" s="353"/>
      <c r="K385" s="353"/>
      <c r="L385" s="353"/>
      <c r="M385" s="353"/>
      <c r="N385" s="353"/>
      <c r="O385" s="353"/>
      <c r="P385" s="353"/>
      <c r="Q385" s="353"/>
      <c r="R385" s="353"/>
      <c r="S385" s="353"/>
      <c r="T385" s="353"/>
      <c r="U385" s="353"/>
      <c r="V385" s="353"/>
      <c r="W385" s="353"/>
      <c r="X385" s="353"/>
      <c r="Y385" s="353"/>
      <c r="Z385" s="353"/>
    </row>
    <row r="386" ht="12.0" customHeight="1">
      <c r="A386" s="353"/>
      <c r="B386" s="353"/>
      <c r="C386" s="353"/>
      <c r="D386" s="353"/>
      <c r="E386" s="353"/>
      <c r="F386" s="353"/>
      <c r="G386" s="353"/>
      <c r="H386" s="353"/>
      <c r="I386" s="353"/>
      <c r="J386" s="353"/>
      <c r="K386" s="353"/>
      <c r="L386" s="353"/>
      <c r="M386" s="353"/>
      <c r="N386" s="353"/>
      <c r="O386" s="353"/>
      <c r="P386" s="353"/>
      <c r="Q386" s="353"/>
      <c r="R386" s="353"/>
      <c r="S386" s="353"/>
      <c r="T386" s="353"/>
      <c r="U386" s="353"/>
      <c r="V386" s="353"/>
      <c r="W386" s="353"/>
      <c r="X386" s="353"/>
      <c r="Y386" s="353"/>
      <c r="Z386" s="353"/>
    </row>
    <row r="387" ht="12.0" customHeight="1">
      <c r="A387" s="353"/>
      <c r="B387" s="353"/>
      <c r="C387" s="353"/>
      <c r="D387" s="353"/>
      <c r="E387" s="353"/>
      <c r="F387" s="353"/>
      <c r="G387" s="353"/>
      <c r="H387" s="353"/>
      <c r="I387" s="353"/>
      <c r="J387" s="353"/>
      <c r="K387" s="353"/>
      <c r="L387" s="353"/>
      <c r="M387" s="353"/>
      <c r="N387" s="353"/>
      <c r="O387" s="353"/>
      <c r="P387" s="353"/>
      <c r="Q387" s="353"/>
      <c r="R387" s="353"/>
      <c r="S387" s="353"/>
      <c r="T387" s="353"/>
      <c r="U387" s="353"/>
      <c r="V387" s="353"/>
      <c r="W387" s="353"/>
      <c r="X387" s="353"/>
      <c r="Y387" s="353"/>
      <c r="Z387" s="353"/>
    </row>
    <row r="388" ht="12.0" customHeight="1">
      <c r="A388" s="353"/>
      <c r="B388" s="353"/>
      <c r="C388" s="353"/>
      <c r="D388" s="353"/>
      <c r="E388" s="353"/>
      <c r="F388" s="353"/>
      <c r="G388" s="353"/>
      <c r="H388" s="353"/>
      <c r="I388" s="353"/>
      <c r="J388" s="353"/>
      <c r="K388" s="353"/>
      <c r="L388" s="353"/>
      <c r="M388" s="353"/>
      <c r="N388" s="353"/>
      <c r="O388" s="353"/>
      <c r="P388" s="353"/>
      <c r="Q388" s="353"/>
      <c r="R388" s="353"/>
      <c r="S388" s="353"/>
      <c r="T388" s="353"/>
      <c r="U388" s="353"/>
      <c r="V388" s="353"/>
      <c r="W388" s="353"/>
      <c r="X388" s="353"/>
      <c r="Y388" s="353"/>
      <c r="Z388" s="353"/>
    </row>
    <row r="389" ht="12.0" customHeight="1">
      <c r="A389" s="353"/>
      <c r="B389" s="353"/>
      <c r="C389" s="353"/>
      <c r="D389" s="353"/>
      <c r="E389" s="353"/>
      <c r="F389" s="353"/>
      <c r="G389" s="353"/>
      <c r="H389" s="353"/>
      <c r="I389" s="353"/>
      <c r="J389" s="353"/>
      <c r="K389" s="353"/>
      <c r="L389" s="353"/>
      <c r="M389" s="353"/>
      <c r="N389" s="353"/>
      <c r="O389" s="353"/>
      <c r="P389" s="353"/>
      <c r="Q389" s="353"/>
      <c r="R389" s="353"/>
      <c r="S389" s="353"/>
      <c r="T389" s="353"/>
      <c r="U389" s="353"/>
      <c r="V389" s="353"/>
      <c r="W389" s="353"/>
      <c r="X389" s="353"/>
      <c r="Y389" s="353"/>
      <c r="Z389" s="353"/>
    </row>
    <row r="390" ht="12.0" customHeight="1">
      <c r="A390" s="353"/>
      <c r="B390" s="353"/>
      <c r="C390" s="353"/>
      <c r="D390" s="353"/>
      <c r="E390" s="353"/>
      <c r="F390" s="353"/>
      <c r="G390" s="353"/>
      <c r="H390" s="353"/>
      <c r="I390" s="353"/>
      <c r="J390" s="353"/>
      <c r="K390" s="353"/>
      <c r="L390" s="353"/>
      <c r="M390" s="353"/>
      <c r="N390" s="353"/>
      <c r="O390" s="353"/>
      <c r="P390" s="353"/>
      <c r="Q390" s="353"/>
      <c r="R390" s="353"/>
      <c r="S390" s="353"/>
      <c r="T390" s="353"/>
      <c r="U390" s="353"/>
      <c r="V390" s="353"/>
      <c r="W390" s="353"/>
      <c r="X390" s="353"/>
      <c r="Y390" s="353"/>
      <c r="Z390" s="353"/>
    </row>
    <row r="391" ht="12.0" customHeight="1">
      <c r="A391" s="353"/>
      <c r="B391" s="353"/>
      <c r="C391" s="353"/>
      <c r="D391" s="353"/>
      <c r="E391" s="353"/>
      <c r="F391" s="353"/>
      <c r="G391" s="353"/>
      <c r="H391" s="353"/>
      <c r="I391" s="353"/>
      <c r="J391" s="353"/>
      <c r="K391" s="353"/>
      <c r="L391" s="353"/>
      <c r="M391" s="353"/>
      <c r="N391" s="353"/>
      <c r="O391" s="353"/>
      <c r="P391" s="353"/>
      <c r="Q391" s="353"/>
      <c r="R391" s="353"/>
      <c r="S391" s="353"/>
      <c r="T391" s="353"/>
      <c r="U391" s="353"/>
      <c r="V391" s="353"/>
      <c r="W391" s="353"/>
      <c r="X391" s="353"/>
      <c r="Y391" s="353"/>
      <c r="Z391" s="353"/>
    </row>
    <row r="392" ht="12.0" customHeight="1">
      <c r="A392" s="353"/>
      <c r="B392" s="353"/>
      <c r="C392" s="353"/>
      <c r="D392" s="353"/>
      <c r="E392" s="353"/>
      <c r="F392" s="353"/>
      <c r="G392" s="353"/>
      <c r="H392" s="353"/>
      <c r="I392" s="353"/>
      <c r="J392" s="353"/>
      <c r="K392" s="353"/>
      <c r="L392" s="353"/>
      <c r="M392" s="353"/>
      <c r="N392" s="353"/>
      <c r="O392" s="353"/>
      <c r="P392" s="353"/>
      <c r="Q392" s="353"/>
      <c r="R392" s="353"/>
      <c r="S392" s="353"/>
      <c r="T392" s="353"/>
      <c r="U392" s="353"/>
      <c r="V392" s="353"/>
      <c r="W392" s="353"/>
      <c r="X392" s="353"/>
      <c r="Y392" s="353"/>
      <c r="Z392" s="353"/>
    </row>
    <row r="393" ht="12.0" customHeight="1">
      <c r="A393" s="353"/>
      <c r="B393" s="353"/>
      <c r="C393" s="353"/>
      <c r="D393" s="353"/>
      <c r="E393" s="353"/>
      <c r="F393" s="353"/>
      <c r="G393" s="353"/>
      <c r="H393" s="353"/>
      <c r="I393" s="353"/>
      <c r="J393" s="353"/>
      <c r="K393" s="353"/>
      <c r="L393" s="353"/>
      <c r="M393" s="353"/>
      <c r="N393" s="353"/>
      <c r="O393" s="353"/>
      <c r="P393" s="353"/>
      <c r="Q393" s="353"/>
      <c r="R393" s="353"/>
      <c r="S393" s="353"/>
      <c r="T393" s="353"/>
      <c r="U393" s="353"/>
      <c r="V393" s="353"/>
      <c r="W393" s="353"/>
      <c r="X393" s="353"/>
      <c r="Y393" s="353"/>
      <c r="Z393" s="353"/>
    </row>
    <row r="394" ht="12.0" customHeight="1">
      <c r="A394" s="353"/>
      <c r="B394" s="353"/>
      <c r="C394" s="353"/>
      <c r="D394" s="353"/>
      <c r="E394" s="353"/>
      <c r="F394" s="353"/>
      <c r="G394" s="353"/>
      <c r="H394" s="353"/>
      <c r="I394" s="353"/>
      <c r="J394" s="353"/>
      <c r="K394" s="353"/>
      <c r="L394" s="353"/>
      <c r="M394" s="353"/>
      <c r="N394" s="353"/>
      <c r="O394" s="353"/>
      <c r="P394" s="353"/>
      <c r="Q394" s="353"/>
      <c r="R394" s="353"/>
      <c r="S394" s="353"/>
      <c r="T394" s="353"/>
      <c r="U394" s="353"/>
      <c r="V394" s="353"/>
      <c r="W394" s="353"/>
      <c r="X394" s="353"/>
      <c r="Y394" s="353"/>
      <c r="Z394" s="353"/>
    </row>
    <row r="395" ht="12.0" customHeight="1">
      <c r="A395" s="353"/>
      <c r="B395" s="353"/>
      <c r="C395" s="353"/>
      <c r="D395" s="353"/>
      <c r="E395" s="353"/>
      <c r="F395" s="353"/>
      <c r="G395" s="353"/>
      <c r="H395" s="353"/>
      <c r="I395" s="353"/>
      <c r="J395" s="353"/>
      <c r="K395" s="353"/>
      <c r="L395" s="353"/>
      <c r="M395" s="353"/>
      <c r="N395" s="353"/>
      <c r="O395" s="353"/>
      <c r="P395" s="353"/>
      <c r="Q395" s="353"/>
      <c r="R395" s="353"/>
      <c r="S395" s="353"/>
      <c r="T395" s="353"/>
      <c r="U395" s="353"/>
      <c r="V395" s="353"/>
      <c r="W395" s="353"/>
      <c r="X395" s="353"/>
      <c r="Y395" s="353"/>
      <c r="Z395" s="353"/>
    </row>
    <row r="396" ht="12.0" customHeight="1">
      <c r="A396" s="353"/>
      <c r="B396" s="353"/>
      <c r="C396" s="353"/>
      <c r="D396" s="353"/>
      <c r="E396" s="353"/>
      <c r="F396" s="353"/>
      <c r="G396" s="353"/>
      <c r="H396" s="353"/>
      <c r="I396" s="353"/>
      <c r="J396" s="353"/>
      <c r="K396" s="353"/>
      <c r="L396" s="353"/>
      <c r="M396" s="353"/>
      <c r="N396" s="353"/>
      <c r="O396" s="353"/>
      <c r="P396" s="353"/>
      <c r="Q396" s="353"/>
      <c r="R396" s="353"/>
      <c r="S396" s="353"/>
      <c r="T396" s="353"/>
      <c r="U396" s="353"/>
      <c r="V396" s="353"/>
      <c r="W396" s="353"/>
      <c r="X396" s="353"/>
      <c r="Y396" s="353"/>
      <c r="Z396" s="353"/>
    </row>
    <row r="397" ht="12.0" customHeight="1">
      <c r="A397" s="353"/>
      <c r="B397" s="353"/>
      <c r="C397" s="353"/>
      <c r="D397" s="353"/>
      <c r="E397" s="353"/>
      <c r="F397" s="353"/>
      <c r="G397" s="353"/>
      <c r="H397" s="353"/>
      <c r="I397" s="353"/>
      <c r="J397" s="353"/>
      <c r="K397" s="353"/>
      <c r="L397" s="353"/>
      <c r="M397" s="353"/>
      <c r="N397" s="353"/>
      <c r="O397" s="353"/>
      <c r="P397" s="353"/>
      <c r="Q397" s="353"/>
      <c r="R397" s="353"/>
      <c r="S397" s="353"/>
      <c r="T397" s="353"/>
      <c r="U397" s="353"/>
      <c r="V397" s="353"/>
      <c r="W397" s="353"/>
      <c r="X397" s="353"/>
      <c r="Y397" s="353"/>
      <c r="Z397" s="353"/>
    </row>
    <row r="398" ht="12.0" customHeight="1">
      <c r="A398" s="353"/>
      <c r="B398" s="353"/>
      <c r="C398" s="353"/>
      <c r="D398" s="353"/>
      <c r="E398" s="353"/>
      <c r="F398" s="353"/>
      <c r="G398" s="353"/>
      <c r="H398" s="353"/>
      <c r="I398" s="353"/>
      <c r="J398" s="353"/>
      <c r="K398" s="353"/>
      <c r="L398" s="353"/>
      <c r="M398" s="353"/>
      <c r="N398" s="353"/>
      <c r="O398" s="353"/>
      <c r="P398" s="353"/>
      <c r="Q398" s="353"/>
      <c r="R398" s="353"/>
      <c r="S398" s="353"/>
      <c r="T398" s="353"/>
      <c r="U398" s="353"/>
      <c r="V398" s="353"/>
      <c r="W398" s="353"/>
      <c r="X398" s="353"/>
      <c r="Y398" s="353"/>
      <c r="Z398" s="353"/>
    </row>
    <row r="399" ht="12.0" customHeight="1">
      <c r="A399" s="353"/>
      <c r="B399" s="353"/>
      <c r="C399" s="353"/>
      <c r="D399" s="353"/>
      <c r="E399" s="353"/>
      <c r="F399" s="353"/>
      <c r="G399" s="353"/>
      <c r="H399" s="353"/>
      <c r="I399" s="353"/>
      <c r="J399" s="353"/>
      <c r="K399" s="353"/>
      <c r="L399" s="353"/>
      <c r="M399" s="353"/>
      <c r="N399" s="353"/>
      <c r="O399" s="353"/>
      <c r="P399" s="353"/>
      <c r="Q399" s="353"/>
      <c r="R399" s="353"/>
      <c r="S399" s="353"/>
      <c r="T399" s="353"/>
      <c r="U399" s="353"/>
      <c r="V399" s="353"/>
      <c r="W399" s="353"/>
      <c r="X399" s="353"/>
      <c r="Y399" s="353"/>
      <c r="Z399" s="353"/>
    </row>
    <row r="400" ht="12.0" customHeight="1">
      <c r="A400" s="353"/>
      <c r="B400" s="353"/>
      <c r="C400" s="353"/>
      <c r="D400" s="353"/>
      <c r="E400" s="353"/>
      <c r="F400" s="353"/>
      <c r="G400" s="353"/>
      <c r="H400" s="353"/>
      <c r="I400" s="353"/>
      <c r="J400" s="353"/>
      <c r="K400" s="353"/>
      <c r="L400" s="353"/>
      <c r="M400" s="353"/>
      <c r="N400" s="353"/>
      <c r="O400" s="353"/>
      <c r="P400" s="353"/>
      <c r="Q400" s="353"/>
      <c r="R400" s="353"/>
      <c r="S400" s="353"/>
      <c r="T400" s="353"/>
      <c r="U400" s="353"/>
      <c r="V400" s="353"/>
      <c r="W400" s="353"/>
      <c r="X400" s="353"/>
      <c r="Y400" s="353"/>
      <c r="Z400" s="353"/>
    </row>
    <row r="401" ht="12.0" customHeight="1">
      <c r="A401" s="353"/>
      <c r="B401" s="353"/>
      <c r="C401" s="353"/>
      <c r="D401" s="353"/>
      <c r="E401" s="353"/>
      <c r="F401" s="353"/>
      <c r="G401" s="353"/>
      <c r="H401" s="353"/>
      <c r="I401" s="353"/>
      <c r="J401" s="353"/>
      <c r="K401" s="353"/>
      <c r="L401" s="353"/>
      <c r="M401" s="353"/>
      <c r="N401" s="353"/>
      <c r="O401" s="353"/>
      <c r="P401" s="353"/>
      <c r="Q401" s="353"/>
      <c r="R401" s="353"/>
      <c r="S401" s="353"/>
      <c r="T401" s="353"/>
      <c r="U401" s="353"/>
      <c r="V401" s="353"/>
      <c r="W401" s="353"/>
      <c r="X401" s="353"/>
      <c r="Y401" s="353"/>
      <c r="Z401" s="353"/>
    </row>
    <row r="402" ht="12.0" customHeight="1">
      <c r="A402" s="353"/>
      <c r="B402" s="353"/>
      <c r="C402" s="353"/>
      <c r="D402" s="353"/>
      <c r="E402" s="353"/>
      <c r="F402" s="353"/>
      <c r="G402" s="353"/>
      <c r="H402" s="353"/>
      <c r="I402" s="353"/>
      <c r="J402" s="353"/>
      <c r="K402" s="353"/>
      <c r="L402" s="353"/>
      <c r="M402" s="353"/>
      <c r="N402" s="353"/>
      <c r="O402" s="353"/>
      <c r="P402" s="353"/>
      <c r="Q402" s="353"/>
      <c r="R402" s="353"/>
      <c r="S402" s="353"/>
      <c r="T402" s="353"/>
      <c r="U402" s="353"/>
      <c r="V402" s="353"/>
      <c r="W402" s="353"/>
      <c r="X402" s="353"/>
      <c r="Y402" s="353"/>
      <c r="Z402" s="353"/>
    </row>
    <row r="403" ht="12.0" customHeight="1">
      <c r="A403" s="353"/>
      <c r="B403" s="353"/>
      <c r="C403" s="353"/>
      <c r="D403" s="353"/>
      <c r="E403" s="353"/>
      <c r="F403" s="353"/>
      <c r="G403" s="353"/>
      <c r="H403" s="353"/>
      <c r="I403" s="353"/>
      <c r="J403" s="353"/>
      <c r="K403" s="353"/>
      <c r="L403" s="353"/>
      <c r="M403" s="353"/>
      <c r="N403" s="353"/>
      <c r="O403" s="353"/>
      <c r="P403" s="353"/>
      <c r="Q403" s="353"/>
      <c r="R403" s="353"/>
      <c r="S403" s="353"/>
      <c r="T403" s="353"/>
      <c r="U403" s="353"/>
      <c r="V403" s="353"/>
      <c r="W403" s="353"/>
      <c r="X403" s="353"/>
      <c r="Y403" s="353"/>
      <c r="Z403" s="353"/>
    </row>
    <row r="404" ht="12.0" customHeight="1">
      <c r="A404" s="353"/>
      <c r="B404" s="353"/>
      <c r="C404" s="353"/>
      <c r="D404" s="353"/>
      <c r="E404" s="353"/>
      <c r="F404" s="353"/>
      <c r="G404" s="353"/>
      <c r="H404" s="353"/>
      <c r="I404" s="353"/>
      <c r="J404" s="353"/>
      <c r="K404" s="353"/>
      <c r="L404" s="353"/>
      <c r="M404" s="353"/>
      <c r="N404" s="353"/>
      <c r="O404" s="353"/>
      <c r="P404" s="353"/>
      <c r="Q404" s="353"/>
      <c r="R404" s="353"/>
      <c r="S404" s="353"/>
      <c r="T404" s="353"/>
      <c r="U404" s="353"/>
      <c r="V404" s="353"/>
      <c r="W404" s="353"/>
      <c r="X404" s="353"/>
      <c r="Y404" s="353"/>
      <c r="Z404" s="353"/>
    </row>
    <row r="405" ht="12.0" customHeight="1">
      <c r="A405" s="353"/>
      <c r="B405" s="353"/>
      <c r="C405" s="353"/>
      <c r="D405" s="353"/>
      <c r="E405" s="353"/>
      <c r="F405" s="353"/>
      <c r="G405" s="353"/>
      <c r="H405" s="353"/>
      <c r="I405" s="353"/>
      <c r="J405" s="353"/>
      <c r="K405" s="353"/>
      <c r="L405" s="353"/>
      <c r="M405" s="353"/>
      <c r="N405" s="353"/>
      <c r="O405" s="353"/>
      <c r="P405" s="353"/>
      <c r="Q405" s="353"/>
      <c r="R405" s="353"/>
      <c r="S405" s="353"/>
      <c r="T405" s="353"/>
      <c r="U405" s="353"/>
      <c r="V405" s="353"/>
      <c r="W405" s="353"/>
      <c r="X405" s="353"/>
      <c r="Y405" s="353"/>
      <c r="Z405" s="353"/>
    </row>
    <row r="406" ht="12.0" customHeight="1">
      <c r="A406" s="353"/>
      <c r="B406" s="353"/>
      <c r="C406" s="353"/>
      <c r="D406" s="353"/>
      <c r="E406" s="353"/>
      <c r="F406" s="353"/>
      <c r="G406" s="353"/>
      <c r="H406" s="353"/>
      <c r="I406" s="353"/>
      <c r="J406" s="353"/>
      <c r="K406" s="353"/>
      <c r="L406" s="353"/>
      <c r="M406" s="353"/>
      <c r="N406" s="353"/>
      <c r="O406" s="353"/>
      <c r="P406" s="353"/>
      <c r="Q406" s="353"/>
      <c r="R406" s="353"/>
      <c r="S406" s="353"/>
      <c r="T406" s="353"/>
      <c r="U406" s="353"/>
      <c r="V406" s="353"/>
      <c r="W406" s="353"/>
      <c r="X406" s="353"/>
      <c r="Y406" s="353"/>
      <c r="Z406" s="353"/>
    </row>
    <row r="407" ht="12.0" customHeight="1">
      <c r="A407" s="353"/>
      <c r="B407" s="353"/>
      <c r="C407" s="353"/>
      <c r="D407" s="353"/>
      <c r="E407" s="353"/>
      <c r="F407" s="353"/>
      <c r="G407" s="353"/>
      <c r="H407" s="353"/>
      <c r="I407" s="353"/>
      <c r="J407" s="353"/>
      <c r="K407" s="353"/>
      <c r="L407" s="353"/>
      <c r="M407" s="353"/>
      <c r="N407" s="353"/>
      <c r="O407" s="353"/>
      <c r="P407" s="353"/>
      <c r="Q407" s="353"/>
      <c r="R407" s="353"/>
      <c r="S407" s="353"/>
      <c r="T407" s="353"/>
      <c r="U407" s="353"/>
      <c r="V407" s="353"/>
      <c r="W407" s="353"/>
      <c r="X407" s="353"/>
      <c r="Y407" s="353"/>
      <c r="Z407" s="353"/>
    </row>
    <row r="408" ht="12.0" customHeight="1">
      <c r="A408" s="353"/>
      <c r="B408" s="353"/>
      <c r="C408" s="353"/>
      <c r="D408" s="353"/>
      <c r="E408" s="353"/>
      <c r="F408" s="353"/>
      <c r="G408" s="353"/>
      <c r="H408" s="353"/>
      <c r="I408" s="353"/>
      <c r="J408" s="353"/>
      <c r="K408" s="353"/>
      <c r="L408" s="353"/>
      <c r="M408" s="353"/>
      <c r="N408" s="353"/>
      <c r="O408" s="353"/>
      <c r="P408" s="353"/>
      <c r="Q408" s="353"/>
      <c r="R408" s="353"/>
      <c r="S408" s="353"/>
      <c r="T408" s="353"/>
      <c r="U408" s="353"/>
      <c r="V408" s="353"/>
      <c r="W408" s="353"/>
      <c r="X408" s="353"/>
      <c r="Y408" s="353"/>
      <c r="Z408" s="353"/>
    </row>
    <row r="409" ht="12.0" customHeight="1">
      <c r="A409" s="353"/>
      <c r="B409" s="353"/>
      <c r="C409" s="353"/>
      <c r="D409" s="353"/>
      <c r="E409" s="353"/>
      <c r="F409" s="353"/>
      <c r="G409" s="353"/>
      <c r="H409" s="353"/>
      <c r="I409" s="353"/>
      <c r="J409" s="353"/>
      <c r="K409" s="353"/>
      <c r="L409" s="353"/>
      <c r="M409" s="353"/>
      <c r="N409" s="353"/>
      <c r="O409" s="353"/>
      <c r="P409" s="353"/>
      <c r="Q409" s="353"/>
      <c r="R409" s="353"/>
      <c r="S409" s="353"/>
      <c r="T409" s="353"/>
      <c r="U409" s="353"/>
      <c r="V409" s="353"/>
      <c r="W409" s="353"/>
      <c r="X409" s="353"/>
      <c r="Y409" s="353"/>
      <c r="Z409" s="353"/>
    </row>
    <row r="410" ht="12.0" customHeight="1">
      <c r="A410" s="353"/>
      <c r="B410" s="353"/>
      <c r="C410" s="353"/>
      <c r="D410" s="353"/>
      <c r="E410" s="353"/>
      <c r="F410" s="353"/>
      <c r="G410" s="353"/>
      <c r="H410" s="353"/>
      <c r="I410" s="353"/>
      <c r="J410" s="353"/>
      <c r="K410" s="353"/>
      <c r="L410" s="353"/>
      <c r="M410" s="353"/>
      <c r="N410" s="353"/>
      <c r="O410" s="353"/>
      <c r="P410" s="353"/>
      <c r="Q410" s="353"/>
      <c r="R410" s="353"/>
      <c r="S410" s="353"/>
      <c r="T410" s="353"/>
      <c r="U410" s="353"/>
      <c r="V410" s="353"/>
      <c r="W410" s="353"/>
      <c r="X410" s="353"/>
      <c r="Y410" s="353"/>
      <c r="Z410" s="353"/>
    </row>
    <row r="411" ht="12.0" customHeight="1">
      <c r="A411" s="353"/>
      <c r="B411" s="353"/>
      <c r="C411" s="353"/>
      <c r="D411" s="353"/>
      <c r="E411" s="353"/>
      <c r="F411" s="353"/>
      <c r="G411" s="353"/>
      <c r="H411" s="353"/>
      <c r="I411" s="353"/>
      <c r="J411" s="353"/>
      <c r="K411" s="353"/>
      <c r="L411" s="353"/>
      <c r="M411" s="353"/>
      <c r="N411" s="353"/>
      <c r="O411" s="353"/>
      <c r="P411" s="353"/>
      <c r="Q411" s="353"/>
      <c r="R411" s="353"/>
      <c r="S411" s="353"/>
      <c r="T411" s="353"/>
      <c r="U411" s="353"/>
      <c r="V411" s="353"/>
      <c r="W411" s="353"/>
      <c r="X411" s="353"/>
      <c r="Y411" s="353"/>
      <c r="Z411" s="353"/>
    </row>
    <row r="412" ht="12.0" customHeight="1">
      <c r="A412" s="353"/>
      <c r="B412" s="353"/>
      <c r="C412" s="353"/>
      <c r="D412" s="353"/>
      <c r="E412" s="353"/>
      <c r="F412" s="353"/>
      <c r="G412" s="353"/>
      <c r="H412" s="353"/>
      <c r="I412" s="353"/>
      <c r="J412" s="353"/>
      <c r="K412" s="353"/>
      <c r="L412" s="353"/>
      <c r="M412" s="353"/>
      <c r="N412" s="353"/>
      <c r="O412" s="353"/>
      <c r="P412" s="353"/>
      <c r="Q412" s="353"/>
      <c r="R412" s="353"/>
      <c r="S412" s="353"/>
      <c r="T412" s="353"/>
      <c r="U412" s="353"/>
      <c r="V412" s="353"/>
      <c r="W412" s="353"/>
      <c r="X412" s="353"/>
      <c r="Y412" s="353"/>
      <c r="Z412" s="353"/>
    </row>
    <row r="413" ht="12.0" customHeight="1">
      <c r="A413" s="353"/>
      <c r="B413" s="353"/>
      <c r="C413" s="353"/>
      <c r="D413" s="353"/>
      <c r="E413" s="353"/>
      <c r="F413" s="353"/>
      <c r="G413" s="353"/>
      <c r="H413" s="353"/>
      <c r="I413" s="353"/>
      <c r="J413" s="353"/>
      <c r="K413" s="353"/>
      <c r="L413" s="353"/>
      <c r="M413" s="353"/>
      <c r="N413" s="353"/>
      <c r="O413" s="353"/>
      <c r="P413" s="353"/>
      <c r="Q413" s="353"/>
      <c r="R413" s="353"/>
      <c r="S413" s="353"/>
      <c r="T413" s="353"/>
      <c r="U413" s="353"/>
      <c r="V413" s="353"/>
      <c r="W413" s="353"/>
      <c r="X413" s="353"/>
      <c r="Y413" s="353"/>
      <c r="Z413" s="353"/>
    </row>
    <row r="414" ht="12.0" customHeight="1">
      <c r="A414" s="353"/>
      <c r="B414" s="353"/>
      <c r="C414" s="353"/>
      <c r="D414" s="353"/>
      <c r="E414" s="353"/>
      <c r="F414" s="353"/>
      <c r="G414" s="353"/>
      <c r="H414" s="353"/>
      <c r="I414" s="353"/>
      <c r="J414" s="353"/>
      <c r="K414" s="353"/>
      <c r="L414" s="353"/>
      <c r="M414" s="353"/>
      <c r="N414" s="353"/>
      <c r="O414" s="353"/>
      <c r="P414" s="353"/>
      <c r="Q414" s="353"/>
      <c r="R414" s="353"/>
      <c r="S414" s="353"/>
      <c r="T414" s="353"/>
      <c r="U414" s="353"/>
      <c r="V414" s="353"/>
      <c r="W414" s="353"/>
      <c r="X414" s="353"/>
      <c r="Y414" s="353"/>
      <c r="Z414" s="353"/>
    </row>
    <row r="415" ht="12.0" customHeight="1">
      <c r="A415" s="353"/>
      <c r="B415" s="353"/>
      <c r="C415" s="353"/>
      <c r="D415" s="353"/>
      <c r="E415" s="353"/>
      <c r="F415" s="353"/>
      <c r="G415" s="353"/>
      <c r="H415" s="353"/>
      <c r="I415" s="353"/>
      <c r="J415" s="353"/>
      <c r="K415" s="353"/>
      <c r="L415" s="353"/>
      <c r="M415" s="353"/>
      <c r="N415" s="353"/>
      <c r="O415" s="353"/>
      <c r="P415" s="353"/>
      <c r="Q415" s="353"/>
      <c r="R415" s="353"/>
      <c r="S415" s="353"/>
      <c r="T415" s="353"/>
      <c r="U415" s="353"/>
      <c r="V415" s="353"/>
      <c r="W415" s="353"/>
      <c r="X415" s="353"/>
      <c r="Y415" s="353"/>
      <c r="Z415" s="353"/>
    </row>
    <row r="416" ht="12.0" customHeight="1">
      <c r="A416" s="353"/>
      <c r="B416" s="353"/>
      <c r="C416" s="353"/>
      <c r="D416" s="353"/>
      <c r="E416" s="353"/>
      <c r="F416" s="353"/>
      <c r="G416" s="353"/>
      <c r="H416" s="353"/>
      <c r="I416" s="353"/>
      <c r="J416" s="353"/>
      <c r="K416" s="353"/>
      <c r="L416" s="353"/>
      <c r="M416" s="353"/>
      <c r="N416" s="353"/>
      <c r="O416" s="353"/>
      <c r="P416" s="353"/>
      <c r="Q416" s="353"/>
      <c r="R416" s="353"/>
      <c r="S416" s="353"/>
      <c r="T416" s="353"/>
      <c r="U416" s="353"/>
      <c r="V416" s="353"/>
      <c r="W416" s="353"/>
      <c r="X416" s="353"/>
      <c r="Y416" s="353"/>
      <c r="Z416" s="353"/>
    </row>
    <row r="417" ht="12.0" customHeight="1">
      <c r="A417" s="353"/>
      <c r="B417" s="353"/>
      <c r="C417" s="353"/>
      <c r="D417" s="353"/>
      <c r="E417" s="353"/>
      <c r="F417" s="353"/>
      <c r="G417" s="353"/>
      <c r="H417" s="353"/>
      <c r="I417" s="353"/>
      <c r="J417" s="353"/>
      <c r="K417" s="353"/>
      <c r="L417" s="353"/>
      <c r="M417" s="353"/>
      <c r="N417" s="353"/>
      <c r="O417" s="353"/>
      <c r="P417" s="353"/>
      <c r="Q417" s="353"/>
      <c r="R417" s="353"/>
      <c r="S417" s="353"/>
      <c r="T417" s="353"/>
      <c r="U417" s="353"/>
      <c r="V417" s="353"/>
      <c r="W417" s="353"/>
      <c r="X417" s="353"/>
      <c r="Y417" s="353"/>
      <c r="Z417" s="353"/>
    </row>
    <row r="418" ht="12.0" customHeight="1">
      <c r="A418" s="353"/>
      <c r="B418" s="353"/>
      <c r="C418" s="353"/>
      <c r="D418" s="353"/>
      <c r="E418" s="353"/>
      <c r="F418" s="353"/>
      <c r="G418" s="353"/>
      <c r="H418" s="353"/>
      <c r="I418" s="353"/>
      <c r="J418" s="353"/>
      <c r="K418" s="353"/>
      <c r="L418" s="353"/>
      <c r="M418" s="353"/>
      <c r="N418" s="353"/>
      <c r="O418" s="353"/>
      <c r="P418" s="353"/>
      <c r="Q418" s="353"/>
      <c r="R418" s="353"/>
      <c r="S418" s="353"/>
      <c r="T418" s="353"/>
      <c r="U418" s="353"/>
      <c r="V418" s="353"/>
      <c r="W418" s="353"/>
      <c r="X418" s="353"/>
      <c r="Y418" s="353"/>
      <c r="Z418" s="353"/>
    </row>
    <row r="419" ht="12.0" customHeight="1">
      <c r="A419" s="353"/>
      <c r="B419" s="353"/>
      <c r="C419" s="353"/>
      <c r="D419" s="353"/>
      <c r="E419" s="353"/>
      <c r="F419" s="353"/>
      <c r="G419" s="353"/>
      <c r="H419" s="353"/>
      <c r="I419" s="353"/>
      <c r="J419" s="353"/>
      <c r="K419" s="353"/>
      <c r="L419" s="353"/>
      <c r="M419" s="353"/>
      <c r="N419" s="353"/>
      <c r="O419" s="353"/>
      <c r="P419" s="353"/>
      <c r="Q419" s="353"/>
      <c r="R419" s="353"/>
      <c r="S419" s="353"/>
      <c r="T419" s="353"/>
      <c r="U419" s="353"/>
      <c r="V419" s="353"/>
      <c r="W419" s="353"/>
      <c r="X419" s="353"/>
      <c r="Y419" s="353"/>
      <c r="Z419" s="353"/>
    </row>
    <row r="420" ht="12.0" customHeight="1">
      <c r="A420" s="353"/>
      <c r="B420" s="353"/>
      <c r="C420" s="353"/>
      <c r="D420" s="353"/>
      <c r="E420" s="353"/>
      <c r="F420" s="353"/>
      <c r="G420" s="353"/>
      <c r="H420" s="353"/>
      <c r="I420" s="353"/>
      <c r="J420" s="353"/>
      <c r="K420" s="353"/>
      <c r="L420" s="353"/>
      <c r="M420" s="353"/>
      <c r="N420" s="353"/>
      <c r="O420" s="353"/>
      <c r="P420" s="353"/>
      <c r="Q420" s="353"/>
      <c r="R420" s="353"/>
      <c r="S420" s="353"/>
      <c r="T420" s="353"/>
      <c r="U420" s="353"/>
      <c r="V420" s="353"/>
      <c r="W420" s="353"/>
      <c r="X420" s="353"/>
      <c r="Y420" s="353"/>
      <c r="Z420" s="353"/>
    </row>
    <row r="421" ht="12.0" customHeight="1">
      <c r="A421" s="353"/>
      <c r="B421" s="353"/>
      <c r="C421" s="353"/>
      <c r="D421" s="353"/>
      <c r="E421" s="353"/>
      <c r="F421" s="353"/>
      <c r="G421" s="353"/>
      <c r="H421" s="353"/>
      <c r="I421" s="353"/>
      <c r="J421" s="353"/>
      <c r="K421" s="353"/>
      <c r="L421" s="353"/>
      <c r="M421" s="353"/>
      <c r="N421" s="353"/>
      <c r="O421" s="353"/>
      <c r="P421" s="353"/>
      <c r="Q421" s="353"/>
      <c r="R421" s="353"/>
      <c r="S421" s="353"/>
      <c r="T421" s="353"/>
      <c r="U421" s="353"/>
      <c r="V421" s="353"/>
      <c r="W421" s="353"/>
      <c r="X421" s="353"/>
      <c r="Y421" s="353"/>
      <c r="Z421" s="353"/>
    </row>
    <row r="422" ht="12.0" customHeight="1">
      <c r="A422" s="353"/>
      <c r="B422" s="353"/>
      <c r="C422" s="353"/>
      <c r="D422" s="353"/>
      <c r="E422" s="353"/>
      <c r="F422" s="353"/>
      <c r="G422" s="353"/>
      <c r="H422" s="353"/>
      <c r="I422" s="353"/>
      <c r="J422" s="353"/>
      <c r="K422" s="353"/>
      <c r="L422" s="353"/>
      <c r="M422" s="353"/>
      <c r="N422" s="353"/>
      <c r="O422" s="353"/>
      <c r="P422" s="353"/>
      <c r="Q422" s="353"/>
      <c r="R422" s="353"/>
      <c r="S422" s="353"/>
      <c r="T422" s="353"/>
      <c r="U422" s="353"/>
      <c r="V422" s="353"/>
      <c r="W422" s="353"/>
      <c r="X422" s="353"/>
      <c r="Y422" s="353"/>
      <c r="Z422" s="353"/>
    </row>
    <row r="423" ht="12.0" customHeight="1">
      <c r="A423" s="353"/>
      <c r="B423" s="353"/>
      <c r="C423" s="353"/>
      <c r="D423" s="353"/>
      <c r="E423" s="353"/>
      <c r="F423" s="353"/>
      <c r="G423" s="353"/>
      <c r="H423" s="353"/>
      <c r="I423" s="353"/>
      <c r="J423" s="353"/>
      <c r="K423" s="353"/>
      <c r="L423" s="353"/>
      <c r="M423" s="353"/>
      <c r="N423" s="353"/>
      <c r="O423" s="353"/>
      <c r="P423" s="353"/>
      <c r="Q423" s="353"/>
      <c r="R423" s="353"/>
      <c r="S423" s="353"/>
      <c r="T423" s="353"/>
      <c r="U423" s="353"/>
      <c r="V423" s="353"/>
      <c r="W423" s="353"/>
      <c r="X423" s="353"/>
      <c r="Y423" s="353"/>
      <c r="Z423" s="353"/>
    </row>
    <row r="424" ht="12.0" customHeight="1">
      <c r="A424" s="353"/>
      <c r="B424" s="353"/>
      <c r="C424" s="353"/>
      <c r="D424" s="353"/>
      <c r="E424" s="353"/>
      <c r="F424" s="353"/>
      <c r="G424" s="353"/>
      <c r="H424" s="353"/>
      <c r="I424" s="353"/>
      <c r="J424" s="353"/>
      <c r="K424" s="353"/>
      <c r="L424" s="353"/>
      <c r="M424" s="353"/>
      <c r="N424" s="353"/>
      <c r="O424" s="353"/>
      <c r="P424" s="353"/>
      <c r="Q424" s="353"/>
      <c r="R424" s="353"/>
      <c r="S424" s="353"/>
      <c r="T424" s="353"/>
      <c r="U424" s="353"/>
      <c r="V424" s="353"/>
      <c r="W424" s="353"/>
      <c r="X424" s="353"/>
      <c r="Y424" s="353"/>
      <c r="Z424" s="353"/>
    </row>
    <row r="425" ht="12.0" customHeight="1">
      <c r="A425" s="353"/>
      <c r="B425" s="353"/>
      <c r="C425" s="353"/>
      <c r="D425" s="353"/>
      <c r="E425" s="353"/>
      <c r="F425" s="353"/>
      <c r="G425" s="353"/>
      <c r="H425" s="353"/>
      <c r="I425" s="353"/>
      <c r="J425" s="353"/>
      <c r="K425" s="353"/>
      <c r="L425" s="353"/>
      <c r="M425" s="353"/>
      <c r="N425" s="353"/>
      <c r="O425" s="353"/>
      <c r="P425" s="353"/>
      <c r="Q425" s="353"/>
      <c r="R425" s="353"/>
      <c r="S425" s="353"/>
      <c r="T425" s="353"/>
      <c r="U425" s="353"/>
      <c r="V425" s="353"/>
      <c r="W425" s="353"/>
      <c r="X425" s="353"/>
      <c r="Y425" s="353"/>
      <c r="Z425" s="353"/>
    </row>
    <row r="426" ht="12.0" customHeight="1">
      <c r="A426" s="353"/>
      <c r="B426" s="353"/>
      <c r="C426" s="353"/>
      <c r="D426" s="353"/>
      <c r="E426" s="353"/>
      <c r="F426" s="353"/>
      <c r="G426" s="353"/>
      <c r="H426" s="353"/>
      <c r="I426" s="353"/>
      <c r="J426" s="353"/>
      <c r="K426" s="353"/>
      <c r="L426" s="353"/>
      <c r="M426" s="353"/>
      <c r="N426" s="353"/>
      <c r="O426" s="353"/>
      <c r="P426" s="353"/>
      <c r="Q426" s="353"/>
      <c r="R426" s="353"/>
      <c r="S426" s="353"/>
      <c r="T426" s="353"/>
      <c r="U426" s="353"/>
      <c r="V426" s="353"/>
      <c r="W426" s="353"/>
      <c r="X426" s="353"/>
      <c r="Y426" s="353"/>
      <c r="Z426" s="353"/>
    </row>
    <row r="427" ht="12.0" customHeight="1">
      <c r="A427" s="353"/>
      <c r="B427" s="353"/>
      <c r="C427" s="353"/>
      <c r="D427" s="353"/>
      <c r="E427" s="353"/>
      <c r="F427" s="353"/>
      <c r="G427" s="353"/>
      <c r="H427" s="353"/>
      <c r="I427" s="353"/>
      <c r="J427" s="353"/>
      <c r="K427" s="353"/>
      <c r="L427" s="353"/>
      <c r="M427" s="353"/>
      <c r="N427" s="353"/>
      <c r="O427" s="353"/>
      <c r="P427" s="353"/>
      <c r="Q427" s="353"/>
      <c r="R427" s="353"/>
      <c r="S427" s="353"/>
      <c r="T427" s="353"/>
      <c r="U427" s="353"/>
      <c r="V427" s="353"/>
      <c r="W427" s="353"/>
      <c r="X427" s="353"/>
      <c r="Y427" s="353"/>
      <c r="Z427" s="353"/>
    </row>
    <row r="428" ht="12.0" customHeight="1">
      <c r="A428" s="353"/>
      <c r="B428" s="353"/>
      <c r="C428" s="353"/>
      <c r="D428" s="353"/>
      <c r="E428" s="353"/>
      <c r="F428" s="353"/>
      <c r="G428" s="353"/>
      <c r="H428" s="353"/>
      <c r="I428" s="353"/>
      <c r="J428" s="353"/>
      <c r="K428" s="353"/>
      <c r="L428" s="353"/>
      <c r="M428" s="353"/>
      <c r="N428" s="353"/>
      <c r="O428" s="353"/>
      <c r="P428" s="353"/>
      <c r="Q428" s="353"/>
      <c r="R428" s="353"/>
      <c r="S428" s="353"/>
      <c r="T428" s="353"/>
      <c r="U428" s="353"/>
      <c r="V428" s="353"/>
      <c r="W428" s="353"/>
      <c r="X428" s="353"/>
      <c r="Y428" s="353"/>
      <c r="Z428" s="353"/>
    </row>
    <row r="429" ht="12.0" customHeight="1">
      <c r="A429" s="353"/>
      <c r="B429" s="353"/>
      <c r="C429" s="353"/>
      <c r="D429" s="353"/>
      <c r="E429" s="353"/>
      <c r="F429" s="353"/>
      <c r="G429" s="353"/>
      <c r="H429" s="353"/>
      <c r="I429" s="353"/>
      <c r="J429" s="353"/>
      <c r="K429" s="353"/>
      <c r="L429" s="353"/>
      <c r="M429" s="353"/>
      <c r="N429" s="353"/>
      <c r="O429" s="353"/>
      <c r="P429" s="353"/>
      <c r="Q429" s="353"/>
      <c r="R429" s="353"/>
      <c r="S429" s="353"/>
      <c r="T429" s="353"/>
      <c r="U429" s="353"/>
      <c r="V429" s="353"/>
      <c r="W429" s="353"/>
      <c r="X429" s="353"/>
      <c r="Y429" s="353"/>
      <c r="Z429" s="353"/>
    </row>
    <row r="430" ht="12.0" customHeight="1">
      <c r="A430" s="353"/>
      <c r="B430" s="353"/>
      <c r="C430" s="353"/>
      <c r="D430" s="353"/>
      <c r="E430" s="353"/>
      <c r="F430" s="353"/>
      <c r="G430" s="353"/>
      <c r="H430" s="353"/>
      <c r="I430" s="353"/>
      <c r="J430" s="353"/>
      <c r="K430" s="353"/>
      <c r="L430" s="353"/>
      <c r="M430" s="353"/>
      <c r="N430" s="353"/>
      <c r="O430" s="353"/>
      <c r="P430" s="353"/>
      <c r="Q430" s="353"/>
      <c r="R430" s="353"/>
      <c r="S430" s="353"/>
      <c r="T430" s="353"/>
      <c r="U430" s="353"/>
      <c r="V430" s="353"/>
      <c r="W430" s="353"/>
      <c r="X430" s="353"/>
      <c r="Y430" s="353"/>
      <c r="Z430" s="353"/>
    </row>
    <row r="431" ht="12.0" customHeight="1">
      <c r="A431" s="353"/>
      <c r="B431" s="353"/>
      <c r="C431" s="353"/>
      <c r="D431" s="353"/>
      <c r="E431" s="353"/>
      <c r="F431" s="353"/>
      <c r="G431" s="353"/>
      <c r="H431" s="353"/>
      <c r="I431" s="353"/>
      <c r="J431" s="353"/>
      <c r="K431" s="353"/>
      <c r="L431" s="353"/>
      <c r="M431" s="353"/>
      <c r="N431" s="353"/>
      <c r="O431" s="353"/>
      <c r="P431" s="353"/>
      <c r="Q431" s="353"/>
      <c r="R431" s="353"/>
      <c r="S431" s="353"/>
      <c r="T431" s="353"/>
      <c r="U431" s="353"/>
      <c r="V431" s="353"/>
      <c r="W431" s="353"/>
      <c r="X431" s="353"/>
      <c r="Y431" s="353"/>
      <c r="Z431" s="353"/>
    </row>
    <row r="432" ht="12.0" customHeight="1">
      <c r="A432" s="353"/>
      <c r="B432" s="353"/>
      <c r="C432" s="353"/>
      <c r="D432" s="353"/>
      <c r="E432" s="353"/>
      <c r="F432" s="353"/>
      <c r="G432" s="353"/>
      <c r="H432" s="353"/>
      <c r="I432" s="353"/>
      <c r="J432" s="353"/>
      <c r="K432" s="353"/>
      <c r="L432" s="353"/>
      <c r="M432" s="353"/>
      <c r="N432" s="353"/>
      <c r="O432" s="353"/>
      <c r="P432" s="353"/>
      <c r="Q432" s="353"/>
      <c r="R432" s="353"/>
      <c r="S432" s="353"/>
      <c r="T432" s="353"/>
      <c r="U432" s="353"/>
      <c r="V432" s="353"/>
      <c r="W432" s="353"/>
      <c r="X432" s="353"/>
      <c r="Y432" s="353"/>
      <c r="Z432" s="353"/>
    </row>
    <row r="433" ht="12.0" customHeight="1">
      <c r="A433" s="353"/>
      <c r="B433" s="353"/>
      <c r="C433" s="353"/>
      <c r="D433" s="353"/>
      <c r="E433" s="353"/>
      <c r="F433" s="353"/>
      <c r="G433" s="353"/>
      <c r="H433" s="353"/>
      <c r="I433" s="353"/>
      <c r="J433" s="353"/>
      <c r="K433" s="353"/>
      <c r="L433" s="353"/>
      <c r="M433" s="353"/>
      <c r="N433" s="353"/>
      <c r="O433" s="353"/>
      <c r="P433" s="353"/>
      <c r="Q433" s="353"/>
      <c r="R433" s="353"/>
      <c r="S433" s="353"/>
      <c r="T433" s="353"/>
      <c r="U433" s="353"/>
      <c r="V433" s="353"/>
      <c r="W433" s="353"/>
      <c r="X433" s="353"/>
      <c r="Y433" s="353"/>
      <c r="Z433" s="353"/>
    </row>
    <row r="434" ht="12.0" customHeight="1">
      <c r="A434" s="353"/>
      <c r="B434" s="353"/>
      <c r="C434" s="353"/>
      <c r="D434" s="353"/>
      <c r="E434" s="353"/>
      <c r="F434" s="353"/>
      <c r="G434" s="353"/>
      <c r="H434" s="353"/>
      <c r="I434" s="353"/>
      <c r="J434" s="353"/>
      <c r="K434" s="353"/>
      <c r="L434" s="353"/>
      <c r="M434" s="353"/>
      <c r="N434" s="353"/>
      <c r="O434" s="353"/>
      <c r="P434" s="353"/>
      <c r="Q434" s="353"/>
      <c r="R434" s="353"/>
      <c r="S434" s="353"/>
      <c r="T434" s="353"/>
      <c r="U434" s="353"/>
      <c r="V434" s="353"/>
      <c r="W434" s="353"/>
      <c r="X434" s="353"/>
      <c r="Y434" s="353"/>
      <c r="Z434" s="353"/>
    </row>
    <row r="435" ht="12.0" customHeight="1">
      <c r="A435" s="353"/>
      <c r="B435" s="353"/>
      <c r="C435" s="353"/>
      <c r="D435" s="353"/>
      <c r="E435" s="353"/>
      <c r="F435" s="353"/>
      <c r="G435" s="353"/>
      <c r="H435" s="353"/>
      <c r="I435" s="353"/>
      <c r="J435" s="353"/>
      <c r="K435" s="353"/>
      <c r="L435" s="353"/>
      <c r="M435" s="353"/>
      <c r="N435" s="353"/>
      <c r="O435" s="353"/>
      <c r="P435" s="353"/>
      <c r="Q435" s="353"/>
      <c r="R435" s="353"/>
      <c r="S435" s="353"/>
      <c r="T435" s="353"/>
      <c r="U435" s="353"/>
      <c r="V435" s="353"/>
      <c r="W435" s="353"/>
      <c r="X435" s="353"/>
      <c r="Y435" s="353"/>
      <c r="Z435" s="353"/>
    </row>
    <row r="436" ht="12.0" customHeight="1">
      <c r="A436" s="353"/>
      <c r="B436" s="353"/>
      <c r="C436" s="353"/>
      <c r="D436" s="353"/>
      <c r="E436" s="353"/>
      <c r="F436" s="353"/>
      <c r="G436" s="353"/>
      <c r="H436" s="353"/>
      <c r="I436" s="353"/>
      <c r="J436" s="353"/>
      <c r="K436" s="353"/>
      <c r="L436" s="353"/>
      <c r="M436" s="353"/>
      <c r="N436" s="353"/>
      <c r="O436" s="353"/>
      <c r="P436" s="353"/>
      <c r="Q436" s="353"/>
      <c r="R436" s="353"/>
      <c r="S436" s="353"/>
      <c r="T436" s="353"/>
      <c r="U436" s="353"/>
      <c r="V436" s="353"/>
      <c r="W436" s="353"/>
      <c r="X436" s="353"/>
      <c r="Y436" s="353"/>
      <c r="Z436" s="353"/>
    </row>
    <row r="437" ht="12.0" customHeight="1">
      <c r="A437" s="353"/>
      <c r="B437" s="353"/>
      <c r="C437" s="353"/>
      <c r="D437" s="353"/>
      <c r="E437" s="353"/>
      <c r="F437" s="353"/>
      <c r="G437" s="353"/>
      <c r="H437" s="353"/>
      <c r="I437" s="353"/>
      <c r="J437" s="353"/>
      <c r="K437" s="353"/>
      <c r="L437" s="353"/>
      <c r="M437" s="353"/>
      <c r="N437" s="353"/>
      <c r="O437" s="353"/>
      <c r="P437" s="353"/>
      <c r="Q437" s="353"/>
      <c r="R437" s="353"/>
      <c r="S437" s="353"/>
      <c r="T437" s="353"/>
      <c r="U437" s="353"/>
      <c r="V437" s="353"/>
      <c r="W437" s="353"/>
      <c r="X437" s="353"/>
      <c r="Y437" s="353"/>
      <c r="Z437" s="353"/>
    </row>
    <row r="438" ht="12.0" customHeight="1">
      <c r="A438" s="353"/>
      <c r="B438" s="353"/>
      <c r="C438" s="353"/>
      <c r="D438" s="353"/>
      <c r="E438" s="353"/>
      <c r="F438" s="353"/>
      <c r="G438" s="353"/>
      <c r="H438" s="353"/>
      <c r="I438" s="353"/>
      <c r="J438" s="353"/>
      <c r="K438" s="353"/>
      <c r="L438" s="353"/>
      <c r="M438" s="353"/>
      <c r="N438" s="353"/>
      <c r="O438" s="353"/>
      <c r="P438" s="353"/>
      <c r="Q438" s="353"/>
      <c r="R438" s="353"/>
      <c r="S438" s="353"/>
      <c r="T438" s="353"/>
      <c r="U438" s="353"/>
      <c r="V438" s="353"/>
      <c r="W438" s="353"/>
      <c r="X438" s="353"/>
      <c r="Y438" s="353"/>
      <c r="Z438" s="353"/>
    </row>
    <row r="439" ht="12.0" customHeight="1">
      <c r="A439" s="353"/>
      <c r="B439" s="353"/>
      <c r="C439" s="353"/>
      <c r="D439" s="353"/>
      <c r="E439" s="353"/>
      <c r="F439" s="353"/>
      <c r="G439" s="353"/>
      <c r="H439" s="353"/>
      <c r="I439" s="353"/>
      <c r="J439" s="353"/>
      <c r="K439" s="353"/>
      <c r="L439" s="353"/>
      <c r="M439" s="353"/>
      <c r="N439" s="353"/>
      <c r="O439" s="353"/>
      <c r="P439" s="353"/>
      <c r="Q439" s="353"/>
      <c r="R439" s="353"/>
      <c r="S439" s="353"/>
      <c r="T439" s="353"/>
      <c r="U439" s="353"/>
      <c r="V439" s="353"/>
      <c r="W439" s="353"/>
      <c r="X439" s="353"/>
      <c r="Y439" s="353"/>
      <c r="Z439" s="353"/>
    </row>
    <row r="440" ht="12.0" customHeight="1">
      <c r="A440" s="353"/>
      <c r="B440" s="353"/>
      <c r="C440" s="353"/>
      <c r="D440" s="353"/>
      <c r="E440" s="353"/>
      <c r="F440" s="353"/>
      <c r="G440" s="353"/>
      <c r="H440" s="353"/>
      <c r="I440" s="353"/>
      <c r="J440" s="353"/>
      <c r="K440" s="353"/>
      <c r="L440" s="353"/>
      <c r="M440" s="353"/>
      <c r="N440" s="353"/>
      <c r="O440" s="353"/>
      <c r="P440" s="353"/>
      <c r="Q440" s="353"/>
      <c r="R440" s="353"/>
      <c r="S440" s="353"/>
      <c r="T440" s="353"/>
      <c r="U440" s="353"/>
      <c r="V440" s="353"/>
      <c r="W440" s="353"/>
      <c r="X440" s="353"/>
      <c r="Y440" s="353"/>
      <c r="Z440" s="353"/>
    </row>
    <row r="441" ht="12.0" customHeight="1">
      <c r="A441" s="353"/>
      <c r="B441" s="353"/>
      <c r="C441" s="353"/>
      <c r="D441" s="353"/>
      <c r="E441" s="353"/>
      <c r="F441" s="353"/>
      <c r="G441" s="353"/>
      <c r="H441" s="353"/>
      <c r="I441" s="353"/>
      <c r="J441" s="353"/>
      <c r="K441" s="353"/>
      <c r="L441" s="353"/>
      <c r="M441" s="353"/>
      <c r="N441" s="353"/>
      <c r="O441" s="353"/>
      <c r="P441" s="353"/>
      <c r="Q441" s="353"/>
      <c r="R441" s="353"/>
      <c r="S441" s="353"/>
      <c r="T441" s="353"/>
      <c r="U441" s="353"/>
      <c r="V441" s="353"/>
      <c r="W441" s="353"/>
      <c r="X441" s="353"/>
      <c r="Y441" s="353"/>
      <c r="Z441" s="353"/>
    </row>
    <row r="442" ht="12.0" customHeight="1">
      <c r="A442" s="353"/>
      <c r="B442" s="353"/>
      <c r="C442" s="353"/>
      <c r="D442" s="353"/>
      <c r="E442" s="353"/>
      <c r="F442" s="353"/>
      <c r="G442" s="353"/>
      <c r="H442" s="353"/>
      <c r="I442" s="353"/>
      <c r="J442" s="353"/>
      <c r="K442" s="353"/>
      <c r="L442" s="353"/>
      <c r="M442" s="353"/>
      <c r="N442" s="353"/>
      <c r="O442" s="353"/>
      <c r="P442" s="353"/>
      <c r="Q442" s="353"/>
      <c r="R442" s="353"/>
      <c r="S442" s="353"/>
      <c r="T442" s="353"/>
      <c r="U442" s="353"/>
      <c r="V442" s="353"/>
      <c r="W442" s="353"/>
      <c r="X442" s="353"/>
      <c r="Y442" s="353"/>
      <c r="Z442" s="353"/>
    </row>
    <row r="443" ht="12.0" customHeight="1">
      <c r="A443" s="353"/>
      <c r="B443" s="353"/>
      <c r="C443" s="353"/>
      <c r="D443" s="353"/>
      <c r="E443" s="353"/>
      <c r="F443" s="353"/>
      <c r="G443" s="353"/>
      <c r="H443" s="353"/>
      <c r="I443" s="353"/>
      <c r="J443" s="353"/>
      <c r="K443" s="353"/>
      <c r="L443" s="353"/>
      <c r="M443" s="353"/>
      <c r="N443" s="353"/>
      <c r="O443" s="353"/>
      <c r="P443" s="353"/>
      <c r="Q443" s="353"/>
      <c r="R443" s="353"/>
      <c r="S443" s="353"/>
      <c r="T443" s="353"/>
      <c r="U443" s="353"/>
      <c r="V443" s="353"/>
      <c r="W443" s="353"/>
      <c r="X443" s="353"/>
      <c r="Y443" s="353"/>
      <c r="Z443" s="353"/>
    </row>
    <row r="444" ht="12.0" customHeight="1">
      <c r="A444" s="353"/>
      <c r="B444" s="353"/>
      <c r="C444" s="353"/>
      <c r="D444" s="353"/>
      <c r="E444" s="353"/>
      <c r="F444" s="353"/>
      <c r="G444" s="353"/>
      <c r="H444" s="353"/>
      <c r="I444" s="353"/>
      <c r="J444" s="353"/>
      <c r="K444" s="353"/>
      <c r="L444" s="353"/>
      <c r="M444" s="353"/>
      <c r="N444" s="353"/>
      <c r="O444" s="353"/>
      <c r="P444" s="353"/>
      <c r="Q444" s="353"/>
      <c r="R444" s="353"/>
      <c r="S444" s="353"/>
      <c r="T444" s="353"/>
      <c r="U444" s="353"/>
      <c r="V444" s="353"/>
      <c r="W444" s="353"/>
      <c r="X444" s="353"/>
      <c r="Y444" s="353"/>
      <c r="Z444" s="353"/>
    </row>
    <row r="445" ht="12.0" customHeight="1">
      <c r="A445" s="353"/>
      <c r="B445" s="353"/>
      <c r="C445" s="353"/>
      <c r="D445" s="353"/>
      <c r="E445" s="353"/>
      <c r="F445" s="353"/>
      <c r="G445" s="353"/>
      <c r="H445" s="353"/>
      <c r="I445" s="353"/>
      <c r="J445" s="353"/>
      <c r="K445" s="353"/>
      <c r="L445" s="353"/>
      <c r="M445" s="353"/>
      <c r="N445" s="353"/>
      <c r="O445" s="353"/>
      <c r="P445" s="353"/>
      <c r="Q445" s="353"/>
      <c r="R445" s="353"/>
      <c r="S445" s="353"/>
      <c r="T445" s="353"/>
      <c r="U445" s="353"/>
      <c r="V445" s="353"/>
      <c r="W445" s="353"/>
      <c r="X445" s="353"/>
      <c r="Y445" s="353"/>
      <c r="Z445" s="353"/>
    </row>
    <row r="446" ht="12.0" customHeight="1">
      <c r="A446" s="353"/>
      <c r="B446" s="353"/>
      <c r="C446" s="353"/>
      <c r="D446" s="353"/>
      <c r="E446" s="353"/>
      <c r="F446" s="353"/>
      <c r="G446" s="353"/>
      <c r="H446" s="353"/>
      <c r="I446" s="353"/>
      <c r="J446" s="353"/>
      <c r="K446" s="353"/>
      <c r="L446" s="353"/>
      <c r="M446" s="353"/>
      <c r="N446" s="353"/>
      <c r="O446" s="353"/>
      <c r="P446" s="353"/>
      <c r="Q446" s="353"/>
      <c r="R446" s="353"/>
      <c r="S446" s="353"/>
      <c r="T446" s="353"/>
      <c r="U446" s="353"/>
      <c r="V446" s="353"/>
      <c r="W446" s="353"/>
      <c r="X446" s="353"/>
      <c r="Y446" s="353"/>
      <c r="Z446" s="353"/>
    </row>
    <row r="447" ht="12.0" customHeight="1">
      <c r="A447" s="353"/>
      <c r="B447" s="353"/>
      <c r="C447" s="353"/>
      <c r="D447" s="353"/>
      <c r="E447" s="353"/>
      <c r="F447" s="353"/>
      <c r="G447" s="353"/>
      <c r="H447" s="353"/>
      <c r="I447" s="353"/>
      <c r="J447" s="353"/>
      <c r="K447" s="353"/>
      <c r="L447" s="353"/>
      <c r="M447" s="353"/>
      <c r="N447" s="353"/>
      <c r="O447" s="353"/>
      <c r="P447" s="353"/>
      <c r="Q447" s="353"/>
      <c r="R447" s="353"/>
      <c r="S447" s="353"/>
      <c r="T447" s="353"/>
      <c r="U447" s="353"/>
      <c r="V447" s="353"/>
      <c r="W447" s="353"/>
      <c r="X447" s="353"/>
      <c r="Y447" s="353"/>
      <c r="Z447" s="353"/>
    </row>
    <row r="448" ht="12.0" customHeight="1">
      <c r="A448" s="353"/>
      <c r="B448" s="353"/>
      <c r="C448" s="353"/>
      <c r="D448" s="353"/>
      <c r="E448" s="353"/>
      <c r="F448" s="353"/>
      <c r="G448" s="353"/>
      <c r="H448" s="353"/>
      <c r="I448" s="353"/>
      <c r="J448" s="353"/>
      <c r="K448" s="353"/>
      <c r="L448" s="353"/>
      <c r="M448" s="353"/>
      <c r="N448" s="353"/>
      <c r="O448" s="353"/>
      <c r="P448" s="353"/>
      <c r="Q448" s="353"/>
      <c r="R448" s="353"/>
      <c r="S448" s="353"/>
      <c r="T448" s="353"/>
      <c r="U448" s="353"/>
      <c r="V448" s="353"/>
      <c r="W448" s="353"/>
      <c r="X448" s="353"/>
      <c r="Y448" s="353"/>
      <c r="Z448" s="353"/>
    </row>
    <row r="449" ht="12.0" customHeight="1">
      <c r="A449" s="353"/>
      <c r="B449" s="353"/>
      <c r="C449" s="353"/>
      <c r="D449" s="353"/>
      <c r="E449" s="353"/>
      <c r="F449" s="353"/>
      <c r="G449" s="353"/>
      <c r="H449" s="353"/>
      <c r="I449" s="353"/>
      <c r="J449" s="353"/>
      <c r="K449" s="353"/>
      <c r="L449" s="353"/>
      <c r="M449" s="353"/>
      <c r="N449" s="353"/>
      <c r="O449" s="353"/>
      <c r="P449" s="353"/>
      <c r="Q449" s="353"/>
      <c r="R449" s="353"/>
      <c r="S449" s="353"/>
      <c r="T449" s="353"/>
      <c r="U449" s="353"/>
      <c r="V449" s="353"/>
      <c r="W449" s="353"/>
      <c r="X449" s="353"/>
      <c r="Y449" s="353"/>
      <c r="Z449" s="353"/>
    </row>
    <row r="450" ht="12.0" customHeight="1">
      <c r="A450" s="353"/>
      <c r="B450" s="353"/>
      <c r="C450" s="353"/>
      <c r="D450" s="353"/>
      <c r="E450" s="353"/>
      <c r="F450" s="353"/>
      <c r="G450" s="353"/>
      <c r="H450" s="353"/>
      <c r="I450" s="353"/>
      <c r="J450" s="353"/>
      <c r="K450" s="353"/>
      <c r="L450" s="353"/>
      <c r="M450" s="353"/>
      <c r="N450" s="353"/>
      <c r="O450" s="353"/>
      <c r="P450" s="353"/>
      <c r="Q450" s="353"/>
      <c r="R450" s="353"/>
      <c r="S450" s="353"/>
      <c r="T450" s="353"/>
      <c r="U450" s="353"/>
      <c r="V450" s="353"/>
      <c r="W450" s="353"/>
      <c r="X450" s="353"/>
      <c r="Y450" s="353"/>
      <c r="Z450" s="353"/>
    </row>
    <row r="451" ht="12.0" customHeight="1">
      <c r="A451" s="353"/>
      <c r="B451" s="353"/>
      <c r="C451" s="353"/>
      <c r="D451" s="353"/>
      <c r="E451" s="353"/>
      <c r="F451" s="353"/>
      <c r="G451" s="353"/>
      <c r="H451" s="353"/>
      <c r="I451" s="353"/>
      <c r="J451" s="353"/>
      <c r="K451" s="353"/>
      <c r="L451" s="353"/>
      <c r="M451" s="353"/>
      <c r="N451" s="353"/>
      <c r="O451" s="353"/>
      <c r="P451" s="353"/>
      <c r="Q451" s="353"/>
      <c r="R451" s="353"/>
      <c r="S451" s="353"/>
      <c r="T451" s="353"/>
      <c r="U451" s="353"/>
      <c r="V451" s="353"/>
      <c r="W451" s="353"/>
      <c r="X451" s="353"/>
      <c r="Y451" s="353"/>
      <c r="Z451" s="353"/>
    </row>
    <row r="452" ht="12.0" customHeight="1">
      <c r="A452" s="353"/>
      <c r="B452" s="353"/>
      <c r="C452" s="353"/>
      <c r="D452" s="353"/>
      <c r="E452" s="353"/>
      <c r="F452" s="353"/>
      <c r="G452" s="353"/>
      <c r="H452" s="353"/>
      <c r="I452" s="353"/>
      <c r="J452" s="353"/>
      <c r="K452" s="353"/>
      <c r="L452" s="353"/>
      <c r="M452" s="353"/>
      <c r="N452" s="353"/>
      <c r="O452" s="353"/>
      <c r="P452" s="353"/>
      <c r="Q452" s="353"/>
      <c r="R452" s="353"/>
      <c r="S452" s="353"/>
      <c r="T452" s="353"/>
      <c r="U452" s="353"/>
      <c r="V452" s="353"/>
      <c r="W452" s="353"/>
      <c r="X452" s="353"/>
      <c r="Y452" s="353"/>
      <c r="Z452" s="353"/>
    </row>
    <row r="453" ht="12.0" customHeight="1">
      <c r="A453" s="353"/>
      <c r="B453" s="353"/>
      <c r="C453" s="353"/>
      <c r="D453" s="353"/>
      <c r="E453" s="353"/>
      <c r="F453" s="353"/>
      <c r="G453" s="353"/>
      <c r="H453" s="353"/>
      <c r="I453" s="353"/>
      <c r="J453" s="353"/>
      <c r="K453" s="353"/>
      <c r="L453" s="353"/>
      <c r="M453" s="353"/>
      <c r="N453" s="353"/>
      <c r="O453" s="353"/>
      <c r="P453" s="353"/>
      <c r="Q453" s="353"/>
      <c r="R453" s="353"/>
      <c r="S453" s="353"/>
      <c r="T453" s="353"/>
      <c r="U453" s="353"/>
      <c r="V453" s="353"/>
      <c r="W453" s="353"/>
      <c r="X453" s="353"/>
      <c r="Y453" s="353"/>
      <c r="Z453" s="353"/>
    </row>
    <row r="454" ht="12.0" customHeight="1">
      <c r="A454" s="353"/>
      <c r="B454" s="353"/>
      <c r="C454" s="353"/>
      <c r="D454" s="353"/>
      <c r="E454" s="353"/>
      <c r="F454" s="353"/>
      <c r="G454" s="353"/>
      <c r="H454" s="353"/>
      <c r="I454" s="353"/>
      <c r="J454" s="353"/>
      <c r="K454" s="353"/>
      <c r="L454" s="353"/>
      <c r="M454" s="353"/>
      <c r="N454" s="353"/>
      <c r="O454" s="353"/>
      <c r="P454" s="353"/>
      <c r="Q454" s="353"/>
      <c r="R454" s="353"/>
      <c r="S454" s="353"/>
      <c r="T454" s="353"/>
      <c r="U454" s="353"/>
      <c r="V454" s="353"/>
      <c r="W454" s="353"/>
      <c r="X454" s="353"/>
      <c r="Y454" s="353"/>
      <c r="Z454" s="353"/>
    </row>
    <row r="455" ht="12.0" customHeight="1">
      <c r="A455" s="353"/>
      <c r="B455" s="353"/>
      <c r="C455" s="353"/>
      <c r="D455" s="353"/>
      <c r="E455" s="353"/>
      <c r="F455" s="353"/>
      <c r="G455" s="353"/>
      <c r="H455" s="353"/>
      <c r="I455" s="353"/>
      <c r="J455" s="353"/>
      <c r="K455" s="353"/>
      <c r="L455" s="353"/>
      <c r="M455" s="353"/>
      <c r="N455" s="353"/>
      <c r="O455" s="353"/>
      <c r="P455" s="353"/>
      <c r="Q455" s="353"/>
      <c r="R455" s="353"/>
      <c r="S455" s="353"/>
      <c r="T455" s="353"/>
      <c r="U455" s="353"/>
      <c r="V455" s="353"/>
      <c r="W455" s="353"/>
      <c r="X455" s="353"/>
      <c r="Y455" s="353"/>
      <c r="Z455" s="353"/>
    </row>
    <row r="456" ht="12.0" customHeight="1">
      <c r="A456" s="353"/>
      <c r="B456" s="353"/>
      <c r="C456" s="353"/>
      <c r="D456" s="353"/>
      <c r="E456" s="353"/>
      <c r="F456" s="353"/>
      <c r="G456" s="353"/>
      <c r="H456" s="353"/>
      <c r="I456" s="353"/>
      <c r="J456" s="353"/>
      <c r="K456" s="353"/>
      <c r="L456" s="353"/>
      <c r="M456" s="353"/>
      <c r="N456" s="353"/>
      <c r="O456" s="353"/>
      <c r="P456" s="353"/>
      <c r="Q456" s="353"/>
      <c r="R456" s="353"/>
      <c r="S456" s="353"/>
      <c r="T456" s="353"/>
      <c r="U456" s="353"/>
      <c r="V456" s="353"/>
      <c r="W456" s="353"/>
      <c r="X456" s="353"/>
      <c r="Y456" s="353"/>
      <c r="Z456" s="353"/>
    </row>
    <row r="457" ht="12.0" customHeight="1">
      <c r="A457" s="353"/>
      <c r="B457" s="353"/>
      <c r="C457" s="353"/>
      <c r="D457" s="353"/>
      <c r="E457" s="353"/>
      <c r="F457" s="353"/>
      <c r="G457" s="353"/>
      <c r="H457" s="353"/>
      <c r="I457" s="353"/>
      <c r="J457" s="353"/>
      <c r="K457" s="353"/>
      <c r="L457" s="353"/>
      <c r="M457" s="353"/>
      <c r="N457" s="353"/>
      <c r="O457" s="353"/>
      <c r="P457" s="353"/>
      <c r="Q457" s="353"/>
      <c r="R457" s="353"/>
      <c r="S457" s="353"/>
      <c r="T457" s="353"/>
      <c r="U457" s="353"/>
      <c r="V457" s="353"/>
      <c r="W457" s="353"/>
      <c r="X457" s="353"/>
      <c r="Y457" s="353"/>
      <c r="Z457" s="353"/>
    </row>
    <row r="458" ht="12.0" customHeight="1">
      <c r="A458" s="353"/>
      <c r="B458" s="353"/>
      <c r="C458" s="353"/>
      <c r="D458" s="353"/>
      <c r="E458" s="353"/>
      <c r="F458" s="353"/>
      <c r="G458" s="353"/>
      <c r="H458" s="353"/>
      <c r="I458" s="353"/>
      <c r="J458" s="353"/>
      <c r="K458" s="353"/>
      <c r="L458" s="353"/>
      <c r="M458" s="353"/>
      <c r="N458" s="353"/>
      <c r="O458" s="353"/>
      <c r="P458" s="353"/>
      <c r="Q458" s="353"/>
      <c r="R458" s="353"/>
      <c r="S458" s="353"/>
      <c r="T458" s="353"/>
      <c r="U458" s="353"/>
      <c r="V458" s="353"/>
      <c r="W458" s="353"/>
      <c r="X458" s="353"/>
      <c r="Y458" s="353"/>
      <c r="Z458" s="353"/>
    </row>
    <row r="459" ht="12.0" customHeight="1">
      <c r="A459" s="353"/>
      <c r="B459" s="353"/>
      <c r="C459" s="353"/>
      <c r="D459" s="353"/>
      <c r="E459" s="353"/>
      <c r="F459" s="353"/>
      <c r="G459" s="353"/>
      <c r="H459" s="353"/>
      <c r="I459" s="353"/>
      <c r="J459" s="353"/>
      <c r="K459" s="353"/>
      <c r="L459" s="353"/>
      <c r="M459" s="353"/>
      <c r="N459" s="353"/>
      <c r="O459" s="353"/>
      <c r="P459" s="353"/>
      <c r="Q459" s="353"/>
      <c r="R459" s="353"/>
      <c r="S459" s="353"/>
      <c r="T459" s="353"/>
      <c r="U459" s="353"/>
      <c r="V459" s="353"/>
      <c r="W459" s="353"/>
      <c r="X459" s="353"/>
      <c r="Y459" s="353"/>
      <c r="Z459" s="353"/>
    </row>
    <row r="460" ht="12.0" customHeight="1">
      <c r="A460" s="353"/>
      <c r="B460" s="353"/>
      <c r="C460" s="353"/>
      <c r="D460" s="353"/>
      <c r="E460" s="353"/>
      <c r="F460" s="353"/>
      <c r="G460" s="353"/>
      <c r="H460" s="353"/>
      <c r="I460" s="353"/>
      <c r="J460" s="353"/>
      <c r="K460" s="353"/>
      <c r="L460" s="353"/>
      <c r="M460" s="353"/>
      <c r="N460" s="353"/>
      <c r="O460" s="353"/>
      <c r="P460" s="353"/>
      <c r="Q460" s="353"/>
      <c r="R460" s="353"/>
      <c r="S460" s="353"/>
      <c r="T460" s="353"/>
      <c r="U460" s="353"/>
      <c r="V460" s="353"/>
      <c r="W460" s="353"/>
      <c r="X460" s="353"/>
      <c r="Y460" s="353"/>
      <c r="Z460" s="353"/>
    </row>
    <row r="461" ht="12.0" customHeight="1">
      <c r="A461" s="353"/>
      <c r="B461" s="353"/>
      <c r="C461" s="353"/>
      <c r="D461" s="353"/>
      <c r="E461" s="353"/>
      <c r="F461" s="353"/>
      <c r="G461" s="353"/>
      <c r="H461" s="353"/>
      <c r="I461" s="353"/>
      <c r="J461" s="353"/>
      <c r="K461" s="353"/>
      <c r="L461" s="353"/>
      <c r="M461" s="353"/>
      <c r="N461" s="353"/>
      <c r="O461" s="353"/>
      <c r="P461" s="353"/>
      <c r="Q461" s="353"/>
      <c r="R461" s="353"/>
      <c r="S461" s="353"/>
      <c r="T461" s="353"/>
      <c r="U461" s="353"/>
      <c r="V461" s="353"/>
      <c r="W461" s="353"/>
      <c r="X461" s="353"/>
      <c r="Y461" s="353"/>
      <c r="Z461" s="353"/>
    </row>
    <row r="462" ht="12.0" customHeight="1">
      <c r="A462" s="353"/>
      <c r="B462" s="353"/>
      <c r="C462" s="353"/>
      <c r="D462" s="353"/>
      <c r="E462" s="353"/>
      <c r="F462" s="353"/>
      <c r="G462" s="353"/>
      <c r="H462" s="353"/>
      <c r="I462" s="353"/>
      <c r="J462" s="353"/>
      <c r="K462" s="353"/>
      <c r="L462" s="353"/>
      <c r="M462" s="353"/>
      <c r="N462" s="353"/>
      <c r="O462" s="353"/>
      <c r="P462" s="353"/>
      <c r="Q462" s="353"/>
      <c r="R462" s="353"/>
      <c r="S462" s="353"/>
      <c r="T462" s="353"/>
      <c r="U462" s="353"/>
      <c r="V462" s="353"/>
      <c r="W462" s="353"/>
      <c r="X462" s="353"/>
      <c r="Y462" s="353"/>
      <c r="Z462" s="353"/>
    </row>
    <row r="463" ht="12.0" customHeight="1">
      <c r="A463" s="353"/>
      <c r="B463" s="353"/>
      <c r="C463" s="353"/>
      <c r="D463" s="353"/>
      <c r="E463" s="353"/>
      <c r="F463" s="353"/>
      <c r="G463" s="353"/>
      <c r="H463" s="353"/>
      <c r="I463" s="353"/>
      <c r="J463" s="353"/>
      <c r="K463" s="353"/>
      <c r="L463" s="353"/>
      <c r="M463" s="353"/>
      <c r="N463" s="353"/>
      <c r="O463" s="353"/>
      <c r="P463" s="353"/>
      <c r="Q463" s="353"/>
      <c r="R463" s="353"/>
      <c r="S463" s="353"/>
      <c r="T463" s="353"/>
      <c r="U463" s="353"/>
      <c r="V463" s="353"/>
      <c r="W463" s="353"/>
      <c r="X463" s="353"/>
      <c r="Y463" s="353"/>
      <c r="Z463" s="353"/>
    </row>
    <row r="464" ht="12.0" customHeight="1">
      <c r="A464" s="353"/>
      <c r="B464" s="353"/>
      <c r="C464" s="353"/>
      <c r="D464" s="353"/>
      <c r="E464" s="353"/>
      <c r="F464" s="353"/>
      <c r="G464" s="353"/>
      <c r="H464" s="353"/>
      <c r="I464" s="353"/>
      <c r="J464" s="353"/>
      <c r="K464" s="353"/>
      <c r="L464" s="353"/>
      <c r="M464" s="353"/>
      <c r="N464" s="353"/>
      <c r="O464" s="353"/>
      <c r="P464" s="353"/>
      <c r="Q464" s="353"/>
      <c r="R464" s="353"/>
      <c r="S464" s="353"/>
      <c r="T464" s="353"/>
      <c r="U464" s="353"/>
      <c r="V464" s="353"/>
      <c r="W464" s="353"/>
      <c r="X464" s="353"/>
      <c r="Y464" s="353"/>
      <c r="Z464" s="353"/>
    </row>
    <row r="465" ht="12.0" customHeight="1">
      <c r="A465" s="353"/>
      <c r="B465" s="353"/>
      <c r="C465" s="353"/>
      <c r="D465" s="353"/>
      <c r="E465" s="353"/>
      <c r="F465" s="353"/>
      <c r="G465" s="353"/>
      <c r="H465" s="353"/>
      <c r="I465" s="353"/>
      <c r="J465" s="353"/>
      <c r="K465" s="353"/>
      <c r="L465" s="353"/>
      <c r="M465" s="353"/>
      <c r="N465" s="353"/>
      <c r="O465" s="353"/>
      <c r="P465" s="353"/>
      <c r="Q465" s="353"/>
      <c r="R465" s="353"/>
      <c r="S465" s="353"/>
      <c r="T465" s="353"/>
      <c r="U465" s="353"/>
      <c r="V465" s="353"/>
      <c r="W465" s="353"/>
      <c r="X465" s="353"/>
      <c r="Y465" s="353"/>
      <c r="Z465" s="353"/>
    </row>
    <row r="466" ht="12.0" customHeight="1">
      <c r="A466" s="353"/>
      <c r="B466" s="353"/>
      <c r="C466" s="353"/>
      <c r="D466" s="353"/>
      <c r="E466" s="353"/>
      <c r="F466" s="353"/>
      <c r="G466" s="353"/>
      <c r="H466" s="353"/>
      <c r="I466" s="353"/>
      <c r="J466" s="353"/>
      <c r="K466" s="353"/>
      <c r="L466" s="353"/>
      <c r="M466" s="353"/>
      <c r="N466" s="353"/>
      <c r="O466" s="353"/>
      <c r="P466" s="353"/>
      <c r="Q466" s="353"/>
      <c r="R466" s="353"/>
      <c r="S466" s="353"/>
      <c r="T466" s="353"/>
      <c r="U466" s="353"/>
      <c r="V466" s="353"/>
      <c r="W466" s="353"/>
      <c r="X466" s="353"/>
      <c r="Y466" s="353"/>
      <c r="Z466" s="353"/>
    </row>
    <row r="467" ht="12.0" customHeight="1">
      <c r="A467" s="353"/>
      <c r="B467" s="353"/>
      <c r="C467" s="353"/>
      <c r="D467" s="353"/>
      <c r="E467" s="353"/>
      <c r="F467" s="353"/>
      <c r="G467" s="353"/>
      <c r="H467" s="353"/>
      <c r="I467" s="353"/>
      <c r="J467" s="353"/>
      <c r="K467" s="353"/>
      <c r="L467" s="353"/>
      <c r="M467" s="353"/>
      <c r="N467" s="353"/>
      <c r="O467" s="353"/>
      <c r="P467" s="353"/>
      <c r="Q467" s="353"/>
      <c r="R467" s="353"/>
      <c r="S467" s="353"/>
      <c r="T467" s="353"/>
      <c r="U467" s="353"/>
      <c r="V467" s="353"/>
      <c r="W467" s="353"/>
      <c r="X467" s="353"/>
      <c r="Y467" s="353"/>
      <c r="Z467" s="353"/>
    </row>
    <row r="468" ht="12.0" customHeight="1">
      <c r="A468" s="353"/>
      <c r="B468" s="353"/>
      <c r="C468" s="353"/>
      <c r="D468" s="353"/>
      <c r="E468" s="353"/>
      <c r="F468" s="353"/>
      <c r="G468" s="353"/>
      <c r="H468" s="353"/>
      <c r="I468" s="353"/>
      <c r="J468" s="353"/>
      <c r="K468" s="353"/>
      <c r="L468" s="353"/>
      <c r="M468" s="353"/>
      <c r="N468" s="353"/>
      <c r="O468" s="353"/>
      <c r="P468" s="353"/>
      <c r="Q468" s="353"/>
      <c r="R468" s="353"/>
      <c r="S468" s="353"/>
      <c r="T468" s="353"/>
      <c r="U468" s="353"/>
      <c r="V468" s="353"/>
      <c r="W468" s="353"/>
      <c r="X468" s="353"/>
      <c r="Y468" s="353"/>
      <c r="Z468" s="353"/>
    </row>
    <row r="469" ht="12.0" customHeight="1">
      <c r="A469" s="353"/>
      <c r="B469" s="353"/>
      <c r="C469" s="353"/>
      <c r="D469" s="353"/>
      <c r="E469" s="353"/>
      <c r="F469" s="353"/>
      <c r="G469" s="353"/>
      <c r="H469" s="353"/>
      <c r="I469" s="353"/>
      <c r="J469" s="353"/>
      <c r="K469" s="353"/>
      <c r="L469" s="353"/>
      <c r="M469" s="353"/>
      <c r="N469" s="353"/>
      <c r="O469" s="353"/>
      <c r="P469" s="353"/>
      <c r="Q469" s="353"/>
      <c r="R469" s="353"/>
      <c r="S469" s="353"/>
      <c r="T469" s="353"/>
      <c r="U469" s="353"/>
      <c r="V469" s="353"/>
      <c r="W469" s="353"/>
      <c r="X469" s="353"/>
      <c r="Y469" s="353"/>
      <c r="Z469" s="353"/>
    </row>
    <row r="470" ht="12.0" customHeight="1">
      <c r="A470" s="353"/>
      <c r="B470" s="353"/>
      <c r="C470" s="353"/>
      <c r="D470" s="353"/>
      <c r="E470" s="353"/>
      <c r="F470" s="353"/>
      <c r="G470" s="353"/>
      <c r="H470" s="353"/>
      <c r="I470" s="353"/>
      <c r="J470" s="353"/>
      <c r="K470" s="353"/>
      <c r="L470" s="353"/>
      <c r="M470" s="353"/>
      <c r="N470" s="353"/>
      <c r="O470" s="353"/>
      <c r="P470" s="353"/>
      <c r="Q470" s="353"/>
      <c r="R470" s="353"/>
      <c r="S470" s="353"/>
      <c r="T470" s="353"/>
      <c r="U470" s="353"/>
      <c r="V470" s="353"/>
      <c r="W470" s="353"/>
      <c r="X470" s="353"/>
      <c r="Y470" s="353"/>
      <c r="Z470" s="353"/>
    </row>
    <row r="471" ht="12.0" customHeight="1">
      <c r="A471" s="353"/>
      <c r="B471" s="353"/>
      <c r="C471" s="353"/>
      <c r="D471" s="353"/>
      <c r="E471" s="353"/>
      <c r="F471" s="353"/>
      <c r="G471" s="353"/>
      <c r="H471" s="353"/>
      <c r="I471" s="353"/>
      <c r="J471" s="353"/>
      <c r="K471" s="353"/>
      <c r="L471" s="353"/>
      <c r="M471" s="353"/>
      <c r="N471" s="353"/>
      <c r="O471" s="353"/>
      <c r="P471" s="353"/>
      <c r="Q471" s="353"/>
      <c r="R471" s="353"/>
      <c r="S471" s="353"/>
      <c r="T471" s="353"/>
      <c r="U471" s="353"/>
      <c r="V471" s="353"/>
      <c r="W471" s="353"/>
      <c r="X471" s="353"/>
      <c r="Y471" s="353"/>
      <c r="Z471" s="353"/>
    </row>
    <row r="472" ht="12.0" customHeight="1">
      <c r="A472" s="353"/>
      <c r="B472" s="353"/>
      <c r="C472" s="353"/>
      <c r="D472" s="353"/>
      <c r="E472" s="353"/>
      <c r="F472" s="353"/>
      <c r="G472" s="353"/>
      <c r="H472" s="353"/>
      <c r="I472" s="353"/>
      <c r="J472" s="353"/>
      <c r="K472" s="353"/>
      <c r="L472" s="353"/>
      <c r="M472" s="353"/>
      <c r="N472" s="353"/>
      <c r="O472" s="353"/>
      <c r="P472" s="353"/>
      <c r="Q472" s="353"/>
      <c r="R472" s="353"/>
      <c r="S472" s="353"/>
      <c r="T472" s="353"/>
      <c r="U472" s="353"/>
      <c r="V472" s="353"/>
      <c r="W472" s="353"/>
      <c r="X472" s="353"/>
      <c r="Y472" s="353"/>
      <c r="Z472" s="353"/>
    </row>
    <row r="473" ht="12.0" customHeight="1">
      <c r="A473" s="353"/>
      <c r="B473" s="353"/>
      <c r="C473" s="353"/>
      <c r="D473" s="353"/>
      <c r="E473" s="353"/>
      <c r="F473" s="353"/>
      <c r="G473" s="353"/>
      <c r="H473" s="353"/>
      <c r="I473" s="353"/>
      <c r="J473" s="353"/>
      <c r="K473" s="353"/>
      <c r="L473" s="353"/>
      <c r="M473" s="353"/>
      <c r="N473" s="353"/>
      <c r="O473" s="353"/>
      <c r="P473" s="353"/>
      <c r="Q473" s="353"/>
      <c r="R473" s="353"/>
      <c r="S473" s="353"/>
      <c r="T473" s="353"/>
      <c r="U473" s="353"/>
      <c r="V473" s="353"/>
      <c r="W473" s="353"/>
      <c r="X473" s="353"/>
      <c r="Y473" s="353"/>
      <c r="Z473" s="353"/>
    </row>
    <row r="474" ht="12.0" customHeight="1">
      <c r="A474" s="353"/>
      <c r="B474" s="353"/>
      <c r="C474" s="353"/>
      <c r="D474" s="353"/>
      <c r="E474" s="353"/>
      <c r="F474" s="353"/>
      <c r="G474" s="353"/>
      <c r="H474" s="353"/>
      <c r="I474" s="353"/>
      <c r="J474" s="353"/>
      <c r="K474" s="353"/>
      <c r="L474" s="353"/>
      <c r="M474" s="353"/>
      <c r="N474" s="353"/>
      <c r="O474" s="353"/>
      <c r="P474" s="353"/>
      <c r="Q474" s="353"/>
      <c r="R474" s="353"/>
      <c r="S474" s="353"/>
      <c r="T474" s="353"/>
      <c r="U474" s="353"/>
      <c r="V474" s="353"/>
      <c r="W474" s="353"/>
      <c r="X474" s="353"/>
      <c r="Y474" s="353"/>
      <c r="Z474" s="353"/>
    </row>
    <row r="475" ht="12.0" customHeight="1">
      <c r="A475" s="353"/>
      <c r="B475" s="353"/>
      <c r="C475" s="353"/>
      <c r="D475" s="353"/>
      <c r="E475" s="353"/>
      <c r="F475" s="353"/>
      <c r="G475" s="353"/>
      <c r="H475" s="353"/>
      <c r="I475" s="353"/>
      <c r="J475" s="353"/>
      <c r="K475" s="353"/>
      <c r="L475" s="353"/>
      <c r="M475" s="353"/>
      <c r="N475" s="353"/>
      <c r="O475" s="353"/>
      <c r="P475" s="353"/>
      <c r="Q475" s="353"/>
      <c r="R475" s="353"/>
      <c r="S475" s="353"/>
      <c r="T475" s="353"/>
      <c r="U475" s="353"/>
      <c r="V475" s="353"/>
      <c r="W475" s="353"/>
      <c r="X475" s="353"/>
      <c r="Y475" s="353"/>
      <c r="Z475" s="353"/>
    </row>
    <row r="476" ht="12.0" customHeight="1">
      <c r="A476" s="353"/>
      <c r="B476" s="353"/>
      <c r="C476" s="353"/>
      <c r="D476" s="353"/>
      <c r="E476" s="353"/>
      <c r="F476" s="353"/>
      <c r="G476" s="353"/>
      <c r="H476" s="353"/>
      <c r="I476" s="353"/>
      <c r="J476" s="353"/>
      <c r="K476" s="353"/>
      <c r="L476" s="353"/>
      <c r="M476" s="353"/>
      <c r="N476" s="353"/>
      <c r="O476" s="353"/>
      <c r="P476" s="353"/>
      <c r="Q476" s="353"/>
      <c r="R476" s="353"/>
      <c r="S476" s="353"/>
      <c r="T476" s="353"/>
      <c r="U476" s="353"/>
      <c r="V476" s="353"/>
      <c r="W476" s="353"/>
      <c r="X476" s="353"/>
      <c r="Y476" s="353"/>
      <c r="Z476" s="353"/>
    </row>
    <row r="477" ht="12.0" customHeight="1">
      <c r="A477" s="353"/>
      <c r="B477" s="353"/>
      <c r="C477" s="353"/>
      <c r="D477" s="353"/>
      <c r="E477" s="353"/>
      <c r="F477" s="353"/>
      <c r="G477" s="353"/>
      <c r="H477" s="353"/>
      <c r="I477" s="353"/>
      <c r="J477" s="353"/>
      <c r="K477" s="353"/>
      <c r="L477" s="353"/>
      <c r="M477" s="353"/>
      <c r="N477" s="353"/>
      <c r="O477" s="353"/>
      <c r="P477" s="353"/>
      <c r="Q477" s="353"/>
      <c r="R477" s="353"/>
      <c r="S477" s="353"/>
      <c r="T477" s="353"/>
      <c r="U477" s="353"/>
      <c r="V477" s="353"/>
      <c r="W477" s="353"/>
      <c r="X477" s="353"/>
      <c r="Y477" s="353"/>
      <c r="Z477" s="353"/>
    </row>
    <row r="478" ht="12.0" customHeight="1">
      <c r="A478" s="353"/>
      <c r="B478" s="353"/>
      <c r="C478" s="353"/>
      <c r="D478" s="353"/>
      <c r="E478" s="353"/>
      <c r="F478" s="353"/>
      <c r="G478" s="353"/>
      <c r="H478" s="353"/>
      <c r="I478" s="353"/>
      <c r="J478" s="353"/>
      <c r="K478" s="353"/>
      <c r="L478" s="353"/>
      <c r="M478" s="353"/>
      <c r="N478" s="353"/>
      <c r="O478" s="353"/>
      <c r="P478" s="353"/>
      <c r="Q478" s="353"/>
      <c r="R478" s="353"/>
      <c r="S478" s="353"/>
      <c r="T478" s="353"/>
      <c r="U478" s="353"/>
      <c r="V478" s="353"/>
      <c r="W478" s="353"/>
      <c r="X478" s="353"/>
      <c r="Y478" s="353"/>
      <c r="Z478" s="353"/>
    </row>
    <row r="479" ht="12.0" customHeight="1">
      <c r="A479" s="353"/>
      <c r="B479" s="353"/>
      <c r="C479" s="353"/>
      <c r="D479" s="353"/>
      <c r="E479" s="353"/>
      <c r="F479" s="353"/>
      <c r="G479" s="353"/>
      <c r="H479" s="353"/>
      <c r="I479" s="353"/>
      <c r="J479" s="353"/>
      <c r="K479" s="353"/>
      <c r="L479" s="353"/>
      <c r="M479" s="353"/>
      <c r="N479" s="353"/>
      <c r="O479" s="353"/>
      <c r="P479" s="353"/>
      <c r="Q479" s="353"/>
      <c r="R479" s="353"/>
      <c r="S479" s="353"/>
      <c r="T479" s="353"/>
      <c r="U479" s="353"/>
      <c r="V479" s="353"/>
      <c r="W479" s="353"/>
      <c r="X479" s="353"/>
      <c r="Y479" s="353"/>
      <c r="Z479" s="353"/>
    </row>
    <row r="480" ht="12.0" customHeight="1">
      <c r="A480" s="353"/>
      <c r="B480" s="353"/>
      <c r="C480" s="353"/>
      <c r="D480" s="353"/>
      <c r="E480" s="353"/>
      <c r="F480" s="353"/>
      <c r="G480" s="353"/>
      <c r="H480" s="353"/>
      <c r="I480" s="353"/>
      <c r="J480" s="353"/>
      <c r="K480" s="353"/>
      <c r="L480" s="353"/>
      <c r="M480" s="353"/>
      <c r="N480" s="353"/>
      <c r="O480" s="353"/>
      <c r="P480" s="353"/>
      <c r="Q480" s="353"/>
      <c r="R480" s="353"/>
      <c r="S480" s="353"/>
      <c r="T480" s="353"/>
      <c r="U480" s="353"/>
      <c r="V480" s="353"/>
      <c r="W480" s="353"/>
      <c r="X480" s="353"/>
      <c r="Y480" s="353"/>
      <c r="Z480" s="353"/>
    </row>
    <row r="481" ht="12.0" customHeight="1">
      <c r="A481" s="353"/>
      <c r="B481" s="353"/>
      <c r="C481" s="353"/>
      <c r="D481" s="353"/>
      <c r="E481" s="353"/>
      <c r="F481" s="353"/>
      <c r="G481" s="353"/>
      <c r="H481" s="353"/>
      <c r="I481" s="353"/>
      <c r="J481" s="353"/>
      <c r="K481" s="353"/>
      <c r="L481" s="353"/>
      <c r="M481" s="353"/>
      <c r="N481" s="353"/>
      <c r="O481" s="353"/>
      <c r="P481" s="353"/>
      <c r="Q481" s="353"/>
      <c r="R481" s="353"/>
      <c r="S481" s="353"/>
      <c r="T481" s="353"/>
      <c r="U481" s="353"/>
      <c r="V481" s="353"/>
      <c r="W481" s="353"/>
      <c r="X481" s="353"/>
      <c r="Y481" s="353"/>
      <c r="Z481" s="353"/>
    </row>
    <row r="482" ht="12.0" customHeight="1">
      <c r="A482" s="353"/>
      <c r="B482" s="353"/>
      <c r="C482" s="353"/>
      <c r="D482" s="353"/>
      <c r="E482" s="353"/>
      <c r="F482" s="353"/>
      <c r="G482" s="353"/>
      <c r="H482" s="353"/>
      <c r="I482" s="353"/>
      <c r="J482" s="353"/>
      <c r="K482" s="353"/>
      <c r="L482" s="353"/>
      <c r="M482" s="353"/>
      <c r="N482" s="353"/>
      <c r="O482" s="353"/>
      <c r="P482" s="353"/>
      <c r="Q482" s="353"/>
      <c r="R482" s="353"/>
      <c r="S482" s="353"/>
      <c r="T482" s="353"/>
      <c r="U482" s="353"/>
      <c r="V482" s="353"/>
      <c r="W482" s="353"/>
      <c r="X482" s="353"/>
      <c r="Y482" s="353"/>
      <c r="Z482" s="353"/>
    </row>
    <row r="483" ht="12.0" customHeight="1">
      <c r="A483" s="353"/>
      <c r="B483" s="353"/>
      <c r="C483" s="353"/>
      <c r="D483" s="353"/>
      <c r="E483" s="353"/>
      <c r="F483" s="353"/>
      <c r="G483" s="353"/>
      <c r="H483" s="353"/>
      <c r="I483" s="353"/>
      <c r="J483" s="353"/>
      <c r="K483" s="353"/>
      <c r="L483" s="353"/>
      <c r="M483" s="353"/>
      <c r="N483" s="353"/>
      <c r="O483" s="353"/>
      <c r="P483" s="353"/>
      <c r="Q483" s="353"/>
      <c r="R483" s="353"/>
      <c r="S483" s="353"/>
      <c r="T483" s="353"/>
      <c r="U483" s="353"/>
      <c r="V483" s="353"/>
      <c r="W483" s="353"/>
      <c r="X483" s="353"/>
      <c r="Y483" s="353"/>
      <c r="Z483" s="353"/>
    </row>
    <row r="484" ht="12.0" customHeight="1">
      <c r="A484" s="353"/>
      <c r="B484" s="353"/>
      <c r="C484" s="353"/>
      <c r="D484" s="353"/>
      <c r="E484" s="353"/>
      <c r="F484" s="353"/>
      <c r="G484" s="353"/>
      <c r="H484" s="353"/>
      <c r="I484" s="353"/>
      <c r="J484" s="353"/>
      <c r="K484" s="353"/>
      <c r="L484" s="353"/>
      <c r="M484" s="353"/>
      <c r="N484" s="353"/>
      <c r="O484" s="353"/>
      <c r="P484" s="353"/>
      <c r="Q484" s="353"/>
      <c r="R484" s="353"/>
      <c r="S484" s="353"/>
      <c r="T484" s="353"/>
      <c r="U484" s="353"/>
      <c r="V484" s="353"/>
      <c r="W484" s="353"/>
      <c r="X484" s="353"/>
      <c r="Y484" s="353"/>
      <c r="Z484" s="353"/>
    </row>
    <row r="485" ht="12.0" customHeight="1">
      <c r="A485" s="353"/>
      <c r="B485" s="353"/>
      <c r="C485" s="353"/>
      <c r="D485" s="353"/>
      <c r="E485" s="353"/>
      <c r="F485" s="353"/>
      <c r="G485" s="353"/>
      <c r="H485" s="353"/>
      <c r="I485" s="353"/>
      <c r="J485" s="353"/>
      <c r="K485" s="353"/>
      <c r="L485" s="353"/>
      <c r="M485" s="353"/>
      <c r="N485" s="353"/>
      <c r="O485" s="353"/>
      <c r="P485" s="353"/>
      <c r="Q485" s="353"/>
      <c r="R485" s="353"/>
      <c r="S485" s="353"/>
      <c r="T485" s="353"/>
      <c r="U485" s="353"/>
      <c r="V485" s="353"/>
      <c r="W485" s="353"/>
      <c r="X485" s="353"/>
      <c r="Y485" s="353"/>
      <c r="Z485" s="353"/>
    </row>
    <row r="486" ht="12.0" customHeight="1">
      <c r="A486" s="353"/>
      <c r="B486" s="353"/>
      <c r="C486" s="353"/>
      <c r="D486" s="353"/>
      <c r="E486" s="353"/>
      <c r="F486" s="353"/>
      <c r="G486" s="353"/>
      <c r="H486" s="353"/>
      <c r="I486" s="353"/>
      <c r="J486" s="353"/>
      <c r="K486" s="353"/>
      <c r="L486" s="353"/>
      <c r="M486" s="353"/>
      <c r="N486" s="353"/>
      <c r="O486" s="353"/>
      <c r="P486" s="353"/>
      <c r="Q486" s="353"/>
      <c r="R486" s="353"/>
      <c r="S486" s="353"/>
      <c r="T486" s="353"/>
      <c r="U486" s="353"/>
      <c r="V486" s="353"/>
      <c r="W486" s="353"/>
      <c r="X486" s="353"/>
      <c r="Y486" s="353"/>
      <c r="Z486" s="353"/>
    </row>
    <row r="487" ht="12.0" customHeight="1">
      <c r="A487" s="353"/>
      <c r="B487" s="353"/>
      <c r="C487" s="353"/>
      <c r="D487" s="353"/>
      <c r="E487" s="353"/>
      <c r="F487" s="353"/>
      <c r="G487" s="353"/>
      <c r="H487" s="353"/>
      <c r="I487" s="353"/>
      <c r="J487" s="353"/>
      <c r="K487" s="353"/>
      <c r="L487" s="353"/>
      <c r="M487" s="353"/>
      <c r="N487" s="353"/>
      <c r="O487" s="353"/>
      <c r="P487" s="353"/>
      <c r="Q487" s="353"/>
      <c r="R487" s="353"/>
      <c r="S487" s="353"/>
      <c r="T487" s="353"/>
      <c r="U487" s="353"/>
      <c r="V487" s="353"/>
      <c r="W487" s="353"/>
      <c r="X487" s="353"/>
      <c r="Y487" s="353"/>
      <c r="Z487" s="353"/>
    </row>
    <row r="488" ht="12.0" customHeight="1">
      <c r="A488" s="353"/>
      <c r="B488" s="353"/>
      <c r="C488" s="353"/>
      <c r="D488" s="353"/>
      <c r="E488" s="353"/>
      <c r="F488" s="353"/>
      <c r="G488" s="353"/>
      <c r="H488" s="353"/>
      <c r="I488" s="353"/>
      <c r="J488" s="353"/>
      <c r="K488" s="353"/>
      <c r="L488" s="353"/>
      <c r="M488" s="353"/>
      <c r="N488" s="353"/>
      <c r="O488" s="353"/>
      <c r="P488" s="353"/>
      <c r="Q488" s="353"/>
      <c r="R488" s="353"/>
      <c r="S488" s="353"/>
      <c r="T488" s="353"/>
      <c r="U488" s="353"/>
      <c r="V488" s="353"/>
      <c r="W488" s="353"/>
      <c r="X488" s="353"/>
      <c r="Y488" s="353"/>
      <c r="Z488" s="353"/>
    </row>
    <row r="489" ht="12.0" customHeight="1">
      <c r="A489" s="353"/>
      <c r="B489" s="353"/>
      <c r="C489" s="353"/>
      <c r="D489" s="353"/>
      <c r="E489" s="353"/>
      <c r="F489" s="353"/>
      <c r="G489" s="353"/>
      <c r="H489" s="353"/>
      <c r="I489" s="353"/>
      <c r="J489" s="353"/>
      <c r="K489" s="353"/>
      <c r="L489" s="353"/>
      <c r="M489" s="353"/>
      <c r="N489" s="353"/>
      <c r="O489" s="353"/>
      <c r="P489" s="353"/>
      <c r="Q489" s="353"/>
      <c r="R489" s="353"/>
      <c r="S489" s="353"/>
      <c r="T489" s="353"/>
      <c r="U489" s="353"/>
      <c r="V489" s="353"/>
      <c r="W489" s="353"/>
      <c r="X489" s="353"/>
      <c r="Y489" s="353"/>
      <c r="Z489" s="353"/>
    </row>
    <row r="490" ht="12.0" customHeight="1">
      <c r="A490" s="353"/>
      <c r="B490" s="353"/>
      <c r="C490" s="353"/>
      <c r="D490" s="353"/>
      <c r="E490" s="353"/>
      <c r="F490" s="353"/>
      <c r="G490" s="353"/>
      <c r="H490" s="353"/>
      <c r="I490" s="353"/>
      <c r="J490" s="353"/>
      <c r="K490" s="353"/>
      <c r="L490" s="353"/>
      <c r="M490" s="353"/>
      <c r="N490" s="353"/>
      <c r="O490" s="353"/>
      <c r="P490" s="353"/>
      <c r="Q490" s="353"/>
      <c r="R490" s="353"/>
      <c r="S490" s="353"/>
      <c r="T490" s="353"/>
      <c r="U490" s="353"/>
      <c r="V490" s="353"/>
      <c r="W490" s="353"/>
      <c r="X490" s="353"/>
      <c r="Y490" s="353"/>
      <c r="Z490" s="353"/>
    </row>
    <row r="491" ht="12.0" customHeight="1">
      <c r="A491" s="353"/>
      <c r="B491" s="353"/>
      <c r="C491" s="353"/>
      <c r="D491" s="353"/>
      <c r="E491" s="353"/>
      <c r="F491" s="353"/>
      <c r="G491" s="353"/>
      <c r="H491" s="353"/>
      <c r="I491" s="353"/>
      <c r="J491" s="353"/>
      <c r="K491" s="353"/>
      <c r="L491" s="353"/>
      <c r="M491" s="353"/>
      <c r="N491" s="353"/>
      <c r="O491" s="353"/>
      <c r="P491" s="353"/>
      <c r="Q491" s="353"/>
      <c r="R491" s="353"/>
      <c r="S491" s="353"/>
      <c r="T491" s="353"/>
      <c r="U491" s="353"/>
      <c r="V491" s="353"/>
      <c r="W491" s="353"/>
      <c r="X491" s="353"/>
      <c r="Y491" s="353"/>
      <c r="Z491" s="353"/>
    </row>
    <row r="492" ht="12.0" customHeight="1">
      <c r="A492" s="353"/>
      <c r="B492" s="353"/>
      <c r="C492" s="353"/>
      <c r="D492" s="353"/>
      <c r="E492" s="353"/>
      <c r="F492" s="353"/>
      <c r="G492" s="353"/>
      <c r="H492" s="353"/>
      <c r="I492" s="353"/>
      <c r="J492" s="353"/>
      <c r="K492" s="353"/>
      <c r="L492" s="353"/>
      <c r="M492" s="353"/>
      <c r="N492" s="353"/>
      <c r="O492" s="353"/>
      <c r="P492" s="353"/>
      <c r="Q492" s="353"/>
      <c r="R492" s="353"/>
      <c r="S492" s="353"/>
      <c r="T492" s="353"/>
      <c r="U492" s="353"/>
      <c r="V492" s="353"/>
      <c r="W492" s="353"/>
      <c r="X492" s="353"/>
      <c r="Y492" s="353"/>
      <c r="Z492" s="353"/>
    </row>
    <row r="493" ht="12.0" customHeight="1">
      <c r="A493" s="353"/>
      <c r="B493" s="353"/>
      <c r="C493" s="353"/>
      <c r="D493" s="353"/>
      <c r="E493" s="353"/>
      <c r="F493" s="353"/>
      <c r="G493" s="353"/>
      <c r="H493" s="353"/>
      <c r="I493" s="353"/>
      <c r="J493" s="353"/>
      <c r="K493" s="353"/>
      <c r="L493" s="353"/>
      <c r="M493" s="353"/>
      <c r="N493" s="353"/>
      <c r="O493" s="353"/>
      <c r="P493" s="353"/>
      <c r="Q493" s="353"/>
      <c r="R493" s="353"/>
      <c r="S493" s="353"/>
      <c r="T493" s="353"/>
      <c r="U493" s="353"/>
      <c r="V493" s="353"/>
      <c r="W493" s="353"/>
      <c r="X493" s="353"/>
      <c r="Y493" s="353"/>
      <c r="Z493" s="353"/>
    </row>
    <row r="494" ht="12.0" customHeight="1">
      <c r="A494" s="353"/>
      <c r="B494" s="353"/>
      <c r="C494" s="353"/>
      <c r="D494" s="353"/>
      <c r="E494" s="353"/>
      <c r="F494" s="353"/>
      <c r="G494" s="353"/>
      <c r="H494" s="353"/>
      <c r="I494" s="353"/>
      <c r="J494" s="353"/>
      <c r="K494" s="353"/>
      <c r="L494" s="353"/>
      <c r="M494" s="353"/>
      <c r="N494" s="353"/>
      <c r="O494" s="353"/>
      <c r="P494" s="353"/>
      <c r="Q494" s="353"/>
      <c r="R494" s="353"/>
      <c r="S494" s="353"/>
      <c r="T494" s="353"/>
      <c r="U494" s="353"/>
      <c r="V494" s="353"/>
      <c r="W494" s="353"/>
      <c r="X494" s="353"/>
      <c r="Y494" s="353"/>
      <c r="Z494" s="353"/>
    </row>
    <row r="495" ht="12.0" customHeight="1">
      <c r="A495" s="353"/>
      <c r="B495" s="353"/>
      <c r="C495" s="353"/>
      <c r="D495" s="353"/>
      <c r="E495" s="353"/>
      <c r="F495" s="353"/>
      <c r="G495" s="353"/>
      <c r="H495" s="353"/>
      <c r="I495" s="353"/>
      <c r="J495" s="353"/>
      <c r="K495" s="353"/>
      <c r="L495" s="353"/>
      <c r="M495" s="353"/>
      <c r="N495" s="353"/>
      <c r="O495" s="353"/>
      <c r="P495" s="353"/>
      <c r="Q495" s="353"/>
      <c r="R495" s="353"/>
      <c r="S495" s="353"/>
      <c r="T495" s="353"/>
      <c r="U495" s="353"/>
      <c r="V495" s="353"/>
      <c r="W495" s="353"/>
      <c r="X495" s="353"/>
      <c r="Y495" s="353"/>
      <c r="Z495" s="353"/>
    </row>
    <row r="496" ht="12.0" customHeight="1">
      <c r="A496" s="353"/>
      <c r="B496" s="353"/>
      <c r="C496" s="353"/>
      <c r="D496" s="353"/>
      <c r="E496" s="353"/>
      <c r="F496" s="353"/>
      <c r="G496" s="353"/>
      <c r="H496" s="353"/>
      <c r="I496" s="353"/>
      <c r="J496" s="353"/>
      <c r="K496" s="353"/>
      <c r="L496" s="353"/>
      <c r="M496" s="353"/>
      <c r="N496" s="353"/>
      <c r="O496" s="353"/>
      <c r="P496" s="353"/>
      <c r="Q496" s="353"/>
      <c r="R496" s="353"/>
      <c r="S496" s="353"/>
      <c r="T496" s="353"/>
      <c r="U496" s="353"/>
      <c r="V496" s="353"/>
      <c r="W496" s="353"/>
      <c r="X496" s="353"/>
      <c r="Y496" s="353"/>
      <c r="Z496" s="353"/>
    </row>
    <row r="497" ht="12.0" customHeight="1">
      <c r="A497" s="353"/>
      <c r="B497" s="353"/>
      <c r="C497" s="353"/>
      <c r="D497" s="353"/>
      <c r="E497" s="353"/>
      <c r="F497" s="353"/>
      <c r="G497" s="353"/>
      <c r="H497" s="353"/>
      <c r="I497" s="353"/>
      <c r="J497" s="353"/>
      <c r="K497" s="353"/>
      <c r="L497" s="353"/>
      <c r="M497" s="353"/>
      <c r="N497" s="353"/>
      <c r="O497" s="353"/>
      <c r="P497" s="353"/>
      <c r="Q497" s="353"/>
      <c r="R497" s="353"/>
      <c r="S497" s="353"/>
      <c r="T497" s="353"/>
      <c r="U497" s="353"/>
      <c r="V497" s="353"/>
      <c r="W497" s="353"/>
      <c r="X497" s="353"/>
      <c r="Y497" s="353"/>
      <c r="Z497" s="353"/>
    </row>
    <row r="498" ht="12.0" customHeight="1">
      <c r="A498" s="353"/>
      <c r="B498" s="353"/>
      <c r="C498" s="353"/>
      <c r="D498" s="353"/>
      <c r="E498" s="353"/>
      <c r="F498" s="353"/>
      <c r="G498" s="353"/>
      <c r="H498" s="353"/>
      <c r="I498" s="353"/>
      <c r="J498" s="353"/>
      <c r="K498" s="353"/>
      <c r="L498" s="353"/>
      <c r="M498" s="353"/>
      <c r="N498" s="353"/>
      <c r="O498" s="353"/>
      <c r="P498" s="353"/>
      <c r="Q498" s="353"/>
      <c r="R498" s="353"/>
      <c r="S498" s="353"/>
      <c r="T498" s="353"/>
      <c r="U498" s="353"/>
      <c r="V498" s="353"/>
      <c r="W498" s="353"/>
      <c r="X498" s="353"/>
      <c r="Y498" s="353"/>
      <c r="Z498" s="353"/>
    </row>
    <row r="499" ht="12.0" customHeight="1">
      <c r="A499" s="353"/>
      <c r="B499" s="353"/>
      <c r="C499" s="353"/>
      <c r="D499" s="353"/>
      <c r="E499" s="353"/>
      <c r="F499" s="353"/>
      <c r="G499" s="353"/>
      <c r="H499" s="353"/>
      <c r="I499" s="353"/>
      <c r="J499" s="353"/>
      <c r="K499" s="353"/>
      <c r="L499" s="353"/>
      <c r="M499" s="353"/>
      <c r="N499" s="353"/>
      <c r="O499" s="353"/>
      <c r="P499" s="353"/>
      <c r="Q499" s="353"/>
      <c r="R499" s="353"/>
      <c r="S499" s="353"/>
      <c r="T499" s="353"/>
      <c r="U499" s="353"/>
      <c r="V499" s="353"/>
      <c r="W499" s="353"/>
      <c r="X499" s="353"/>
      <c r="Y499" s="353"/>
      <c r="Z499" s="353"/>
    </row>
    <row r="500" ht="12.0" customHeight="1">
      <c r="A500" s="353"/>
      <c r="B500" s="353"/>
      <c r="C500" s="353"/>
      <c r="D500" s="353"/>
      <c r="E500" s="353"/>
      <c r="F500" s="353"/>
      <c r="G500" s="353"/>
      <c r="H500" s="353"/>
      <c r="I500" s="353"/>
      <c r="J500" s="353"/>
      <c r="K500" s="353"/>
      <c r="L500" s="353"/>
      <c r="M500" s="353"/>
      <c r="N500" s="353"/>
      <c r="O500" s="353"/>
      <c r="P500" s="353"/>
      <c r="Q500" s="353"/>
      <c r="R500" s="353"/>
      <c r="S500" s="353"/>
      <c r="T500" s="353"/>
      <c r="U500" s="353"/>
      <c r="V500" s="353"/>
      <c r="W500" s="353"/>
      <c r="X500" s="353"/>
      <c r="Y500" s="353"/>
      <c r="Z500" s="353"/>
    </row>
    <row r="501" ht="12.0" customHeight="1">
      <c r="A501" s="353"/>
      <c r="B501" s="353"/>
      <c r="C501" s="353"/>
      <c r="D501" s="353"/>
      <c r="E501" s="353"/>
      <c r="F501" s="353"/>
      <c r="G501" s="353"/>
      <c r="H501" s="353"/>
      <c r="I501" s="353"/>
      <c r="J501" s="353"/>
      <c r="K501" s="353"/>
      <c r="L501" s="353"/>
      <c r="M501" s="353"/>
      <c r="N501" s="353"/>
      <c r="O501" s="353"/>
      <c r="P501" s="353"/>
      <c r="Q501" s="353"/>
      <c r="R501" s="353"/>
      <c r="S501" s="353"/>
      <c r="T501" s="353"/>
      <c r="U501" s="353"/>
      <c r="V501" s="353"/>
      <c r="W501" s="353"/>
      <c r="X501" s="353"/>
      <c r="Y501" s="353"/>
      <c r="Z501" s="353"/>
    </row>
    <row r="502" ht="12.0" customHeight="1">
      <c r="A502" s="353"/>
      <c r="B502" s="353"/>
      <c r="C502" s="353"/>
      <c r="D502" s="353"/>
      <c r="E502" s="353"/>
      <c r="F502" s="353"/>
      <c r="G502" s="353"/>
      <c r="H502" s="353"/>
      <c r="I502" s="353"/>
      <c r="J502" s="353"/>
      <c r="K502" s="353"/>
      <c r="L502" s="353"/>
      <c r="M502" s="353"/>
      <c r="N502" s="353"/>
      <c r="O502" s="353"/>
      <c r="P502" s="353"/>
      <c r="Q502" s="353"/>
      <c r="R502" s="353"/>
      <c r="S502" s="353"/>
      <c r="T502" s="353"/>
      <c r="U502" s="353"/>
      <c r="V502" s="353"/>
      <c r="W502" s="353"/>
      <c r="X502" s="353"/>
      <c r="Y502" s="353"/>
      <c r="Z502" s="353"/>
    </row>
    <row r="503" ht="12.0" customHeight="1">
      <c r="A503" s="353"/>
      <c r="B503" s="353"/>
      <c r="C503" s="353"/>
      <c r="D503" s="353"/>
      <c r="E503" s="353"/>
      <c r="F503" s="353"/>
      <c r="G503" s="353"/>
      <c r="H503" s="353"/>
      <c r="I503" s="353"/>
      <c r="J503" s="353"/>
      <c r="K503" s="353"/>
      <c r="L503" s="353"/>
      <c r="M503" s="353"/>
      <c r="N503" s="353"/>
      <c r="O503" s="353"/>
      <c r="P503" s="353"/>
      <c r="Q503" s="353"/>
      <c r="R503" s="353"/>
      <c r="S503" s="353"/>
      <c r="T503" s="353"/>
      <c r="U503" s="353"/>
      <c r="V503" s="353"/>
      <c r="W503" s="353"/>
      <c r="X503" s="353"/>
      <c r="Y503" s="353"/>
      <c r="Z503" s="353"/>
    </row>
    <row r="504" ht="12.0" customHeight="1">
      <c r="A504" s="353"/>
      <c r="B504" s="353"/>
      <c r="C504" s="353"/>
      <c r="D504" s="353"/>
      <c r="E504" s="353"/>
      <c r="F504" s="353"/>
      <c r="G504" s="353"/>
      <c r="H504" s="353"/>
      <c r="I504" s="353"/>
      <c r="J504" s="353"/>
      <c r="K504" s="353"/>
      <c r="L504" s="353"/>
      <c r="M504" s="353"/>
      <c r="N504" s="353"/>
      <c r="O504" s="353"/>
      <c r="P504" s="353"/>
      <c r="Q504" s="353"/>
      <c r="R504" s="353"/>
      <c r="S504" s="353"/>
      <c r="T504" s="353"/>
      <c r="U504" s="353"/>
      <c r="V504" s="353"/>
      <c r="W504" s="353"/>
      <c r="X504" s="353"/>
      <c r="Y504" s="353"/>
      <c r="Z504" s="353"/>
    </row>
    <row r="505" ht="12.0" customHeight="1">
      <c r="A505" s="353"/>
      <c r="B505" s="353"/>
      <c r="C505" s="353"/>
      <c r="D505" s="353"/>
      <c r="E505" s="353"/>
      <c r="F505" s="353"/>
      <c r="G505" s="353"/>
      <c r="H505" s="353"/>
      <c r="I505" s="353"/>
      <c r="J505" s="353"/>
      <c r="K505" s="353"/>
      <c r="L505" s="353"/>
      <c r="M505" s="353"/>
      <c r="N505" s="353"/>
      <c r="O505" s="353"/>
      <c r="P505" s="353"/>
      <c r="Q505" s="353"/>
      <c r="R505" s="353"/>
      <c r="S505" s="353"/>
      <c r="T505" s="353"/>
      <c r="U505" s="353"/>
      <c r="V505" s="353"/>
      <c r="W505" s="353"/>
      <c r="X505" s="353"/>
      <c r="Y505" s="353"/>
      <c r="Z505" s="353"/>
    </row>
    <row r="506" ht="12.0" customHeight="1">
      <c r="A506" s="353"/>
      <c r="B506" s="353"/>
      <c r="C506" s="353"/>
      <c r="D506" s="353"/>
      <c r="E506" s="353"/>
      <c r="F506" s="353"/>
      <c r="G506" s="353"/>
      <c r="H506" s="353"/>
      <c r="I506" s="353"/>
      <c r="J506" s="353"/>
      <c r="K506" s="353"/>
      <c r="L506" s="353"/>
      <c r="M506" s="353"/>
      <c r="N506" s="353"/>
      <c r="O506" s="353"/>
      <c r="P506" s="353"/>
      <c r="Q506" s="353"/>
      <c r="R506" s="353"/>
      <c r="S506" s="353"/>
      <c r="T506" s="353"/>
      <c r="U506" s="353"/>
      <c r="V506" s="353"/>
      <c r="W506" s="353"/>
      <c r="X506" s="353"/>
      <c r="Y506" s="353"/>
      <c r="Z506" s="353"/>
    </row>
    <row r="507" ht="12.0" customHeight="1">
      <c r="A507" s="353"/>
      <c r="B507" s="353"/>
      <c r="C507" s="353"/>
      <c r="D507" s="353"/>
      <c r="E507" s="353"/>
      <c r="F507" s="353"/>
      <c r="G507" s="353"/>
      <c r="H507" s="353"/>
      <c r="I507" s="353"/>
      <c r="J507" s="353"/>
      <c r="K507" s="353"/>
      <c r="L507" s="353"/>
      <c r="M507" s="353"/>
      <c r="N507" s="353"/>
      <c r="O507" s="353"/>
      <c r="P507" s="353"/>
      <c r="Q507" s="353"/>
      <c r="R507" s="353"/>
      <c r="S507" s="353"/>
      <c r="T507" s="353"/>
      <c r="U507" s="353"/>
      <c r="V507" s="353"/>
      <c r="W507" s="353"/>
      <c r="X507" s="353"/>
      <c r="Y507" s="353"/>
      <c r="Z507" s="353"/>
    </row>
    <row r="508" ht="12.0" customHeight="1">
      <c r="A508" s="353"/>
      <c r="B508" s="353"/>
      <c r="C508" s="353"/>
      <c r="D508" s="353"/>
      <c r="E508" s="353"/>
      <c r="F508" s="353"/>
      <c r="G508" s="353"/>
      <c r="H508" s="353"/>
      <c r="I508" s="353"/>
      <c r="J508" s="353"/>
      <c r="K508" s="353"/>
      <c r="L508" s="353"/>
      <c r="M508" s="353"/>
      <c r="N508" s="353"/>
      <c r="O508" s="353"/>
      <c r="P508" s="353"/>
      <c r="Q508" s="353"/>
      <c r="R508" s="353"/>
      <c r="S508" s="353"/>
      <c r="T508" s="353"/>
      <c r="U508" s="353"/>
      <c r="V508" s="353"/>
      <c r="W508" s="353"/>
      <c r="X508" s="353"/>
      <c r="Y508" s="353"/>
      <c r="Z508" s="353"/>
    </row>
    <row r="509" ht="12.0" customHeight="1">
      <c r="A509" s="353"/>
      <c r="B509" s="353"/>
      <c r="C509" s="353"/>
      <c r="D509" s="353"/>
      <c r="E509" s="353"/>
      <c r="F509" s="353"/>
      <c r="G509" s="353"/>
      <c r="H509" s="353"/>
      <c r="I509" s="353"/>
      <c r="J509" s="353"/>
      <c r="K509" s="353"/>
      <c r="L509" s="353"/>
      <c r="M509" s="353"/>
      <c r="N509" s="353"/>
      <c r="O509" s="353"/>
      <c r="P509" s="353"/>
      <c r="Q509" s="353"/>
      <c r="R509" s="353"/>
      <c r="S509" s="353"/>
      <c r="T509" s="353"/>
      <c r="U509" s="353"/>
      <c r="V509" s="353"/>
      <c r="W509" s="353"/>
      <c r="X509" s="353"/>
      <c r="Y509" s="353"/>
      <c r="Z509" s="353"/>
    </row>
    <row r="510" ht="12.0" customHeight="1">
      <c r="A510" s="353"/>
      <c r="B510" s="353"/>
      <c r="C510" s="353"/>
      <c r="D510" s="353"/>
      <c r="E510" s="353"/>
      <c r="F510" s="353"/>
      <c r="G510" s="353"/>
      <c r="H510" s="353"/>
      <c r="I510" s="353"/>
      <c r="J510" s="353"/>
      <c r="K510" s="353"/>
      <c r="L510" s="353"/>
      <c r="M510" s="353"/>
      <c r="N510" s="353"/>
      <c r="O510" s="353"/>
      <c r="P510" s="353"/>
      <c r="Q510" s="353"/>
      <c r="R510" s="353"/>
      <c r="S510" s="353"/>
      <c r="T510" s="353"/>
      <c r="U510" s="353"/>
      <c r="V510" s="353"/>
      <c r="W510" s="353"/>
      <c r="X510" s="353"/>
      <c r="Y510" s="353"/>
      <c r="Z510" s="353"/>
    </row>
    <row r="511" ht="12.0" customHeight="1">
      <c r="A511" s="353"/>
      <c r="B511" s="353"/>
      <c r="C511" s="353"/>
      <c r="D511" s="353"/>
      <c r="E511" s="353"/>
      <c r="F511" s="353"/>
      <c r="G511" s="353"/>
      <c r="H511" s="353"/>
      <c r="I511" s="353"/>
      <c r="J511" s="353"/>
      <c r="K511" s="353"/>
      <c r="L511" s="353"/>
      <c r="M511" s="353"/>
      <c r="N511" s="353"/>
      <c r="O511" s="353"/>
      <c r="P511" s="353"/>
      <c r="Q511" s="353"/>
      <c r="R511" s="353"/>
      <c r="S511" s="353"/>
      <c r="T511" s="353"/>
      <c r="U511" s="353"/>
      <c r="V511" s="353"/>
      <c r="W511" s="353"/>
      <c r="X511" s="353"/>
      <c r="Y511" s="353"/>
      <c r="Z511" s="353"/>
    </row>
    <row r="512" ht="12.0" customHeight="1">
      <c r="A512" s="353"/>
      <c r="B512" s="353"/>
      <c r="C512" s="353"/>
      <c r="D512" s="353"/>
      <c r="E512" s="353"/>
      <c r="F512" s="353"/>
      <c r="G512" s="353"/>
      <c r="H512" s="353"/>
      <c r="I512" s="353"/>
      <c r="J512" s="353"/>
      <c r="K512" s="353"/>
      <c r="L512" s="353"/>
      <c r="M512" s="353"/>
      <c r="N512" s="353"/>
      <c r="O512" s="353"/>
      <c r="P512" s="353"/>
      <c r="Q512" s="353"/>
      <c r="R512" s="353"/>
      <c r="S512" s="353"/>
      <c r="T512" s="353"/>
      <c r="U512" s="353"/>
      <c r="V512" s="353"/>
      <c r="W512" s="353"/>
      <c r="X512" s="353"/>
      <c r="Y512" s="353"/>
      <c r="Z512" s="353"/>
    </row>
    <row r="513" ht="12.0" customHeight="1">
      <c r="A513" s="353"/>
      <c r="B513" s="353"/>
      <c r="C513" s="353"/>
      <c r="D513" s="353"/>
      <c r="E513" s="353"/>
      <c r="F513" s="353"/>
      <c r="G513" s="353"/>
      <c r="H513" s="353"/>
      <c r="I513" s="353"/>
      <c r="J513" s="353"/>
      <c r="K513" s="353"/>
      <c r="L513" s="353"/>
      <c r="M513" s="353"/>
      <c r="N513" s="353"/>
      <c r="O513" s="353"/>
      <c r="P513" s="353"/>
      <c r="Q513" s="353"/>
      <c r="R513" s="353"/>
      <c r="S513" s="353"/>
      <c r="T513" s="353"/>
      <c r="U513" s="353"/>
      <c r="V513" s="353"/>
      <c r="W513" s="353"/>
      <c r="X513" s="353"/>
      <c r="Y513" s="353"/>
      <c r="Z513" s="353"/>
    </row>
    <row r="514" ht="12.0" customHeight="1">
      <c r="A514" s="353"/>
      <c r="B514" s="353"/>
      <c r="C514" s="353"/>
      <c r="D514" s="353"/>
      <c r="E514" s="353"/>
      <c r="F514" s="353"/>
      <c r="G514" s="353"/>
      <c r="H514" s="353"/>
      <c r="I514" s="353"/>
      <c r="J514" s="353"/>
      <c r="K514" s="353"/>
      <c r="L514" s="353"/>
      <c r="M514" s="353"/>
      <c r="N514" s="353"/>
      <c r="O514" s="353"/>
      <c r="P514" s="353"/>
      <c r="Q514" s="353"/>
      <c r="R514" s="353"/>
      <c r="S514" s="353"/>
      <c r="T514" s="353"/>
      <c r="U514" s="353"/>
      <c r="V514" s="353"/>
      <c r="W514" s="353"/>
      <c r="X514" s="353"/>
      <c r="Y514" s="353"/>
      <c r="Z514" s="353"/>
    </row>
    <row r="515" ht="12.0" customHeight="1">
      <c r="A515" s="353"/>
      <c r="B515" s="353"/>
      <c r="C515" s="353"/>
      <c r="D515" s="353"/>
      <c r="E515" s="353"/>
      <c r="F515" s="353"/>
      <c r="G515" s="353"/>
      <c r="H515" s="353"/>
      <c r="I515" s="353"/>
      <c r="J515" s="353"/>
      <c r="K515" s="353"/>
      <c r="L515" s="353"/>
      <c r="M515" s="353"/>
      <c r="N515" s="353"/>
      <c r="O515" s="353"/>
      <c r="P515" s="353"/>
      <c r="Q515" s="353"/>
      <c r="R515" s="353"/>
      <c r="S515" s="353"/>
      <c r="T515" s="353"/>
      <c r="U515" s="353"/>
      <c r="V515" s="353"/>
      <c r="W515" s="353"/>
      <c r="X515" s="353"/>
      <c r="Y515" s="353"/>
      <c r="Z515" s="353"/>
    </row>
    <row r="516" ht="12.0" customHeight="1">
      <c r="A516" s="353"/>
      <c r="B516" s="353"/>
      <c r="C516" s="353"/>
      <c r="D516" s="353"/>
      <c r="E516" s="353"/>
      <c r="F516" s="353"/>
      <c r="G516" s="353"/>
      <c r="H516" s="353"/>
      <c r="I516" s="353"/>
      <c r="J516" s="353"/>
      <c r="K516" s="353"/>
      <c r="L516" s="353"/>
      <c r="M516" s="353"/>
      <c r="N516" s="353"/>
      <c r="O516" s="353"/>
      <c r="P516" s="353"/>
      <c r="Q516" s="353"/>
      <c r="R516" s="353"/>
      <c r="S516" s="353"/>
      <c r="T516" s="353"/>
      <c r="U516" s="353"/>
      <c r="V516" s="353"/>
      <c r="W516" s="353"/>
      <c r="X516" s="353"/>
      <c r="Y516" s="353"/>
      <c r="Z516" s="353"/>
    </row>
    <row r="517" ht="12.0" customHeight="1">
      <c r="A517" s="353"/>
      <c r="B517" s="353"/>
      <c r="C517" s="353"/>
      <c r="D517" s="353"/>
      <c r="E517" s="353"/>
      <c r="F517" s="353"/>
      <c r="G517" s="353"/>
      <c r="H517" s="353"/>
      <c r="I517" s="353"/>
      <c r="J517" s="353"/>
      <c r="K517" s="353"/>
      <c r="L517" s="353"/>
      <c r="M517" s="353"/>
      <c r="N517" s="353"/>
      <c r="O517" s="353"/>
      <c r="P517" s="353"/>
      <c r="Q517" s="353"/>
      <c r="R517" s="353"/>
      <c r="S517" s="353"/>
      <c r="T517" s="353"/>
      <c r="U517" s="353"/>
      <c r="V517" s="353"/>
      <c r="W517" s="353"/>
      <c r="X517" s="353"/>
      <c r="Y517" s="353"/>
      <c r="Z517" s="353"/>
    </row>
    <row r="518" ht="12.0" customHeight="1">
      <c r="A518" s="353"/>
      <c r="B518" s="353"/>
      <c r="C518" s="353"/>
      <c r="D518" s="353"/>
      <c r="E518" s="353"/>
      <c r="F518" s="353"/>
      <c r="G518" s="353"/>
      <c r="H518" s="353"/>
      <c r="I518" s="353"/>
      <c r="J518" s="353"/>
      <c r="K518" s="353"/>
      <c r="L518" s="353"/>
      <c r="M518" s="353"/>
      <c r="N518" s="353"/>
      <c r="O518" s="353"/>
      <c r="P518" s="353"/>
      <c r="Q518" s="353"/>
      <c r="R518" s="353"/>
      <c r="S518" s="353"/>
      <c r="T518" s="353"/>
      <c r="U518" s="353"/>
      <c r="V518" s="353"/>
      <c r="W518" s="353"/>
      <c r="X518" s="353"/>
      <c r="Y518" s="353"/>
      <c r="Z518" s="353"/>
    </row>
    <row r="519" ht="12.0" customHeight="1">
      <c r="A519" s="353"/>
      <c r="B519" s="353"/>
      <c r="C519" s="353"/>
      <c r="D519" s="353"/>
      <c r="E519" s="353"/>
      <c r="F519" s="353"/>
      <c r="G519" s="353"/>
      <c r="H519" s="353"/>
      <c r="I519" s="353"/>
      <c r="J519" s="353"/>
      <c r="K519" s="353"/>
      <c r="L519" s="353"/>
      <c r="M519" s="353"/>
      <c r="N519" s="353"/>
      <c r="O519" s="353"/>
      <c r="P519" s="353"/>
      <c r="Q519" s="353"/>
      <c r="R519" s="353"/>
      <c r="S519" s="353"/>
      <c r="T519" s="353"/>
      <c r="U519" s="353"/>
      <c r="V519" s="353"/>
      <c r="W519" s="353"/>
      <c r="X519" s="353"/>
      <c r="Y519" s="353"/>
      <c r="Z519" s="353"/>
    </row>
    <row r="520" ht="12.0" customHeight="1">
      <c r="A520" s="353"/>
      <c r="B520" s="353"/>
      <c r="C520" s="353"/>
      <c r="D520" s="353"/>
      <c r="E520" s="353"/>
      <c r="F520" s="353"/>
      <c r="G520" s="353"/>
      <c r="H520" s="353"/>
      <c r="I520" s="353"/>
      <c r="J520" s="353"/>
      <c r="K520" s="353"/>
      <c r="L520" s="353"/>
      <c r="M520" s="353"/>
      <c r="N520" s="353"/>
      <c r="O520" s="353"/>
      <c r="P520" s="353"/>
      <c r="Q520" s="353"/>
      <c r="R520" s="353"/>
      <c r="S520" s="353"/>
      <c r="T520" s="353"/>
      <c r="U520" s="353"/>
      <c r="V520" s="353"/>
      <c r="W520" s="353"/>
      <c r="X520" s="353"/>
      <c r="Y520" s="353"/>
      <c r="Z520" s="353"/>
    </row>
    <row r="521" ht="12.0" customHeight="1">
      <c r="A521" s="353"/>
      <c r="B521" s="353"/>
      <c r="C521" s="353"/>
      <c r="D521" s="353"/>
      <c r="E521" s="353"/>
      <c r="F521" s="353"/>
      <c r="G521" s="353"/>
      <c r="H521" s="353"/>
      <c r="I521" s="353"/>
      <c r="J521" s="353"/>
      <c r="K521" s="353"/>
      <c r="L521" s="353"/>
      <c r="M521" s="353"/>
      <c r="N521" s="353"/>
      <c r="O521" s="353"/>
      <c r="P521" s="353"/>
      <c r="Q521" s="353"/>
      <c r="R521" s="353"/>
      <c r="S521" s="353"/>
      <c r="T521" s="353"/>
      <c r="U521" s="353"/>
      <c r="V521" s="353"/>
      <c r="W521" s="353"/>
      <c r="X521" s="353"/>
      <c r="Y521" s="353"/>
      <c r="Z521" s="353"/>
    </row>
    <row r="522" ht="12.0" customHeight="1">
      <c r="A522" s="353"/>
      <c r="B522" s="353"/>
      <c r="C522" s="353"/>
      <c r="D522" s="353"/>
      <c r="E522" s="353"/>
      <c r="F522" s="353"/>
      <c r="G522" s="353"/>
      <c r="H522" s="353"/>
      <c r="I522" s="353"/>
      <c r="J522" s="353"/>
      <c r="K522" s="353"/>
      <c r="L522" s="353"/>
      <c r="M522" s="353"/>
      <c r="N522" s="353"/>
      <c r="O522" s="353"/>
      <c r="P522" s="353"/>
      <c r="Q522" s="353"/>
      <c r="R522" s="353"/>
      <c r="S522" s="353"/>
      <c r="T522" s="353"/>
      <c r="U522" s="353"/>
      <c r="V522" s="353"/>
      <c r="W522" s="353"/>
      <c r="X522" s="353"/>
      <c r="Y522" s="353"/>
      <c r="Z522" s="353"/>
    </row>
    <row r="523" ht="12.0" customHeight="1">
      <c r="A523" s="353"/>
      <c r="B523" s="353"/>
      <c r="C523" s="353"/>
      <c r="D523" s="353"/>
      <c r="E523" s="353"/>
      <c r="F523" s="353"/>
      <c r="G523" s="353"/>
      <c r="H523" s="353"/>
      <c r="I523" s="353"/>
      <c r="J523" s="353"/>
      <c r="K523" s="353"/>
      <c r="L523" s="353"/>
      <c r="M523" s="353"/>
      <c r="N523" s="353"/>
      <c r="O523" s="353"/>
      <c r="P523" s="353"/>
      <c r="Q523" s="353"/>
      <c r="R523" s="353"/>
      <c r="S523" s="353"/>
      <c r="T523" s="353"/>
      <c r="U523" s="353"/>
      <c r="V523" s="353"/>
      <c r="W523" s="353"/>
      <c r="X523" s="353"/>
      <c r="Y523" s="353"/>
      <c r="Z523" s="353"/>
    </row>
    <row r="524" ht="12.0" customHeight="1">
      <c r="A524" s="353"/>
      <c r="B524" s="353"/>
      <c r="C524" s="353"/>
      <c r="D524" s="353"/>
      <c r="E524" s="353"/>
      <c r="F524" s="353"/>
      <c r="G524" s="353"/>
      <c r="H524" s="353"/>
      <c r="I524" s="353"/>
      <c r="J524" s="353"/>
      <c r="K524" s="353"/>
      <c r="L524" s="353"/>
      <c r="M524" s="353"/>
      <c r="N524" s="353"/>
      <c r="O524" s="353"/>
      <c r="P524" s="353"/>
      <c r="Q524" s="353"/>
      <c r="R524" s="353"/>
      <c r="S524" s="353"/>
      <c r="T524" s="353"/>
      <c r="U524" s="353"/>
      <c r="V524" s="353"/>
      <c r="W524" s="353"/>
      <c r="X524" s="353"/>
      <c r="Y524" s="353"/>
      <c r="Z524" s="353"/>
    </row>
    <row r="525" ht="12.0" customHeight="1">
      <c r="A525" s="353"/>
      <c r="B525" s="353"/>
      <c r="C525" s="353"/>
      <c r="D525" s="353"/>
      <c r="E525" s="353"/>
      <c r="F525" s="353"/>
      <c r="G525" s="353"/>
      <c r="H525" s="353"/>
      <c r="I525" s="353"/>
      <c r="J525" s="353"/>
      <c r="K525" s="353"/>
      <c r="L525" s="353"/>
      <c r="M525" s="353"/>
      <c r="N525" s="353"/>
      <c r="O525" s="353"/>
      <c r="P525" s="353"/>
      <c r="Q525" s="353"/>
      <c r="R525" s="353"/>
      <c r="S525" s="353"/>
      <c r="T525" s="353"/>
      <c r="U525" s="353"/>
      <c r="V525" s="353"/>
      <c r="W525" s="353"/>
      <c r="X525" s="353"/>
      <c r="Y525" s="353"/>
      <c r="Z525" s="353"/>
    </row>
    <row r="526" ht="12.0" customHeight="1">
      <c r="A526" s="353"/>
      <c r="B526" s="353"/>
      <c r="C526" s="353"/>
      <c r="D526" s="353"/>
      <c r="E526" s="353"/>
      <c r="F526" s="353"/>
      <c r="G526" s="353"/>
      <c r="H526" s="353"/>
      <c r="I526" s="353"/>
      <c r="J526" s="353"/>
      <c r="K526" s="353"/>
      <c r="L526" s="353"/>
      <c r="M526" s="353"/>
      <c r="N526" s="353"/>
      <c r="O526" s="353"/>
      <c r="P526" s="353"/>
      <c r="Q526" s="353"/>
      <c r="R526" s="353"/>
      <c r="S526" s="353"/>
      <c r="T526" s="353"/>
      <c r="U526" s="353"/>
      <c r="V526" s="353"/>
      <c r="W526" s="353"/>
      <c r="X526" s="353"/>
      <c r="Y526" s="353"/>
      <c r="Z526" s="353"/>
    </row>
    <row r="527" ht="12.0" customHeight="1">
      <c r="A527" s="353"/>
      <c r="B527" s="353"/>
      <c r="C527" s="353"/>
      <c r="D527" s="353"/>
      <c r="E527" s="353"/>
      <c r="F527" s="353"/>
      <c r="G527" s="353"/>
      <c r="H527" s="353"/>
      <c r="I527" s="353"/>
      <c r="J527" s="353"/>
      <c r="K527" s="353"/>
      <c r="L527" s="353"/>
      <c r="M527" s="353"/>
      <c r="N527" s="353"/>
      <c r="O527" s="353"/>
      <c r="P527" s="353"/>
      <c r="Q527" s="353"/>
      <c r="R527" s="353"/>
      <c r="S527" s="353"/>
      <c r="T527" s="353"/>
      <c r="U527" s="353"/>
      <c r="V527" s="353"/>
      <c r="W527" s="353"/>
      <c r="X527" s="353"/>
      <c r="Y527" s="353"/>
      <c r="Z527" s="353"/>
    </row>
    <row r="528" ht="12.0" customHeight="1">
      <c r="A528" s="353"/>
      <c r="B528" s="353"/>
      <c r="C528" s="353"/>
      <c r="D528" s="353"/>
      <c r="E528" s="353"/>
      <c r="F528" s="353"/>
      <c r="G528" s="353"/>
      <c r="H528" s="353"/>
      <c r="I528" s="353"/>
      <c r="J528" s="353"/>
      <c r="K528" s="353"/>
      <c r="L528" s="353"/>
      <c r="M528" s="353"/>
      <c r="N528" s="353"/>
      <c r="O528" s="353"/>
      <c r="P528" s="353"/>
      <c r="Q528" s="353"/>
      <c r="R528" s="353"/>
      <c r="S528" s="353"/>
      <c r="T528" s="353"/>
      <c r="U528" s="353"/>
      <c r="V528" s="353"/>
      <c r="W528" s="353"/>
      <c r="X528" s="353"/>
      <c r="Y528" s="353"/>
      <c r="Z528" s="353"/>
    </row>
    <row r="529" ht="12.0" customHeight="1">
      <c r="A529" s="353"/>
      <c r="B529" s="353"/>
      <c r="C529" s="353"/>
      <c r="D529" s="353"/>
      <c r="E529" s="353"/>
      <c r="F529" s="353"/>
      <c r="G529" s="353"/>
      <c r="H529" s="353"/>
      <c r="I529" s="353"/>
      <c r="J529" s="353"/>
      <c r="K529" s="353"/>
      <c r="L529" s="353"/>
      <c r="M529" s="353"/>
      <c r="N529" s="353"/>
      <c r="O529" s="353"/>
      <c r="P529" s="353"/>
      <c r="Q529" s="353"/>
      <c r="R529" s="353"/>
      <c r="S529" s="353"/>
      <c r="T529" s="353"/>
      <c r="U529" s="353"/>
      <c r="V529" s="353"/>
      <c r="W529" s="353"/>
      <c r="X529" s="353"/>
      <c r="Y529" s="353"/>
      <c r="Z529" s="353"/>
    </row>
    <row r="530" ht="12.0" customHeight="1">
      <c r="A530" s="353"/>
      <c r="B530" s="353"/>
      <c r="C530" s="353"/>
      <c r="D530" s="353"/>
      <c r="E530" s="353"/>
      <c r="F530" s="353"/>
      <c r="G530" s="353"/>
      <c r="H530" s="353"/>
      <c r="I530" s="353"/>
      <c r="J530" s="353"/>
      <c r="K530" s="353"/>
      <c r="L530" s="353"/>
      <c r="M530" s="353"/>
      <c r="N530" s="353"/>
      <c r="O530" s="353"/>
      <c r="P530" s="353"/>
      <c r="Q530" s="353"/>
      <c r="R530" s="353"/>
      <c r="S530" s="353"/>
      <c r="T530" s="353"/>
      <c r="U530" s="353"/>
      <c r="V530" s="353"/>
      <c r="W530" s="353"/>
      <c r="X530" s="353"/>
      <c r="Y530" s="353"/>
      <c r="Z530" s="353"/>
    </row>
    <row r="531" ht="12.0" customHeight="1">
      <c r="A531" s="353"/>
      <c r="B531" s="353"/>
      <c r="C531" s="353"/>
      <c r="D531" s="353"/>
      <c r="E531" s="353"/>
      <c r="F531" s="353"/>
      <c r="G531" s="353"/>
      <c r="H531" s="353"/>
      <c r="I531" s="353"/>
      <c r="J531" s="353"/>
      <c r="K531" s="353"/>
      <c r="L531" s="353"/>
      <c r="M531" s="353"/>
      <c r="N531" s="353"/>
      <c r="O531" s="353"/>
      <c r="P531" s="353"/>
      <c r="Q531" s="353"/>
      <c r="R531" s="353"/>
      <c r="S531" s="353"/>
      <c r="T531" s="353"/>
      <c r="U531" s="353"/>
      <c r="V531" s="353"/>
      <c r="W531" s="353"/>
      <c r="X531" s="353"/>
      <c r="Y531" s="353"/>
      <c r="Z531" s="353"/>
    </row>
    <row r="532" ht="12.0" customHeight="1">
      <c r="A532" s="353"/>
      <c r="B532" s="353"/>
      <c r="C532" s="353"/>
      <c r="D532" s="353"/>
      <c r="E532" s="353"/>
      <c r="F532" s="353"/>
      <c r="G532" s="353"/>
      <c r="H532" s="353"/>
      <c r="I532" s="353"/>
      <c r="J532" s="353"/>
      <c r="K532" s="353"/>
      <c r="L532" s="353"/>
      <c r="M532" s="353"/>
      <c r="N532" s="353"/>
      <c r="O532" s="353"/>
      <c r="P532" s="353"/>
      <c r="Q532" s="353"/>
      <c r="R532" s="353"/>
      <c r="S532" s="353"/>
      <c r="T532" s="353"/>
      <c r="U532" s="353"/>
      <c r="V532" s="353"/>
      <c r="W532" s="353"/>
      <c r="X532" s="353"/>
      <c r="Y532" s="353"/>
      <c r="Z532" s="353"/>
    </row>
    <row r="533" ht="12.0" customHeight="1">
      <c r="A533" s="353"/>
      <c r="B533" s="353"/>
      <c r="C533" s="353"/>
      <c r="D533" s="353"/>
      <c r="E533" s="353"/>
      <c r="F533" s="353"/>
      <c r="G533" s="353"/>
      <c r="H533" s="353"/>
      <c r="I533" s="353"/>
      <c r="J533" s="353"/>
      <c r="K533" s="353"/>
      <c r="L533" s="353"/>
      <c r="M533" s="353"/>
      <c r="N533" s="353"/>
      <c r="O533" s="353"/>
      <c r="P533" s="353"/>
      <c r="Q533" s="353"/>
      <c r="R533" s="353"/>
      <c r="S533" s="353"/>
      <c r="T533" s="353"/>
      <c r="U533" s="353"/>
      <c r="V533" s="353"/>
      <c r="W533" s="353"/>
      <c r="X533" s="353"/>
      <c r="Y533" s="353"/>
      <c r="Z533" s="353"/>
    </row>
    <row r="534" ht="12.0" customHeight="1">
      <c r="A534" s="353"/>
      <c r="B534" s="353"/>
      <c r="C534" s="353"/>
      <c r="D534" s="353"/>
      <c r="E534" s="353"/>
      <c r="F534" s="353"/>
      <c r="G534" s="353"/>
      <c r="H534" s="353"/>
      <c r="I534" s="353"/>
      <c r="J534" s="353"/>
      <c r="K534" s="353"/>
      <c r="L534" s="353"/>
      <c r="M534" s="353"/>
      <c r="N534" s="353"/>
      <c r="O534" s="353"/>
      <c r="P534" s="353"/>
      <c r="Q534" s="353"/>
      <c r="R534" s="353"/>
      <c r="S534" s="353"/>
      <c r="T534" s="353"/>
      <c r="U534" s="353"/>
      <c r="V534" s="353"/>
      <c r="W534" s="353"/>
      <c r="X534" s="353"/>
      <c r="Y534" s="353"/>
      <c r="Z534" s="353"/>
    </row>
    <row r="535" ht="12.0" customHeight="1">
      <c r="A535" s="353"/>
      <c r="B535" s="353"/>
      <c r="C535" s="353"/>
      <c r="D535" s="353"/>
      <c r="E535" s="353"/>
      <c r="F535" s="353"/>
      <c r="G535" s="353"/>
      <c r="H535" s="353"/>
      <c r="I535" s="353"/>
      <c r="J535" s="353"/>
      <c r="K535" s="353"/>
      <c r="L535" s="353"/>
      <c r="M535" s="353"/>
      <c r="N535" s="353"/>
      <c r="O535" s="353"/>
      <c r="P535" s="353"/>
      <c r="Q535" s="353"/>
      <c r="R535" s="353"/>
      <c r="S535" s="353"/>
      <c r="T535" s="353"/>
      <c r="U535" s="353"/>
      <c r="V535" s="353"/>
      <c r="W535" s="353"/>
      <c r="X535" s="353"/>
      <c r="Y535" s="353"/>
      <c r="Z535" s="353"/>
    </row>
    <row r="536" ht="12.0" customHeight="1">
      <c r="A536" s="353"/>
      <c r="B536" s="353"/>
      <c r="C536" s="353"/>
      <c r="D536" s="353"/>
      <c r="E536" s="353"/>
      <c r="F536" s="353"/>
      <c r="G536" s="353"/>
      <c r="H536" s="353"/>
      <c r="I536" s="353"/>
      <c r="J536" s="353"/>
      <c r="K536" s="353"/>
      <c r="L536" s="353"/>
      <c r="M536" s="353"/>
      <c r="N536" s="353"/>
      <c r="O536" s="353"/>
      <c r="P536" s="353"/>
      <c r="Q536" s="353"/>
      <c r="R536" s="353"/>
      <c r="S536" s="353"/>
      <c r="T536" s="353"/>
      <c r="U536" s="353"/>
      <c r="V536" s="353"/>
      <c r="W536" s="353"/>
      <c r="X536" s="353"/>
      <c r="Y536" s="353"/>
      <c r="Z536" s="353"/>
    </row>
    <row r="537" ht="12.0" customHeight="1">
      <c r="A537" s="353"/>
      <c r="B537" s="353"/>
      <c r="C537" s="353"/>
      <c r="D537" s="353"/>
      <c r="E537" s="353"/>
      <c r="F537" s="353"/>
      <c r="G537" s="353"/>
      <c r="H537" s="353"/>
      <c r="I537" s="353"/>
      <c r="J537" s="353"/>
      <c r="K537" s="353"/>
      <c r="L537" s="353"/>
      <c r="M537" s="353"/>
      <c r="N537" s="353"/>
      <c r="O537" s="353"/>
      <c r="P537" s="353"/>
      <c r="Q537" s="353"/>
      <c r="R537" s="353"/>
      <c r="S537" s="353"/>
      <c r="T537" s="353"/>
      <c r="U537" s="353"/>
      <c r="V537" s="353"/>
      <c r="W537" s="353"/>
      <c r="X537" s="353"/>
      <c r="Y537" s="353"/>
      <c r="Z537" s="353"/>
    </row>
    <row r="538" ht="12.0" customHeight="1">
      <c r="A538" s="353"/>
      <c r="B538" s="353"/>
      <c r="C538" s="353"/>
      <c r="D538" s="353"/>
      <c r="E538" s="353"/>
      <c r="F538" s="353"/>
      <c r="G538" s="353"/>
      <c r="H538" s="353"/>
      <c r="I538" s="353"/>
      <c r="J538" s="353"/>
      <c r="K538" s="353"/>
      <c r="L538" s="353"/>
      <c r="M538" s="353"/>
      <c r="N538" s="353"/>
      <c r="O538" s="353"/>
      <c r="P538" s="353"/>
      <c r="Q538" s="353"/>
      <c r="R538" s="353"/>
      <c r="S538" s="353"/>
      <c r="T538" s="353"/>
      <c r="U538" s="353"/>
      <c r="V538" s="353"/>
      <c r="W538" s="353"/>
      <c r="X538" s="353"/>
      <c r="Y538" s="353"/>
      <c r="Z538" s="353"/>
    </row>
    <row r="539" ht="12.0" customHeight="1">
      <c r="A539" s="353"/>
      <c r="B539" s="353"/>
      <c r="C539" s="353"/>
      <c r="D539" s="353"/>
      <c r="E539" s="353"/>
      <c r="F539" s="353"/>
      <c r="G539" s="353"/>
      <c r="H539" s="353"/>
      <c r="I539" s="353"/>
      <c r="J539" s="353"/>
      <c r="K539" s="353"/>
      <c r="L539" s="353"/>
      <c r="M539" s="353"/>
      <c r="N539" s="353"/>
      <c r="O539" s="353"/>
      <c r="P539" s="353"/>
      <c r="Q539" s="353"/>
      <c r="R539" s="353"/>
      <c r="S539" s="353"/>
      <c r="T539" s="353"/>
      <c r="U539" s="353"/>
      <c r="V539" s="353"/>
      <c r="W539" s="353"/>
      <c r="X539" s="353"/>
      <c r="Y539" s="353"/>
      <c r="Z539" s="353"/>
    </row>
    <row r="540" ht="12.0" customHeight="1">
      <c r="A540" s="353"/>
      <c r="B540" s="353"/>
      <c r="C540" s="353"/>
      <c r="D540" s="353"/>
      <c r="E540" s="353"/>
      <c r="F540" s="353"/>
      <c r="G540" s="353"/>
      <c r="H540" s="353"/>
      <c r="I540" s="353"/>
      <c r="J540" s="353"/>
      <c r="K540" s="353"/>
      <c r="L540" s="353"/>
      <c r="M540" s="353"/>
      <c r="N540" s="353"/>
      <c r="O540" s="353"/>
      <c r="P540" s="353"/>
      <c r="Q540" s="353"/>
      <c r="R540" s="353"/>
      <c r="S540" s="353"/>
      <c r="T540" s="353"/>
      <c r="U540" s="353"/>
      <c r="V540" s="353"/>
      <c r="W540" s="353"/>
      <c r="X540" s="353"/>
      <c r="Y540" s="353"/>
      <c r="Z540" s="353"/>
    </row>
    <row r="541" ht="12.0" customHeight="1">
      <c r="A541" s="353"/>
      <c r="B541" s="353"/>
      <c r="C541" s="353"/>
      <c r="D541" s="353"/>
      <c r="E541" s="353"/>
      <c r="F541" s="353"/>
      <c r="G541" s="353"/>
      <c r="H541" s="353"/>
      <c r="I541" s="353"/>
      <c r="J541" s="353"/>
      <c r="K541" s="353"/>
      <c r="L541" s="353"/>
      <c r="M541" s="353"/>
      <c r="N541" s="353"/>
      <c r="O541" s="353"/>
      <c r="P541" s="353"/>
      <c r="Q541" s="353"/>
      <c r="R541" s="353"/>
      <c r="S541" s="353"/>
      <c r="T541" s="353"/>
      <c r="U541" s="353"/>
      <c r="V541" s="353"/>
      <c r="W541" s="353"/>
      <c r="X541" s="353"/>
      <c r="Y541" s="353"/>
      <c r="Z541" s="353"/>
    </row>
    <row r="542" ht="12.0" customHeight="1">
      <c r="A542" s="353"/>
      <c r="B542" s="353"/>
      <c r="C542" s="353"/>
      <c r="D542" s="353"/>
      <c r="E542" s="353"/>
      <c r="F542" s="353"/>
      <c r="G542" s="353"/>
      <c r="H542" s="353"/>
      <c r="I542" s="353"/>
      <c r="J542" s="353"/>
      <c r="K542" s="353"/>
      <c r="L542" s="353"/>
      <c r="M542" s="353"/>
      <c r="N542" s="353"/>
      <c r="O542" s="353"/>
      <c r="P542" s="353"/>
      <c r="Q542" s="353"/>
      <c r="R542" s="353"/>
      <c r="S542" s="353"/>
      <c r="T542" s="353"/>
      <c r="U542" s="353"/>
      <c r="V542" s="353"/>
      <c r="W542" s="353"/>
      <c r="X542" s="353"/>
      <c r="Y542" s="353"/>
      <c r="Z542" s="353"/>
    </row>
    <row r="543" ht="12.0" customHeight="1">
      <c r="A543" s="353"/>
      <c r="B543" s="353"/>
      <c r="C543" s="353"/>
      <c r="D543" s="353"/>
      <c r="E543" s="353"/>
      <c r="F543" s="353"/>
      <c r="G543" s="353"/>
      <c r="H543" s="353"/>
      <c r="I543" s="353"/>
      <c r="J543" s="353"/>
      <c r="K543" s="353"/>
      <c r="L543" s="353"/>
      <c r="M543" s="353"/>
      <c r="N543" s="353"/>
      <c r="O543" s="353"/>
      <c r="P543" s="353"/>
      <c r="Q543" s="353"/>
      <c r="R543" s="353"/>
      <c r="S543" s="353"/>
      <c r="T543" s="353"/>
      <c r="U543" s="353"/>
      <c r="V543" s="353"/>
      <c r="W543" s="353"/>
      <c r="X543" s="353"/>
      <c r="Y543" s="353"/>
      <c r="Z543" s="353"/>
    </row>
    <row r="544" ht="12.0" customHeight="1">
      <c r="A544" s="353"/>
      <c r="B544" s="353"/>
      <c r="C544" s="353"/>
      <c r="D544" s="353"/>
      <c r="E544" s="353"/>
      <c r="F544" s="353"/>
      <c r="G544" s="353"/>
      <c r="H544" s="353"/>
      <c r="I544" s="353"/>
      <c r="J544" s="353"/>
      <c r="K544" s="353"/>
      <c r="L544" s="353"/>
      <c r="M544" s="353"/>
      <c r="N544" s="353"/>
      <c r="O544" s="353"/>
      <c r="P544" s="353"/>
      <c r="Q544" s="353"/>
      <c r="R544" s="353"/>
      <c r="S544" s="353"/>
      <c r="T544" s="353"/>
      <c r="U544" s="353"/>
      <c r="V544" s="353"/>
      <c r="W544" s="353"/>
      <c r="X544" s="353"/>
      <c r="Y544" s="353"/>
      <c r="Z544" s="353"/>
    </row>
    <row r="545" ht="12.0" customHeight="1">
      <c r="A545" s="353"/>
      <c r="B545" s="353"/>
      <c r="C545" s="353"/>
      <c r="D545" s="353"/>
      <c r="E545" s="353"/>
      <c r="F545" s="353"/>
      <c r="G545" s="353"/>
      <c r="H545" s="353"/>
      <c r="I545" s="353"/>
      <c r="J545" s="353"/>
      <c r="K545" s="353"/>
      <c r="L545" s="353"/>
      <c r="M545" s="353"/>
      <c r="N545" s="353"/>
      <c r="O545" s="353"/>
      <c r="P545" s="353"/>
      <c r="Q545" s="353"/>
      <c r="R545" s="353"/>
      <c r="S545" s="353"/>
      <c r="T545" s="353"/>
      <c r="U545" s="353"/>
      <c r="V545" s="353"/>
      <c r="W545" s="353"/>
      <c r="X545" s="353"/>
      <c r="Y545" s="353"/>
      <c r="Z545" s="353"/>
    </row>
    <row r="546" ht="12.0" customHeight="1">
      <c r="A546" s="353"/>
      <c r="B546" s="353"/>
      <c r="C546" s="353"/>
      <c r="D546" s="353"/>
      <c r="E546" s="353"/>
      <c r="F546" s="353"/>
      <c r="G546" s="353"/>
      <c r="H546" s="353"/>
      <c r="I546" s="353"/>
      <c r="J546" s="353"/>
      <c r="K546" s="353"/>
      <c r="L546" s="353"/>
      <c r="M546" s="353"/>
      <c r="N546" s="353"/>
      <c r="O546" s="353"/>
      <c r="P546" s="353"/>
      <c r="Q546" s="353"/>
      <c r="R546" s="353"/>
      <c r="S546" s="353"/>
      <c r="T546" s="353"/>
      <c r="U546" s="353"/>
      <c r="V546" s="353"/>
      <c r="W546" s="353"/>
      <c r="X546" s="353"/>
      <c r="Y546" s="353"/>
      <c r="Z546" s="353"/>
    </row>
    <row r="547" ht="12.0" customHeight="1">
      <c r="A547" s="353"/>
      <c r="B547" s="353"/>
      <c r="C547" s="353"/>
      <c r="D547" s="353"/>
      <c r="E547" s="353"/>
      <c r="F547" s="353"/>
      <c r="G547" s="353"/>
      <c r="H547" s="353"/>
      <c r="I547" s="353"/>
      <c r="J547" s="353"/>
      <c r="K547" s="353"/>
      <c r="L547" s="353"/>
      <c r="M547" s="353"/>
      <c r="N547" s="353"/>
      <c r="O547" s="353"/>
      <c r="P547" s="353"/>
      <c r="Q547" s="353"/>
      <c r="R547" s="353"/>
      <c r="S547" s="353"/>
      <c r="T547" s="353"/>
      <c r="U547" s="353"/>
      <c r="V547" s="353"/>
      <c r="W547" s="353"/>
      <c r="X547" s="353"/>
      <c r="Y547" s="353"/>
      <c r="Z547" s="353"/>
    </row>
    <row r="548" ht="12.0" customHeight="1">
      <c r="A548" s="353"/>
      <c r="B548" s="353"/>
      <c r="C548" s="353"/>
      <c r="D548" s="353"/>
      <c r="E548" s="353"/>
      <c r="F548" s="353"/>
      <c r="G548" s="353"/>
      <c r="H548" s="353"/>
      <c r="I548" s="353"/>
      <c r="J548" s="353"/>
      <c r="K548" s="353"/>
      <c r="L548" s="353"/>
      <c r="M548" s="353"/>
      <c r="N548" s="353"/>
      <c r="O548" s="353"/>
      <c r="P548" s="353"/>
      <c r="Q548" s="353"/>
      <c r="R548" s="353"/>
      <c r="S548" s="353"/>
      <c r="T548" s="353"/>
      <c r="U548" s="353"/>
      <c r="V548" s="353"/>
      <c r="W548" s="353"/>
      <c r="X548" s="353"/>
      <c r="Y548" s="353"/>
      <c r="Z548" s="353"/>
    </row>
    <row r="549" ht="12.0" customHeight="1">
      <c r="A549" s="353"/>
      <c r="B549" s="353"/>
      <c r="C549" s="353"/>
      <c r="D549" s="353"/>
      <c r="E549" s="353"/>
      <c r="F549" s="353"/>
      <c r="G549" s="353"/>
      <c r="H549" s="353"/>
      <c r="I549" s="353"/>
      <c r="J549" s="353"/>
      <c r="K549" s="353"/>
      <c r="L549" s="353"/>
      <c r="M549" s="353"/>
      <c r="N549" s="353"/>
      <c r="O549" s="353"/>
      <c r="P549" s="353"/>
      <c r="Q549" s="353"/>
      <c r="R549" s="353"/>
      <c r="S549" s="353"/>
      <c r="T549" s="353"/>
      <c r="U549" s="353"/>
      <c r="V549" s="353"/>
      <c r="W549" s="353"/>
      <c r="X549" s="353"/>
      <c r="Y549" s="353"/>
      <c r="Z549" s="353"/>
    </row>
    <row r="550" ht="12.0" customHeight="1">
      <c r="A550" s="353"/>
      <c r="B550" s="353"/>
      <c r="C550" s="353"/>
      <c r="D550" s="353"/>
      <c r="E550" s="353"/>
      <c r="F550" s="353"/>
      <c r="G550" s="353"/>
      <c r="H550" s="353"/>
      <c r="I550" s="353"/>
      <c r="J550" s="353"/>
      <c r="K550" s="353"/>
      <c r="L550" s="353"/>
      <c r="M550" s="353"/>
      <c r="N550" s="353"/>
      <c r="O550" s="353"/>
      <c r="P550" s="353"/>
      <c r="Q550" s="353"/>
      <c r="R550" s="353"/>
      <c r="S550" s="353"/>
      <c r="T550" s="353"/>
      <c r="U550" s="353"/>
      <c r="V550" s="353"/>
      <c r="W550" s="353"/>
      <c r="X550" s="353"/>
      <c r="Y550" s="353"/>
      <c r="Z550" s="353"/>
    </row>
    <row r="551" ht="12.0" customHeight="1">
      <c r="A551" s="353"/>
      <c r="B551" s="353"/>
      <c r="C551" s="353"/>
      <c r="D551" s="353"/>
      <c r="E551" s="353"/>
      <c r="F551" s="353"/>
      <c r="G551" s="353"/>
      <c r="H551" s="353"/>
      <c r="I551" s="353"/>
      <c r="J551" s="353"/>
      <c r="K551" s="353"/>
      <c r="L551" s="353"/>
      <c r="M551" s="353"/>
      <c r="N551" s="353"/>
      <c r="O551" s="353"/>
      <c r="P551" s="353"/>
      <c r="Q551" s="353"/>
      <c r="R551" s="353"/>
      <c r="S551" s="353"/>
      <c r="T551" s="353"/>
      <c r="U551" s="353"/>
      <c r="V551" s="353"/>
      <c r="W551" s="353"/>
      <c r="X551" s="353"/>
      <c r="Y551" s="353"/>
      <c r="Z551" s="353"/>
    </row>
    <row r="552" ht="12.0" customHeight="1">
      <c r="A552" s="353"/>
      <c r="B552" s="353"/>
      <c r="C552" s="353"/>
      <c r="D552" s="353"/>
      <c r="E552" s="353"/>
      <c r="F552" s="353"/>
      <c r="G552" s="353"/>
      <c r="H552" s="353"/>
      <c r="I552" s="353"/>
      <c r="J552" s="353"/>
      <c r="K552" s="353"/>
      <c r="L552" s="353"/>
      <c r="M552" s="353"/>
      <c r="N552" s="353"/>
      <c r="O552" s="353"/>
      <c r="P552" s="353"/>
      <c r="Q552" s="353"/>
      <c r="R552" s="353"/>
      <c r="S552" s="353"/>
      <c r="T552" s="353"/>
      <c r="U552" s="353"/>
      <c r="V552" s="353"/>
      <c r="W552" s="353"/>
      <c r="X552" s="353"/>
      <c r="Y552" s="353"/>
      <c r="Z552" s="353"/>
    </row>
    <row r="553" ht="12.0" customHeight="1">
      <c r="A553" s="353"/>
      <c r="B553" s="353"/>
      <c r="C553" s="353"/>
      <c r="D553" s="353"/>
      <c r="E553" s="353"/>
      <c r="F553" s="353"/>
      <c r="G553" s="353"/>
      <c r="H553" s="353"/>
      <c r="I553" s="353"/>
      <c r="J553" s="353"/>
      <c r="K553" s="353"/>
      <c r="L553" s="353"/>
      <c r="M553" s="353"/>
      <c r="N553" s="353"/>
      <c r="O553" s="353"/>
      <c r="P553" s="353"/>
      <c r="Q553" s="353"/>
      <c r="R553" s="353"/>
      <c r="S553" s="353"/>
      <c r="T553" s="353"/>
      <c r="U553" s="353"/>
      <c r="V553" s="353"/>
      <c r="W553" s="353"/>
      <c r="X553" s="353"/>
      <c r="Y553" s="353"/>
      <c r="Z553" s="353"/>
    </row>
    <row r="554" ht="12.0" customHeight="1">
      <c r="A554" s="353"/>
      <c r="B554" s="353"/>
      <c r="C554" s="353"/>
      <c r="D554" s="353"/>
      <c r="E554" s="353"/>
      <c r="F554" s="353"/>
      <c r="G554" s="353"/>
      <c r="H554" s="353"/>
      <c r="I554" s="353"/>
      <c r="J554" s="353"/>
      <c r="K554" s="353"/>
      <c r="L554" s="353"/>
      <c r="M554" s="353"/>
      <c r="N554" s="353"/>
      <c r="O554" s="353"/>
      <c r="P554" s="353"/>
      <c r="Q554" s="353"/>
      <c r="R554" s="353"/>
      <c r="S554" s="353"/>
      <c r="T554" s="353"/>
      <c r="U554" s="353"/>
      <c r="V554" s="353"/>
      <c r="W554" s="353"/>
      <c r="X554" s="353"/>
      <c r="Y554" s="353"/>
      <c r="Z554" s="353"/>
    </row>
    <row r="555" ht="12.0" customHeight="1">
      <c r="A555" s="353"/>
      <c r="B555" s="353"/>
      <c r="C555" s="353"/>
      <c r="D555" s="353"/>
      <c r="E555" s="353"/>
      <c r="F555" s="353"/>
      <c r="G555" s="353"/>
      <c r="H555" s="353"/>
      <c r="I555" s="353"/>
      <c r="J555" s="353"/>
      <c r="K555" s="353"/>
      <c r="L555" s="353"/>
      <c r="M555" s="353"/>
      <c r="N555" s="353"/>
      <c r="O555" s="353"/>
      <c r="P555" s="353"/>
      <c r="Q555" s="353"/>
      <c r="R555" s="353"/>
      <c r="S555" s="353"/>
      <c r="T555" s="353"/>
      <c r="U555" s="353"/>
      <c r="V555" s="353"/>
      <c r="W555" s="353"/>
      <c r="X555" s="353"/>
      <c r="Y555" s="353"/>
      <c r="Z555" s="353"/>
    </row>
    <row r="556" ht="12.0" customHeight="1">
      <c r="A556" s="353"/>
      <c r="B556" s="353"/>
      <c r="C556" s="353"/>
      <c r="D556" s="353"/>
      <c r="E556" s="353"/>
      <c r="F556" s="353"/>
      <c r="G556" s="353"/>
      <c r="H556" s="353"/>
      <c r="I556" s="353"/>
      <c r="J556" s="353"/>
      <c r="K556" s="353"/>
      <c r="L556" s="353"/>
      <c r="M556" s="353"/>
      <c r="N556" s="353"/>
      <c r="O556" s="353"/>
      <c r="P556" s="353"/>
      <c r="Q556" s="353"/>
      <c r="R556" s="353"/>
      <c r="S556" s="353"/>
      <c r="T556" s="353"/>
      <c r="U556" s="353"/>
      <c r="V556" s="353"/>
      <c r="W556" s="353"/>
      <c r="X556" s="353"/>
      <c r="Y556" s="353"/>
      <c r="Z556" s="353"/>
    </row>
    <row r="557" ht="12.0" customHeight="1">
      <c r="A557" s="353"/>
      <c r="B557" s="353"/>
      <c r="C557" s="353"/>
      <c r="D557" s="353"/>
      <c r="E557" s="353"/>
      <c r="F557" s="353"/>
      <c r="G557" s="353"/>
      <c r="H557" s="353"/>
      <c r="I557" s="353"/>
      <c r="J557" s="353"/>
      <c r="K557" s="353"/>
      <c r="L557" s="353"/>
      <c r="M557" s="353"/>
      <c r="N557" s="353"/>
      <c r="O557" s="353"/>
      <c r="P557" s="353"/>
      <c r="Q557" s="353"/>
      <c r="R557" s="353"/>
      <c r="S557" s="353"/>
      <c r="T557" s="353"/>
      <c r="U557" s="353"/>
      <c r="V557" s="353"/>
      <c r="W557" s="353"/>
      <c r="X557" s="353"/>
      <c r="Y557" s="353"/>
      <c r="Z557" s="353"/>
    </row>
    <row r="558" ht="12.0" customHeight="1">
      <c r="A558" s="353"/>
      <c r="B558" s="353"/>
      <c r="C558" s="353"/>
      <c r="D558" s="353"/>
      <c r="E558" s="353"/>
      <c r="F558" s="353"/>
      <c r="G558" s="353"/>
      <c r="H558" s="353"/>
      <c r="I558" s="353"/>
      <c r="J558" s="353"/>
      <c r="K558" s="353"/>
      <c r="L558" s="353"/>
      <c r="M558" s="353"/>
      <c r="N558" s="353"/>
      <c r="O558" s="353"/>
      <c r="P558" s="353"/>
      <c r="Q558" s="353"/>
      <c r="R558" s="353"/>
      <c r="S558" s="353"/>
      <c r="T558" s="353"/>
      <c r="U558" s="353"/>
      <c r="V558" s="353"/>
      <c r="W558" s="353"/>
      <c r="X558" s="353"/>
      <c r="Y558" s="353"/>
      <c r="Z558" s="353"/>
    </row>
    <row r="559" ht="12.0" customHeight="1">
      <c r="A559" s="353"/>
      <c r="B559" s="353"/>
      <c r="C559" s="353"/>
      <c r="D559" s="353"/>
      <c r="E559" s="353"/>
      <c r="F559" s="353"/>
      <c r="G559" s="353"/>
      <c r="H559" s="353"/>
      <c r="I559" s="353"/>
      <c r="J559" s="353"/>
      <c r="K559" s="353"/>
      <c r="L559" s="353"/>
      <c r="M559" s="353"/>
      <c r="N559" s="353"/>
      <c r="O559" s="353"/>
      <c r="P559" s="353"/>
      <c r="Q559" s="353"/>
      <c r="R559" s="353"/>
      <c r="S559" s="353"/>
      <c r="T559" s="353"/>
      <c r="U559" s="353"/>
      <c r="V559" s="353"/>
      <c r="W559" s="353"/>
      <c r="X559" s="353"/>
      <c r="Y559" s="353"/>
      <c r="Z559" s="353"/>
    </row>
    <row r="560" ht="12.0" customHeight="1">
      <c r="A560" s="353"/>
      <c r="B560" s="353"/>
      <c r="C560" s="353"/>
      <c r="D560" s="353"/>
      <c r="E560" s="353"/>
      <c r="F560" s="353"/>
      <c r="G560" s="353"/>
      <c r="H560" s="353"/>
      <c r="I560" s="353"/>
      <c r="J560" s="353"/>
      <c r="K560" s="353"/>
      <c r="L560" s="353"/>
      <c r="M560" s="353"/>
      <c r="N560" s="353"/>
      <c r="O560" s="353"/>
      <c r="P560" s="353"/>
      <c r="Q560" s="353"/>
      <c r="R560" s="353"/>
      <c r="S560" s="353"/>
      <c r="T560" s="353"/>
      <c r="U560" s="353"/>
      <c r="V560" s="353"/>
      <c r="W560" s="353"/>
      <c r="X560" s="353"/>
      <c r="Y560" s="353"/>
      <c r="Z560" s="353"/>
    </row>
    <row r="561" ht="12.0" customHeight="1">
      <c r="A561" s="353"/>
      <c r="B561" s="353"/>
      <c r="C561" s="353"/>
      <c r="D561" s="353"/>
      <c r="E561" s="353"/>
      <c r="F561" s="353"/>
      <c r="G561" s="353"/>
      <c r="H561" s="353"/>
      <c r="I561" s="353"/>
      <c r="J561" s="353"/>
      <c r="K561" s="353"/>
      <c r="L561" s="353"/>
      <c r="M561" s="353"/>
      <c r="N561" s="353"/>
      <c r="O561" s="353"/>
      <c r="P561" s="353"/>
      <c r="Q561" s="353"/>
      <c r="R561" s="353"/>
      <c r="S561" s="353"/>
      <c r="T561" s="353"/>
      <c r="U561" s="353"/>
      <c r="V561" s="353"/>
      <c r="W561" s="353"/>
      <c r="X561" s="353"/>
      <c r="Y561" s="353"/>
      <c r="Z561" s="353"/>
    </row>
    <row r="562" ht="12.0" customHeight="1">
      <c r="A562" s="353"/>
      <c r="B562" s="353"/>
      <c r="C562" s="353"/>
      <c r="D562" s="353"/>
      <c r="E562" s="353"/>
      <c r="F562" s="353"/>
      <c r="G562" s="353"/>
      <c r="H562" s="353"/>
      <c r="I562" s="353"/>
      <c r="J562" s="353"/>
      <c r="K562" s="353"/>
      <c r="L562" s="353"/>
      <c r="M562" s="353"/>
      <c r="N562" s="353"/>
      <c r="O562" s="353"/>
      <c r="P562" s="353"/>
      <c r="Q562" s="353"/>
      <c r="R562" s="353"/>
      <c r="S562" s="353"/>
      <c r="T562" s="353"/>
      <c r="U562" s="353"/>
      <c r="V562" s="353"/>
      <c r="W562" s="353"/>
      <c r="X562" s="353"/>
      <c r="Y562" s="353"/>
      <c r="Z562" s="353"/>
    </row>
    <row r="563" ht="12.0" customHeight="1">
      <c r="A563" s="353"/>
      <c r="B563" s="353"/>
      <c r="C563" s="353"/>
      <c r="D563" s="353"/>
      <c r="E563" s="353"/>
      <c r="F563" s="353"/>
      <c r="G563" s="353"/>
      <c r="H563" s="353"/>
      <c r="I563" s="353"/>
      <c r="J563" s="353"/>
      <c r="K563" s="353"/>
      <c r="L563" s="353"/>
      <c r="M563" s="353"/>
      <c r="N563" s="353"/>
      <c r="O563" s="353"/>
      <c r="P563" s="353"/>
      <c r="Q563" s="353"/>
      <c r="R563" s="353"/>
      <c r="S563" s="353"/>
      <c r="T563" s="353"/>
      <c r="U563" s="353"/>
      <c r="V563" s="353"/>
      <c r="W563" s="353"/>
      <c r="X563" s="353"/>
      <c r="Y563" s="353"/>
      <c r="Z563" s="353"/>
    </row>
    <row r="564" ht="12.0" customHeight="1">
      <c r="A564" s="353"/>
      <c r="B564" s="353"/>
      <c r="C564" s="353"/>
      <c r="D564" s="353"/>
      <c r="E564" s="353"/>
      <c r="F564" s="353"/>
      <c r="G564" s="353"/>
      <c r="H564" s="353"/>
      <c r="I564" s="353"/>
      <c r="J564" s="353"/>
      <c r="K564" s="353"/>
      <c r="L564" s="353"/>
      <c r="M564" s="353"/>
      <c r="N564" s="353"/>
      <c r="O564" s="353"/>
      <c r="P564" s="353"/>
      <c r="Q564" s="353"/>
      <c r="R564" s="353"/>
      <c r="S564" s="353"/>
      <c r="T564" s="353"/>
      <c r="U564" s="353"/>
      <c r="V564" s="353"/>
      <c r="W564" s="353"/>
      <c r="X564" s="353"/>
      <c r="Y564" s="353"/>
      <c r="Z564" s="353"/>
    </row>
    <row r="565" ht="12.0" customHeight="1">
      <c r="A565" s="353"/>
      <c r="B565" s="353"/>
      <c r="C565" s="353"/>
      <c r="D565" s="353"/>
      <c r="E565" s="353"/>
      <c r="F565" s="353"/>
      <c r="G565" s="353"/>
      <c r="H565" s="353"/>
      <c r="I565" s="353"/>
      <c r="J565" s="353"/>
      <c r="K565" s="353"/>
      <c r="L565" s="353"/>
      <c r="M565" s="353"/>
      <c r="N565" s="353"/>
      <c r="O565" s="353"/>
      <c r="P565" s="353"/>
      <c r="Q565" s="353"/>
      <c r="R565" s="353"/>
      <c r="S565" s="353"/>
      <c r="T565" s="353"/>
      <c r="U565" s="353"/>
      <c r="V565" s="353"/>
      <c r="W565" s="353"/>
      <c r="X565" s="353"/>
      <c r="Y565" s="353"/>
      <c r="Z565" s="353"/>
    </row>
    <row r="566" ht="12.0" customHeight="1">
      <c r="A566" s="353"/>
      <c r="B566" s="353"/>
      <c r="C566" s="353"/>
      <c r="D566" s="353"/>
      <c r="E566" s="353"/>
      <c r="F566" s="353"/>
      <c r="G566" s="353"/>
      <c r="H566" s="353"/>
      <c r="I566" s="353"/>
      <c r="J566" s="353"/>
      <c r="K566" s="353"/>
      <c r="L566" s="353"/>
      <c r="M566" s="353"/>
      <c r="N566" s="353"/>
      <c r="O566" s="353"/>
      <c r="P566" s="353"/>
      <c r="Q566" s="353"/>
      <c r="R566" s="353"/>
      <c r="S566" s="353"/>
      <c r="T566" s="353"/>
      <c r="U566" s="353"/>
      <c r="V566" s="353"/>
      <c r="W566" s="353"/>
      <c r="X566" s="353"/>
      <c r="Y566" s="353"/>
      <c r="Z566" s="353"/>
    </row>
    <row r="567" ht="12.0" customHeight="1">
      <c r="A567" s="353"/>
      <c r="B567" s="353"/>
      <c r="C567" s="353"/>
      <c r="D567" s="353"/>
      <c r="E567" s="353"/>
      <c r="F567" s="353"/>
      <c r="G567" s="353"/>
      <c r="H567" s="353"/>
      <c r="I567" s="353"/>
      <c r="J567" s="353"/>
      <c r="K567" s="353"/>
      <c r="L567" s="353"/>
      <c r="M567" s="353"/>
      <c r="N567" s="353"/>
      <c r="O567" s="353"/>
      <c r="P567" s="353"/>
      <c r="Q567" s="353"/>
      <c r="R567" s="353"/>
      <c r="S567" s="353"/>
      <c r="T567" s="353"/>
      <c r="U567" s="353"/>
      <c r="V567" s="353"/>
      <c r="W567" s="353"/>
      <c r="X567" s="353"/>
      <c r="Y567" s="353"/>
      <c r="Z567" s="353"/>
    </row>
    <row r="568" ht="12.0" customHeight="1">
      <c r="A568" s="353"/>
      <c r="B568" s="353"/>
      <c r="C568" s="353"/>
      <c r="D568" s="353"/>
      <c r="E568" s="353"/>
      <c r="F568" s="353"/>
      <c r="G568" s="353"/>
      <c r="H568" s="353"/>
      <c r="I568" s="353"/>
      <c r="J568" s="353"/>
      <c r="K568" s="353"/>
      <c r="L568" s="353"/>
      <c r="M568" s="353"/>
      <c r="N568" s="353"/>
      <c r="O568" s="353"/>
      <c r="P568" s="353"/>
      <c r="Q568" s="353"/>
      <c r="R568" s="353"/>
      <c r="S568" s="353"/>
      <c r="T568" s="353"/>
      <c r="U568" s="353"/>
      <c r="V568" s="353"/>
      <c r="W568" s="353"/>
      <c r="X568" s="353"/>
      <c r="Y568" s="353"/>
      <c r="Z568" s="353"/>
    </row>
    <row r="569" ht="12.0" customHeight="1">
      <c r="A569" s="353"/>
      <c r="B569" s="353"/>
      <c r="C569" s="353"/>
      <c r="D569" s="353"/>
      <c r="E569" s="353"/>
      <c r="F569" s="353"/>
      <c r="G569" s="353"/>
      <c r="H569" s="353"/>
      <c r="I569" s="353"/>
      <c r="J569" s="353"/>
      <c r="K569" s="353"/>
      <c r="L569" s="353"/>
      <c r="M569" s="353"/>
      <c r="N569" s="353"/>
      <c r="O569" s="353"/>
      <c r="P569" s="353"/>
      <c r="Q569" s="353"/>
      <c r="R569" s="353"/>
      <c r="S569" s="353"/>
      <c r="T569" s="353"/>
      <c r="U569" s="353"/>
      <c r="V569" s="353"/>
      <c r="W569" s="353"/>
      <c r="X569" s="353"/>
      <c r="Y569" s="353"/>
      <c r="Z569" s="353"/>
    </row>
    <row r="570" ht="12.0" customHeight="1">
      <c r="A570" s="353"/>
      <c r="B570" s="353"/>
      <c r="C570" s="353"/>
      <c r="D570" s="353"/>
      <c r="E570" s="353"/>
      <c r="F570" s="353"/>
      <c r="G570" s="353"/>
      <c r="H570" s="353"/>
      <c r="I570" s="353"/>
      <c r="J570" s="353"/>
      <c r="K570" s="353"/>
      <c r="L570" s="353"/>
      <c r="M570" s="353"/>
      <c r="N570" s="353"/>
      <c r="O570" s="353"/>
      <c r="P570" s="353"/>
      <c r="Q570" s="353"/>
      <c r="R570" s="353"/>
      <c r="S570" s="353"/>
      <c r="T570" s="353"/>
      <c r="U570" s="353"/>
      <c r="V570" s="353"/>
      <c r="W570" s="353"/>
      <c r="X570" s="353"/>
      <c r="Y570" s="353"/>
      <c r="Z570" s="353"/>
    </row>
    <row r="571" ht="12.0" customHeight="1">
      <c r="A571" s="353"/>
      <c r="B571" s="353"/>
      <c r="C571" s="353"/>
      <c r="D571" s="353"/>
      <c r="E571" s="353"/>
      <c r="F571" s="353"/>
      <c r="G571" s="353"/>
      <c r="H571" s="353"/>
      <c r="I571" s="353"/>
      <c r="J571" s="353"/>
      <c r="K571" s="353"/>
      <c r="L571" s="353"/>
      <c r="M571" s="353"/>
      <c r="N571" s="353"/>
      <c r="O571" s="353"/>
      <c r="P571" s="353"/>
      <c r="Q571" s="353"/>
      <c r="R571" s="353"/>
      <c r="S571" s="353"/>
      <c r="T571" s="353"/>
      <c r="U571" s="353"/>
      <c r="V571" s="353"/>
      <c r="W571" s="353"/>
      <c r="X571" s="353"/>
      <c r="Y571" s="353"/>
      <c r="Z571" s="353"/>
    </row>
    <row r="572" ht="12.0" customHeight="1">
      <c r="A572" s="353"/>
      <c r="B572" s="353"/>
      <c r="C572" s="353"/>
      <c r="D572" s="353"/>
      <c r="E572" s="353"/>
      <c r="F572" s="353"/>
      <c r="G572" s="353"/>
      <c r="H572" s="353"/>
      <c r="I572" s="353"/>
      <c r="J572" s="353"/>
      <c r="K572" s="353"/>
      <c r="L572" s="353"/>
      <c r="M572" s="353"/>
      <c r="N572" s="353"/>
      <c r="O572" s="353"/>
      <c r="P572" s="353"/>
      <c r="Q572" s="353"/>
      <c r="R572" s="353"/>
      <c r="S572" s="353"/>
      <c r="T572" s="353"/>
      <c r="U572" s="353"/>
      <c r="V572" s="353"/>
      <c r="W572" s="353"/>
      <c r="X572" s="353"/>
      <c r="Y572" s="353"/>
      <c r="Z572" s="353"/>
    </row>
    <row r="573" ht="12.0" customHeight="1">
      <c r="A573" s="353"/>
      <c r="B573" s="353"/>
      <c r="C573" s="353"/>
      <c r="D573" s="353"/>
      <c r="E573" s="353"/>
      <c r="F573" s="353"/>
      <c r="G573" s="353"/>
      <c r="H573" s="353"/>
      <c r="I573" s="353"/>
      <c r="J573" s="353"/>
      <c r="K573" s="353"/>
      <c r="L573" s="353"/>
      <c r="M573" s="353"/>
      <c r="N573" s="353"/>
      <c r="O573" s="353"/>
      <c r="P573" s="353"/>
      <c r="Q573" s="353"/>
      <c r="R573" s="353"/>
      <c r="S573" s="353"/>
      <c r="T573" s="353"/>
      <c r="U573" s="353"/>
      <c r="V573" s="353"/>
      <c r="W573" s="353"/>
      <c r="X573" s="353"/>
      <c r="Y573" s="353"/>
      <c r="Z573" s="353"/>
    </row>
    <row r="574" ht="12.0" customHeight="1">
      <c r="A574" s="353"/>
      <c r="B574" s="353"/>
      <c r="C574" s="353"/>
      <c r="D574" s="353"/>
      <c r="E574" s="353"/>
      <c r="F574" s="353"/>
      <c r="G574" s="353"/>
      <c r="H574" s="353"/>
      <c r="I574" s="353"/>
      <c r="J574" s="353"/>
      <c r="K574" s="353"/>
      <c r="L574" s="353"/>
      <c r="M574" s="353"/>
      <c r="N574" s="353"/>
      <c r="O574" s="353"/>
      <c r="P574" s="353"/>
      <c r="Q574" s="353"/>
      <c r="R574" s="353"/>
      <c r="S574" s="353"/>
      <c r="T574" s="353"/>
      <c r="U574" s="353"/>
      <c r="V574" s="353"/>
      <c r="W574" s="353"/>
      <c r="X574" s="353"/>
      <c r="Y574" s="353"/>
      <c r="Z574" s="353"/>
    </row>
    <row r="575" ht="12.0" customHeight="1">
      <c r="A575" s="353"/>
      <c r="B575" s="353"/>
      <c r="C575" s="353"/>
      <c r="D575" s="353"/>
      <c r="E575" s="353"/>
      <c r="F575" s="353"/>
      <c r="G575" s="353"/>
      <c r="H575" s="353"/>
      <c r="I575" s="353"/>
      <c r="J575" s="353"/>
      <c r="K575" s="353"/>
      <c r="L575" s="353"/>
      <c r="M575" s="353"/>
      <c r="N575" s="353"/>
      <c r="O575" s="353"/>
      <c r="P575" s="353"/>
      <c r="Q575" s="353"/>
      <c r="R575" s="353"/>
      <c r="S575" s="353"/>
      <c r="T575" s="353"/>
      <c r="U575" s="353"/>
      <c r="V575" s="353"/>
      <c r="W575" s="353"/>
      <c r="X575" s="353"/>
      <c r="Y575" s="353"/>
      <c r="Z575" s="353"/>
    </row>
    <row r="576" ht="12.0" customHeight="1">
      <c r="A576" s="353"/>
      <c r="B576" s="353"/>
      <c r="C576" s="353"/>
      <c r="D576" s="353"/>
      <c r="E576" s="353"/>
      <c r="F576" s="353"/>
      <c r="G576" s="353"/>
      <c r="H576" s="353"/>
      <c r="I576" s="353"/>
      <c r="J576" s="353"/>
      <c r="K576" s="353"/>
      <c r="L576" s="353"/>
      <c r="M576" s="353"/>
      <c r="N576" s="353"/>
      <c r="O576" s="353"/>
      <c r="P576" s="353"/>
      <c r="Q576" s="353"/>
      <c r="R576" s="353"/>
      <c r="S576" s="353"/>
      <c r="T576" s="353"/>
      <c r="U576" s="353"/>
      <c r="V576" s="353"/>
      <c r="W576" s="353"/>
      <c r="X576" s="353"/>
      <c r="Y576" s="353"/>
      <c r="Z576" s="353"/>
    </row>
    <row r="577" ht="12.0" customHeight="1">
      <c r="A577" s="353"/>
      <c r="B577" s="353"/>
      <c r="C577" s="353"/>
      <c r="D577" s="353"/>
      <c r="E577" s="353"/>
      <c r="F577" s="353"/>
      <c r="G577" s="353"/>
      <c r="H577" s="353"/>
      <c r="I577" s="353"/>
      <c r="J577" s="353"/>
      <c r="K577" s="353"/>
      <c r="L577" s="353"/>
      <c r="M577" s="353"/>
      <c r="N577" s="353"/>
      <c r="O577" s="353"/>
      <c r="P577" s="353"/>
      <c r="Q577" s="353"/>
      <c r="R577" s="353"/>
      <c r="S577" s="353"/>
      <c r="T577" s="353"/>
      <c r="U577" s="353"/>
      <c r="V577" s="353"/>
      <c r="W577" s="353"/>
      <c r="X577" s="353"/>
      <c r="Y577" s="353"/>
      <c r="Z577" s="353"/>
    </row>
    <row r="578" ht="12.0" customHeight="1">
      <c r="A578" s="353"/>
      <c r="B578" s="353"/>
      <c r="C578" s="353"/>
      <c r="D578" s="353"/>
      <c r="E578" s="353"/>
      <c r="F578" s="353"/>
      <c r="G578" s="353"/>
      <c r="H578" s="353"/>
      <c r="I578" s="353"/>
      <c r="J578" s="353"/>
      <c r="K578" s="353"/>
      <c r="L578" s="353"/>
      <c r="M578" s="353"/>
      <c r="N578" s="353"/>
      <c r="O578" s="353"/>
      <c r="P578" s="353"/>
      <c r="Q578" s="353"/>
      <c r="R578" s="353"/>
      <c r="S578" s="353"/>
      <c r="T578" s="353"/>
      <c r="U578" s="353"/>
      <c r="V578" s="353"/>
      <c r="W578" s="353"/>
      <c r="X578" s="353"/>
      <c r="Y578" s="353"/>
      <c r="Z578" s="353"/>
    </row>
    <row r="579" ht="12.0" customHeight="1">
      <c r="A579" s="353"/>
      <c r="B579" s="353"/>
      <c r="C579" s="353"/>
      <c r="D579" s="353"/>
      <c r="E579" s="353"/>
      <c r="F579" s="353"/>
      <c r="G579" s="353"/>
      <c r="H579" s="353"/>
      <c r="I579" s="353"/>
      <c r="J579" s="353"/>
      <c r="K579" s="353"/>
      <c r="L579" s="353"/>
      <c r="M579" s="353"/>
      <c r="N579" s="353"/>
      <c r="O579" s="353"/>
      <c r="P579" s="353"/>
      <c r="Q579" s="353"/>
      <c r="R579" s="353"/>
      <c r="S579" s="353"/>
      <c r="T579" s="353"/>
      <c r="U579" s="353"/>
      <c r="V579" s="353"/>
      <c r="W579" s="353"/>
      <c r="X579" s="353"/>
      <c r="Y579" s="353"/>
      <c r="Z579" s="353"/>
    </row>
    <row r="580" ht="12.0" customHeight="1">
      <c r="A580" s="353"/>
      <c r="B580" s="353"/>
      <c r="C580" s="353"/>
      <c r="D580" s="353"/>
      <c r="E580" s="353"/>
      <c r="F580" s="353"/>
      <c r="G580" s="353"/>
      <c r="H580" s="353"/>
      <c r="I580" s="353"/>
      <c r="J580" s="353"/>
      <c r="K580" s="353"/>
      <c r="L580" s="353"/>
      <c r="M580" s="353"/>
      <c r="N580" s="353"/>
      <c r="O580" s="353"/>
      <c r="P580" s="353"/>
      <c r="Q580" s="353"/>
      <c r="R580" s="353"/>
      <c r="S580" s="353"/>
      <c r="T580" s="353"/>
      <c r="U580" s="353"/>
      <c r="V580" s="353"/>
      <c r="W580" s="353"/>
      <c r="X580" s="353"/>
      <c r="Y580" s="353"/>
      <c r="Z580" s="353"/>
    </row>
    <row r="581" ht="12.0" customHeight="1">
      <c r="A581" s="353"/>
      <c r="B581" s="353"/>
      <c r="C581" s="353"/>
      <c r="D581" s="353"/>
      <c r="E581" s="353"/>
      <c r="F581" s="353"/>
      <c r="G581" s="353"/>
      <c r="H581" s="353"/>
      <c r="I581" s="353"/>
      <c r="J581" s="353"/>
      <c r="K581" s="353"/>
      <c r="L581" s="353"/>
      <c r="M581" s="353"/>
      <c r="N581" s="353"/>
      <c r="O581" s="353"/>
      <c r="P581" s="353"/>
      <c r="Q581" s="353"/>
      <c r="R581" s="353"/>
      <c r="S581" s="353"/>
      <c r="T581" s="353"/>
      <c r="U581" s="353"/>
      <c r="V581" s="353"/>
      <c r="W581" s="353"/>
      <c r="X581" s="353"/>
      <c r="Y581" s="353"/>
      <c r="Z581" s="353"/>
    </row>
    <row r="582" ht="12.0" customHeight="1">
      <c r="A582" s="353"/>
      <c r="B582" s="353"/>
      <c r="C582" s="353"/>
      <c r="D582" s="353"/>
      <c r="E582" s="353"/>
      <c r="F582" s="353"/>
      <c r="G582" s="353"/>
      <c r="H582" s="353"/>
      <c r="I582" s="353"/>
      <c r="J582" s="353"/>
      <c r="K582" s="353"/>
      <c r="L582" s="353"/>
      <c r="M582" s="353"/>
      <c r="N582" s="353"/>
      <c r="O582" s="353"/>
      <c r="P582" s="353"/>
      <c r="Q582" s="353"/>
      <c r="R582" s="353"/>
      <c r="S582" s="353"/>
      <c r="T582" s="353"/>
      <c r="U582" s="353"/>
      <c r="V582" s="353"/>
      <c r="W582" s="353"/>
      <c r="X582" s="353"/>
      <c r="Y582" s="353"/>
      <c r="Z582" s="353"/>
    </row>
    <row r="583" ht="12.0" customHeight="1">
      <c r="A583" s="353"/>
      <c r="B583" s="353"/>
      <c r="C583" s="353"/>
      <c r="D583" s="353"/>
      <c r="E583" s="353"/>
      <c r="F583" s="353"/>
      <c r="G583" s="353"/>
      <c r="H583" s="353"/>
      <c r="I583" s="353"/>
      <c r="J583" s="353"/>
      <c r="K583" s="353"/>
      <c r="L583" s="353"/>
      <c r="M583" s="353"/>
      <c r="N583" s="353"/>
      <c r="O583" s="353"/>
      <c r="P583" s="353"/>
      <c r="Q583" s="353"/>
      <c r="R583" s="353"/>
      <c r="S583" s="353"/>
      <c r="T583" s="353"/>
      <c r="U583" s="353"/>
      <c r="V583" s="353"/>
      <c r="W583" s="353"/>
      <c r="X583" s="353"/>
      <c r="Y583" s="353"/>
      <c r="Z583" s="353"/>
    </row>
    <row r="584" ht="12.0" customHeight="1">
      <c r="A584" s="353"/>
      <c r="B584" s="353"/>
      <c r="C584" s="353"/>
      <c r="D584" s="353"/>
      <c r="E584" s="353"/>
      <c r="F584" s="353"/>
      <c r="G584" s="353"/>
      <c r="H584" s="353"/>
      <c r="I584" s="353"/>
      <c r="J584" s="353"/>
      <c r="K584" s="353"/>
      <c r="L584" s="353"/>
      <c r="M584" s="353"/>
      <c r="N584" s="353"/>
      <c r="O584" s="353"/>
      <c r="P584" s="353"/>
      <c r="Q584" s="353"/>
      <c r="R584" s="353"/>
      <c r="S584" s="353"/>
      <c r="T584" s="353"/>
      <c r="U584" s="353"/>
      <c r="V584" s="353"/>
      <c r="W584" s="353"/>
      <c r="X584" s="353"/>
      <c r="Y584" s="353"/>
      <c r="Z584" s="353"/>
    </row>
    <row r="585" ht="12.0" customHeight="1">
      <c r="A585" s="353"/>
      <c r="B585" s="353"/>
      <c r="C585" s="353"/>
      <c r="D585" s="353"/>
      <c r="E585" s="353"/>
      <c r="F585" s="353"/>
      <c r="G585" s="353"/>
      <c r="H585" s="353"/>
      <c r="I585" s="353"/>
      <c r="J585" s="353"/>
      <c r="K585" s="353"/>
      <c r="L585" s="353"/>
      <c r="M585" s="353"/>
      <c r="N585" s="353"/>
      <c r="O585" s="353"/>
      <c r="P585" s="353"/>
      <c r="Q585" s="353"/>
      <c r="R585" s="353"/>
      <c r="S585" s="353"/>
      <c r="T585" s="353"/>
      <c r="U585" s="353"/>
      <c r="V585" s="353"/>
      <c r="W585" s="353"/>
      <c r="X585" s="353"/>
      <c r="Y585" s="353"/>
      <c r="Z585" s="353"/>
    </row>
    <row r="586" ht="12.0" customHeight="1">
      <c r="A586" s="353"/>
      <c r="B586" s="353"/>
      <c r="C586" s="353"/>
      <c r="D586" s="353"/>
      <c r="E586" s="353"/>
      <c r="F586" s="353"/>
      <c r="G586" s="353"/>
      <c r="H586" s="353"/>
      <c r="I586" s="353"/>
      <c r="J586" s="353"/>
      <c r="K586" s="353"/>
      <c r="L586" s="353"/>
      <c r="M586" s="353"/>
      <c r="N586" s="353"/>
      <c r="O586" s="353"/>
      <c r="P586" s="353"/>
      <c r="Q586" s="353"/>
      <c r="R586" s="353"/>
      <c r="S586" s="353"/>
      <c r="T586" s="353"/>
      <c r="U586" s="353"/>
      <c r="V586" s="353"/>
      <c r="W586" s="353"/>
      <c r="X586" s="353"/>
      <c r="Y586" s="353"/>
      <c r="Z586" s="353"/>
    </row>
    <row r="587" ht="12.0" customHeight="1">
      <c r="A587" s="353"/>
      <c r="B587" s="353"/>
      <c r="C587" s="353"/>
      <c r="D587" s="353"/>
      <c r="E587" s="353"/>
      <c r="F587" s="353"/>
      <c r="G587" s="353"/>
      <c r="H587" s="353"/>
      <c r="I587" s="353"/>
      <c r="J587" s="353"/>
      <c r="K587" s="353"/>
      <c r="L587" s="353"/>
      <c r="M587" s="353"/>
      <c r="N587" s="353"/>
      <c r="O587" s="353"/>
      <c r="P587" s="353"/>
      <c r="Q587" s="353"/>
      <c r="R587" s="353"/>
      <c r="S587" s="353"/>
      <c r="T587" s="353"/>
      <c r="U587" s="353"/>
      <c r="V587" s="353"/>
      <c r="W587" s="353"/>
      <c r="X587" s="353"/>
      <c r="Y587" s="353"/>
      <c r="Z587" s="353"/>
    </row>
    <row r="588" ht="12.0" customHeight="1">
      <c r="A588" s="353"/>
      <c r="B588" s="353"/>
      <c r="C588" s="353"/>
      <c r="D588" s="353"/>
      <c r="E588" s="353"/>
      <c r="F588" s="353"/>
      <c r="G588" s="353"/>
      <c r="H588" s="353"/>
      <c r="I588" s="353"/>
      <c r="J588" s="353"/>
      <c r="K588" s="353"/>
      <c r="L588" s="353"/>
      <c r="M588" s="353"/>
      <c r="N588" s="353"/>
      <c r="O588" s="353"/>
      <c r="P588" s="353"/>
      <c r="Q588" s="353"/>
      <c r="R588" s="353"/>
      <c r="S588" s="353"/>
      <c r="T588" s="353"/>
      <c r="U588" s="353"/>
      <c r="V588" s="353"/>
      <c r="W588" s="353"/>
      <c r="X588" s="353"/>
      <c r="Y588" s="353"/>
      <c r="Z588" s="353"/>
    </row>
    <row r="589" ht="12.0" customHeight="1">
      <c r="A589" s="353"/>
      <c r="B589" s="353"/>
      <c r="C589" s="353"/>
      <c r="D589" s="353"/>
      <c r="E589" s="353"/>
      <c r="F589" s="353"/>
      <c r="G589" s="353"/>
      <c r="H589" s="353"/>
      <c r="I589" s="353"/>
      <c r="J589" s="353"/>
      <c r="K589" s="353"/>
      <c r="L589" s="353"/>
      <c r="M589" s="353"/>
      <c r="N589" s="353"/>
      <c r="O589" s="353"/>
      <c r="P589" s="353"/>
      <c r="Q589" s="353"/>
      <c r="R589" s="353"/>
      <c r="S589" s="353"/>
      <c r="T589" s="353"/>
      <c r="U589" s="353"/>
      <c r="V589" s="353"/>
      <c r="W589" s="353"/>
      <c r="X589" s="353"/>
      <c r="Y589" s="353"/>
      <c r="Z589" s="353"/>
    </row>
    <row r="590" ht="12.0" customHeight="1">
      <c r="A590" s="353"/>
      <c r="B590" s="353"/>
      <c r="C590" s="353"/>
      <c r="D590" s="353"/>
      <c r="E590" s="353"/>
      <c r="F590" s="353"/>
      <c r="G590" s="353"/>
      <c r="H590" s="353"/>
      <c r="I590" s="353"/>
      <c r="J590" s="353"/>
      <c r="K590" s="353"/>
      <c r="L590" s="353"/>
      <c r="M590" s="353"/>
      <c r="N590" s="353"/>
      <c r="O590" s="353"/>
      <c r="P590" s="353"/>
      <c r="Q590" s="353"/>
      <c r="R590" s="353"/>
      <c r="S590" s="353"/>
      <c r="T590" s="353"/>
      <c r="U590" s="353"/>
      <c r="V590" s="353"/>
      <c r="W590" s="353"/>
      <c r="X590" s="353"/>
      <c r="Y590" s="353"/>
      <c r="Z590" s="353"/>
    </row>
    <row r="591" ht="12.0" customHeight="1">
      <c r="A591" s="353"/>
      <c r="B591" s="353"/>
      <c r="C591" s="353"/>
      <c r="D591" s="353"/>
      <c r="E591" s="353"/>
      <c r="F591" s="353"/>
      <c r="G591" s="353"/>
      <c r="H591" s="353"/>
      <c r="I591" s="353"/>
      <c r="J591" s="353"/>
      <c r="K591" s="353"/>
      <c r="L591" s="353"/>
      <c r="M591" s="353"/>
      <c r="N591" s="353"/>
      <c r="O591" s="353"/>
      <c r="P591" s="353"/>
      <c r="Q591" s="353"/>
      <c r="R591" s="353"/>
      <c r="S591" s="353"/>
      <c r="T591" s="353"/>
      <c r="U591" s="353"/>
      <c r="V591" s="353"/>
      <c r="W591" s="353"/>
      <c r="X591" s="353"/>
      <c r="Y591" s="353"/>
      <c r="Z591" s="353"/>
    </row>
    <row r="592" ht="12.0" customHeight="1">
      <c r="A592" s="353"/>
      <c r="B592" s="353"/>
      <c r="C592" s="353"/>
      <c r="D592" s="353"/>
      <c r="E592" s="353"/>
      <c r="F592" s="353"/>
      <c r="G592" s="353"/>
      <c r="H592" s="353"/>
      <c r="I592" s="353"/>
      <c r="J592" s="353"/>
      <c r="K592" s="353"/>
      <c r="L592" s="353"/>
      <c r="M592" s="353"/>
      <c r="N592" s="353"/>
      <c r="O592" s="353"/>
      <c r="P592" s="353"/>
      <c r="Q592" s="353"/>
      <c r="R592" s="353"/>
      <c r="S592" s="353"/>
      <c r="T592" s="353"/>
      <c r="U592" s="353"/>
      <c r="V592" s="353"/>
      <c r="W592" s="353"/>
      <c r="X592" s="353"/>
      <c r="Y592" s="353"/>
      <c r="Z592" s="353"/>
    </row>
    <row r="593" ht="12.0" customHeight="1">
      <c r="A593" s="353"/>
      <c r="B593" s="353"/>
      <c r="C593" s="353"/>
      <c r="D593" s="353"/>
      <c r="E593" s="353"/>
      <c r="F593" s="353"/>
      <c r="G593" s="353"/>
      <c r="H593" s="353"/>
      <c r="I593" s="353"/>
      <c r="J593" s="353"/>
      <c r="K593" s="353"/>
      <c r="L593" s="353"/>
      <c r="M593" s="353"/>
      <c r="N593" s="353"/>
      <c r="O593" s="353"/>
      <c r="P593" s="353"/>
      <c r="Q593" s="353"/>
      <c r="R593" s="353"/>
      <c r="S593" s="353"/>
      <c r="T593" s="353"/>
      <c r="U593" s="353"/>
      <c r="V593" s="353"/>
      <c r="W593" s="353"/>
      <c r="X593" s="353"/>
      <c r="Y593" s="353"/>
      <c r="Z593" s="353"/>
    </row>
    <row r="594" ht="12.0" customHeight="1">
      <c r="A594" s="353"/>
      <c r="B594" s="353"/>
      <c r="C594" s="353"/>
      <c r="D594" s="353"/>
      <c r="E594" s="353"/>
      <c r="F594" s="353"/>
      <c r="G594" s="353"/>
      <c r="H594" s="353"/>
      <c r="I594" s="353"/>
      <c r="J594" s="353"/>
      <c r="K594" s="353"/>
      <c r="L594" s="353"/>
      <c r="M594" s="353"/>
      <c r="N594" s="353"/>
      <c r="O594" s="353"/>
      <c r="P594" s="353"/>
      <c r="Q594" s="353"/>
      <c r="R594" s="353"/>
      <c r="S594" s="353"/>
      <c r="T594" s="353"/>
      <c r="U594" s="353"/>
      <c r="V594" s="353"/>
      <c r="W594" s="353"/>
      <c r="X594" s="353"/>
      <c r="Y594" s="353"/>
      <c r="Z594" s="353"/>
    </row>
    <row r="595" ht="12.0" customHeight="1">
      <c r="A595" s="353"/>
      <c r="B595" s="353"/>
      <c r="C595" s="353"/>
      <c r="D595" s="353"/>
      <c r="E595" s="353"/>
      <c r="F595" s="353"/>
      <c r="G595" s="353"/>
      <c r="H595" s="353"/>
      <c r="I595" s="353"/>
      <c r="J595" s="353"/>
      <c r="K595" s="353"/>
      <c r="L595" s="353"/>
      <c r="M595" s="353"/>
      <c r="N595" s="353"/>
      <c r="O595" s="353"/>
      <c r="P595" s="353"/>
      <c r="Q595" s="353"/>
      <c r="R595" s="353"/>
      <c r="S595" s="353"/>
      <c r="T595" s="353"/>
      <c r="U595" s="353"/>
      <c r="V595" s="353"/>
      <c r="W595" s="353"/>
      <c r="X595" s="353"/>
      <c r="Y595" s="353"/>
      <c r="Z595" s="353"/>
    </row>
    <row r="596" ht="12.0" customHeight="1">
      <c r="A596" s="353"/>
      <c r="B596" s="353"/>
      <c r="C596" s="353"/>
      <c r="D596" s="353"/>
      <c r="E596" s="353"/>
      <c r="F596" s="353"/>
      <c r="G596" s="353"/>
      <c r="H596" s="353"/>
      <c r="I596" s="353"/>
      <c r="J596" s="353"/>
      <c r="K596" s="353"/>
      <c r="L596" s="353"/>
      <c r="M596" s="353"/>
      <c r="N596" s="353"/>
      <c r="O596" s="353"/>
      <c r="P596" s="353"/>
      <c r="Q596" s="353"/>
      <c r="R596" s="353"/>
      <c r="S596" s="353"/>
      <c r="T596" s="353"/>
      <c r="U596" s="353"/>
      <c r="V596" s="353"/>
      <c r="W596" s="353"/>
      <c r="X596" s="353"/>
      <c r="Y596" s="353"/>
      <c r="Z596" s="353"/>
    </row>
    <row r="597" ht="12.0" customHeight="1">
      <c r="A597" s="353"/>
      <c r="B597" s="353"/>
      <c r="C597" s="353"/>
      <c r="D597" s="353"/>
      <c r="E597" s="353"/>
      <c r="F597" s="353"/>
      <c r="G597" s="353"/>
      <c r="H597" s="353"/>
      <c r="I597" s="353"/>
      <c r="J597" s="353"/>
      <c r="K597" s="353"/>
      <c r="L597" s="353"/>
      <c r="M597" s="353"/>
      <c r="N597" s="353"/>
      <c r="O597" s="353"/>
      <c r="P597" s="353"/>
      <c r="Q597" s="353"/>
      <c r="R597" s="353"/>
      <c r="S597" s="353"/>
      <c r="T597" s="353"/>
      <c r="U597" s="353"/>
      <c r="V597" s="353"/>
      <c r="W597" s="353"/>
      <c r="X597" s="353"/>
      <c r="Y597" s="353"/>
      <c r="Z597" s="353"/>
    </row>
    <row r="598" ht="12.0" customHeight="1">
      <c r="A598" s="353"/>
      <c r="B598" s="353"/>
      <c r="C598" s="353"/>
      <c r="D598" s="353"/>
      <c r="E598" s="353"/>
      <c r="F598" s="353"/>
      <c r="G598" s="353"/>
      <c r="H598" s="353"/>
      <c r="I598" s="353"/>
      <c r="J598" s="353"/>
      <c r="K598" s="353"/>
      <c r="L598" s="353"/>
      <c r="M598" s="353"/>
      <c r="N598" s="353"/>
      <c r="O598" s="353"/>
      <c r="P598" s="353"/>
      <c r="Q598" s="353"/>
      <c r="R598" s="353"/>
      <c r="S598" s="353"/>
      <c r="T598" s="353"/>
      <c r="U598" s="353"/>
      <c r="V598" s="353"/>
      <c r="W598" s="353"/>
      <c r="X598" s="353"/>
      <c r="Y598" s="353"/>
      <c r="Z598" s="353"/>
    </row>
    <row r="599" ht="12.0" customHeight="1">
      <c r="A599" s="353"/>
      <c r="B599" s="353"/>
      <c r="C599" s="353"/>
      <c r="D599" s="353"/>
      <c r="E599" s="353"/>
      <c r="F599" s="353"/>
      <c r="G599" s="353"/>
      <c r="H599" s="353"/>
      <c r="I599" s="353"/>
      <c r="J599" s="353"/>
      <c r="K599" s="353"/>
      <c r="L599" s="353"/>
      <c r="M599" s="353"/>
      <c r="N599" s="353"/>
      <c r="O599" s="353"/>
      <c r="P599" s="353"/>
      <c r="Q599" s="353"/>
      <c r="R599" s="353"/>
      <c r="S599" s="353"/>
      <c r="T599" s="353"/>
      <c r="U599" s="353"/>
      <c r="V599" s="353"/>
      <c r="W599" s="353"/>
      <c r="X599" s="353"/>
      <c r="Y599" s="353"/>
      <c r="Z599" s="353"/>
    </row>
    <row r="600" ht="12.0" customHeight="1">
      <c r="A600" s="353"/>
      <c r="B600" s="353"/>
      <c r="C600" s="353"/>
      <c r="D600" s="353"/>
      <c r="E600" s="353"/>
      <c r="F600" s="353"/>
      <c r="G600" s="353"/>
      <c r="H600" s="353"/>
      <c r="I600" s="353"/>
      <c r="J600" s="353"/>
      <c r="K600" s="353"/>
      <c r="L600" s="353"/>
      <c r="M600" s="353"/>
      <c r="N600" s="353"/>
      <c r="O600" s="353"/>
      <c r="P600" s="353"/>
      <c r="Q600" s="353"/>
      <c r="R600" s="353"/>
      <c r="S600" s="353"/>
      <c r="T600" s="353"/>
      <c r="U600" s="353"/>
      <c r="V600" s="353"/>
      <c r="W600" s="353"/>
      <c r="X600" s="353"/>
      <c r="Y600" s="353"/>
      <c r="Z600" s="353"/>
    </row>
    <row r="601" ht="12.0" customHeight="1">
      <c r="A601" s="353"/>
      <c r="B601" s="353"/>
      <c r="C601" s="353"/>
      <c r="D601" s="353"/>
      <c r="E601" s="353"/>
      <c r="F601" s="353"/>
      <c r="G601" s="353"/>
      <c r="H601" s="353"/>
      <c r="I601" s="353"/>
      <c r="J601" s="353"/>
      <c r="K601" s="353"/>
      <c r="L601" s="353"/>
      <c r="M601" s="353"/>
      <c r="N601" s="353"/>
      <c r="O601" s="353"/>
      <c r="P601" s="353"/>
      <c r="Q601" s="353"/>
      <c r="R601" s="353"/>
      <c r="S601" s="353"/>
      <c r="T601" s="353"/>
      <c r="U601" s="353"/>
      <c r="V601" s="353"/>
      <c r="W601" s="353"/>
      <c r="X601" s="353"/>
      <c r="Y601" s="353"/>
      <c r="Z601" s="353"/>
    </row>
    <row r="602" ht="12.0" customHeight="1">
      <c r="A602" s="353"/>
      <c r="B602" s="353"/>
      <c r="C602" s="353"/>
      <c r="D602" s="353"/>
      <c r="E602" s="353"/>
      <c r="F602" s="353"/>
      <c r="G602" s="353"/>
      <c r="H602" s="353"/>
      <c r="I602" s="353"/>
      <c r="J602" s="353"/>
      <c r="K602" s="353"/>
      <c r="L602" s="353"/>
      <c r="M602" s="353"/>
      <c r="N602" s="353"/>
      <c r="O602" s="353"/>
      <c r="P602" s="353"/>
      <c r="Q602" s="353"/>
      <c r="R602" s="353"/>
      <c r="S602" s="353"/>
      <c r="T602" s="353"/>
      <c r="U602" s="353"/>
      <c r="V602" s="353"/>
      <c r="W602" s="353"/>
      <c r="X602" s="353"/>
      <c r="Y602" s="353"/>
      <c r="Z602" s="353"/>
    </row>
    <row r="603" ht="12.0" customHeight="1">
      <c r="A603" s="353"/>
      <c r="B603" s="353"/>
      <c r="C603" s="353"/>
      <c r="D603" s="353"/>
      <c r="E603" s="353"/>
      <c r="F603" s="353"/>
      <c r="G603" s="353"/>
      <c r="H603" s="353"/>
      <c r="I603" s="353"/>
      <c r="J603" s="353"/>
      <c r="K603" s="353"/>
      <c r="L603" s="353"/>
      <c r="M603" s="353"/>
      <c r="N603" s="353"/>
      <c r="O603" s="353"/>
      <c r="P603" s="353"/>
      <c r="Q603" s="353"/>
      <c r="R603" s="353"/>
      <c r="S603" s="353"/>
      <c r="T603" s="353"/>
      <c r="U603" s="353"/>
      <c r="V603" s="353"/>
      <c r="W603" s="353"/>
      <c r="X603" s="353"/>
      <c r="Y603" s="353"/>
      <c r="Z603" s="353"/>
    </row>
    <row r="604" ht="12.0" customHeight="1">
      <c r="A604" s="353"/>
      <c r="B604" s="353"/>
      <c r="C604" s="353"/>
      <c r="D604" s="353"/>
      <c r="E604" s="353"/>
      <c r="F604" s="353"/>
      <c r="G604" s="353"/>
      <c r="H604" s="353"/>
      <c r="I604" s="353"/>
      <c r="J604" s="353"/>
      <c r="K604" s="353"/>
      <c r="L604" s="353"/>
      <c r="M604" s="353"/>
      <c r="N604" s="353"/>
      <c r="O604" s="353"/>
      <c r="P604" s="353"/>
      <c r="Q604" s="353"/>
      <c r="R604" s="353"/>
      <c r="S604" s="353"/>
      <c r="T604" s="353"/>
      <c r="U604" s="353"/>
      <c r="V604" s="353"/>
      <c r="W604" s="353"/>
      <c r="X604" s="353"/>
      <c r="Y604" s="353"/>
      <c r="Z604" s="353"/>
    </row>
    <row r="605" ht="12.0" customHeight="1">
      <c r="A605" s="353"/>
      <c r="B605" s="353"/>
      <c r="C605" s="353"/>
      <c r="D605" s="353"/>
      <c r="E605" s="353"/>
      <c r="F605" s="353"/>
      <c r="G605" s="353"/>
      <c r="H605" s="353"/>
      <c r="I605" s="353"/>
      <c r="J605" s="353"/>
      <c r="K605" s="353"/>
      <c r="L605" s="353"/>
      <c r="M605" s="353"/>
      <c r="N605" s="353"/>
      <c r="O605" s="353"/>
      <c r="P605" s="353"/>
      <c r="Q605" s="353"/>
      <c r="R605" s="353"/>
      <c r="S605" s="353"/>
      <c r="T605" s="353"/>
      <c r="U605" s="353"/>
      <c r="V605" s="353"/>
      <c r="W605" s="353"/>
      <c r="X605" s="353"/>
      <c r="Y605" s="353"/>
      <c r="Z605" s="353"/>
    </row>
    <row r="606" ht="12.0" customHeight="1">
      <c r="A606" s="353"/>
      <c r="B606" s="353"/>
      <c r="C606" s="353"/>
      <c r="D606" s="353"/>
      <c r="E606" s="353"/>
      <c r="F606" s="353"/>
      <c r="G606" s="353"/>
      <c r="H606" s="353"/>
      <c r="I606" s="353"/>
      <c r="J606" s="353"/>
      <c r="K606" s="353"/>
      <c r="L606" s="353"/>
      <c r="M606" s="353"/>
      <c r="N606" s="353"/>
      <c r="O606" s="353"/>
      <c r="P606" s="353"/>
      <c r="Q606" s="353"/>
      <c r="R606" s="353"/>
      <c r="S606" s="353"/>
      <c r="T606" s="353"/>
      <c r="U606" s="353"/>
      <c r="V606" s="353"/>
      <c r="W606" s="353"/>
      <c r="X606" s="353"/>
      <c r="Y606" s="353"/>
      <c r="Z606" s="353"/>
    </row>
    <row r="607" ht="12.0" customHeight="1">
      <c r="A607" s="353"/>
      <c r="B607" s="353"/>
      <c r="C607" s="353"/>
      <c r="D607" s="353"/>
      <c r="E607" s="353"/>
      <c r="F607" s="353"/>
      <c r="G607" s="353"/>
      <c r="H607" s="353"/>
      <c r="I607" s="353"/>
      <c r="J607" s="353"/>
      <c r="K607" s="353"/>
      <c r="L607" s="353"/>
      <c r="M607" s="353"/>
      <c r="N607" s="353"/>
      <c r="O607" s="353"/>
      <c r="P607" s="353"/>
      <c r="Q607" s="353"/>
      <c r="R607" s="353"/>
      <c r="S607" s="353"/>
      <c r="T607" s="353"/>
      <c r="U607" s="353"/>
      <c r="V607" s="353"/>
      <c r="W607" s="353"/>
      <c r="X607" s="353"/>
      <c r="Y607" s="353"/>
      <c r="Z607" s="353"/>
    </row>
    <row r="608" ht="12.0" customHeight="1">
      <c r="A608" s="353"/>
      <c r="B608" s="353"/>
      <c r="C608" s="353"/>
      <c r="D608" s="353"/>
      <c r="E608" s="353"/>
      <c r="F608" s="353"/>
      <c r="G608" s="353"/>
      <c r="H608" s="353"/>
      <c r="I608" s="353"/>
      <c r="J608" s="353"/>
      <c r="K608" s="353"/>
      <c r="L608" s="353"/>
      <c r="M608" s="353"/>
      <c r="N608" s="353"/>
      <c r="O608" s="353"/>
      <c r="P608" s="353"/>
      <c r="Q608" s="353"/>
      <c r="R608" s="353"/>
      <c r="S608" s="353"/>
      <c r="T608" s="353"/>
      <c r="U608" s="353"/>
      <c r="V608" s="353"/>
      <c r="W608" s="353"/>
      <c r="X608" s="353"/>
      <c r="Y608" s="353"/>
      <c r="Z608" s="353"/>
    </row>
    <row r="609" ht="12.0" customHeight="1">
      <c r="A609" s="353"/>
      <c r="B609" s="353"/>
      <c r="C609" s="353"/>
      <c r="D609" s="353"/>
      <c r="E609" s="353"/>
      <c r="F609" s="353"/>
      <c r="G609" s="353"/>
      <c r="H609" s="353"/>
      <c r="I609" s="353"/>
      <c r="J609" s="353"/>
      <c r="K609" s="353"/>
      <c r="L609" s="353"/>
      <c r="M609" s="353"/>
      <c r="N609" s="353"/>
      <c r="O609" s="353"/>
      <c r="P609" s="353"/>
      <c r="Q609" s="353"/>
      <c r="R609" s="353"/>
      <c r="S609" s="353"/>
      <c r="T609" s="353"/>
      <c r="U609" s="353"/>
      <c r="V609" s="353"/>
      <c r="W609" s="353"/>
      <c r="X609" s="353"/>
      <c r="Y609" s="353"/>
      <c r="Z609" s="353"/>
    </row>
    <row r="610" ht="12.0" customHeight="1">
      <c r="A610" s="353"/>
      <c r="B610" s="353"/>
      <c r="C610" s="353"/>
      <c r="D610" s="353"/>
      <c r="E610" s="353"/>
      <c r="F610" s="353"/>
      <c r="G610" s="353"/>
      <c r="H610" s="353"/>
      <c r="I610" s="353"/>
      <c r="J610" s="353"/>
      <c r="K610" s="353"/>
      <c r="L610" s="353"/>
      <c r="M610" s="353"/>
      <c r="N610" s="353"/>
      <c r="O610" s="353"/>
      <c r="P610" s="353"/>
      <c r="Q610" s="353"/>
      <c r="R610" s="353"/>
      <c r="S610" s="353"/>
      <c r="T610" s="353"/>
      <c r="U610" s="353"/>
      <c r="V610" s="353"/>
      <c r="W610" s="353"/>
      <c r="X610" s="353"/>
      <c r="Y610" s="353"/>
      <c r="Z610" s="353"/>
    </row>
    <row r="611" ht="12.0" customHeight="1">
      <c r="A611" s="353"/>
      <c r="B611" s="353"/>
      <c r="C611" s="353"/>
      <c r="D611" s="353"/>
      <c r="E611" s="353"/>
      <c r="F611" s="353"/>
      <c r="G611" s="353"/>
      <c r="H611" s="353"/>
      <c r="I611" s="353"/>
      <c r="J611" s="353"/>
      <c r="K611" s="353"/>
      <c r="L611" s="353"/>
      <c r="M611" s="353"/>
      <c r="N611" s="353"/>
      <c r="O611" s="353"/>
      <c r="P611" s="353"/>
      <c r="Q611" s="353"/>
      <c r="R611" s="353"/>
      <c r="S611" s="353"/>
      <c r="T611" s="353"/>
      <c r="U611" s="353"/>
      <c r="V611" s="353"/>
      <c r="W611" s="353"/>
      <c r="X611" s="353"/>
      <c r="Y611" s="353"/>
      <c r="Z611" s="353"/>
    </row>
    <row r="612" ht="12.0" customHeight="1">
      <c r="A612" s="353"/>
      <c r="B612" s="353"/>
      <c r="C612" s="353"/>
      <c r="D612" s="353"/>
      <c r="E612" s="353"/>
      <c r="F612" s="353"/>
      <c r="G612" s="353"/>
      <c r="H612" s="353"/>
      <c r="I612" s="353"/>
      <c r="J612" s="353"/>
      <c r="K612" s="353"/>
      <c r="L612" s="353"/>
      <c r="M612" s="353"/>
      <c r="N612" s="353"/>
      <c r="O612" s="353"/>
      <c r="P612" s="353"/>
      <c r="Q612" s="353"/>
      <c r="R612" s="353"/>
      <c r="S612" s="353"/>
      <c r="T612" s="353"/>
      <c r="U612" s="353"/>
      <c r="V612" s="353"/>
      <c r="W612" s="353"/>
      <c r="X612" s="353"/>
      <c r="Y612" s="353"/>
      <c r="Z612" s="353"/>
    </row>
    <row r="613" ht="12.0" customHeight="1">
      <c r="A613" s="353"/>
      <c r="B613" s="353"/>
      <c r="C613" s="353"/>
      <c r="D613" s="353"/>
      <c r="E613" s="353"/>
      <c r="F613" s="353"/>
      <c r="G613" s="353"/>
      <c r="H613" s="353"/>
      <c r="I613" s="353"/>
      <c r="J613" s="353"/>
      <c r="K613" s="353"/>
      <c r="L613" s="353"/>
      <c r="M613" s="353"/>
      <c r="N613" s="353"/>
      <c r="O613" s="353"/>
      <c r="P613" s="353"/>
      <c r="Q613" s="353"/>
      <c r="R613" s="353"/>
      <c r="S613" s="353"/>
      <c r="T613" s="353"/>
      <c r="U613" s="353"/>
      <c r="V613" s="353"/>
      <c r="W613" s="353"/>
      <c r="X613" s="353"/>
      <c r="Y613" s="353"/>
      <c r="Z613" s="353"/>
    </row>
    <row r="614" ht="12.0" customHeight="1">
      <c r="A614" s="353"/>
      <c r="B614" s="353"/>
      <c r="C614" s="353"/>
      <c r="D614" s="353"/>
      <c r="E614" s="353"/>
      <c r="F614" s="353"/>
      <c r="G614" s="353"/>
      <c r="H614" s="353"/>
      <c r="I614" s="353"/>
      <c r="J614" s="353"/>
      <c r="K614" s="353"/>
      <c r="L614" s="353"/>
      <c r="M614" s="353"/>
      <c r="N614" s="353"/>
      <c r="O614" s="353"/>
      <c r="P614" s="353"/>
      <c r="Q614" s="353"/>
      <c r="R614" s="353"/>
      <c r="S614" s="353"/>
      <c r="T614" s="353"/>
      <c r="U614" s="353"/>
      <c r="V614" s="353"/>
      <c r="W614" s="353"/>
      <c r="X614" s="353"/>
      <c r="Y614" s="353"/>
      <c r="Z614" s="353"/>
    </row>
    <row r="615" ht="12.0" customHeight="1">
      <c r="A615" s="353"/>
      <c r="B615" s="353"/>
      <c r="C615" s="353"/>
      <c r="D615" s="353"/>
      <c r="E615" s="353"/>
      <c r="F615" s="353"/>
      <c r="G615" s="353"/>
      <c r="H615" s="353"/>
      <c r="I615" s="353"/>
      <c r="J615" s="353"/>
      <c r="K615" s="353"/>
      <c r="L615" s="353"/>
      <c r="M615" s="353"/>
      <c r="N615" s="353"/>
      <c r="O615" s="353"/>
      <c r="P615" s="353"/>
      <c r="Q615" s="353"/>
      <c r="R615" s="353"/>
      <c r="S615" s="353"/>
      <c r="T615" s="353"/>
      <c r="U615" s="353"/>
      <c r="V615" s="353"/>
      <c r="W615" s="353"/>
      <c r="X615" s="353"/>
      <c r="Y615" s="353"/>
      <c r="Z615" s="353"/>
    </row>
    <row r="616" ht="12.0" customHeight="1">
      <c r="A616" s="353"/>
      <c r="B616" s="353"/>
      <c r="C616" s="353"/>
      <c r="D616" s="353"/>
      <c r="E616" s="353"/>
      <c r="F616" s="353"/>
      <c r="G616" s="353"/>
      <c r="H616" s="353"/>
      <c r="I616" s="353"/>
      <c r="J616" s="353"/>
      <c r="K616" s="353"/>
      <c r="L616" s="353"/>
      <c r="M616" s="353"/>
      <c r="N616" s="353"/>
      <c r="O616" s="353"/>
      <c r="P616" s="353"/>
      <c r="Q616" s="353"/>
      <c r="R616" s="353"/>
      <c r="S616" s="353"/>
      <c r="T616" s="353"/>
      <c r="U616" s="353"/>
      <c r="V616" s="353"/>
      <c r="W616" s="353"/>
      <c r="X616" s="353"/>
      <c r="Y616" s="353"/>
      <c r="Z616" s="353"/>
    </row>
    <row r="617" ht="12.0" customHeight="1">
      <c r="A617" s="353"/>
      <c r="B617" s="353"/>
      <c r="C617" s="353"/>
      <c r="D617" s="353"/>
      <c r="E617" s="353"/>
      <c r="F617" s="353"/>
      <c r="G617" s="353"/>
      <c r="H617" s="353"/>
      <c r="I617" s="353"/>
      <c r="J617" s="353"/>
      <c r="K617" s="353"/>
      <c r="L617" s="353"/>
      <c r="M617" s="353"/>
      <c r="N617" s="353"/>
      <c r="O617" s="353"/>
      <c r="P617" s="353"/>
      <c r="Q617" s="353"/>
      <c r="R617" s="353"/>
      <c r="S617" s="353"/>
      <c r="T617" s="353"/>
      <c r="U617" s="353"/>
      <c r="V617" s="353"/>
      <c r="W617" s="353"/>
      <c r="X617" s="353"/>
      <c r="Y617" s="353"/>
      <c r="Z617" s="353"/>
    </row>
    <row r="618" ht="12.0" customHeight="1">
      <c r="A618" s="353"/>
      <c r="B618" s="353"/>
      <c r="C618" s="353"/>
      <c r="D618" s="353"/>
      <c r="E618" s="353"/>
      <c r="F618" s="353"/>
      <c r="G618" s="353"/>
      <c r="H618" s="353"/>
      <c r="I618" s="353"/>
      <c r="J618" s="353"/>
      <c r="K618" s="353"/>
      <c r="L618" s="353"/>
      <c r="M618" s="353"/>
      <c r="N618" s="353"/>
      <c r="O618" s="353"/>
      <c r="P618" s="353"/>
      <c r="Q618" s="353"/>
      <c r="R618" s="353"/>
      <c r="S618" s="353"/>
      <c r="T618" s="353"/>
      <c r="U618" s="353"/>
      <c r="V618" s="353"/>
      <c r="W618" s="353"/>
      <c r="X618" s="353"/>
      <c r="Y618" s="353"/>
      <c r="Z618" s="353"/>
    </row>
    <row r="619" ht="12.0" customHeight="1">
      <c r="A619" s="353"/>
      <c r="B619" s="353"/>
      <c r="C619" s="353"/>
      <c r="D619" s="353"/>
      <c r="E619" s="353"/>
      <c r="F619" s="353"/>
      <c r="G619" s="353"/>
      <c r="H619" s="353"/>
      <c r="I619" s="353"/>
      <c r="J619" s="353"/>
      <c r="K619" s="353"/>
      <c r="L619" s="353"/>
      <c r="M619" s="353"/>
      <c r="N619" s="353"/>
      <c r="O619" s="353"/>
      <c r="P619" s="353"/>
      <c r="Q619" s="353"/>
      <c r="R619" s="353"/>
      <c r="S619" s="353"/>
      <c r="T619" s="353"/>
      <c r="U619" s="353"/>
      <c r="V619" s="353"/>
      <c r="W619" s="353"/>
      <c r="X619" s="353"/>
      <c r="Y619" s="353"/>
      <c r="Z619" s="353"/>
    </row>
    <row r="620" ht="12.0" customHeight="1">
      <c r="A620" s="353"/>
      <c r="B620" s="353"/>
      <c r="C620" s="353"/>
      <c r="D620" s="353"/>
      <c r="E620" s="353"/>
      <c r="F620" s="353"/>
      <c r="G620" s="353"/>
      <c r="H620" s="353"/>
      <c r="I620" s="353"/>
      <c r="J620" s="353"/>
      <c r="K620" s="353"/>
      <c r="L620" s="353"/>
      <c r="M620" s="353"/>
      <c r="N620" s="353"/>
      <c r="O620" s="353"/>
      <c r="P620" s="353"/>
      <c r="Q620" s="353"/>
      <c r="R620" s="353"/>
      <c r="S620" s="353"/>
      <c r="T620" s="353"/>
      <c r="U620" s="353"/>
      <c r="V620" s="353"/>
      <c r="W620" s="353"/>
      <c r="X620" s="353"/>
      <c r="Y620" s="353"/>
      <c r="Z620" s="353"/>
    </row>
    <row r="621" ht="12.0" customHeight="1">
      <c r="A621" s="353"/>
      <c r="B621" s="353"/>
      <c r="C621" s="353"/>
      <c r="D621" s="353"/>
      <c r="E621" s="353"/>
      <c r="F621" s="353"/>
      <c r="G621" s="353"/>
      <c r="H621" s="353"/>
      <c r="I621" s="353"/>
      <c r="J621" s="353"/>
      <c r="K621" s="353"/>
      <c r="L621" s="353"/>
      <c r="M621" s="353"/>
      <c r="N621" s="353"/>
      <c r="O621" s="353"/>
      <c r="P621" s="353"/>
      <c r="Q621" s="353"/>
      <c r="R621" s="353"/>
      <c r="S621" s="353"/>
      <c r="T621" s="353"/>
      <c r="U621" s="353"/>
      <c r="V621" s="353"/>
      <c r="W621" s="353"/>
      <c r="X621" s="353"/>
      <c r="Y621" s="353"/>
      <c r="Z621" s="353"/>
    </row>
    <row r="622" ht="12.0" customHeight="1">
      <c r="A622" s="353"/>
      <c r="B622" s="353"/>
      <c r="C622" s="353"/>
      <c r="D622" s="353"/>
      <c r="E622" s="353"/>
      <c r="F622" s="353"/>
      <c r="G622" s="353"/>
      <c r="H622" s="353"/>
      <c r="I622" s="353"/>
      <c r="J622" s="353"/>
      <c r="K622" s="353"/>
      <c r="L622" s="353"/>
      <c r="M622" s="353"/>
      <c r="N622" s="353"/>
      <c r="O622" s="353"/>
      <c r="P622" s="353"/>
      <c r="Q622" s="353"/>
      <c r="R622" s="353"/>
      <c r="S622" s="353"/>
      <c r="T622" s="353"/>
      <c r="U622" s="353"/>
      <c r="V622" s="353"/>
      <c r="W622" s="353"/>
      <c r="X622" s="353"/>
      <c r="Y622" s="353"/>
      <c r="Z622" s="353"/>
    </row>
    <row r="623" ht="12.0" customHeight="1">
      <c r="A623" s="353"/>
      <c r="B623" s="353"/>
      <c r="C623" s="353"/>
      <c r="D623" s="353"/>
      <c r="E623" s="353"/>
      <c r="F623" s="353"/>
      <c r="G623" s="353"/>
      <c r="H623" s="353"/>
      <c r="I623" s="353"/>
      <c r="J623" s="353"/>
      <c r="K623" s="353"/>
      <c r="L623" s="353"/>
      <c r="M623" s="353"/>
      <c r="N623" s="353"/>
      <c r="O623" s="353"/>
      <c r="P623" s="353"/>
      <c r="Q623" s="353"/>
      <c r="R623" s="353"/>
      <c r="S623" s="353"/>
      <c r="T623" s="353"/>
      <c r="U623" s="353"/>
      <c r="V623" s="353"/>
      <c r="W623" s="353"/>
      <c r="X623" s="353"/>
      <c r="Y623" s="353"/>
      <c r="Z623" s="353"/>
    </row>
    <row r="624" ht="12.0" customHeight="1">
      <c r="A624" s="353"/>
      <c r="B624" s="353"/>
      <c r="C624" s="353"/>
      <c r="D624" s="353"/>
      <c r="E624" s="353"/>
      <c r="F624" s="353"/>
      <c r="G624" s="353"/>
      <c r="H624" s="353"/>
      <c r="I624" s="353"/>
      <c r="J624" s="353"/>
      <c r="K624" s="353"/>
      <c r="L624" s="353"/>
      <c r="M624" s="353"/>
      <c r="N624" s="353"/>
      <c r="O624" s="353"/>
      <c r="P624" s="353"/>
      <c r="Q624" s="353"/>
      <c r="R624" s="353"/>
      <c r="S624" s="353"/>
      <c r="T624" s="353"/>
      <c r="U624" s="353"/>
      <c r="V624" s="353"/>
      <c r="W624" s="353"/>
      <c r="X624" s="353"/>
      <c r="Y624" s="353"/>
      <c r="Z624" s="353"/>
    </row>
    <row r="625" ht="12.0" customHeight="1">
      <c r="A625" s="353"/>
      <c r="B625" s="353"/>
      <c r="C625" s="353"/>
      <c r="D625" s="353"/>
      <c r="E625" s="353"/>
      <c r="F625" s="353"/>
      <c r="G625" s="353"/>
      <c r="H625" s="353"/>
      <c r="I625" s="353"/>
      <c r="J625" s="353"/>
      <c r="K625" s="353"/>
      <c r="L625" s="353"/>
      <c r="M625" s="353"/>
      <c r="N625" s="353"/>
      <c r="O625" s="353"/>
      <c r="P625" s="353"/>
      <c r="Q625" s="353"/>
      <c r="R625" s="353"/>
      <c r="S625" s="353"/>
      <c r="T625" s="353"/>
      <c r="U625" s="353"/>
      <c r="V625" s="353"/>
      <c r="W625" s="353"/>
      <c r="X625" s="353"/>
      <c r="Y625" s="353"/>
      <c r="Z625" s="353"/>
    </row>
    <row r="626" ht="12.0" customHeight="1">
      <c r="A626" s="353"/>
      <c r="B626" s="353"/>
      <c r="C626" s="353"/>
      <c r="D626" s="353"/>
      <c r="E626" s="353"/>
      <c r="F626" s="353"/>
      <c r="G626" s="353"/>
      <c r="H626" s="353"/>
      <c r="I626" s="353"/>
      <c r="J626" s="353"/>
      <c r="K626" s="353"/>
      <c r="L626" s="353"/>
      <c r="M626" s="353"/>
      <c r="N626" s="353"/>
      <c r="O626" s="353"/>
      <c r="P626" s="353"/>
      <c r="Q626" s="353"/>
      <c r="R626" s="353"/>
      <c r="S626" s="353"/>
      <c r="T626" s="353"/>
      <c r="U626" s="353"/>
      <c r="V626" s="353"/>
      <c r="W626" s="353"/>
      <c r="X626" s="353"/>
      <c r="Y626" s="353"/>
      <c r="Z626" s="353"/>
    </row>
    <row r="627" ht="12.0" customHeight="1">
      <c r="A627" s="353"/>
      <c r="B627" s="353"/>
      <c r="C627" s="353"/>
      <c r="D627" s="353"/>
      <c r="E627" s="353"/>
      <c r="F627" s="353"/>
      <c r="G627" s="353"/>
      <c r="H627" s="353"/>
      <c r="I627" s="353"/>
      <c r="J627" s="353"/>
      <c r="K627" s="353"/>
      <c r="L627" s="353"/>
      <c r="M627" s="353"/>
      <c r="N627" s="353"/>
      <c r="O627" s="353"/>
      <c r="P627" s="353"/>
      <c r="Q627" s="353"/>
      <c r="R627" s="353"/>
      <c r="S627" s="353"/>
      <c r="T627" s="353"/>
      <c r="U627" s="353"/>
      <c r="V627" s="353"/>
      <c r="W627" s="353"/>
      <c r="X627" s="353"/>
      <c r="Y627" s="353"/>
      <c r="Z627" s="353"/>
    </row>
    <row r="628" ht="12.0" customHeight="1">
      <c r="A628" s="353"/>
      <c r="B628" s="353"/>
      <c r="C628" s="353"/>
      <c r="D628" s="353"/>
      <c r="E628" s="353"/>
      <c r="F628" s="353"/>
      <c r="G628" s="353"/>
      <c r="H628" s="353"/>
      <c r="I628" s="353"/>
      <c r="J628" s="353"/>
      <c r="K628" s="353"/>
      <c r="L628" s="353"/>
      <c r="M628" s="353"/>
      <c r="N628" s="353"/>
      <c r="O628" s="353"/>
      <c r="P628" s="353"/>
      <c r="Q628" s="353"/>
      <c r="R628" s="353"/>
      <c r="S628" s="353"/>
      <c r="T628" s="353"/>
      <c r="U628" s="353"/>
      <c r="V628" s="353"/>
      <c r="W628" s="353"/>
      <c r="X628" s="353"/>
      <c r="Y628" s="353"/>
      <c r="Z628" s="353"/>
    </row>
    <row r="629" ht="12.0" customHeight="1">
      <c r="A629" s="353"/>
      <c r="B629" s="353"/>
      <c r="C629" s="353"/>
      <c r="D629" s="353"/>
      <c r="E629" s="353"/>
      <c r="F629" s="353"/>
      <c r="G629" s="353"/>
      <c r="H629" s="353"/>
      <c r="I629" s="353"/>
      <c r="J629" s="353"/>
      <c r="K629" s="353"/>
      <c r="L629" s="353"/>
      <c r="M629" s="353"/>
      <c r="N629" s="353"/>
      <c r="O629" s="353"/>
      <c r="P629" s="353"/>
      <c r="Q629" s="353"/>
      <c r="R629" s="353"/>
      <c r="S629" s="353"/>
      <c r="T629" s="353"/>
      <c r="U629" s="353"/>
      <c r="V629" s="353"/>
      <c r="W629" s="353"/>
      <c r="X629" s="353"/>
      <c r="Y629" s="353"/>
      <c r="Z629" s="353"/>
    </row>
    <row r="630" ht="12.0" customHeight="1">
      <c r="A630" s="353"/>
      <c r="B630" s="353"/>
      <c r="C630" s="353"/>
      <c r="D630" s="353"/>
      <c r="E630" s="353"/>
      <c r="F630" s="353"/>
      <c r="G630" s="353"/>
      <c r="H630" s="353"/>
      <c r="I630" s="353"/>
      <c r="J630" s="353"/>
      <c r="K630" s="353"/>
      <c r="L630" s="353"/>
      <c r="M630" s="353"/>
      <c r="N630" s="353"/>
      <c r="O630" s="353"/>
      <c r="P630" s="353"/>
      <c r="Q630" s="353"/>
      <c r="R630" s="353"/>
      <c r="S630" s="353"/>
      <c r="T630" s="353"/>
      <c r="U630" s="353"/>
      <c r="V630" s="353"/>
      <c r="W630" s="353"/>
      <c r="X630" s="353"/>
      <c r="Y630" s="353"/>
      <c r="Z630" s="353"/>
    </row>
    <row r="631" ht="12.0" customHeight="1">
      <c r="A631" s="353"/>
      <c r="B631" s="353"/>
      <c r="C631" s="353"/>
      <c r="D631" s="353"/>
      <c r="E631" s="353"/>
      <c r="F631" s="353"/>
      <c r="G631" s="353"/>
      <c r="H631" s="353"/>
      <c r="I631" s="353"/>
      <c r="J631" s="353"/>
      <c r="K631" s="353"/>
      <c r="L631" s="353"/>
      <c r="M631" s="353"/>
      <c r="N631" s="353"/>
      <c r="O631" s="353"/>
      <c r="P631" s="353"/>
      <c r="Q631" s="353"/>
      <c r="R631" s="353"/>
      <c r="S631" s="353"/>
      <c r="T631" s="353"/>
      <c r="U631" s="353"/>
      <c r="V631" s="353"/>
      <c r="W631" s="353"/>
      <c r="X631" s="353"/>
      <c r="Y631" s="353"/>
      <c r="Z631" s="353"/>
    </row>
    <row r="632" ht="12.0" customHeight="1">
      <c r="A632" s="353"/>
      <c r="B632" s="353"/>
      <c r="C632" s="353"/>
      <c r="D632" s="353"/>
      <c r="E632" s="353"/>
      <c r="F632" s="353"/>
      <c r="G632" s="353"/>
      <c r="H632" s="353"/>
      <c r="I632" s="353"/>
      <c r="J632" s="353"/>
      <c r="K632" s="353"/>
      <c r="L632" s="353"/>
      <c r="M632" s="353"/>
      <c r="N632" s="353"/>
      <c r="O632" s="353"/>
      <c r="P632" s="353"/>
      <c r="Q632" s="353"/>
      <c r="R632" s="353"/>
      <c r="S632" s="353"/>
      <c r="T632" s="353"/>
      <c r="U632" s="353"/>
      <c r="V632" s="353"/>
      <c r="W632" s="353"/>
      <c r="X632" s="353"/>
      <c r="Y632" s="353"/>
      <c r="Z632" s="353"/>
    </row>
    <row r="633" ht="12.0" customHeight="1">
      <c r="A633" s="353"/>
      <c r="B633" s="353"/>
      <c r="C633" s="353"/>
      <c r="D633" s="353"/>
      <c r="E633" s="353"/>
      <c r="F633" s="353"/>
      <c r="G633" s="353"/>
      <c r="H633" s="353"/>
      <c r="I633" s="353"/>
      <c r="J633" s="353"/>
      <c r="K633" s="353"/>
      <c r="L633" s="353"/>
      <c r="M633" s="353"/>
      <c r="N633" s="353"/>
      <c r="O633" s="353"/>
      <c r="P633" s="353"/>
      <c r="Q633" s="353"/>
      <c r="R633" s="353"/>
      <c r="S633" s="353"/>
      <c r="T633" s="353"/>
      <c r="U633" s="353"/>
      <c r="V633" s="353"/>
      <c r="W633" s="353"/>
      <c r="X633" s="353"/>
      <c r="Y633" s="353"/>
      <c r="Z633" s="353"/>
    </row>
    <row r="634" ht="12.0" customHeight="1">
      <c r="A634" s="353"/>
      <c r="B634" s="353"/>
      <c r="C634" s="353"/>
      <c r="D634" s="353"/>
      <c r="E634" s="353"/>
      <c r="F634" s="353"/>
      <c r="G634" s="353"/>
      <c r="H634" s="353"/>
      <c r="I634" s="353"/>
      <c r="J634" s="353"/>
      <c r="K634" s="353"/>
      <c r="L634" s="353"/>
      <c r="M634" s="353"/>
      <c r="N634" s="353"/>
      <c r="O634" s="353"/>
      <c r="P634" s="353"/>
      <c r="Q634" s="353"/>
      <c r="R634" s="353"/>
      <c r="S634" s="353"/>
      <c r="T634" s="353"/>
      <c r="U634" s="353"/>
      <c r="V634" s="353"/>
      <c r="W634" s="353"/>
      <c r="X634" s="353"/>
      <c r="Y634" s="353"/>
      <c r="Z634" s="353"/>
    </row>
    <row r="635" ht="12.0" customHeight="1">
      <c r="A635" s="353"/>
      <c r="B635" s="353"/>
      <c r="C635" s="353"/>
      <c r="D635" s="353"/>
      <c r="E635" s="353"/>
      <c r="F635" s="353"/>
      <c r="G635" s="353"/>
      <c r="H635" s="353"/>
      <c r="I635" s="353"/>
      <c r="J635" s="353"/>
      <c r="K635" s="353"/>
      <c r="L635" s="353"/>
      <c r="M635" s="353"/>
      <c r="N635" s="353"/>
      <c r="O635" s="353"/>
      <c r="P635" s="353"/>
      <c r="Q635" s="353"/>
      <c r="R635" s="353"/>
      <c r="S635" s="353"/>
      <c r="T635" s="353"/>
      <c r="U635" s="353"/>
      <c r="V635" s="353"/>
      <c r="W635" s="353"/>
      <c r="X635" s="353"/>
      <c r="Y635" s="353"/>
      <c r="Z635" s="353"/>
    </row>
    <row r="636" ht="12.0" customHeight="1">
      <c r="A636" s="353"/>
      <c r="B636" s="353"/>
      <c r="C636" s="353"/>
      <c r="D636" s="353"/>
      <c r="E636" s="353"/>
      <c r="F636" s="353"/>
      <c r="G636" s="353"/>
      <c r="H636" s="353"/>
      <c r="I636" s="353"/>
      <c r="J636" s="353"/>
      <c r="K636" s="353"/>
      <c r="L636" s="353"/>
      <c r="M636" s="353"/>
      <c r="N636" s="353"/>
      <c r="O636" s="353"/>
      <c r="P636" s="353"/>
      <c r="Q636" s="353"/>
      <c r="R636" s="353"/>
      <c r="S636" s="353"/>
      <c r="T636" s="353"/>
      <c r="U636" s="353"/>
      <c r="V636" s="353"/>
      <c r="W636" s="353"/>
      <c r="X636" s="353"/>
      <c r="Y636" s="353"/>
      <c r="Z636" s="353"/>
    </row>
    <row r="637" ht="12.0" customHeight="1">
      <c r="A637" s="353"/>
      <c r="B637" s="353"/>
      <c r="C637" s="353"/>
      <c r="D637" s="353"/>
      <c r="E637" s="353"/>
      <c r="F637" s="353"/>
      <c r="G637" s="353"/>
      <c r="H637" s="353"/>
      <c r="I637" s="353"/>
      <c r="J637" s="353"/>
      <c r="K637" s="353"/>
      <c r="L637" s="353"/>
      <c r="M637" s="353"/>
      <c r="N637" s="353"/>
      <c r="O637" s="353"/>
      <c r="P637" s="353"/>
      <c r="Q637" s="353"/>
      <c r="R637" s="353"/>
      <c r="S637" s="353"/>
      <c r="T637" s="353"/>
      <c r="U637" s="353"/>
      <c r="V637" s="353"/>
      <c r="W637" s="353"/>
      <c r="X637" s="353"/>
      <c r="Y637" s="353"/>
      <c r="Z637" s="353"/>
    </row>
    <row r="638" ht="12.0" customHeight="1">
      <c r="A638" s="353"/>
      <c r="B638" s="353"/>
      <c r="C638" s="353"/>
      <c r="D638" s="353"/>
      <c r="E638" s="353"/>
      <c r="F638" s="353"/>
      <c r="G638" s="353"/>
      <c r="H638" s="353"/>
      <c r="I638" s="353"/>
      <c r="J638" s="353"/>
      <c r="K638" s="353"/>
      <c r="L638" s="353"/>
      <c r="M638" s="353"/>
      <c r="N638" s="353"/>
      <c r="O638" s="353"/>
      <c r="P638" s="353"/>
      <c r="Q638" s="353"/>
      <c r="R638" s="353"/>
      <c r="S638" s="353"/>
      <c r="T638" s="353"/>
      <c r="U638" s="353"/>
      <c r="V638" s="353"/>
      <c r="W638" s="353"/>
      <c r="X638" s="353"/>
      <c r="Y638" s="353"/>
      <c r="Z638" s="353"/>
    </row>
    <row r="639" ht="12.0" customHeight="1">
      <c r="A639" s="353"/>
      <c r="B639" s="353"/>
      <c r="C639" s="353"/>
      <c r="D639" s="353"/>
      <c r="E639" s="353"/>
      <c r="F639" s="353"/>
      <c r="G639" s="353"/>
      <c r="H639" s="353"/>
      <c r="I639" s="353"/>
      <c r="J639" s="353"/>
      <c r="K639" s="353"/>
      <c r="L639" s="353"/>
      <c r="M639" s="353"/>
      <c r="N639" s="353"/>
      <c r="O639" s="353"/>
      <c r="P639" s="353"/>
      <c r="Q639" s="353"/>
      <c r="R639" s="353"/>
      <c r="S639" s="353"/>
      <c r="T639" s="353"/>
      <c r="U639" s="353"/>
      <c r="V639" s="353"/>
      <c r="W639" s="353"/>
      <c r="X639" s="353"/>
      <c r="Y639" s="353"/>
      <c r="Z639" s="353"/>
    </row>
    <row r="640" ht="12.0" customHeight="1">
      <c r="A640" s="353"/>
      <c r="B640" s="353"/>
      <c r="C640" s="353"/>
      <c r="D640" s="353"/>
      <c r="E640" s="353"/>
      <c r="F640" s="353"/>
      <c r="G640" s="353"/>
      <c r="H640" s="353"/>
      <c r="I640" s="353"/>
      <c r="J640" s="353"/>
      <c r="K640" s="353"/>
      <c r="L640" s="353"/>
      <c r="M640" s="353"/>
      <c r="N640" s="353"/>
      <c r="O640" s="353"/>
      <c r="P640" s="353"/>
      <c r="Q640" s="353"/>
      <c r="R640" s="353"/>
      <c r="S640" s="353"/>
      <c r="T640" s="353"/>
      <c r="U640" s="353"/>
      <c r="V640" s="353"/>
      <c r="W640" s="353"/>
      <c r="X640" s="353"/>
      <c r="Y640" s="353"/>
      <c r="Z640" s="353"/>
    </row>
    <row r="641" ht="12.0" customHeight="1">
      <c r="A641" s="353"/>
      <c r="B641" s="353"/>
      <c r="C641" s="353"/>
      <c r="D641" s="353"/>
      <c r="E641" s="353"/>
      <c r="F641" s="353"/>
      <c r="G641" s="353"/>
      <c r="H641" s="353"/>
      <c r="I641" s="353"/>
      <c r="J641" s="353"/>
      <c r="K641" s="353"/>
      <c r="L641" s="353"/>
      <c r="M641" s="353"/>
      <c r="N641" s="353"/>
      <c r="O641" s="353"/>
      <c r="P641" s="353"/>
      <c r="Q641" s="353"/>
      <c r="R641" s="353"/>
      <c r="S641" s="353"/>
      <c r="T641" s="353"/>
      <c r="U641" s="353"/>
      <c r="V641" s="353"/>
      <c r="W641" s="353"/>
      <c r="X641" s="353"/>
      <c r="Y641" s="353"/>
      <c r="Z641" s="353"/>
    </row>
    <row r="642" ht="12.0" customHeight="1">
      <c r="A642" s="353"/>
      <c r="B642" s="353"/>
      <c r="C642" s="353"/>
      <c r="D642" s="353"/>
      <c r="E642" s="353"/>
      <c r="F642" s="353"/>
      <c r="G642" s="353"/>
      <c r="H642" s="353"/>
      <c r="I642" s="353"/>
      <c r="J642" s="353"/>
      <c r="K642" s="353"/>
      <c r="L642" s="353"/>
      <c r="M642" s="353"/>
      <c r="N642" s="353"/>
      <c r="O642" s="353"/>
      <c r="P642" s="353"/>
      <c r="Q642" s="353"/>
      <c r="R642" s="353"/>
      <c r="S642" s="353"/>
      <c r="T642" s="353"/>
      <c r="U642" s="353"/>
      <c r="V642" s="353"/>
      <c r="W642" s="353"/>
      <c r="X642" s="353"/>
      <c r="Y642" s="353"/>
      <c r="Z642" s="353"/>
    </row>
    <row r="643" ht="12.0" customHeight="1">
      <c r="A643" s="353"/>
      <c r="B643" s="353"/>
      <c r="C643" s="353"/>
      <c r="D643" s="353"/>
      <c r="E643" s="353"/>
      <c r="F643" s="353"/>
      <c r="G643" s="353"/>
      <c r="H643" s="353"/>
      <c r="I643" s="353"/>
      <c r="J643" s="353"/>
      <c r="K643" s="353"/>
      <c r="L643" s="353"/>
      <c r="M643" s="353"/>
      <c r="N643" s="353"/>
      <c r="O643" s="353"/>
      <c r="P643" s="353"/>
      <c r="Q643" s="353"/>
      <c r="R643" s="353"/>
      <c r="S643" s="353"/>
      <c r="T643" s="353"/>
      <c r="U643" s="353"/>
      <c r="V643" s="353"/>
      <c r="W643" s="353"/>
      <c r="X643" s="353"/>
      <c r="Y643" s="353"/>
      <c r="Z643" s="353"/>
    </row>
    <row r="644" ht="12.0" customHeight="1">
      <c r="A644" s="353"/>
      <c r="B644" s="353"/>
      <c r="C644" s="353"/>
      <c r="D644" s="353"/>
      <c r="E644" s="353"/>
      <c r="F644" s="353"/>
      <c r="G644" s="353"/>
      <c r="H644" s="353"/>
      <c r="I644" s="353"/>
      <c r="J644" s="353"/>
      <c r="K644" s="353"/>
      <c r="L644" s="353"/>
      <c r="M644" s="353"/>
      <c r="N644" s="353"/>
      <c r="O644" s="353"/>
      <c r="P644" s="353"/>
      <c r="Q644" s="353"/>
      <c r="R644" s="353"/>
      <c r="S644" s="353"/>
      <c r="T644" s="353"/>
      <c r="U644" s="353"/>
      <c r="V644" s="353"/>
      <c r="W644" s="353"/>
      <c r="X644" s="353"/>
      <c r="Y644" s="353"/>
      <c r="Z644" s="353"/>
    </row>
    <row r="645" ht="12.0" customHeight="1">
      <c r="A645" s="353"/>
      <c r="B645" s="353"/>
      <c r="C645" s="353"/>
      <c r="D645" s="353"/>
      <c r="E645" s="353"/>
      <c r="F645" s="353"/>
      <c r="G645" s="353"/>
      <c r="H645" s="353"/>
      <c r="I645" s="353"/>
      <c r="J645" s="353"/>
      <c r="K645" s="353"/>
      <c r="L645" s="353"/>
      <c r="M645" s="353"/>
      <c r="N645" s="353"/>
      <c r="O645" s="353"/>
      <c r="P645" s="353"/>
      <c r="Q645" s="353"/>
      <c r="R645" s="353"/>
      <c r="S645" s="353"/>
      <c r="T645" s="353"/>
      <c r="U645" s="353"/>
      <c r="V645" s="353"/>
      <c r="W645" s="353"/>
      <c r="X645" s="353"/>
      <c r="Y645" s="353"/>
      <c r="Z645" s="353"/>
    </row>
    <row r="646" ht="12.0" customHeight="1">
      <c r="A646" s="353"/>
      <c r="B646" s="353"/>
      <c r="C646" s="353"/>
      <c r="D646" s="353"/>
      <c r="E646" s="353"/>
      <c r="F646" s="353"/>
      <c r="G646" s="353"/>
      <c r="H646" s="353"/>
      <c r="I646" s="353"/>
      <c r="J646" s="353"/>
      <c r="K646" s="353"/>
      <c r="L646" s="353"/>
      <c r="M646" s="353"/>
      <c r="N646" s="353"/>
      <c r="O646" s="353"/>
      <c r="P646" s="353"/>
      <c r="Q646" s="353"/>
      <c r="R646" s="353"/>
      <c r="S646" s="353"/>
      <c r="T646" s="353"/>
      <c r="U646" s="353"/>
      <c r="V646" s="353"/>
      <c r="W646" s="353"/>
      <c r="X646" s="353"/>
      <c r="Y646" s="353"/>
      <c r="Z646" s="353"/>
    </row>
    <row r="647" ht="12.0" customHeight="1">
      <c r="A647" s="353"/>
      <c r="B647" s="353"/>
      <c r="C647" s="353"/>
      <c r="D647" s="353"/>
      <c r="E647" s="353"/>
      <c r="F647" s="353"/>
      <c r="G647" s="353"/>
      <c r="H647" s="353"/>
      <c r="I647" s="353"/>
      <c r="J647" s="353"/>
      <c r="K647" s="353"/>
      <c r="L647" s="353"/>
      <c r="M647" s="353"/>
      <c r="N647" s="353"/>
      <c r="O647" s="353"/>
      <c r="P647" s="353"/>
      <c r="Q647" s="353"/>
      <c r="R647" s="353"/>
      <c r="S647" s="353"/>
      <c r="T647" s="353"/>
      <c r="U647" s="353"/>
      <c r="V647" s="353"/>
      <c r="W647" s="353"/>
      <c r="X647" s="353"/>
      <c r="Y647" s="353"/>
      <c r="Z647" s="353"/>
    </row>
    <row r="648" ht="12.0" customHeight="1">
      <c r="A648" s="353"/>
      <c r="B648" s="353"/>
      <c r="C648" s="353"/>
      <c r="D648" s="353"/>
      <c r="E648" s="353"/>
      <c r="F648" s="353"/>
      <c r="G648" s="353"/>
      <c r="H648" s="353"/>
      <c r="I648" s="353"/>
      <c r="J648" s="353"/>
      <c r="K648" s="353"/>
      <c r="L648" s="353"/>
      <c r="M648" s="353"/>
      <c r="N648" s="353"/>
      <c r="O648" s="353"/>
      <c r="P648" s="353"/>
      <c r="Q648" s="353"/>
      <c r="R648" s="353"/>
      <c r="S648" s="353"/>
      <c r="T648" s="353"/>
      <c r="U648" s="353"/>
      <c r="V648" s="353"/>
      <c r="W648" s="353"/>
      <c r="X648" s="353"/>
      <c r="Y648" s="353"/>
      <c r="Z648" s="353"/>
    </row>
    <row r="649" ht="12.0" customHeight="1">
      <c r="A649" s="353"/>
      <c r="B649" s="353"/>
      <c r="C649" s="353"/>
      <c r="D649" s="353"/>
      <c r="E649" s="353"/>
      <c r="F649" s="353"/>
      <c r="G649" s="353"/>
      <c r="H649" s="353"/>
      <c r="I649" s="353"/>
      <c r="J649" s="353"/>
      <c r="K649" s="353"/>
      <c r="L649" s="353"/>
      <c r="M649" s="353"/>
      <c r="N649" s="353"/>
      <c r="O649" s="353"/>
      <c r="P649" s="353"/>
      <c r="Q649" s="353"/>
      <c r="R649" s="353"/>
      <c r="S649" s="353"/>
      <c r="T649" s="353"/>
      <c r="U649" s="353"/>
      <c r="V649" s="353"/>
      <c r="W649" s="353"/>
      <c r="X649" s="353"/>
      <c r="Y649" s="353"/>
      <c r="Z649" s="353"/>
    </row>
    <row r="650" ht="12.0" customHeight="1">
      <c r="A650" s="353"/>
      <c r="B650" s="353"/>
      <c r="C650" s="353"/>
      <c r="D650" s="353"/>
      <c r="E650" s="353"/>
      <c r="F650" s="353"/>
      <c r="G650" s="353"/>
      <c r="H650" s="353"/>
      <c r="I650" s="353"/>
      <c r="J650" s="353"/>
      <c r="K650" s="353"/>
      <c r="L650" s="353"/>
      <c r="M650" s="353"/>
      <c r="N650" s="353"/>
      <c r="O650" s="353"/>
      <c r="P650" s="353"/>
      <c r="Q650" s="353"/>
      <c r="R650" s="353"/>
      <c r="S650" s="353"/>
      <c r="T650" s="353"/>
      <c r="U650" s="353"/>
      <c r="V650" s="353"/>
      <c r="W650" s="353"/>
      <c r="X650" s="353"/>
      <c r="Y650" s="353"/>
      <c r="Z650" s="353"/>
    </row>
    <row r="651" ht="12.0" customHeight="1">
      <c r="A651" s="353"/>
      <c r="B651" s="353"/>
      <c r="C651" s="353"/>
      <c r="D651" s="353"/>
      <c r="E651" s="353"/>
      <c r="F651" s="353"/>
      <c r="G651" s="353"/>
      <c r="H651" s="353"/>
      <c r="I651" s="353"/>
      <c r="J651" s="353"/>
      <c r="K651" s="353"/>
      <c r="L651" s="353"/>
      <c r="M651" s="353"/>
      <c r="N651" s="353"/>
      <c r="O651" s="353"/>
      <c r="P651" s="353"/>
      <c r="Q651" s="353"/>
      <c r="R651" s="353"/>
      <c r="S651" s="353"/>
      <c r="T651" s="353"/>
      <c r="U651" s="353"/>
      <c r="V651" s="353"/>
      <c r="W651" s="353"/>
      <c r="X651" s="353"/>
      <c r="Y651" s="353"/>
      <c r="Z651" s="353"/>
    </row>
    <row r="652" ht="12.0" customHeight="1">
      <c r="A652" s="353"/>
      <c r="B652" s="353"/>
      <c r="C652" s="353"/>
      <c r="D652" s="353"/>
      <c r="E652" s="353"/>
      <c r="F652" s="353"/>
      <c r="G652" s="353"/>
      <c r="H652" s="353"/>
      <c r="I652" s="353"/>
      <c r="J652" s="353"/>
      <c r="K652" s="353"/>
      <c r="L652" s="353"/>
      <c r="M652" s="353"/>
      <c r="N652" s="353"/>
      <c r="O652" s="353"/>
      <c r="P652" s="353"/>
      <c r="Q652" s="353"/>
      <c r="R652" s="353"/>
      <c r="S652" s="353"/>
      <c r="T652" s="353"/>
      <c r="U652" s="353"/>
      <c r="V652" s="353"/>
      <c r="W652" s="353"/>
      <c r="X652" s="353"/>
      <c r="Y652" s="353"/>
      <c r="Z652" s="353"/>
    </row>
    <row r="653" ht="12.0" customHeight="1">
      <c r="A653" s="353"/>
      <c r="B653" s="353"/>
      <c r="C653" s="353"/>
      <c r="D653" s="353"/>
      <c r="E653" s="353"/>
      <c r="F653" s="353"/>
      <c r="G653" s="353"/>
      <c r="H653" s="353"/>
      <c r="I653" s="353"/>
      <c r="J653" s="353"/>
      <c r="K653" s="353"/>
      <c r="L653" s="353"/>
      <c r="M653" s="353"/>
      <c r="N653" s="353"/>
      <c r="O653" s="353"/>
      <c r="P653" s="353"/>
      <c r="Q653" s="353"/>
      <c r="R653" s="353"/>
      <c r="S653" s="353"/>
      <c r="T653" s="353"/>
      <c r="U653" s="353"/>
      <c r="V653" s="353"/>
      <c r="W653" s="353"/>
      <c r="X653" s="353"/>
      <c r="Y653" s="353"/>
      <c r="Z653" s="353"/>
    </row>
    <row r="654" ht="12.0" customHeight="1">
      <c r="A654" s="353"/>
      <c r="B654" s="353"/>
      <c r="C654" s="353"/>
      <c r="D654" s="353"/>
      <c r="E654" s="353"/>
      <c r="F654" s="353"/>
      <c r="G654" s="353"/>
      <c r="H654" s="353"/>
      <c r="I654" s="353"/>
      <c r="J654" s="353"/>
      <c r="K654" s="353"/>
      <c r="L654" s="353"/>
      <c r="M654" s="353"/>
      <c r="N654" s="353"/>
      <c r="O654" s="353"/>
      <c r="P654" s="353"/>
      <c r="Q654" s="353"/>
      <c r="R654" s="353"/>
      <c r="S654" s="353"/>
      <c r="T654" s="353"/>
      <c r="U654" s="353"/>
      <c r="V654" s="353"/>
      <c r="W654" s="353"/>
      <c r="X654" s="353"/>
      <c r="Y654" s="353"/>
      <c r="Z654" s="353"/>
    </row>
    <row r="655" ht="12.0" customHeight="1">
      <c r="A655" s="353"/>
      <c r="B655" s="353"/>
      <c r="C655" s="353"/>
      <c r="D655" s="353"/>
      <c r="E655" s="353"/>
      <c r="F655" s="353"/>
      <c r="G655" s="353"/>
      <c r="H655" s="353"/>
      <c r="I655" s="353"/>
      <c r="J655" s="353"/>
      <c r="K655" s="353"/>
      <c r="L655" s="353"/>
      <c r="M655" s="353"/>
      <c r="N655" s="353"/>
      <c r="O655" s="353"/>
      <c r="P655" s="353"/>
      <c r="Q655" s="353"/>
      <c r="R655" s="353"/>
      <c r="S655" s="353"/>
      <c r="T655" s="353"/>
      <c r="U655" s="353"/>
      <c r="V655" s="353"/>
      <c r="W655" s="353"/>
      <c r="X655" s="353"/>
      <c r="Y655" s="353"/>
      <c r="Z655" s="353"/>
    </row>
    <row r="656" ht="12.0" customHeight="1">
      <c r="A656" s="353"/>
      <c r="B656" s="353"/>
      <c r="C656" s="353"/>
      <c r="D656" s="353"/>
      <c r="E656" s="353"/>
      <c r="F656" s="353"/>
      <c r="G656" s="353"/>
      <c r="H656" s="353"/>
      <c r="I656" s="353"/>
      <c r="J656" s="353"/>
      <c r="K656" s="353"/>
      <c r="L656" s="353"/>
      <c r="M656" s="353"/>
      <c r="N656" s="353"/>
      <c r="O656" s="353"/>
      <c r="P656" s="353"/>
      <c r="Q656" s="353"/>
      <c r="R656" s="353"/>
      <c r="S656" s="353"/>
      <c r="T656" s="353"/>
      <c r="U656" s="353"/>
      <c r="V656" s="353"/>
      <c r="W656" s="353"/>
      <c r="X656" s="353"/>
      <c r="Y656" s="353"/>
      <c r="Z656" s="353"/>
    </row>
    <row r="657" ht="12.0" customHeight="1">
      <c r="A657" s="353"/>
      <c r="B657" s="353"/>
      <c r="C657" s="353"/>
      <c r="D657" s="353"/>
      <c r="E657" s="353"/>
      <c r="F657" s="353"/>
      <c r="G657" s="353"/>
      <c r="H657" s="353"/>
      <c r="I657" s="353"/>
      <c r="J657" s="353"/>
      <c r="K657" s="353"/>
      <c r="L657" s="353"/>
      <c r="M657" s="353"/>
      <c r="N657" s="353"/>
      <c r="O657" s="353"/>
      <c r="P657" s="353"/>
      <c r="Q657" s="353"/>
      <c r="R657" s="353"/>
      <c r="S657" s="353"/>
      <c r="T657" s="353"/>
      <c r="U657" s="353"/>
      <c r="V657" s="353"/>
      <c r="W657" s="353"/>
      <c r="X657" s="353"/>
      <c r="Y657" s="353"/>
      <c r="Z657" s="353"/>
    </row>
    <row r="658" ht="12.0" customHeight="1">
      <c r="A658" s="353"/>
      <c r="B658" s="353"/>
      <c r="C658" s="353"/>
      <c r="D658" s="353"/>
      <c r="E658" s="353"/>
      <c r="F658" s="353"/>
      <c r="G658" s="353"/>
      <c r="H658" s="353"/>
      <c r="I658" s="353"/>
      <c r="J658" s="353"/>
      <c r="K658" s="353"/>
      <c r="L658" s="353"/>
      <c r="M658" s="353"/>
      <c r="N658" s="353"/>
      <c r="O658" s="353"/>
      <c r="P658" s="353"/>
      <c r="Q658" s="353"/>
      <c r="R658" s="353"/>
      <c r="S658" s="353"/>
      <c r="T658" s="353"/>
      <c r="U658" s="353"/>
      <c r="V658" s="353"/>
      <c r="W658" s="353"/>
      <c r="X658" s="353"/>
      <c r="Y658" s="353"/>
      <c r="Z658" s="353"/>
    </row>
    <row r="659" ht="12.0" customHeight="1">
      <c r="A659" s="353"/>
      <c r="B659" s="353"/>
      <c r="C659" s="353"/>
      <c r="D659" s="353"/>
      <c r="E659" s="353"/>
      <c r="F659" s="353"/>
      <c r="G659" s="353"/>
      <c r="H659" s="353"/>
      <c r="I659" s="353"/>
      <c r="J659" s="353"/>
      <c r="K659" s="353"/>
      <c r="L659" s="353"/>
      <c r="M659" s="353"/>
      <c r="N659" s="353"/>
      <c r="O659" s="353"/>
      <c r="P659" s="353"/>
      <c r="Q659" s="353"/>
      <c r="R659" s="353"/>
      <c r="S659" s="353"/>
      <c r="T659" s="353"/>
      <c r="U659" s="353"/>
      <c r="V659" s="353"/>
      <c r="W659" s="353"/>
      <c r="X659" s="353"/>
      <c r="Y659" s="353"/>
      <c r="Z659" s="353"/>
    </row>
    <row r="660" ht="12.0" customHeight="1">
      <c r="A660" s="353"/>
      <c r="B660" s="353"/>
      <c r="C660" s="353"/>
      <c r="D660" s="353"/>
      <c r="E660" s="353"/>
      <c r="F660" s="353"/>
      <c r="G660" s="353"/>
      <c r="H660" s="353"/>
      <c r="I660" s="353"/>
      <c r="J660" s="353"/>
      <c r="K660" s="353"/>
      <c r="L660" s="353"/>
      <c r="M660" s="353"/>
      <c r="N660" s="353"/>
      <c r="O660" s="353"/>
      <c r="P660" s="353"/>
      <c r="Q660" s="353"/>
      <c r="R660" s="353"/>
      <c r="S660" s="353"/>
      <c r="T660" s="353"/>
      <c r="U660" s="353"/>
      <c r="V660" s="353"/>
      <c r="W660" s="353"/>
      <c r="X660" s="353"/>
      <c r="Y660" s="353"/>
      <c r="Z660" s="353"/>
    </row>
    <row r="661" ht="12.0" customHeight="1">
      <c r="A661" s="353"/>
      <c r="B661" s="353"/>
      <c r="C661" s="353"/>
      <c r="D661" s="353"/>
      <c r="E661" s="353"/>
      <c r="F661" s="353"/>
      <c r="G661" s="353"/>
      <c r="H661" s="353"/>
      <c r="I661" s="353"/>
      <c r="J661" s="353"/>
      <c r="K661" s="353"/>
      <c r="L661" s="353"/>
      <c r="M661" s="353"/>
      <c r="N661" s="353"/>
      <c r="O661" s="353"/>
      <c r="P661" s="353"/>
      <c r="Q661" s="353"/>
      <c r="R661" s="353"/>
      <c r="S661" s="353"/>
      <c r="T661" s="353"/>
      <c r="U661" s="353"/>
      <c r="V661" s="353"/>
      <c r="W661" s="353"/>
      <c r="X661" s="353"/>
      <c r="Y661" s="353"/>
      <c r="Z661" s="353"/>
    </row>
    <row r="662" ht="12.0" customHeight="1">
      <c r="A662" s="353"/>
      <c r="B662" s="353"/>
      <c r="C662" s="353"/>
      <c r="D662" s="353"/>
      <c r="E662" s="353"/>
      <c r="F662" s="353"/>
      <c r="G662" s="353"/>
      <c r="H662" s="353"/>
      <c r="I662" s="353"/>
      <c r="J662" s="353"/>
      <c r="K662" s="353"/>
      <c r="L662" s="353"/>
      <c r="M662" s="353"/>
      <c r="N662" s="353"/>
      <c r="O662" s="353"/>
      <c r="P662" s="353"/>
      <c r="Q662" s="353"/>
      <c r="R662" s="353"/>
      <c r="S662" s="353"/>
      <c r="T662" s="353"/>
      <c r="U662" s="353"/>
      <c r="V662" s="353"/>
      <c r="W662" s="353"/>
      <c r="X662" s="353"/>
      <c r="Y662" s="353"/>
      <c r="Z662" s="353"/>
    </row>
    <row r="663" ht="12.0" customHeight="1">
      <c r="A663" s="353"/>
      <c r="B663" s="353"/>
      <c r="C663" s="353"/>
      <c r="D663" s="353"/>
      <c r="E663" s="353"/>
      <c r="F663" s="353"/>
      <c r="G663" s="353"/>
      <c r="H663" s="353"/>
      <c r="I663" s="353"/>
      <c r="J663" s="353"/>
      <c r="K663" s="353"/>
      <c r="L663" s="353"/>
      <c r="M663" s="353"/>
      <c r="N663" s="353"/>
      <c r="O663" s="353"/>
      <c r="P663" s="353"/>
      <c r="Q663" s="353"/>
      <c r="R663" s="353"/>
      <c r="S663" s="353"/>
      <c r="T663" s="353"/>
      <c r="U663" s="353"/>
      <c r="V663" s="353"/>
      <c r="W663" s="353"/>
      <c r="X663" s="353"/>
      <c r="Y663" s="353"/>
      <c r="Z663" s="353"/>
    </row>
    <row r="664" ht="12.0" customHeight="1">
      <c r="A664" s="353"/>
      <c r="B664" s="353"/>
      <c r="C664" s="353"/>
      <c r="D664" s="353"/>
      <c r="E664" s="353"/>
      <c r="F664" s="353"/>
      <c r="G664" s="353"/>
      <c r="H664" s="353"/>
      <c r="I664" s="353"/>
      <c r="J664" s="353"/>
      <c r="K664" s="353"/>
      <c r="L664" s="353"/>
      <c r="M664" s="353"/>
      <c r="N664" s="353"/>
      <c r="O664" s="353"/>
      <c r="P664" s="353"/>
      <c r="Q664" s="353"/>
      <c r="R664" s="353"/>
      <c r="S664" s="353"/>
      <c r="T664" s="353"/>
      <c r="U664" s="353"/>
      <c r="V664" s="353"/>
      <c r="W664" s="353"/>
      <c r="X664" s="353"/>
      <c r="Y664" s="353"/>
      <c r="Z664" s="353"/>
    </row>
    <row r="665" ht="12.0" customHeight="1">
      <c r="A665" s="353"/>
      <c r="B665" s="353"/>
      <c r="C665" s="353"/>
      <c r="D665" s="353"/>
      <c r="E665" s="353"/>
      <c r="F665" s="353"/>
      <c r="G665" s="353"/>
      <c r="H665" s="353"/>
      <c r="I665" s="353"/>
      <c r="J665" s="353"/>
      <c r="K665" s="353"/>
      <c r="L665" s="353"/>
      <c r="M665" s="353"/>
      <c r="N665" s="353"/>
      <c r="O665" s="353"/>
      <c r="P665" s="353"/>
      <c r="Q665" s="353"/>
      <c r="R665" s="353"/>
      <c r="S665" s="353"/>
      <c r="T665" s="353"/>
      <c r="U665" s="353"/>
      <c r="V665" s="353"/>
      <c r="W665" s="353"/>
      <c r="X665" s="353"/>
      <c r="Y665" s="353"/>
      <c r="Z665" s="353"/>
    </row>
    <row r="666" ht="12.0" customHeight="1">
      <c r="A666" s="353"/>
      <c r="B666" s="353"/>
      <c r="C666" s="353"/>
      <c r="D666" s="353"/>
      <c r="E666" s="353"/>
      <c r="F666" s="353"/>
      <c r="G666" s="353"/>
      <c r="H666" s="353"/>
      <c r="I666" s="353"/>
      <c r="J666" s="353"/>
      <c r="K666" s="353"/>
      <c r="L666" s="353"/>
      <c r="M666" s="353"/>
      <c r="N666" s="353"/>
      <c r="O666" s="353"/>
      <c r="P666" s="353"/>
      <c r="Q666" s="353"/>
      <c r="R666" s="353"/>
      <c r="S666" s="353"/>
      <c r="T666" s="353"/>
      <c r="U666" s="353"/>
      <c r="V666" s="353"/>
      <c r="W666" s="353"/>
      <c r="X666" s="353"/>
      <c r="Y666" s="353"/>
      <c r="Z666" s="353"/>
    </row>
    <row r="667" ht="12.0" customHeight="1">
      <c r="A667" s="353"/>
      <c r="B667" s="353"/>
      <c r="C667" s="353"/>
      <c r="D667" s="353"/>
      <c r="E667" s="353"/>
      <c r="F667" s="353"/>
      <c r="G667" s="353"/>
      <c r="H667" s="353"/>
      <c r="I667" s="353"/>
      <c r="J667" s="353"/>
      <c r="K667" s="353"/>
      <c r="L667" s="353"/>
      <c r="M667" s="353"/>
      <c r="N667" s="353"/>
      <c r="O667" s="353"/>
      <c r="P667" s="353"/>
      <c r="Q667" s="353"/>
      <c r="R667" s="353"/>
      <c r="S667" s="353"/>
      <c r="T667" s="353"/>
      <c r="U667" s="353"/>
      <c r="V667" s="353"/>
      <c r="W667" s="353"/>
      <c r="X667" s="353"/>
      <c r="Y667" s="353"/>
      <c r="Z667" s="353"/>
    </row>
    <row r="668" ht="12.0" customHeight="1">
      <c r="A668" s="353"/>
      <c r="B668" s="353"/>
      <c r="C668" s="353"/>
      <c r="D668" s="353"/>
      <c r="E668" s="353"/>
      <c r="F668" s="353"/>
      <c r="G668" s="353"/>
      <c r="H668" s="353"/>
      <c r="I668" s="353"/>
      <c r="J668" s="353"/>
      <c r="K668" s="353"/>
      <c r="L668" s="353"/>
      <c r="M668" s="353"/>
      <c r="N668" s="353"/>
      <c r="O668" s="353"/>
      <c r="P668" s="353"/>
      <c r="Q668" s="353"/>
      <c r="R668" s="353"/>
      <c r="S668" s="353"/>
      <c r="T668" s="353"/>
      <c r="U668" s="353"/>
      <c r="V668" s="353"/>
      <c r="W668" s="353"/>
      <c r="X668" s="353"/>
      <c r="Y668" s="353"/>
      <c r="Z668" s="353"/>
    </row>
    <row r="669" ht="12.0" customHeight="1">
      <c r="A669" s="353"/>
      <c r="B669" s="353"/>
      <c r="C669" s="353"/>
      <c r="D669" s="353"/>
      <c r="E669" s="353"/>
      <c r="F669" s="353"/>
      <c r="G669" s="353"/>
      <c r="H669" s="353"/>
      <c r="I669" s="353"/>
      <c r="J669" s="353"/>
      <c r="K669" s="353"/>
      <c r="L669" s="353"/>
      <c r="M669" s="353"/>
      <c r="N669" s="353"/>
      <c r="O669" s="353"/>
      <c r="P669" s="353"/>
      <c r="Q669" s="353"/>
      <c r="R669" s="353"/>
      <c r="S669" s="353"/>
      <c r="T669" s="353"/>
      <c r="U669" s="353"/>
      <c r="V669" s="353"/>
      <c r="W669" s="353"/>
      <c r="X669" s="353"/>
      <c r="Y669" s="353"/>
      <c r="Z669" s="353"/>
    </row>
    <row r="670" ht="12.0" customHeight="1">
      <c r="A670" s="353"/>
      <c r="B670" s="353"/>
      <c r="C670" s="353"/>
      <c r="D670" s="353"/>
      <c r="E670" s="353"/>
      <c r="F670" s="353"/>
      <c r="G670" s="353"/>
      <c r="H670" s="353"/>
      <c r="I670" s="353"/>
      <c r="J670" s="353"/>
      <c r="K670" s="353"/>
      <c r="L670" s="353"/>
      <c r="M670" s="353"/>
      <c r="N670" s="353"/>
      <c r="O670" s="353"/>
      <c r="P670" s="353"/>
      <c r="Q670" s="353"/>
      <c r="R670" s="353"/>
      <c r="S670" s="353"/>
      <c r="T670" s="353"/>
      <c r="U670" s="353"/>
      <c r="V670" s="353"/>
      <c r="W670" s="353"/>
      <c r="X670" s="353"/>
      <c r="Y670" s="353"/>
      <c r="Z670" s="353"/>
    </row>
    <row r="671" ht="12.0" customHeight="1">
      <c r="A671" s="353"/>
      <c r="B671" s="353"/>
      <c r="C671" s="353"/>
      <c r="D671" s="353"/>
      <c r="E671" s="353"/>
      <c r="F671" s="353"/>
      <c r="G671" s="353"/>
      <c r="H671" s="353"/>
      <c r="I671" s="353"/>
      <c r="J671" s="353"/>
      <c r="K671" s="353"/>
      <c r="L671" s="353"/>
      <c r="M671" s="353"/>
      <c r="N671" s="353"/>
      <c r="O671" s="353"/>
      <c r="P671" s="353"/>
      <c r="Q671" s="353"/>
      <c r="R671" s="353"/>
      <c r="S671" s="353"/>
      <c r="T671" s="353"/>
      <c r="U671" s="353"/>
      <c r="V671" s="353"/>
      <c r="W671" s="353"/>
      <c r="X671" s="353"/>
      <c r="Y671" s="353"/>
      <c r="Z671" s="353"/>
    </row>
    <row r="672" ht="12.0" customHeight="1">
      <c r="A672" s="353"/>
      <c r="B672" s="353"/>
      <c r="C672" s="353"/>
      <c r="D672" s="353"/>
      <c r="E672" s="353"/>
      <c r="F672" s="353"/>
      <c r="G672" s="353"/>
      <c r="H672" s="353"/>
      <c r="I672" s="353"/>
      <c r="J672" s="353"/>
      <c r="K672" s="353"/>
      <c r="L672" s="353"/>
      <c r="M672" s="353"/>
      <c r="N672" s="353"/>
      <c r="O672" s="353"/>
      <c r="P672" s="353"/>
      <c r="Q672" s="353"/>
      <c r="R672" s="353"/>
      <c r="S672" s="353"/>
      <c r="T672" s="353"/>
      <c r="U672" s="353"/>
      <c r="V672" s="353"/>
      <c r="W672" s="353"/>
      <c r="X672" s="353"/>
      <c r="Y672" s="353"/>
      <c r="Z672" s="353"/>
    </row>
    <row r="673" ht="12.0" customHeight="1">
      <c r="A673" s="353"/>
      <c r="B673" s="353"/>
      <c r="C673" s="353"/>
      <c r="D673" s="353"/>
      <c r="E673" s="353"/>
      <c r="F673" s="353"/>
      <c r="G673" s="353"/>
      <c r="H673" s="353"/>
      <c r="I673" s="353"/>
      <c r="J673" s="353"/>
      <c r="K673" s="353"/>
      <c r="L673" s="353"/>
      <c r="M673" s="353"/>
      <c r="N673" s="353"/>
      <c r="O673" s="353"/>
      <c r="P673" s="353"/>
      <c r="Q673" s="353"/>
      <c r="R673" s="353"/>
      <c r="S673" s="353"/>
      <c r="T673" s="353"/>
      <c r="U673" s="353"/>
      <c r="V673" s="353"/>
      <c r="W673" s="353"/>
      <c r="X673" s="353"/>
      <c r="Y673" s="353"/>
      <c r="Z673" s="353"/>
    </row>
    <row r="674" ht="12.0" customHeight="1">
      <c r="A674" s="353"/>
      <c r="B674" s="353"/>
      <c r="C674" s="353"/>
      <c r="D674" s="353"/>
      <c r="E674" s="353"/>
      <c r="F674" s="353"/>
      <c r="G674" s="353"/>
      <c r="H674" s="353"/>
      <c r="I674" s="353"/>
      <c r="J674" s="353"/>
      <c r="K674" s="353"/>
      <c r="L674" s="353"/>
      <c r="M674" s="353"/>
      <c r="N674" s="353"/>
      <c r="O674" s="353"/>
      <c r="P674" s="353"/>
      <c r="Q674" s="353"/>
      <c r="R674" s="353"/>
      <c r="S674" s="353"/>
      <c r="T674" s="353"/>
      <c r="U674" s="353"/>
      <c r="V674" s="353"/>
      <c r="W674" s="353"/>
      <c r="X674" s="353"/>
      <c r="Y674" s="353"/>
      <c r="Z674" s="353"/>
    </row>
    <row r="675" ht="12.0" customHeight="1">
      <c r="A675" s="353"/>
      <c r="B675" s="353"/>
      <c r="C675" s="353"/>
      <c r="D675" s="353"/>
      <c r="E675" s="353"/>
      <c r="F675" s="353"/>
      <c r="G675" s="353"/>
      <c r="H675" s="353"/>
      <c r="I675" s="353"/>
      <c r="J675" s="353"/>
      <c r="K675" s="353"/>
      <c r="L675" s="353"/>
      <c r="M675" s="353"/>
      <c r="N675" s="353"/>
      <c r="O675" s="353"/>
      <c r="P675" s="353"/>
      <c r="Q675" s="353"/>
      <c r="R675" s="353"/>
      <c r="S675" s="353"/>
      <c r="T675" s="353"/>
      <c r="U675" s="353"/>
      <c r="V675" s="353"/>
      <c r="W675" s="353"/>
      <c r="X675" s="353"/>
      <c r="Y675" s="353"/>
      <c r="Z675" s="353"/>
    </row>
    <row r="676" ht="12.0" customHeight="1">
      <c r="A676" s="353"/>
      <c r="B676" s="353"/>
      <c r="C676" s="353"/>
      <c r="D676" s="353"/>
      <c r="E676" s="353"/>
      <c r="F676" s="353"/>
      <c r="G676" s="353"/>
      <c r="H676" s="353"/>
      <c r="I676" s="353"/>
      <c r="J676" s="353"/>
      <c r="K676" s="353"/>
      <c r="L676" s="353"/>
      <c r="M676" s="353"/>
      <c r="N676" s="353"/>
      <c r="O676" s="353"/>
      <c r="P676" s="353"/>
      <c r="Q676" s="353"/>
      <c r="R676" s="353"/>
      <c r="S676" s="353"/>
      <c r="T676" s="353"/>
      <c r="U676" s="353"/>
      <c r="V676" s="353"/>
      <c r="W676" s="353"/>
      <c r="X676" s="353"/>
      <c r="Y676" s="353"/>
      <c r="Z676" s="353"/>
    </row>
    <row r="677" ht="12.0" customHeight="1">
      <c r="A677" s="353"/>
      <c r="B677" s="353"/>
      <c r="C677" s="353"/>
      <c r="D677" s="353"/>
      <c r="E677" s="353"/>
      <c r="F677" s="353"/>
      <c r="G677" s="353"/>
      <c r="H677" s="353"/>
      <c r="I677" s="353"/>
      <c r="J677" s="353"/>
      <c r="K677" s="353"/>
      <c r="L677" s="353"/>
      <c r="M677" s="353"/>
      <c r="N677" s="353"/>
      <c r="O677" s="353"/>
      <c r="P677" s="353"/>
      <c r="Q677" s="353"/>
      <c r="R677" s="353"/>
      <c r="S677" s="353"/>
      <c r="T677" s="353"/>
      <c r="U677" s="353"/>
      <c r="V677" s="353"/>
      <c r="W677" s="353"/>
      <c r="X677" s="353"/>
      <c r="Y677" s="353"/>
      <c r="Z677" s="353"/>
    </row>
    <row r="678" ht="12.0" customHeight="1">
      <c r="A678" s="353"/>
      <c r="B678" s="353"/>
      <c r="C678" s="353"/>
      <c r="D678" s="353"/>
      <c r="E678" s="353"/>
      <c r="F678" s="353"/>
      <c r="G678" s="353"/>
      <c r="H678" s="353"/>
      <c r="I678" s="353"/>
      <c r="J678" s="353"/>
      <c r="K678" s="353"/>
      <c r="L678" s="353"/>
      <c r="M678" s="353"/>
      <c r="N678" s="353"/>
      <c r="O678" s="353"/>
      <c r="P678" s="353"/>
      <c r="Q678" s="353"/>
      <c r="R678" s="353"/>
      <c r="S678" s="353"/>
      <c r="T678" s="353"/>
      <c r="U678" s="353"/>
      <c r="V678" s="353"/>
      <c r="W678" s="353"/>
      <c r="X678" s="353"/>
      <c r="Y678" s="353"/>
      <c r="Z678" s="353"/>
    </row>
    <row r="679" ht="12.0" customHeight="1">
      <c r="A679" s="353"/>
      <c r="B679" s="353"/>
      <c r="C679" s="353"/>
      <c r="D679" s="353"/>
      <c r="E679" s="353"/>
      <c r="F679" s="353"/>
      <c r="G679" s="353"/>
      <c r="H679" s="353"/>
      <c r="I679" s="353"/>
      <c r="J679" s="353"/>
      <c r="K679" s="353"/>
      <c r="L679" s="353"/>
      <c r="M679" s="353"/>
      <c r="N679" s="353"/>
      <c r="O679" s="353"/>
      <c r="P679" s="353"/>
      <c r="Q679" s="353"/>
      <c r="R679" s="353"/>
      <c r="S679" s="353"/>
      <c r="T679" s="353"/>
      <c r="U679" s="353"/>
      <c r="V679" s="353"/>
      <c r="W679" s="353"/>
      <c r="X679" s="353"/>
      <c r="Y679" s="353"/>
      <c r="Z679" s="353"/>
    </row>
    <row r="680" ht="12.0" customHeight="1">
      <c r="A680" s="353"/>
      <c r="B680" s="353"/>
      <c r="C680" s="353"/>
      <c r="D680" s="353"/>
      <c r="E680" s="353"/>
      <c r="F680" s="353"/>
      <c r="G680" s="353"/>
      <c r="H680" s="353"/>
      <c r="I680" s="353"/>
      <c r="J680" s="353"/>
      <c r="K680" s="353"/>
      <c r="L680" s="353"/>
      <c r="M680" s="353"/>
      <c r="N680" s="353"/>
      <c r="O680" s="353"/>
      <c r="P680" s="353"/>
      <c r="Q680" s="353"/>
      <c r="R680" s="353"/>
      <c r="S680" s="353"/>
      <c r="T680" s="353"/>
      <c r="U680" s="353"/>
      <c r="V680" s="353"/>
      <c r="W680" s="353"/>
      <c r="X680" s="353"/>
      <c r="Y680" s="353"/>
      <c r="Z680" s="353"/>
    </row>
    <row r="681" ht="12.0" customHeight="1">
      <c r="A681" s="353"/>
      <c r="B681" s="353"/>
      <c r="C681" s="353"/>
      <c r="D681" s="353"/>
      <c r="E681" s="353"/>
      <c r="F681" s="353"/>
      <c r="G681" s="353"/>
      <c r="H681" s="353"/>
      <c r="I681" s="353"/>
      <c r="J681" s="353"/>
      <c r="K681" s="353"/>
      <c r="L681" s="353"/>
      <c r="M681" s="353"/>
      <c r="N681" s="353"/>
      <c r="O681" s="353"/>
      <c r="P681" s="353"/>
      <c r="Q681" s="353"/>
      <c r="R681" s="353"/>
      <c r="S681" s="353"/>
      <c r="T681" s="353"/>
      <c r="U681" s="353"/>
      <c r="V681" s="353"/>
      <c r="W681" s="353"/>
      <c r="X681" s="353"/>
      <c r="Y681" s="353"/>
      <c r="Z681" s="353"/>
    </row>
    <row r="682" ht="12.0" customHeight="1">
      <c r="A682" s="353"/>
      <c r="B682" s="353"/>
      <c r="C682" s="353"/>
      <c r="D682" s="353"/>
      <c r="E682" s="353"/>
      <c r="F682" s="353"/>
      <c r="G682" s="353"/>
      <c r="H682" s="353"/>
      <c r="I682" s="353"/>
      <c r="J682" s="353"/>
      <c r="K682" s="353"/>
      <c r="L682" s="353"/>
      <c r="M682" s="353"/>
      <c r="N682" s="353"/>
      <c r="O682" s="353"/>
      <c r="P682" s="353"/>
      <c r="Q682" s="353"/>
      <c r="R682" s="353"/>
      <c r="S682" s="353"/>
      <c r="T682" s="353"/>
      <c r="U682" s="353"/>
      <c r="V682" s="353"/>
      <c r="W682" s="353"/>
      <c r="X682" s="353"/>
      <c r="Y682" s="353"/>
      <c r="Z682" s="353"/>
    </row>
    <row r="683" ht="12.0" customHeight="1">
      <c r="A683" s="353"/>
      <c r="B683" s="353"/>
      <c r="C683" s="353"/>
      <c r="D683" s="353"/>
      <c r="E683" s="353"/>
      <c r="F683" s="353"/>
      <c r="G683" s="353"/>
      <c r="H683" s="353"/>
      <c r="I683" s="353"/>
      <c r="J683" s="353"/>
      <c r="K683" s="353"/>
      <c r="L683" s="353"/>
      <c r="M683" s="353"/>
      <c r="N683" s="353"/>
      <c r="O683" s="353"/>
      <c r="P683" s="353"/>
      <c r="Q683" s="353"/>
      <c r="R683" s="353"/>
      <c r="S683" s="353"/>
      <c r="T683" s="353"/>
      <c r="U683" s="353"/>
      <c r="V683" s="353"/>
      <c r="W683" s="353"/>
      <c r="X683" s="353"/>
      <c r="Y683" s="353"/>
      <c r="Z683" s="353"/>
    </row>
    <row r="684" ht="12.0" customHeight="1">
      <c r="A684" s="353"/>
      <c r="B684" s="353"/>
      <c r="C684" s="353"/>
      <c r="D684" s="353"/>
      <c r="E684" s="353"/>
      <c r="F684" s="353"/>
      <c r="G684" s="353"/>
      <c r="H684" s="353"/>
      <c r="I684" s="353"/>
      <c r="J684" s="353"/>
      <c r="K684" s="353"/>
      <c r="L684" s="353"/>
      <c r="M684" s="353"/>
      <c r="N684" s="353"/>
      <c r="O684" s="353"/>
      <c r="P684" s="353"/>
      <c r="Q684" s="353"/>
      <c r="R684" s="353"/>
      <c r="S684" s="353"/>
      <c r="T684" s="353"/>
      <c r="U684" s="353"/>
      <c r="V684" s="353"/>
      <c r="W684" s="353"/>
      <c r="X684" s="353"/>
      <c r="Y684" s="353"/>
      <c r="Z684" s="353"/>
    </row>
    <row r="685" ht="12.0" customHeight="1">
      <c r="A685" s="353"/>
      <c r="B685" s="353"/>
      <c r="C685" s="353"/>
      <c r="D685" s="353"/>
      <c r="E685" s="353"/>
      <c r="F685" s="353"/>
      <c r="G685" s="353"/>
      <c r="H685" s="353"/>
      <c r="I685" s="353"/>
      <c r="J685" s="353"/>
      <c r="K685" s="353"/>
      <c r="L685" s="353"/>
      <c r="M685" s="353"/>
      <c r="N685" s="353"/>
      <c r="O685" s="353"/>
      <c r="P685" s="353"/>
      <c r="Q685" s="353"/>
      <c r="R685" s="353"/>
      <c r="S685" s="353"/>
      <c r="T685" s="353"/>
      <c r="U685" s="353"/>
      <c r="V685" s="353"/>
      <c r="W685" s="353"/>
      <c r="X685" s="353"/>
      <c r="Y685" s="353"/>
      <c r="Z685" s="353"/>
    </row>
    <row r="686" ht="12.0" customHeight="1">
      <c r="A686" s="353"/>
      <c r="B686" s="353"/>
      <c r="C686" s="353"/>
      <c r="D686" s="353"/>
      <c r="E686" s="353"/>
      <c r="F686" s="353"/>
      <c r="G686" s="353"/>
      <c r="H686" s="353"/>
      <c r="I686" s="353"/>
      <c r="J686" s="353"/>
      <c r="K686" s="353"/>
      <c r="L686" s="353"/>
      <c r="M686" s="353"/>
      <c r="N686" s="353"/>
      <c r="O686" s="353"/>
      <c r="P686" s="353"/>
      <c r="Q686" s="353"/>
      <c r="R686" s="353"/>
      <c r="S686" s="353"/>
      <c r="T686" s="353"/>
      <c r="U686" s="353"/>
      <c r="V686" s="353"/>
      <c r="W686" s="353"/>
      <c r="X686" s="353"/>
      <c r="Y686" s="353"/>
      <c r="Z686" s="353"/>
    </row>
    <row r="687" ht="12.0" customHeight="1">
      <c r="A687" s="353"/>
      <c r="B687" s="353"/>
      <c r="C687" s="353"/>
      <c r="D687" s="353"/>
      <c r="E687" s="353"/>
      <c r="F687" s="353"/>
      <c r="G687" s="353"/>
      <c r="H687" s="353"/>
      <c r="I687" s="353"/>
      <c r="J687" s="353"/>
      <c r="K687" s="353"/>
      <c r="L687" s="353"/>
      <c r="M687" s="353"/>
      <c r="N687" s="353"/>
      <c r="O687" s="353"/>
      <c r="P687" s="353"/>
      <c r="Q687" s="353"/>
      <c r="R687" s="353"/>
      <c r="S687" s="353"/>
      <c r="T687" s="353"/>
      <c r="U687" s="353"/>
      <c r="V687" s="353"/>
      <c r="W687" s="353"/>
      <c r="X687" s="353"/>
      <c r="Y687" s="353"/>
      <c r="Z687" s="353"/>
    </row>
    <row r="688" ht="12.0" customHeight="1">
      <c r="A688" s="353"/>
      <c r="B688" s="353"/>
      <c r="C688" s="353"/>
      <c r="D688" s="353"/>
      <c r="E688" s="353"/>
      <c r="F688" s="353"/>
      <c r="G688" s="353"/>
      <c r="H688" s="353"/>
      <c r="I688" s="353"/>
      <c r="J688" s="353"/>
      <c r="K688" s="353"/>
      <c r="L688" s="353"/>
      <c r="M688" s="353"/>
      <c r="N688" s="353"/>
      <c r="O688" s="353"/>
      <c r="P688" s="353"/>
      <c r="Q688" s="353"/>
      <c r="R688" s="353"/>
      <c r="S688" s="353"/>
      <c r="T688" s="353"/>
      <c r="U688" s="353"/>
      <c r="V688" s="353"/>
      <c r="W688" s="353"/>
      <c r="X688" s="353"/>
      <c r="Y688" s="353"/>
      <c r="Z688" s="353"/>
    </row>
    <row r="689" ht="12.0" customHeight="1">
      <c r="A689" s="353"/>
      <c r="B689" s="353"/>
      <c r="C689" s="353"/>
      <c r="D689" s="353"/>
      <c r="E689" s="353"/>
      <c r="F689" s="353"/>
      <c r="G689" s="353"/>
      <c r="H689" s="353"/>
      <c r="I689" s="353"/>
      <c r="J689" s="353"/>
      <c r="K689" s="353"/>
      <c r="L689" s="353"/>
      <c r="M689" s="353"/>
      <c r="N689" s="353"/>
      <c r="O689" s="353"/>
      <c r="P689" s="353"/>
      <c r="Q689" s="353"/>
      <c r="R689" s="353"/>
      <c r="S689" s="353"/>
      <c r="T689" s="353"/>
      <c r="U689" s="353"/>
      <c r="V689" s="353"/>
      <c r="W689" s="353"/>
      <c r="X689" s="353"/>
      <c r="Y689" s="353"/>
      <c r="Z689" s="353"/>
    </row>
    <row r="690" ht="12.0" customHeight="1">
      <c r="A690" s="353"/>
      <c r="B690" s="353"/>
      <c r="C690" s="353"/>
      <c r="D690" s="353"/>
      <c r="E690" s="353"/>
      <c r="F690" s="353"/>
      <c r="G690" s="353"/>
      <c r="H690" s="353"/>
      <c r="I690" s="353"/>
      <c r="J690" s="353"/>
      <c r="K690" s="353"/>
      <c r="L690" s="353"/>
      <c r="M690" s="353"/>
      <c r="N690" s="353"/>
      <c r="O690" s="353"/>
      <c r="P690" s="353"/>
      <c r="Q690" s="353"/>
      <c r="R690" s="353"/>
      <c r="S690" s="353"/>
      <c r="T690" s="353"/>
      <c r="U690" s="353"/>
      <c r="V690" s="353"/>
      <c r="W690" s="353"/>
      <c r="X690" s="353"/>
      <c r="Y690" s="353"/>
      <c r="Z690" s="353"/>
    </row>
    <row r="691" ht="12.0" customHeight="1">
      <c r="A691" s="353"/>
      <c r="B691" s="353"/>
      <c r="C691" s="353"/>
      <c r="D691" s="353"/>
      <c r="E691" s="353"/>
      <c r="F691" s="353"/>
      <c r="G691" s="353"/>
      <c r="H691" s="353"/>
      <c r="I691" s="353"/>
      <c r="J691" s="353"/>
      <c r="K691" s="353"/>
      <c r="L691" s="353"/>
      <c r="M691" s="353"/>
      <c r="N691" s="353"/>
      <c r="O691" s="353"/>
      <c r="P691" s="353"/>
      <c r="Q691" s="353"/>
      <c r="R691" s="353"/>
      <c r="S691" s="353"/>
      <c r="T691" s="353"/>
      <c r="U691" s="353"/>
      <c r="V691" s="353"/>
      <c r="W691" s="353"/>
      <c r="X691" s="353"/>
      <c r="Y691" s="353"/>
      <c r="Z691" s="353"/>
    </row>
    <row r="692" ht="12.0" customHeight="1">
      <c r="A692" s="353"/>
      <c r="B692" s="353"/>
      <c r="C692" s="353"/>
      <c r="D692" s="353"/>
      <c r="E692" s="353"/>
      <c r="F692" s="353"/>
      <c r="G692" s="353"/>
      <c r="H692" s="353"/>
      <c r="I692" s="353"/>
      <c r="J692" s="353"/>
      <c r="K692" s="353"/>
      <c r="L692" s="353"/>
      <c r="M692" s="353"/>
      <c r="N692" s="353"/>
      <c r="O692" s="353"/>
      <c r="P692" s="353"/>
      <c r="Q692" s="353"/>
      <c r="R692" s="353"/>
      <c r="S692" s="353"/>
      <c r="T692" s="353"/>
      <c r="U692" s="353"/>
      <c r="V692" s="353"/>
      <c r="W692" s="353"/>
      <c r="X692" s="353"/>
      <c r="Y692" s="353"/>
      <c r="Z692" s="353"/>
    </row>
    <row r="693" ht="12.0" customHeight="1">
      <c r="A693" s="353"/>
      <c r="B693" s="353"/>
      <c r="C693" s="353"/>
      <c r="D693" s="353"/>
      <c r="E693" s="353"/>
      <c r="F693" s="353"/>
      <c r="G693" s="353"/>
      <c r="H693" s="353"/>
      <c r="I693" s="353"/>
      <c r="J693" s="353"/>
      <c r="K693" s="353"/>
      <c r="L693" s="353"/>
      <c r="M693" s="353"/>
      <c r="N693" s="353"/>
      <c r="O693" s="353"/>
      <c r="P693" s="353"/>
      <c r="Q693" s="353"/>
      <c r="R693" s="353"/>
      <c r="S693" s="353"/>
      <c r="T693" s="353"/>
      <c r="U693" s="353"/>
      <c r="V693" s="353"/>
      <c r="W693" s="353"/>
      <c r="X693" s="353"/>
      <c r="Y693" s="353"/>
      <c r="Z693" s="353"/>
    </row>
    <row r="694" ht="12.0" customHeight="1">
      <c r="A694" s="353"/>
      <c r="B694" s="353"/>
      <c r="C694" s="353"/>
      <c r="D694" s="353"/>
      <c r="E694" s="353"/>
      <c r="F694" s="353"/>
      <c r="G694" s="353"/>
      <c r="H694" s="353"/>
      <c r="I694" s="353"/>
      <c r="J694" s="353"/>
      <c r="K694" s="353"/>
      <c r="L694" s="353"/>
      <c r="M694" s="353"/>
      <c r="N694" s="353"/>
      <c r="O694" s="353"/>
      <c r="P694" s="353"/>
      <c r="Q694" s="353"/>
      <c r="R694" s="353"/>
      <c r="S694" s="353"/>
      <c r="T694" s="353"/>
      <c r="U694" s="353"/>
      <c r="V694" s="353"/>
      <c r="W694" s="353"/>
      <c r="X694" s="353"/>
      <c r="Y694" s="353"/>
      <c r="Z694" s="353"/>
    </row>
    <row r="695" ht="12.0" customHeight="1">
      <c r="A695" s="353"/>
      <c r="B695" s="353"/>
      <c r="C695" s="353"/>
      <c r="D695" s="353"/>
      <c r="E695" s="353"/>
      <c r="F695" s="353"/>
      <c r="G695" s="353"/>
      <c r="H695" s="353"/>
      <c r="I695" s="353"/>
      <c r="J695" s="353"/>
      <c r="K695" s="353"/>
      <c r="L695" s="353"/>
      <c r="M695" s="353"/>
      <c r="N695" s="353"/>
      <c r="O695" s="353"/>
      <c r="P695" s="353"/>
      <c r="Q695" s="353"/>
      <c r="R695" s="353"/>
      <c r="S695" s="353"/>
      <c r="T695" s="353"/>
      <c r="U695" s="353"/>
      <c r="V695" s="353"/>
      <c r="W695" s="353"/>
      <c r="X695" s="353"/>
      <c r="Y695" s="353"/>
      <c r="Z695" s="353"/>
    </row>
    <row r="696" ht="12.0" customHeight="1">
      <c r="A696" s="353"/>
      <c r="B696" s="353"/>
      <c r="C696" s="353"/>
      <c r="D696" s="353"/>
      <c r="E696" s="353"/>
      <c r="F696" s="353"/>
      <c r="G696" s="353"/>
      <c r="H696" s="353"/>
      <c r="I696" s="353"/>
      <c r="J696" s="353"/>
      <c r="K696" s="353"/>
      <c r="L696" s="353"/>
      <c r="M696" s="353"/>
      <c r="N696" s="353"/>
      <c r="O696" s="353"/>
      <c r="P696" s="353"/>
      <c r="Q696" s="353"/>
      <c r="R696" s="353"/>
      <c r="S696" s="353"/>
      <c r="T696" s="353"/>
      <c r="U696" s="353"/>
      <c r="V696" s="353"/>
      <c r="W696" s="353"/>
      <c r="X696" s="353"/>
      <c r="Y696" s="353"/>
      <c r="Z696" s="353"/>
    </row>
    <row r="697" ht="12.0" customHeight="1">
      <c r="A697" s="353"/>
      <c r="B697" s="353"/>
      <c r="C697" s="353"/>
      <c r="D697" s="353"/>
      <c r="E697" s="353"/>
      <c r="F697" s="353"/>
      <c r="G697" s="353"/>
      <c r="H697" s="353"/>
      <c r="I697" s="353"/>
      <c r="J697" s="353"/>
      <c r="K697" s="353"/>
      <c r="L697" s="353"/>
      <c r="M697" s="353"/>
      <c r="N697" s="353"/>
      <c r="O697" s="353"/>
      <c r="P697" s="353"/>
      <c r="Q697" s="353"/>
      <c r="R697" s="353"/>
      <c r="S697" s="353"/>
      <c r="T697" s="353"/>
      <c r="U697" s="353"/>
      <c r="V697" s="353"/>
      <c r="W697" s="353"/>
      <c r="X697" s="353"/>
      <c r="Y697" s="353"/>
      <c r="Z697" s="353"/>
    </row>
    <row r="698" ht="12.0" customHeight="1">
      <c r="A698" s="353"/>
      <c r="B698" s="353"/>
      <c r="C698" s="353"/>
      <c r="D698" s="353"/>
      <c r="E698" s="353"/>
      <c r="F698" s="353"/>
      <c r="G698" s="353"/>
      <c r="H698" s="353"/>
      <c r="I698" s="353"/>
      <c r="J698" s="353"/>
      <c r="K698" s="353"/>
      <c r="L698" s="353"/>
      <c r="M698" s="353"/>
      <c r="N698" s="353"/>
      <c r="O698" s="353"/>
      <c r="P698" s="353"/>
      <c r="Q698" s="353"/>
      <c r="R698" s="353"/>
      <c r="S698" s="353"/>
      <c r="T698" s="353"/>
      <c r="U698" s="353"/>
      <c r="V698" s="353"/>
      <c r="W698" s="353"/>
      <c r="X698" s="353"/>
      <c r="Y698" s="353"/>
      <c r="Z698" s="353"/>
    </row>
    <row r="699" ht="12.0" customHeight="1">
      <c r="A699" s="353"/>
      <c r="B699" s="353"/>
      <c r="C699" s="353"/>
      <c r="D699" s="353"/>
      <c r="E699" s="353"/>
      <c r="F699" s="353"/>
      <c r="G699" s="353"/>
      <c r="H699" s="353"/>
      <c r="I699" s="353"/>
      <c r="J699" s="353"/>
      <c r="K699" s="353"/>
      <c r="L699" s="353"/>
      <c r="M699" s="353"/>
      <c r="N699" s="353"/>
      <c r="O699" s="353"/>
      <c r="P699" s="353"/>
      <c r="Q699" s="353"/>
      <c r="R699" s="353"/>
      <c r="S699" s="353"/>
      <c r="T699" s="353"/>
      <c r="U699" s="353"/>
      <c r="V699" s="353"/>
      <c r="W699" s="353"/>
      <c r="X699" s="353"/>
      <c r="Y699" s="353"/>
      <c r="Z699" s="353"/>
    </row>
    <row r="700" ht="12.0" customHeight="1">
      <c r="A700" s="353"/>
      <c r="B700" s="353"/>
      <c r="C700" s="353"/>
      <c r="D700" s="353"/>
      <c r="E700" s="353"/>
      <c r="F700" s="353"/>
      <c r="G700" s="353"/>
      <c r="H700" s="353"/>
      <c r="I700" s="353"/>
      <c r="J700" s="353"/>
      <c r="K700" s="353"/>
      <c r="L700" s="353"/>
      <c r="M700" s="353"/>
      <c r="N700" s="353"/>
      <c r="O700" s="353"/>
      <c r="P700" s="353"/>
      <c r="Q700" s="353"/>
      <c r="R700" s="353"/>
      <c r="S700" s="353"/>
      <c r="T700" s="353"/>
      <c r="U700" s="353"/>
      <c r="V700" s="353"/>
      <c r="W700" s="353"/>
      <c r="X700" s="353"/>
      <c r="Y700" s="353"/>
      <c r="Z700" s="353"/>
    </row>
    <row r="701" ht="12.0" customHeight="1">
      <c r="A701" s="353"/>
      <c r="B701" s="353"/>
      <c r="C701" s="353"/>
      <c r="D701" s="353"/>
      <c r="E701" s="353"/>
      <c r="F701" s="353"/>
      <c r="G701" s="353"/>
      <c r="H701" s="353"/>
      <c r="I701" s="353"/>
      <c r="J701" s="353"/>
      <c r="K701" s="353"/>
      <c r="L701" s="353"/>
      <c r="M701" s="353"/>
      <c r="N701" s="353"/>
      <c r="O701" s="353"/>
      <c r="P701" s="353"/>
      <c r="Q701" s="353"/>
      <c r="R701" s="353"/>
      <c r="S701" s="353"/>
      <c r="T701" s="353"/>
      <c r="U701" s="353"/>
      <c r="V701" s="353"/>
      <c r="W701" s="353"/>
      <c r="X701" s="353"/>
      <c r="Y701" s="353"/>
      <c r="Z701" s="353"/>
    </row>
    <row r="702" ht="12.0" customHeight="1">
      <c r="A702" s="353"/>
      <c r="B702" s="353"/>
      <c r="C702" s="353"/>
      <c r="D702" s="353"/>
      <c r="E702" s="353"/>
      <c r="F702" s="353"/>
      <c r="G702" s="353"/>
      <c r="H702" s="353"/>
      <c r="I702" s="353"/>
      <c r="J702" s="353"/>
      <c r="K702" s="353"/>
      <c r="L702" s="353"/>
      <c r="M702" s="353"/>
      <c r="N702" s="353"/>
      <c r="O702" s="353"/>
      <c r="P702" s="353"/>
      <c r="Q702" s="353"/>
      <c r="R702" s="353"/>
      <c r="S702" s="353"/>
      <c r="T702" s="353"/>
      <c r="U702" s="353"/>
      <c r="V702" s="353"/>
      <c r="W702" s="353"/>
      <c r="X702" s="353"/>
      <c r="Y702" s="353"/>
      <c r="Z702" s="353"/>
    </row>
    <row r="703" ht="12.0" customHeight="1">
      <c r="A703" s="353"/>
      <c r="B703" s="353"/>
      <c r="C703" s="353"/>
      <c r="D703" s="353"/>
      <c r="E703" s="353"/>
      <c r="F703" s="353"/>
      <c r="G703" s="353"/>
      <c r="H703" s="353"/>
      <c r="I703" s="353"/>
      <c r="J703" s="353"/>
      <c r="K703" s="353"/>
      <c r="L703" s="353"/>
      <c r="M703" s="353"/>
      <c r="N703" s="353"/>
      <c r="O703" s="353"/>
      <c r="P703" s="353"/>
      <c r="Q703" s="353"/>
      <c r="R703" s="353"/>
      <c r="S703" s="353"/>
      <c r="T703" s="353"/>
      <c r="U703" s="353"/>
      <c r="V703" s="353"/>
      <c r="W703" s="353"/>
      <c r="X703" s="353"/>
      <c r="Y703" s="353"/>
      <c r="Z703" s="353"/>
    </row>
    <row r="704" ht="12.0" customHeight="1">
      <c r="A704" s="353"/>
      <c r="B704" s="353"/>
      <c r="C704" s="353"/>
      <c r="D704" s="353"/>
      <c r="E704" s="353"/>
      <c r="F704" s="353"/>
      <c r="G704" s="353"/>
      <c r="H704" s="353"/>
      <c r="I704" s="353"/>
      <c r="J704" s="353"/>
      <c r="K704" s="353"/>
      <c r="L704" s="353"/>
      <c r="M704" s="353"/>
      <c r="N704" s="353"/>
      <c r="O704" s="353"/>
      <c r="P704" s="353"/>
      <c r="Q704" s="353"/>
      <c r="R704" s="353"/>
      <c r="S704" s="353"/>
      <c r="T704" s="353"/>
      <c r="U704" s="353"/>
      <c r="V704" s="353"/>
      <c r="W704" s="353"/>
      <c r="X704" s="353"/>
      <c r="Y704" s="353"/>
      <c r="Z704" s="353"/>
    </row>
    <row r="705" ht="12.0" customHeight="1">
      <c r="A705" s="353"/>
      <c r="B705" s="353"/>
      <c r="C705" s="353"/>
      <c r="D705" s="353"/>
      <c r="E705" s="353"/>
      <c r="F705" s="353"/>
      <c r="G705" s="353"/>
      <c r="H705" s="353"/>
      <c r="I705" s="353"/>
      <c r="J705" s="353"/>
      <c r="K705" s="353"/>
      <c r="L705" s="353"/>
      <c r="M705" s="353"/>
      <c r="N705" s="353"/>
      <c r="O705" s="353"/>
      <c r="P705" s="353"/>
      <c r="Q705" s="353"/>
      <c r="R705" s="353"/>
      <c r="S705" s="353"/>
      <c r="T705" s="353"/>
      <c r="U705" s="353"/>
      <c r="V705" s="353"/>
      <c r="W705" s="353"/>
      <c r="X705" s="353"/>
      <c r="Y705" s="353"/>
      <c r="Z705" s="353"/>
    </row>
    <row r="706" ht="12.0" customHeight="1">
      <c r="A706" s="353"/>
      <c r="B706" s="353"/>
      <c r="C706" s="353"/>
      <c r="D706" s="353"/>
      <c r="E706" s="353"/>
      <c r="F706" s="353"/>
      <c r="G706" s="353"/>
      <c r="H706" s="353"/>
      <c r="I706" s="353"/>
      <c r="J706" s="353"/>
      <c r="K706" s="353"/>
      <c r="L706" s="353"/>
      <c r="M706" s="353"/>
      <c r="N706" s="353"/>
      <c r="O706" s="353"/>
      <c r="P706" s="353"/>
      <c r="Q706" s="353"/>
      <c r="R706" s="353"/>
      <c r="S706" s="353"/>
      <c r="T706" s="353"/>
      <c r="U706" s="353"/>
      <c r="V706" s="353"/>
      <c r="W706" s="353"/>
      <c r="X706" s="353"/>
      <c r="Y706" s="353"/>
      <c r="Z706" s="353"/>
    </row>
    <row r="707" ht="12.0" customHeight="1">
      <c r="A707" s="353"/>
      <c r="B707" s="353"/>
      <c r="C707" s="353"/>
      <c r="D707" s="353"/>
      <c r="E707" s="353"/>
      <c r="F707" s="353"/>
      <c r="G707" s="353"/>
      <c r="H707" s="353"/>
      <c r="I707" s="353"/>
      <c r="J707" s="353"/>
      <c r="K707" s="353"/>
      <c r="L707" s="353"/>
      <c r="M707" s="353"/>
      <c r="N707" s="353"/>
      <c r="O707" s="353"/>
      <c r="P707" s="353"/>
      <c r="Q707" s="353"/>
      <c r="R707" s="353"/>
      <c r="S707" s="353"/>
      <c r="T707" s="353"/>
      <c r="U707" s="353"/>
      <c r="V707" s="353"/>
      <c r="W707" s="353"/>
      <c r="X707" s="353"/>
      <c r="Y707" s="353"/>
      <c r="Z707" s="353"/>
    </row>
    <row r="708" ht="12.0" customHeight="1">
      <c r="A708" s="353"/>
      <c r="B708" s="353"/>
      <c r="C708" s="353"/>
      <c r="D708" s="353"/>
      <c r="E708" s="353"/>
      <c r="F708" s="353"/>
      <c r="G708" s="353"/>
      <c r="H708" s="353"/>
      <c r="I708" s="353"/>
      <c r="J708" s="353"/>
      <c r="K708" s="353"/>
      <c r="L708" s="353"/>
      <c r="M708" s="353"/>
      <c r="N708" s="353"/>
      <c r="O708" s="353"/>
      <c r="P708" s="353"/>
      <c r="Q708" s="353"/>
      <c r="R708" s="353"/>
      <c r="S708" s="353"/>
      <c r="T708" s="353"/>
      <c r="U708" s="353"/>
      <c r="V708" s="353"/>
      <c r="W708" s="353"/>
      <c r="X708" s="353"/>
      <c r="Y708" s="353"/>
      <c r="Z708" s="353"/>
    </row>
    <row r="709" ht="12.0" customHeight="1">
      <c r="A709" s="353"/>
      <c r="B709" s="353"/>
      <c r="C709" s="353"/>
      <c r="D709" s="353"/>
      <c r="E709" s="353"/>
      <c r="F709" s="353"/>
      <c r="G709" s="353"/>
      <c r="H709" s="353"/>
      <c r="I709" s="353"/>
      <c r="J709" s="353"/>
      <c r="K709" s="353"/>
      <c r="L709" s="353"/>
      <c r="M709" s="353"/>
      <c r="N709" s="353"/>
      <c r="O709" s="353"/>
      <c r="P709" s="353"/>
      <c r="Q709" s="353"/>
      <c r="R709" s="353"/>
      <c r="S709" s="353"/>
      <c r="T709" s="353"/>
      <c r="U709" s="353"/>
      <c r="V709" s="353"/>
      <c r="W709" s="353"/>
      <c r="X709" s="353"/>
      <c r="Y709" s="353"/>
      <c r="Z709" s="353"/>
    </row>
    <row r="710" ht="12.0" customHeight="1">
      <c r="A710" s="353"/>
      <c r="B710" s="353"/>
      <c r="C710" s="353"/>
      <c r="D710" s="353"/>
      <c r="E710" s="353"/>
      <c r="F710" s="353"/>
      <c r="G710" s="353"/>
      <c r="H710" s="353"/>
      <c r="I710" s="353"/>
      <c r="J710" s="353"/>
      <c r="K710" s="353"/>
      <c r="L710" s="353"/>
      <c r="M710" s="353"/>
      <c r="N710" s="353"/>
      <c r="O710" s="353"/>
      <c r="P710" s="353"/>
      <c r="Q710" s="353"/>
      <c r="R710" s="353"/>
      <c r="S710" s="353"/>
      <c r="T710" s="353"/>
      <c r="U710" s="353"/>
      <c r="V710" s="353"/>
      <c r="W710" s="353"/>
      <c r="X710" s="353"/>
      <c r="Y710" s="353"/>
      <c r="Z710" s="353"/>
    </row>
    <row r="711" ht="12.0" customHeight="1">
      <c r="A711" s="353"/>
      <c r="B711" s="353"/>
      <c r="C711" s="353"/>
      <c r="D711" s="353"/>
      <c r="E711" s="353"/>
      <c r="F711" s="353"/>
      <c r="G711" s="353"/>
      <c r="H711" s="353"/>
      <c r="I711" s="353"/>
      <c r="J711" s="353"/>
      <c r="K711" s="353"/>
      <c r="L711" s="353"/>
      <c r="M711" s="353"/>
      <c r="N711" s="353"/>
      <c r="O711" s="353"/>
      <c r="P711" s="353"/>
      <c r="Q711" s="353"/>
      <c r="R711" s="353"/>
      <c r="S711" s="353"/>
      <c r="T711" s="353"/>
      <c r="U711" s="353"/>
      <c r="V711" s="353"/>
      <c r="W711" s="353"/>
      <c r="X711" s="353"/>
      <c r="Y711" s="353"/>
      <c r="Z711" s="353"/>
    </row>
    <row r="712" ht="12.0" customHeight="1">
      <c r="A712" s="353"/>
      <c r="B712" s="353"/>
      <c r="C712" s="353"/>
      <c r="D712" s="353"/>
      <c r="E712" s="353"/>
      <c r="F712" s="353"/>
      <c r="G712" s="353"/>
      <c r="H712" s="353"/>
      <c r="I712" s="353"/>
      <c r="J712" s="353"/>
      <c r="K712" s="353"/>
      <c r="L712" s="353"/>
      <c r="M712" s="353"/>
      <c r="N712" s="353"/>
      <c r="O712" s="353"/>
      <c r="P712" s="353"/>
      <c r="Q712" s="353"/>
      <c r="R712" s="353"/>
      <c r="S712" s="353"/>
      <c r="T712" s="353"/>
      <c r="U712" s="353"/>
      <c r="V712" s="353"/>
      <c r="W712" s="353"/>
      <c r="X712" s="353"/>
      <c r="Y712" s="353"/>
      <c r="Z712" s="353"/>
    </row>
    <row r="713" ht="12.0" customHeight="1">
      <c r="A713" s="353"/>
      <c r="B713" s="353"/>
      <c r="C713" s="353"/>
      <c r="D713" s="353"/>
      <c r="E713" s="353"/>
      <c r="F713" s="353"/>
      <c r="G713" s="353"/>
      <c r="H713" s="353"/>
      <c r="I713" s="353"/>
      <c r="J713" s="353"/>
      <c r="K713" s="353"/>
      <c r="L713" s="353"/>
      <c r="M713" s="353"/>
      <c r="N713" s="353"/>
      <c r="O713" s="353"/>
      <c r="P713" s="353"/>
      <c r="Q713" s="353"/>
      <c r="R713" s="353"/>
      <c r="S713" s="353"/>
      <c r="T713" s="353"/>
      <c r="U713" s="353"/>
      <c r="V713" s="353"/>
      <c r="W713" s="353"/>
      <c r="X713" s="353"/>
      <c r="Y713" s="353"/>
      <c r="Z713" s="353"/>
    </row>
    <row r="714" ht="12.0" customHeight="1">
      <c r="A714" s="353"/>
      <c r="B714" s="353"/>
      <c r="C714" s="353"/>
      <c r="D714" s="353"/>
      <c r="E714" s="353"/>
      <c r="F714" s="353"/>
      <c r="G714" s="353"/>
      <c r="H714" s="353"/>
      <c r="I714" s="353"/>
      <c r="J714" s="353"/>
      <c r="K714" s="353"/>
      <c r="L714" s="353"/>
      <c r="M714" s="353"/>
      <c r="N714" s="353"/>
      <c r="O714" s="353"/>
      <c r="P714" s="353"/>
      <c r="Q714" s="353"/>
      <c r="R714" s="353"/>
      <c r="S714" s="353"/>
      <c r="T714" s="353"/>
      <c r="U714" s="353"/>
      <c r="V714" s="353"/>
      <c r="W714" s="353"/>
      <c r="X714" s="353"/>
      <c r="Y714" s="353"/>
      <c r="Z714" s="353"/>
    </row>
    <row r="715" ht="12.0" customHeight="1">
      <c r="A715" s="353"/>
      <c r="B715" s="353"/>
      <c r="C715" s="353"/>
      <c r="D715" s="353"/>
      <c r="E715" s="353"/>
      <c r="F715" s="353"/>
      <c r="G715" s="353"/>
      <c r="H715" s="353"/>
      <c r="I715" s="353"/>
      <c r="J715" s="353"/>
      <c r="K715" s="353"/>
      <c r="L715" s="353"/>
      <c r="M715" s="353"/>
      <c r="N715" s="353"/>
      <c r="O715" s="353"/>
      <c r="P715" s="353"/>
      <c r="Q715" s="353"/>
      <c r="R715" s="353"/>
      <c r="S715" s="353"/>
      <c r="T715" s="353"/>
      <c r="U715" s="353"/>
      <c r="V715" s="353"/>
      <c r="W715" s="353"/>
      <c r="X715" s="353"/>
      <c r="Y715" s="353"/>
      <c r="Z715" s="353"/>
    </row>
    <row r="716" ht="12.0" customHeight="1">
      <c r="A716" s="353"/>
      <c r="B716" s="353"/>
      <c r="C716" s="353"/>
      <c r="D716" s="353"/>
      <c r="E716" s="353"/>
      <c r="F716" s="353"/>
      <c r="G716" s="353"/>
      <c r="H716" s="353"/>
      <c r="I716" s="353"/>
      <c r="J716" s="353"/>
      <c r="K716" s="353"/>
      <c r="L716" s="353"/>
      <c r="M716" s="353"/>
      <c r="N716" s="353"/>
      <c r="O716" s="353"/>
      <c r="P716" s="353"/>
      <c r="Q716" s="353"/>
      <c r="R716" s="353"/>
      <c r="S716" s="353"/>
      <c r="T716" s="353"/>
      <c r="U716" s="353"/>
      <c r="V716" s="353"/>
      <c r="W716" s="353"/>
      <c r="X716" s="353"/>
      <c r="Y716" s="353"/>
      <c r="Z716" s="353"/>
    </row>
    <row r="717" ht="12.0" customHeight="1">
      <c r="A717" s="353"/>
      <c r="B717" s="353"/>
      <c r="C717" s="353"/>
      <c r="D717" s="353"/>
      <c r="E717" s="353"/>
      <c r="F717" s="353"/>
      <c r="G717" s="353"/>
      <c r="H717" s="353"/>
      <c r="I717" s="353"/>
      <c r="J717" s="353"/>
      <c r="K717" s="353"/>
      <c r="L717" s="353"/>
      <c r="M717" s="353"/>
      <c r="N717" s="353"/>
      <c r="O717" s="353"/>
      <c r="P717" s="353"/>
      <c r="Q717" s="353"/>
      <c r="R717" s="353"/>
      <c r="S717" s="353"/>
      <c r="T717" s="353"/>
      <c r="U717" s="353"/>
      <c r="V717" s="353"/>
      <c r="W717" s="353"/>
      <c r="X717" s="353"/>
      <c r="Y717" s="353"/>
      <c r="Z717" s="353"/>
    </row>
    <row r="718" ht="12.0" customHeight="1">
      <c r="A718" s="353"/>
      <c r="B718" s="353"/>
      <c r="C718" s="353"/>
      <c r="D718" s="353"/>
      <c r="E718" s="353"/>
      <c r="F718" s="353"/>
      <c r="G718" s="353"/>
      <c r="H718" s="353"/>
      <c r="I718" s="353"/>
      <c r="J718" s="353"/>
      <c r="K718" s="353"/>
      <c r="L718" s="353"/>
      <c r="M718" s="353"/>
      <c r="N718" s="353"/>
      <c r="O718" s="353"/>
      <c r="P718" s="353"/>
      <c r="Q718" s="353"/>
      <c r="R718" s="353"/>
      <c r="S718" s="353"/>
      <c r="T718" s="353"/>
      <c r="U718" s="353"/>
      <c r="V718" s="353"/>
      <c r="W718" s="353"/>
      <c r="X718" s="353"/>
      <c r="Y718" s="353"/>
      <c r="Z718" s="353"/>
    </row>
    <row r="719" ht="12.0" customHeight="1">
      <c r="A719" s="353"/>
      <c r="B719" s="353"/>
      <c r="C719" s="353"/>
      <c r="D719" s="353"/>
      <c r="E719" s="353"/>
      <c r="F719" s="353"/>
      <c r="G719" s="353"/>
      <c r="H719" s="353"/>
      <c r="I719" s="353"/>
      <c r="J719" s="353"/>
      <c r="K719" s="353"/>
      <c r="L719" s="353"/>
      <c r="M719" s="353"/>
      <c r="N719" s="353"/>
      <c r="O719" s="353"/>
      <c r="P719" s="353"/>
      <c r="Q719" s="353"/>
      <c r="R719" s="353"/>
      <c r="S719" s="353"/>
      <c r="T719" s="353"/>
      <c r="U719" s="353"/>
      <c r="V719" s="353"/>
      <c r="W719" s="353"/>
      <c r="X719" s="353"/>
      <c r="Y719" s="353"/>
      <c r="Z719" s="353"/>
    </row>
    <row r="720" ht="12.0" customHeight="1">
      <c r="A720" s="353"/>
      <c r="B720" s="353"/>
      <c r="C720" s="353"/>
      <c r="D720" s="353"/>
      <c r="E720" s="353"/>
      <c r="F720" s="353"/>
      <c r="G720" s="353"/>
      <c r="H720" s="353"/>
      <c r="I720" s="353"/>
      <c r="J720" s="353"/>
      <c r="K720" s="353"/>
      <c r="L720" s="353"/>
      <c r="M720" s="353"/>
      <c r="N720" s="353"/>
      <c r="O720" s="353"/>
      <c r="P720" s="353"/>
      <c r="Q720" s="353"/>
      <c r="R720" s="353"/>
      <c r="S720" s="353"/>
      <c r="T720" s="353"/>
      <c r="U720" s="353"/>
      <c r="V720" s="353"/>
      <c r="W720" s="353"/>
      <c r="X720" s="353"/>
      <c r="Y720" s="353"/>
      <c r="Z720" s="353"/>
    </row>
    <row r="721" ht="12.0" customHeight="1">
      <c r="A721" s="353"/>
      <c r="B721" s="353"/>
      <c r="C721" s="353"/>
      <c r="D721" s="353"/>
      <c r="E721" s="353"/>
      <c r="F721" s="353"/>
      <c r="G721" s="353"/>
      <c r="H721" s="353"/>
      <c r="I721" s="353"/>
      <c r="J721" s="353"/>
      <c r="K721" s="353"/>
      <c r="L721" s="353"/>
      <c r="M721" s="353"/>
      <c r="N721" s="353"/>
      <c r="O721" s="353"/>
      <c r="P721" s="353"/>
      <c r="Q721" s="353"/>
      <c r="R721" s="353"/>
      <c r="S721" s="353"/>
      <c r="T721" s="353"/>
      <c r="U721" s="353"/>
      <c r="V721" s="353"/>
      <c r="W721" s="353"/>
      <c r="X721" s="353"/>
      <c r="Y721" s="353"/>
      <c r="Z721" s="353"/>
    </row>
    <row r="722" ht="12.0" customHeight="1">
      <c r="A722" s="353"/>
      <c r="B722" s="353"/>
      <c r="C722" s="353"/>
      <c r="D722" s="353"/>
      <c r="E722" s="353"/>
      <c r="F722" s="353"/>
      <c r="G722" s="353"/>
      <c r="H722" s="353"/>
      <c r="I722" s="353"/>
      <c r="J722" s="353"/>
      <c r="K722" s="353"/>
      <c r="L722" s="353"/>
      <c r="M722" s="353"/>
      <c r="N722" s="353"/>
      <c r="O722" s="353"/>
      <c r="P722" s="353"/>
      <c r="Q722" s="353"/>
      <c r="R722" s="353"/>
      <c r="S722" s="353"/>
      <c r="T722" s="353"/>
      <c r="U722" s="353"/>
      <c r="V722" s="353"/>
      <c r="W722" s="353"/>
      <c r="X722" s="353"/>
      <c r="Y722" s="353"/>
      <c r="Z722" s="353"/>
    </row>
    <row r="723" ht="12.0" customHeight="1">
      <c r="A723" s="353"/>
      <c r="B723" s="353"/>
      <c r="C723" s="353"/>
      <c r="D723" s="353"/>
      <c r="E723" s="353"/>
      <c r="F723" s="353"/>
      <c r="G723" s="353"/>
      <c r="H723" s="353"/>
      <c r="I723" s="353"/>
      <c r="J723" s="353"/>
      <c r="K723" s="353"/>
      <c r="L723" s="353"/>
      <c r="M723" s="353"/>
      <c r="N723" s="353"/>
      <c r="O723" s="353"/>
      <c r="P723" s="353"/>
      <c r="Q723" s="353"/>
      <c r="R723" s="353"/>
      <c r="S723" s="353"/>
      <c r="T723" s="353"/>
      <c r="U723" s="353"/>
      <c r="V723" s="353"/>
      <c r="W723" s="353"/>
      <c r="X723" s="353"/>
      <c r="Y723" s="353"/>
      <c r="Z723" s="353"/>
    </row>
    <row r="724" ht="12.0" customHeight="1">
      <c r="A724" s="353"/>
      <c r="B724" s="353"/>
      <c r="C724" s="353"/>
      <c r="D724" s="353"/>
      <c r="E724" s="353"/>
      <c r="F724" s="353"/>
      <c r="G724" s="353"/>
      <c r="H724" s="353"/>
      <c r="I724" s="353"/>
      <c r="J724" s="353"/>
      <c r="K724" s="353"/>
      <c r="L724" s="353"/>
      <c r="M724" s="353"/>
      <c r="N724" s="353"/>
      <c r="O724" s="353"/>
      <c r="P724" s="353"/>
      <c r="Q724" s="353"/>
      <c r="R724" s="353"/>
      <c r="S724" s="353"/>
      <c r="T724" s="353"/>
      <c r="U724" s="353"/>
      <c r="V724" s="353"/>
      <c r="W724" s="353"/>
      <c r="X724" s="353"/>
      <c r="Y724" s="353"/>
      <c r="Z724" s="353"/>
    </row>
    <row r="725" ht="12.0" customHeight="1">
      <c r="A725" s="353"/>
      <c r="B725" s="353"/>
      <c r="C725" s="353"/>
      <c r="D725" s="353"/>
      <c r="E725" s="353"/>
      <c r="F725" s="353"/>
      <c r="G725" s="353"/>
      <c r="H725" s="353"/>
      <c r="I725" s="353"/>
      <c r="J725" s="353"/>
      <c r="K725" s="353"/>
      <c r="L725" s="353"/>
      <c r="M725" s="353"/>
      <c r="N725" s="353"/>
      <c r="O725" s="353"/>
      <c r="P725" s="353"/>
      <c r="Q725" s="353"/>
      <c r="R725" s="353"/>
      <c r="S725" s="353"/>
      <c r="T725" s="353"/>
      <c r="U725" s="353"/>
      <c r="V725" s="353"/>
      <c r="W725" s="353"/>
      <c r="X725" s="353"/>
      <c r="Y725" s="353"/>
      <c r="Z725" s="353"/>
    </row>
    <row r="726" ht="12.0" customHeight="1">
      <c r="A726" s="353"/>
      <c r="B726" s="353"/>
      <c r="C726" s="353"/>
      <c r="D726" s="353"/>
      <c r="E726" s="353"/>
      <c r="F726" s="353"/>
      <c r="G726" s="353"/>
      <c r="H726" s="353"/>
      <c r="I726" s="353"/>
      <c r="J726" s="353"/>
      <c r="K726" s="353"/>
      <c r="L726" s="353"/>
      <c r="M726" s="353"/>
      <c r="N726" s="353"/>
      <c r="O726" s="353"/>
      <c r="P726" s="353"/>
      <c r="Q726" s="353"/>
      <c r="R726" s="353"/>
      <c r="S726" s="353"/>
      <c r="T726" s="353"/>
      <c r="U726" s="353"/>
      <c r="V726" s="353"/>
      <c r="W726" s="353"/>
      <c r="X726" s="353"/>
      <c r="Y726" s="353"/>
      <c r="Z726" s="353"/>
    </row>
    <row r="727" ht="12.0" customHeight="1">
      <c r="A727" s="353"/>
      <c r="B727" s="353"/>
      <c r="C727" s="353"/>
      <c r="D727" s="353"/>
      <c r="E727" s="353"/>
      <c r="F727" s="353"/>
      <c r="G727" s="353"/>
      <c r="H727" s="353"/>
      <c r="I727" s="353"/>
      <c r="J727" s="353"/>
      <c r="K727" s="353"/>
      <c r="L727" s="353"/>
      <c r="M727" s="353"/>
      <c r="N727" s="353"/>
      <c r="O727" s="353"/>
      <c r="P727" s="353"/>
      <c r="Q727" s="353"/>
      <c r="R727" s="353"/>
      <c r="S727" s="353"/>
      <c r="T727" s="353"/>
      <c r="U727" s="353"/>
      <c r="V727" s="353"/>
      <c r="W727" s="353"/>
      <c r="X727" s="353"/>
      <c r="Y727" s="353"/>
      <c r="Z727" s="353"/>
    </row>
    <row r="728" ht="12.0" customHeight="1">
      <c r="A728" s="353"/>
      <c r="B728" s="353"/>
      <c r="C728" s="353"/>
      <c r="D728" s="353"/>
      <c r="E728" s="353"/>
      <c r="F728" s="353"/>
      <c r="G728" s="353"/>
      <c r="H728" s="353"/>
      <c r="I728" s="353"/>
      <c r="J728" s="353"/>
      <c r="K728" s="353"/>
      <c r="L728" s="353"/>
      <c r="M728" s="353"/>
      <c r="N728" s="353"/>
      <c r="O728" s="353"/>
      <c r="P728" s="353"/>
      <c r="Q728" s="353"/>
      <c r="R728" s="353"/>
      <c r="S728" s="353"/>
      <c r="T728" s="353"/>
      <c r="U728" s="353"/>
      <c r="V728" s="353"/>
      <c r="W728" s="353"/>
      <c r="X728" s="353"/>
      <c r="Y728" s="353"/>
      <c r="Z728" s="353"/>
    </row>
    <row r="729" ht="12.0" customHeight="1">
      <c r="A729" s="353"/>
      <c r="B729" s="353"/>
      <c r="C729" s="353"/>
      <c r="D729" s="353"/>
      <c r="E729" s="353"/>
      <c r="F729" s="353"/>
      <c r="G729" s="353"/>
      <c r="H729" s="353"/>
      <c r="I729" s="353"/>
      <c r="J729" s="353"/>
      <c r="K729" s="353"/>
      <c r="L729" s="353"/>
      <c r="M729" s="353"/>
      <c r="N729" s="353"/>
      <c r="O729" s="353"/>
      <c r="P729" s="353"/>
      <c r="Q729" s="353"/>
      <c r="R729" s="353"/>
      <c r="S729" s="353"/>
      <c r="T729" s="353"/>
      <c r="U729" s="353"/>
      <c r="V729" s="353"/>
      <c r="W729" s="353"/>
      <c r="X729" s="353"/>
      <c r="Y729" s="353"/>
      <c r="Z729" s="353"/>
    </row>
    <row r="730" ht="12.0" customHeight="1">
      <c r="A730" s="353"/>
      <c r="B730" s="353"/>
      <c r="C730" s="353"/>
      <c r="D730" s="353"/>
      <c r="E730" s="353"/>
      <c r="F730" s="353"/>
      <c r="G730" s="353"/>
      <c r="H730" s="353"/>
      <c r="I730" s="353"/>
      <c r="J730" s="353"/>
      <c r="K730" s="353"/>
      <c r="L730" s="353"/>
      <c r="M730" s="353"/>
      <c r="N730" s="353"/>
      <c r="O730" s="353"/>
      <c r="P730" s="353"/>
      <c r="Q730" s="353"/>
      <c r="R730" s="353"/>
      <c r="S730" s="353"/>
      <c r="T730" s="353"/>
      <c r="U730" s="353"/>
      <c r="V730" s="353"/>
      <c r="W730" s="353"/>
      <c r="X730" s="353"/>
      <c r="Y730" s="353"/>
      <c r="Z730" s="353"/>
    </row>
    <row r="731" ht="12.0" customHeight="1">
      <c r="A731" s="353"/>
      <c r="B731" s="353"/>
      <c r="C731" s="353"/>
      <c r="D731" s="353"/>
      <c r="E731" s="353"/>
      <c r="F731" s="353"/>
      <c r="G731" s="353"/>
      <c r="H731" s="353"/>
      <c r="I731" s="353"/>
      <c r="J731" s="353"/>
      <c r="K731" s="353"/>
      <c r="L731" s="353"/>
      <c r="M731" s="353"/>
      <c r="N731" s="353"/>
      <c r="O731" s="353"/>
      <c r="P731" s="353"/>
      <c r="Q731" s="353"/>
      <c r="R731" s="353"/>
      <c r="S731" s="353"/>
      <c r="T731" s="353"/>
      <c r="U731" s="353"/>
      <c r="V731" s="353"/>
      <c r="W731" s="353"/>
      <c r="X731" s="353"/>
      <c r="Y731" s="353"/>
      <c r="Z731" s="353"/>
    </row>
    <row r="732" ht="12.0" customHeight="1">
      <c r="A732" s="353"/>
      <c r="B732" s="353"/>
      <c r="C732" s="353"/>
      <c r="D732" s="353"/>
      <c r="E732" s="353"/>
      <c r="F732" s="353"/>
      <c r="G732" s="353"/>
      <c r="H732" s="353"/>
      <c r="I732" s="353"/>
      <c r="J732" s="353"/>
      <c r="K732" s="353"/>
      <c r="L732" s="353"/>
      <c r="M732" s="353"/>
      <c r="N732" s="353"/>
      <c r="O732" s="353"/>
      <c r="P732" s="353"/>
      <c r="Q732" s="353"/>
      <c r="R732" s="353"/>
      <c r="S732" s="353"/>
      <c r="T732" s="353"/>
      <c r="U732" s="353"/>
      <c r="V732" s="353"/>
      <c r="W732" s="353"/>
      <c r="X732" s="353"/>
      <c r="Y732" s="353"/>
      <c r="Z732" s="353"/>
    </row>
    <row r="733" ht="12.0" customHeight="1">
      <c r="A733" s="353"/>
      <c r="B733" s="353"/>
      <c r="C733" s="353"/>
      <c r="D733" s="353"/>
      <c r="E733" s="353"/>
      <c r="F733" s="353"/>
      <c r="G733" s="353"/>
      <c r="H733" s="353"/>
      <c r="I733" s="353"/>
      <c r="J733" s="353"/>
      <c r="K733" s="353"/>
      <c r="L733" s="353"/>
      <c r="M733" s="353"/>
      <c r="N733" s="353"/>
      <c r="O733" s="353"/>
      <c r="P733" s="353"/>
      <c r="Q733" s="353"/>
      <c r="R733" s="353"/>
      <c r="S733" s="353"/>
      <c r="T733" s="353"/>
      <c r="U733" s="353"/>
      <c r="V733" s="353"/>
      <c r="W733" s="353"/>
      <c r="X733" s="353"/>
      <c r="Y733" s="353"/>
      <c r="Z733" s="353"/>
    </row>
    <row r="734" ht="12.0" customHeight="1">
      <c r="A734" s="353"/>
      <c r="B734" s="353"/>
      <c r="C734" s="353"/>
      <c r="D734" s="353"/>
      <c r="E734" s="353"/>
      <c r="F734" s="353"/>
      <c r="G734" s="353"/>
      <c r="H734" s="353"/>
      <c r="I734" s="353"/>
      <c r="J734" s="353"/>
      <c r="K734" s="353"/>
      <c r="L734" s="353"/>
      <c r="M734" s="353"/>
      <c r="N734" s="353"/>
      <c r="O734" s="353"/>
      <c r="P734" s="353"/>
      <c r="Q734" s="353"/>
      <c r="R734" s="353"/>
      <c r="S734" s="353"/>
      <c r="T734" s="353"/>
      <c r="U734" s="353"/>
      <c r="V734" s="353"/>
      <c r="W734" s="353"/>
      <c r="X734" s="353"/>
      <c r="Y734" s="353"/>
      <c r="Z734" s="353"/>
    </row>
    <row r="735" ht="12.0" customHeight="1">
      <c r="A735" s="353"/>
      <c r="B735" s="353"/>
      <c r="C735" s="353"/>
      <c r="D735" s="353"/>
      <c r="E735" s="353"/>
      <c r="F735" s="353"/>
      <c r="G735" s="353"/>
      <c r="H735" s="353"/>
      <c r="I735" s="353"/>
      <c r="J735" s="353"/>
      <c r="K735" s="353"/>
      <c r="L735" s="353"/>
      <c r="M735" s="353"/>
      <c r="N735" s="353"/>
      <c r="O735" s="353"/>
      <c r="P735" s="353"/>
      <c r="Q735" s="353"/>
      <c r="R735" s="353"/>
      <c r="S735" s="353"/>
      <c r="T735" s="353"/>
      <c r="U735" s="353"/>
      <c r="V735" s="353"/>
      <c r="W735" s="353"/>
      <c r="X735" s="353"/>
      <c r="Y735" s="353"/>
      <c r="Z735" s="353"/>
    </row>
    <row r="736" ht="12.0" customHeight="1">
      <c r="A736" s="353"/>
      <c r="B736" s="353"/>
      <c r="C736" s="353"/>
      <c r="D736" s="353"/>
      <c r="E736" s="353"/>
      <c r="F736" s="353"/>
      <c r="G736" s="353"/>
      <c r="H736" s="353"/>
      <c r="I736" s="353"/>
      <c r="J736" s="353"/>
      <c r="K736" s="353"/>
      <c r="L736" s="353"/>
      <c r="M736" s="353"/>
      <c r="N736" s="353"/>
      <c r="O736" s="353"/>
      <c r="P736" s="353"/>
      <c r="Q736" s="353"/>
      <c r="R736" s="353"/>
      <c r="S736" s="353"/>
      <c r="T736" s="353"/>
      <c r="U736" s="353"/>
      <c r="V736" s="353"/>
      <c r="W736" s="353"/>
      <c r="X736" s="353"/>
      <c r="Y736" s="353"/>
      <c r="Z736" s="353"/>
    </row>
    <row r="737" ht="12.0" customHeight="1">
      <c r="A737" s="353"/>
      <c r="B737" s="353"/>
      <c r="C737" s="353"/>
      <c r="D737" s="353"/>
      <c r="E737" s="353"/>
      <c r="F737" s="353"/>
      <c r="G737" s="353"/>
      <c r="H737" s="353"/>
      <c r="I737" s="353"/>
      <c r="J737" s="353"/>
      <c r="K737" s="353"/>
      <c r="L737" s="353"/>
      <c r="M737" s="353"/>
      <c r="N737" s="353"/>
      <c r="O737" s="353"/>
      <c r="P737" s="353"/>
      <c r="Q737" s="353"/>
      <c r="R737" s="353"/>
      <c r="S737" s="353"/>
      <c r="T737" s="353"/>
      <c r="U737" s="353"/>
      <c r="V737" s="353"/>
      <c r="W737" s="353"/>
      <c r="X737" s="353"/>
      <c r="Y737" s="353"/>
      <c r="Z737" s="353"/>
    </row>
    <row r="738" ht="12.0" customHeight="1">
      <c r="A738" s="353"/>
      <c r="B738" s="353"/>
      <c r="C738" s="353"/>
      <c r="D738" s="353"/>
      <c r="E738" s="353"/>
      <c r="F738" s="353"/>
      <c r="G738" s="353"/>
      <c r="H738" s="353"/>
      <c r="I738" s="353"/>
      <c r="J738" s="353"/>
      <c r="K738" s="353"/>
      <c r="L738" s="353"/>
      <c r="M738" s="353"/>
      <c r="N738" s="353"/>
      <c r="O738" s="353"/>
      <c r="P738" s="353"/>
      <c r="Q738" s="353"/>
      <c r="R738" s="353"/>
      <c r="S738" s="353"/>
      <c r="T738" s="353"/>
      <c r="U738" s="353"/>
      <c r="V738" s="353"/>
      <c r="W738" s="353"/>
      <c r="X738" s="353"/>
      <c r="Y738" s="353"/>
      <c r="Z738" s="353"/>
    </row>
    <row r="739" ht="12.0" customHeight="1">
      <c r="A739" s="353"/>
      <c r="B739" s="353"/>
      <c r="C739" s="353"/>
      <c r="D739" s="353"/>
      <c r="E739" s="353"/>
      <c r="F739" s="353"/>
      <c r="G739" s="353"/>
      <c r="H739" s="353"/>
      <c r="I739" s="353"/>
      <c r="J739" s="353"/>
      <c r="K739" s="353"/>
      <c r="L739" s="353"/>
      <c r="M739" s="353"/>
      <c r="N739" s="353"/>
      <c r="O739" s="353"/>
      <c r="P739" s="353"/>
      <c r="Q739" s="353"/>
      <c r="R739" s="353"/>
      <c r="S739" s="353"/>
      <c r="T739" s="353"/>
      <c r="U739" s="353"/>
      <c r="V739" s="353"/>
      <c r="W739" s="353"/>
      <c r="X739" s="353"/>
      <c r="Y739" s="353"/>
      <c r="Z739" s="353"/>
    </row>
    <row r="740" ht="12.0" customHeight="1">
      <c r="A740" s="353"/>
      <c r="B740" s="353"/>
      <c r="C740" s="353"/>
      <c r="D740" s="353"/>
      <c r="E740" s="353"/>
      <c r="F740" s="353"/>
      <c r="G740" s="353"/>
      <c r="H740" s="353"/>
      <c r="I740" s="353"/>
      <c r="J740" s="353"/>
      <c r="K740" s="353"/>
      <c r="L740" s="353"/>
      <c r="M740" s="353"/>
      <c r="N740" s="353"/>
      <c r="O740" s="353"/>
      <c r="P740" s="353"/>
      <c r="Q740" s="353"/>
      <c r="R740" s="353"/>
      <c r="S740" s="353"/>
      <c r="T740" s="353"/>
      <c r="U740" s="353"/>
      <c r="V740" s="353"/>
      <c r="W740" s="353"/>
      <c r="X740" s="353"/>
      <c r="Y740" s="353"/>
      <c r="Z740" s="353"/>
    </row>
    <row r="741" ht="12.0" customHeight="1">
      <c r="A741" s="353"/>
      <c r="B741" s="353"/>
      <c r="C741" s="353"/>
      <c r="D741" s="353"/>
      <c r="E741" s="353"/>
      <c r="F741" s="353"/>
      <c r="G741" s="353"/>
      <c r="H741" s="353"/>
      <c r="I741" s="353"/>
      <c r="J741" s="353"/>
      <c r="K741" s="353"/>
      <c r="L741" s="353"/>
      <c r="M741" s="353"/>
      <c r="N741" s="353"/>
      <c r="O741" s="353"/>
      <c r="P741" s="353"/>
      <c r="Q741" s="353"/>
      <c r="R741" s="353"/>
      <c r="S741" s="353"/>
      <c r="T741" s="353"/>
      <c r="U741" s="353"/>
      <c r="V741" s="353"/>
      <c r="W741" s="353"/>
      <c r="X741" s="353"/>
      <c r="Y741" s="353"/>
      <c r="Z741" s="353"/>
    </row>
    <row r="742" ht="12.0" customHeight="1">
      <c r="A742" s="353"/>
      <c r="B742" s="353"/>
      <c r="C742" s="353"/>
      <c r="D742" s="353"/>
      <c r="E742" s="353"/>
      <c r="F742" s="353"/>
      <c r="G742" s="353"/>
      <c r="H742" s="353"/>
      <c r="I742" s="353"/>
      <c r="J742" s="353"/>
      <c r="K742" s="353"/>
      <c r="L742" s="353"/>
      <c r="M742" s="353"/>
      <c r="N742" s="353"/>
      <c r="O742" s="353"/>
      <c r="P742" s="353"/>
      <c r="Q742" s="353"/>
      <c r="R742" s="353"/>
      <c r="S742" s="353"/>
      <c r="T742" s="353"/>
      <c r="U742" s="353"/>
      <c r="V742" s="353"/>
      <c r="W742" s="353"/>
      <c r="X742" s="353"/>
      <c r="Y742" s="353"/>
      <c r="Z742" s="353"/>
    </row>
    <row r="743" ht="12.0" customHeight="1">
      <c r="A743" s="353"/>
      <c r="B743" s="353"/>
      <c r="C743" s="353"/>
      <c r="D743" s="353"/>
      <c r="E743" s="353"/>
      <c r="F743" s="353"/>
      <c r="G743" s="353"/>
      <c r="H743" s="353"/>
      <c r="I743" s="353"/>
      <c r="J743" s="353"/>
      <c r="K743" s="353"/>
      <c r="L743" s="353"/>
      <c r="M743" s="353"/>
      <c r="N743" s="353"/>
      <c r="O743" s="353"/>
      <c r="P743" s="353"/>
      <c r="Q743" s="353"/>
      <c r="R743" s="353"/>
      <c r="S743" s="353"/>
      <c r="T743" s="353"/>
      <c r="U743" s="353"/>
      <c r="V743" s="353"/>
      <c r="W743" s="353"/>
      <c r="X743" s="353"/>
      <c r="Y743" s="353"/>
      <c r="Z743" s="353"/>
    </row>
    <row r="744" ht="12.0" customHeight="1">
      <c r="A744" s="353"/>
      <c r="B744" s="353"/>
      <c r="C744" s="353"/>
      <c r="D744" s="353"/>
      <c r="E744" s="353"/>
      <c r="F744" s="353"/>
      <c r="G744" s="353"/>
      <c r="H744" s="353"/>
      <c r="I744" s="353"/>
      <c r="J744" s="353"/>
      <c r="K744" s="353"/>
      <c r="L744" s="353"/>
      <c r="M744" s="353"/>
      <c r="N744" s="353"/>
      <c r="O744" s="353"/>
      <c r="P744" s="353"/>
      <c r="Q744" s="353"/>
      <c r="R744" s="353"/>
      <c r="S744" s="353"/>
      <c r="T744" s="353"/>
      <c r="U744" s="353"/>
      <c r="V744" s="353"/>
      <c r="W744" s="353"/>
      <c r="X744" s="353"/>
      <c r="Y744" s="353"/>
      <c r="Z744" s="353"/>
    </row>
    <row r="745" ht="12.0" customHeight="1">
      <c r="A745" s="353"/>
      <c r="B745" s="353"/>
      <c r="C745" s="353"/>
      <c r="D745" s="353"/>
      <c r="E745" s="353"/>
      <c r="F745" s="353"/>
      <c r="G745" s="353"/>
      <c r="H745" s="353"/>
      <c r="I745" s="353"/>
      <c r="J745" s="353"/>
      <c r="K745" s="353"/>
      <c r="L745" s="353"/>
      <c r="M745" s="353"/>
      <c r="N745" s="353"/>
      <c r="O745" s="353"/>
      <c r="P745" s="353"/>
      <c r="Q745" s="353"/>
      <c r="R745" s="353"/>
      <c r="S745" s="353"/>
      <c r="T745" s="353"/>
      <c r="U745" s="353"/>
      <c r="V745" s="353"/>
      <c r="W745" s="353"/>
      <c r="X745" s="353"/>
      <c r="Y745" s="353"/>
      <c r="Z745" s="353"/>
    </row>
    <row r="746" ht="12.0" customHeight="1">
      <c r="A746" s="353"/>
      <c r="B746" s="353"/>
      <c r="C746" s="353"/>
      <c r="D746" s="353"/>
      <c r="E746" s="353"/>
      <c r="F746" s="353"/>
      <c r="G746" s="353"/>
      <c r="H746" s="353"/>
      <c r="I746" s="353"/>
      <c r="J746" s="353"/>
      <c r="K746" s="353"/>
      <c r="L746" s="353"/>
      <c r="M746" s="353"/>
      <c r="N746" s="353"/>
      <c r="O746" s="353"/>
      <c r="P746" s="353"/>
      <c r="Q746" s="353"/>
      <c r="R746" s="353"/>
      <c r="S746" s="353"/>
      <c r="T746" s="353"/>
      <c r="U746" s="353"/>
      <c r="V746" s="353"/>
      <c r="W746" s="353"/>
      <c r="X746" s="353"/>
      <c r="Y746" s="353"/>
      <c r="Z746" s="353"/>
    </row>
    <row r="747" ht="12.0" customHeight="1">
      <c r="A747" s="353"/>
      <c r="B747" s="353"/>
      <c r="C747" s="353"/>
      <c r="D747" s="353"/>
      <c r="E747" s="353"/>
      <c r="F747" s="353"/>
      <c r="G747" s="353"/>
      <c r="H747" s="353"/>
      <c r="I747" s="353"/>
      <c r="J747" s="353"/>
      <c r="K747" s="353"/>
      <c r="L747" s="353"/>
      <c r="M747" s="353"/>
      <c r="N747" s="353"/>
      <c r="O747" s="353"/>
      <c r="P747" s="353"/>
      <c r="Q747" s="353"/>
      <c r="R747" s="353"/>
      <c r="S747" s="353"/>
      <c r="T747" s="353"/>
      <c r="U747" s="353"/>
      <c r="V747" s="353"/>
      <c r="W747" s="353"/>
      <c r="X747" s="353"/>
      <c r="Y747" s="353"/>
      <c r="Z747" s="353"/>
    </row>
    <row r="748" ht="12.0" customHeight="1">
      <c r="A748" s="353"/>
      <c r="B748" s="353"/>
      <c r="C748" s="353"/>
      <c r="D748" s="353"/>
      <c r="E748" s="353"/>
      <c r="F748" s="353"/>
      <c r="G748" s="353"/>
      <c r="H748" s="353"/>
      <c r="I748" s="353"/>
      <c r="J748" s="353"/>
      <c r="K748" s="353"/>
      <c r="L748" s="353"/>
      <c r="M748" s="353"/>
      <c r="N748" s="353"/>
      <c r="O748" s="353"/>
      <c r="P748" s="353"/>
      <c r="Q748" s="353"/>
      <c r="R748" s="353"/>
      <c r="S748" s="353"/>
      <c r="T748" s="353"/>
      <c r="U748" s="353"/>
      <c r="V748" s="353"/>
      <c r="W748" s="353"/>
      <c r="X748" s="353"/>
      <c r="Y748" s="353"/>
      <c r="Z748" s="353"/>
    </row>
    <row r="749" ht="12.0" customHeight="1">
      <c r="A749" s="353"/>
      <c r="B749" s="353"/>
      <c r="C749" s="353"/>
      <c r="D749" s="353"/>
      <c r="E749" s="353"/>
      <c r="F749" s="353"/>
      <c r="G749" s="353"/>
      <c r="H749" s="353"/>
      <c r="I749" s="353"/>
      <c r="J749" s="353"/>
      <c r="K749" s="353"/>
      <c r="L749" s="353"/>
      <c r="M749" s="353"/>
      <c r="N749" s="353"/>
      <c r="O749" s="353"/>
      <c r="P749" s="353"/>
      <c r="Q749" s="353"/>
      <c r="R749" s="353"/>
      <c r="S749" s="353"/>
      <c r="T749" s="353"/>
      <c r="U749" s="353"/>
      <c r="V749" s="353"/>
      <c r="W749" s="353"/>
      <c r="X749" s="353"/>
      <c r="Y749" s="353"/>
      <c r="Z749" s="353"/>
    </row>
    <row r="750" ht="12.0" customHeight="1">
      <c r="A750" s="353"/>
      <c r="B750" s="353"/>
      <c r="C750" s="353"/>
      <c r="D750" s="353"/>
      <c r="E750" s="353"/>
      <c r="F750" s="353"/>
      <c r="G750" s="353"/>
      <c r="H750" s="353"/>
      <c r="I750" s="353"/>
      <c r="J750" s="353"/>
      <c r="K750" s="353"/>
      <c r="L750" s="353"/>
      <c r="M750" s="353"/>
      <c r="N750" s="353"/>
      <c r="O750" s="353"/>
      <c r="P750" s="353"/>
      <c r="Q750" s="353"/>
      <c r="R750" s="353"/>
      <c r="S750" s="353"/>
      <c r="T750" s="353"/>
      <c r="U750" s="353"/>
      <c r="V750" s="353"/>
      <c r="W750" s="353"/>
      <c r="X750" s="353"/>
      <c r="Y750" s="353"/>
      <c r="Z750" s="353"/>
    </row>
    <row r="751" ht="12.0" customHeight="1">
      <c r="A751" s="353"/>
      <c r="B751" s="353"/>
      <c r="C751" s="353"/>
      <c r="D751" s="353"/>
      <c r="E751" s="353"/>
      <c r="F751" s="353"/>
      <c r="G751" s="353"/>
      <c r="H751" s="353"/>
      <c r="I751" s="353"/>
      <c r="J751" s="353"/>
      <c r="K751" s="353"/>
      <c r="L751" s="353"/>
      <c r="M751" s="353"/>
      <c r="N751" s="353"/>
      <c r="O751" s="353"/>
      <c r="P751" s="353"/>
      <c r="Q751" s="353"/>
      <c r="R751" s="353"/>
      <c r="S751" s="353"/>
      <c r="T751" s="353"/>
      <c r="U751" s="353"/>
      <c r="V751" s="353"/>
      <c r="W751" s="353"/>
      <c r="X751" s="353"/>
      <c r="Y751" s="353"/>
      <c r="Z751" s="353"/>
    </row>
    <row r="752" ht="12.0" customHeight="1">
      <c r="A752" s="353"/>
      <c r="B752" s="353"/>
      <c r="C752" s="353"/>
      <c r="D752" s="353"/>
      <c r="E752" s="353"/>
      <c r="F752" s="353"/>
      <c r="G752" s="353"/>
      <c r="H752" s="353"/>
      <c r="I752" s="353"/>
      <c r="J752" s="353"/>
      <c r="K752" s="353"/>
      <c r="L752" s="353"/>
      <c r="M752" s="353"/>
      <c r="N752" s="353"/>
      <c r="O752" s="353"/>
      <c r="P752" s="353"/>
      <c r="Q752" s="353"/>
      <c r="R752" s="353"/>
      <c r="S752" s="353"/>
      <c r="T752" s="353"/>
      <c r="U752" s="353"/>
      <c r="V752" s="353"/>
      <c r="W752" s="353"/>
      <c r="X752" s="353"/>
      <c r="Y752" s="353"/>
      <c r="Z752" s="353"/>
    </row>
    <row r="753" ht="12.0" customHeight="1">
      <c r="A753" s="353"/>
      <c r="B753" s="353"/>
      <c r="C753" s="353"/>
      <c r="D753" s="353"/>
      <c r="E753" s="353"/>
      <c r="F753" s="353"/>
      <c r="G753" s="353"/>
      <c r="H753" s="353"/>
      <c r="I753" s="353"/>
      <c r="J753" s="353"/>
      <c r="K753" s="353"/>
      <c r="L753" s="353"/>
      <c r="M753" s="353"/>
      <c r="N753" s="353"/>
      <c r="O753" s="353"/>
      <c r="P753" s="353"/>
      <c r="Q753" s="353"/>
      <c r="R753" s="353"/>
      <c r="S753" s="353"/>
      <c r="T753" s="353"/>
      <c r="U753" s="353"/>
      <c r="V753" s="353"/>
      <c r="W753" s="353"/>
      <c r="X753" s="353"/>
      <c r="Y753" s="353"/>
      <c r="Z753" s="353"/>
    </row>
    <row r="754" ht="12.0" customHeight="1">
      <c r="A754" s="353"/>
      <c r="B754" s="353"/>
      <c r="C754" s="353"/>
      <c r="D754" s="353"/>
      <c r="E754" s="353"/>
      <c r="F754" s="353"/>
      <c r="G754" s="353"/>
      <c r="H754" s="353"/>
      <c r="I754" s="353"/>
      <c r="J754" s="353"/>
      <c r="K754" s="353"/>
      <c r="L754" s="353"/>
      <c r="M754" s="353"/>
      <c r="N754" s="353"/>
      <c r="O754" s="353"/>
      <c r="P754" s="353"/>
      <c r="Q754" s="353"/>
      <c r="R754" s="353"/>
      <c r="S754" s="353"/>
      <c r="T754" s="353"/>
      <c r="U754" s="353"/>
      <c r="V754" s="353"/>
      <c r="W754" s="353"/>
      <c r="X754" s="353"/>
      <c r="Y754" s="353"/>
      <c r="Z754" s="353"/>
    </row>
    <row r="755" ht="12.0" customHeight="1">
      <c r="A755" s="353"/>
      <c r="B755" s="353"/>
      <c r="C755" s="353"/>
      <c r="D755" s="353"/>
      <c r="E755" s="353"/>
      <c r="F755" s="353"/>
      <c r="G755" s="353"/>
      <c r="H755" s="353"/>
      <c r="I755" s="353"/>
      <c r="J755" s="353"/>
      <c r="K755" s="353"/>
      <c r="L755" s="353"/>
      <c r="M755" s="353"/>
      <c r="N755" s="353"/>
      <c r="O755" s="353"/>
      <c r="P755" s="353"/>
      <c r="Q755" s="353"/>
      <c r="R755" s="353"/>
      <c r="S755" s="353"/>
      <c r="T755" s="353"/>
      <c r="U755" s="353"/>
      <c r="V755" s="353"/>
      <c r="W755" s="353"/>
      <c r="X755" s="353"/>
      <c r="Y755" s="353"/>
      <c r="Z755" s="353"/>
    </row>
    <row r="756" ht="12.0" customHeight="1">
      <c r="A756" s="353"/>
      <c r="B756" s="353"/>
      <c r="C756" s="353"/>
      <c r="D756" s="353"/>
      <c r="E756" s="353"/>
      <c r="F756" s="353"/>
      <c r="G756" s="353"/>
      <c r="H756" s="353"/>
      <c r="I756" s="353"/>
      <c r="J756" s="353"/>
      <c r="K756" s="353"/>
      <c r="L756" s="353"/>
      <c r="M756" s="353"/>
      <c r="N756" s="353"/>
      <c r="O756" s="353"/>
      <c r="P756" s="353"/>
      <c r="Q756" s="353"/>
      <c r="R756" s="353"/>
      <c r="S756" s="353"/>
      <c r="T756" s="353"/>
      <c r="U756" s="353"/>
      <c r="V756" s="353"/>
      <c r="W756" s="353"/>
      <c r="X756" s="353"/>
      <c r="Y756" s="353"/>
      <c r="Z756" s="353"/>
    </row>
    <row r="757" ht="12.0" customHeight="1">
      <c r="A757" s="353"/>
      <c r="B757" s="353"/>
      <c r="C757" s="353"/>
      <c r="D757" s="353"/>
      <c r="E757" s="353"/>
      <c r="F757" s="353"/>
      <c r="G757" s="353"/>
      <c r="H757" s="353"/>
      <c r="I757" s="353"/>
      <c r="J757" s="353"/>
      <c r="K757" s="353"/>
      <c r="L757" s="353"/>
      <c r="M757" s="353"/>
      <c r="N757" s="353"/>
      <c r="O757" s="353"/>
      <c r="P757" s="353"/>
      <c r="Q757" s="353"/>
      <c r="R757" s="353"/>
      <c r="S757" s="353"/>
      <c r="T757" s="353"/>
      <c r="U757" s="353"/>
      <c r="V757" s="353"/>
      <c r="W757" s="353"/>
      <c r="X757" s="353"/>
      <c r="Y757" s="353"/>
      <c r="Z757" s="353"/>
    </row>
    <row r="758" ht="12.0" customHeight="1">
      <c r="A758" s="353"/>
      <c r="B758" s="353"/>
      <c r="C758" s="353"/>
      <c r="D758" s="353"/>
      <c r="E758" s="353"/>
      <c r="F758" s="353"/>
      <c r="G758" s="353"/>
      <c r="H758" s="353"/>
      <c r="I758" s="353"/>
      <c r="J758" s="353"/>
      <c r="K758" s="353"/>
      <c r="L758" s="353"/>
      <c r="M758" s="353"/>
      <c r="N758" s="353"/>
      <c r="O758" s="353"/>
      <c r="P758" s="353"/>
      <c r="Q758" s="353"/>
      <c r="R758" s="353"/>
      <c r="S758" s="353"/>
      <c r="T758" s="353"/>
      <c r="U758" s="353"/>
      <c r="V758" s="353"/>
      <c r="W758" s="353"/>
      <c r="X758" s="353"/>
      <c r="Y758" s="353"/>
      <c r="Z758" s="353"/>
    </row>
    <row r="759" ht="12.0" customHeight="1">
      <c r="A759" s="353"/>
      <c r="B759" s="353"/>
      <c r="C759" s="353"/>
      <c r="D759" s="353"/>
      <c r="E759" s="353"/>
      <c r="F759" s="353"/>
      <c r="G759" s="353"/>
      <c r="H759" s="353"/>
      <c r="I759" s="353"/>
      <c r="J759" s="353"/>
      <c r="K759" s="353"/>
      <c r="L759" s="353"/>
      <c r="M759" s="353"/>
      <c r="N759" s="353"/>
      <c r="O759" s="353"/>
      <c r="P759" s="353"/>
      <c r="Q759" s="353"/>
      <c r="R759" s="353"/>
      <c r="S759" s="353"/>
      <c r="T759" s="353"/>
      <c r="U759" s="353"/>
      <c r="V759" s="353"/>
      <c r="W759" s="353"/>
      <c r="X759" s="353"/>
      <c r="Y759" s="353"/>
      <c r="Z759" s="353"/>
    </row>
    <row r="760" ht="12.0" customHeight="1">
      <c r="A760" s="353"/>
      <c r="B760" s="353"/>
      <c r="C760" s="353"/>
      <c r="D760" s="353"/>
      <c r="E760" s="353"/>
      <c r="F760" s="353"/>
      <c r="G760" s="353"/>
      <c r="H760" s="353"/>
      <c r="I760" s="353"/>
      <c r="J760" s="353"/>
      <c r="K760" s="353"/>
      <c r="L760" s="353"/>
      <c r="M760" s="353"/>
      <c r="N760" s="353"/>
      <c r="O760" s="353"/>
      <c r="P760" s="353"/>
      <c r="Q760" s="353"/>
      <c r="R760" s="353"/>
      <c r="S760" s="353"/>
      <c r="T760" s="353"/>
      <c r="U760" s="353"/>
      <c r="V760" s="353"/>
      <c r="W760" s="353"/>
      <c r="X760" s="353"/>
      <c r="Y760" s="353"/>
      <c r="Z760" s="353"/>
    </row>
    <row r="761" ht="12.0" customHeight="1">
      <c r="A761" s="353"/>
      <c r="B761" s="353"/>
      <c r="C761" s="353"/>
      <c r="D761" s="353"/>
      <c r="E761" s="353"/>
      <c r="F761" s="353"/>
      <c r="G761" s="353"/>
      <c r="H761" s="353"/>
      <c r="I761" s="353"/>
      <c r="J761" s="353"/>
      <c r="K761" s="353"/>
      <c r="L761" s="353"/>
      <c r="M761" s="353"/>
      <c r="N761" s="353"/>
      <c r="O761" s="353"/>
      <c r="P761" s="353"/>
      <c r="Q761" s="353"/>
      <c r="R761" s="353"/>
      <c r="S761" s="353"/>
      <c r="T761" s="353"/>
      <c r="U761" s="353"/>
      <c r="V761" s="353"/>
      <c r="W761" s="353"/>
      <c r="X761" s="353"/>
      <c r="Y761" s="353"/>
      <c r="Z761" s="353"/>
    </row>
    <row r="762" ht="12.0" customHeight="1">
      <c r="A762" s="353"/>
      <c r="B762" s="353"/>
      <c r="C762" s="353"/>
      <c r="D762" s="353"/>
      <c r="E762" s="353"/>
      <c r="F762" s="353"/>
      <c r="G762" s="353"/>
      <c r="H762" s="353"/>
      <c r="I762" s="353"/>
      <c r="J762" s="353"/>
      <c r="K762" s="353"/>
      <c r="L762" s="353"/>
      <c r="M762" s="353"/>
      <c r="N762" s="353"/>
      <c r="O762" s="353"/>
      <c r="P762" s="353"/>
      <c r="Q762" s="353"/>
      <c r="R762" s="353"/>
      <c r="S762" s="353"/>
      <c r="T762" s="353"/>
      <c r="U762" s="353"/>
      <c r="V762" s="353"/>
      <c r="W762" s="353"/>
      <c r="X762" s="353"/>
      <c r="Y762" s="353"/>
      <c r="Z762" s="353"/>
    </row>
    <row r="763" ht="12.0" customHeight="1">
      <c r="A763" s="353"/>
      <c r="B763" s="353"/>
      <c r="C763" s="353"/>
      <c r="D763" s="353"/>
      <c r="E763" s="353"/>
      <c r="F763" s="353"/>
      <c r="G763" s="353"/>
      <c r="H763" s="353"/>
      <c r="I763" s="353"/>
      <c r="J763" s="353"/>
      <c r="K763" s="353"/>
      <c r="L763" s="353"/>
      <c r="M763" s="353"/>
      <c r="N763" s="353"/>
      <c r="O763" s="353"/>
      <c r="P763" s="353"/>
      <c r="Q763" s="353"/>
      <c r="R763" s="353"/>
      <c r="S763" s="353"/>
      <c r="T763" s="353"/>
      <c r="U763" s="353"/>
      <c r="V763" s="353"/>
      <c r="W763" s="353"/>
      <c r="X763" s="353"/>
      <c r="Y763" s="353"/>
      <c r="Z763" s="353"/>
    </row>
    <row r="764" ht="12.0" customHeight="1">
      <c r="A764" s="353"/>
      <c r="B764" s="353"/>
      <c r="C764" s="353"/>
      <c r="D764" s="353"/>
      <c r="E764" s="353"/>
      <c r="F764" s="353"/>
      <c r="G764" s="353"/>
      <c r="H764" s="353"/>
      <c r="I764" s="353"/>
      <c r="J764" s="353"/>
      <c r="K764" s="353"/>
      <c r="L764" s="353"/>
      <c r="M764" s="353"/>
      <c r="N764" s="353"/>
      <c r="O764" s="353"/>
      <c r="P764" s="353"/>
      <c r="Q764" s="353"/>
      <c r="R764" s="353"/>
      <c r="S764" s="353"/>
      <c r="T764" s="353"/>
      <c r="U764" s="353"/>
      <c r="V764" s="353"/>
      <c r="W764" s="353"/>
      <c r="X764" s="353"/>
      <c r="Y764" s="353"/>
      <c r="Z764" s="353"/>
    </row>
    <row r="765" ht="12.0" customHeight="1">
      <c r="A765" s="353"/>
      <c r="B765" s="353"/>
      <c r="C765" s="353"/>
      <c r="D765" s="353"/>
      <c r="E765" s="353"/>
      <c r="F765" s="353"/>
      <c r="G765" s="353"/>
      <c r="H765" s="353"/>
      <c r="I765" s="353"/>
      <c r="J765" s="353"/>
      <c r="K765" s="353"/>
      <c r="L765" s="353"/>
      <c r="M765" s="353"/>
      <c r="N765" s="353"/>
      <c r="O765" s="353"/>
      <c r="P765" s="353"/>
      <c r="Q765" s="353"/>
      <c r="R765" s="353"/>
      <c r="S765" s="353"/>
      <c r="T765" s="353"/>
      <c r="U765" s="353"/>
      <c r="V765" s="353"/>
      <c r="W765" s="353"/>
      <c r="X765" s="353"/>
      <c r="Y765" s="353"/>
      <c r="Z765" s="353"/>
    </row>
    <row r="766" ht="12.0" customHeight="1">
      <c r="A766" s="353"/>
      <c r="B766" s="353"/>
      <c r="C766" s="353"/>
      <c r="D766" s="353"/>
      <c r="E766" s="353"/>
      <c r="F766" s="353"/>
      <c r="G766" s="353"/>
      <c r="H766" s="353"/>
      <c r="I766" s="353"/>
      <c r="J766" s="353"/>
      <c r="K766" s="353"/>
      <c r="L766" s="353"/>
      <c r="M766" s="353"/>
      <c r="N766" s="353"/>
      <c r="O766" s="353"/>
      <c r="P766" s="353"/>
      <c r="Q766" s="353"/>
      <c r="R766" s="353"/>
      <c r="S766" s="353"/>
      <c r="T766" s="353"/>
      <c r="U766" s="353"/>
      <c r="V766" s="353"/>
      <c r="W766" s="353"/>
      <c r="X766" s="353"/>
      <c r="Y766" s="353"/>
      <c r="Z766" s="353"/>
    </row>
    <row r="767" ht="12.0" customHeight="1">
      <c r="A767" s="353"/>
      <c r="B767" s="353"/>
      <c r="C767" s="353"/>
      <c r="D767" s="353"/>
      <c r="E767" s="353"/>
      <c r="F767" s="353"/>
      <c r="G767" s="353"/>
      <c r="H767" s="353"/>
      <c r="I767" s="353"/>
      <c r="J767" s="353"/>
      <c r="K767" s="353"/>
      <c r="L767" s="353"/>
      <c r="M767" s="353"/>
      <c r="N767" s="353"/>
      <c r="O767" s="353"/>
      <c r="P767" s="353"/>
      <c r="Q767" s="353"/>
      <c r="R767" s="353"/>
      <c r="S767" s="353"/>
      <c r="T767" s="353"/>
      <c r="U767" s="353"/>
      <c r="V767" s="353"/>
      <c r="W767" s="353"/>
      <c r="X767" s="353"/>
      <c r="Y767" s="353"/>
      <c r="Z767" s="353"/>
    </row>
    <row r="768" ht="12.0" customHeight="1">
      <c r="A768" s="353"/>
      <c r="B768" s="353"/>
      <c r="C768" s="353"/>
      <c r="D768" s="353"/>
      <c r="E768" s="353"/>
      <c r="F768" s="353"/>
      <c r="G768" s="353"/>
      <c r="H768" s="353"/>
      <c r="I768" s="353"/>
      <c r="J768" s="353"/>
      <c r="K768" s="353"/>
      <c r="L768" s="353"/>
      <c r="M768" s="353"/>
      <c r="N768" s="353"/>
      <c r="O768" s="353"/>
      <c r="P768" s="353"/>
      <c r="Q768" s="353"/>
      <c r="R768" s="353"/>
      <c r="S768" s="353"/>
      <c r="T768" s="353"/>
      <c r="U768" s="353"/>
      <c r="V768" s="353"/>
      <c r="W768" s="353"/>
      <c r="X768" s="353"/>
      <c r="Y768" s="353"/>
      <c r="Z768" s="353"/>
    </row>
    <row r="769" ht="12.0" customHeight="1">
      <c r="A769" s="353"/>
      <c r="B769" s="353"/>
      <c r="C769" s="353"/>
      <c r="D769" s="353"/>
      <c r="E769" s="353"/>
      <c r="F769" s="353"/>
      <c r="G769" s="353"/>
      <c r="H769" s="353"/>
      <c r="I769" s="353"/>
      <c r="J769" s="353"/>
      <c r="K769" s="353"/>
      <c r="L769" s="353"/>
      <c r="M769" s="353"/>
      <c r="N769" s="353"/>
      <c r="O769" s="353"/>
      <c r="P769" s="353"/>
      <c r="Q769" s="353"/>
      <c r="R769" s="353"/>
      <c r="S769" s="353"/>
      <c r="T769" s="353"/>
      <c r="U769" s="353"/>
      <c r="V769" s="353"/>
      <c r="W769" s="353"/>
      <c r="X769" s="353"/>
      <c r="Y769" s="353"/>
      <c r="Z769" s="353"/>
    </row>
    <row r="770" ht="12.0" customHeight="1">
      <c r="A770" s="353"/>
      <c r="B770" s="353"/>
      <c r="C770" s="353"/>
      <c r="D770" s="353"/>
      <c r="E770" s="353"/>
      <c r="F770" s="353"/>
      <c r="G770" s="353"/>
      <c r="H770" s="353"/>
      <c r="I770" s="353"/>
      <c r="J770" s="353"/>
      <c r="K770" s="353"/>
      <c r="L770" s="353"/>
      <c r="M770" s="353"/>
      <c r="N770" s="353"/>
      <c r="O770" s="353"/>
      <c r="P770" s="353"/>
      <c r="Q770" s="353"/>
      <c r="R770" s="353"/>
      <c r="S770" s="353"/>
      <c r="T770" s="353"/>
      <c r="U770" s="353"/>
      <c r="V770" s="353"/>
      <c r="W770" s="353"/>
      <c r="X770" s="353"/>
      <c r="Y770" s="353"/>
      <c r="Z770" s="353"/>
    </row>
    <row r="771" ht="12.0" customHeight="1">
      <c r="A771" s="353"/>
      <c r="B771" s="353"/>
      <c r="C771" s="353"/>
      <c r="D771" s="353"/>
      <c r="E771" s="353"/>
      <c r="F771" s="353"/>
      <c r="G771" s="353"/>
      <c r="H771" s="353"/>
      <c r="I771" s="353"/>
      <c r="J771" s="353"/>
      <c r="K771" s="353"/>
      <c r="L771" s="353"/>
      <c r="M771" s="353"/>
      <c r="N771" s="353"/>
      <c r="O771" s="353"/>
      <c r="P771" s="353"/>
      <c r="Q771" s="353"/>
      <c r="R771" s="353"/>
      <c r="S771" s="353"/>
      <c r="T771" s="353"/>
      <c r="U771" s="353"/>
      <c r="V771" s="353"/>
      <c r="W771" s="353"/>
      <c r="X771" s="353"/>
      <c r="Y771" s="353"/>
      <c r="Z771" s="353"/>
    </row>
    <row r="772" ht="12.0" customHeight="1">
      <c r="A772" s="353"/>
      <c r="B772" s="353"/>
      <c r="C772" s="353"/>
      <c r="D772" s="353"/>
      <c r="E772" s="353"/>
      <c r="F772" s="353"/>
      <c r="G772" s="353"/>
      <c r="H772" s="353"/>
      <c r="I772" s="353"/>
      <c r="J772" s="353"/>
      <c r="K772" s="353"/>
      <c r="L772" s="353"/>
      <c r="M772" s="353"/>
      <c r="N772" s="353"/>
      <c r="O772" s="353"/>
      <c r="P772" s="353"/>
      <c r="Q772" s="353"/>
      <c r="R772" s="353"/>
      <c r="S772" s="353"/>
      <c r="T772" s="353"/>
      <c r="U772" s="353"/>
      <c r="V772" s="353"/>
      <c r="W772" s="353"/>
      <c r="X772" s="353"/>
      <c r="Y772" s="353"/>
      <c r="Z772" s="353"/>
    </row>
    <row r="773" ht="12.0" customHeight="1">
      <c r="A773" s="353"/>
      <c r="B773" s="353"/>
      <c r="C773" s="353"/>
      <c r="D773" s="353"/>
      <c r="E773" s="353"/>
      <c r="F773" s="353"/>
      <c r="G773" s="353"/>
      <c r="H773" s="353"/>
      <c r="I773" s="353"/>
      <c r="J773" s="353"/>
      <c r="K773" s="353"/>
      <c r="L773" s="353"/>
      <c r="M773" s="353"/>
      <c r="N773" s="353"/>
      <c r="O773" s="353"/>
      <c r="P773" s="353"/>
      <c r="Q773" s="353"/>
      <c r="R773" s="353"/>
      <c r="S773" s="353"/>
      <c r="T773" s="353"/>
      <c r="U773" s="353"/>
      <c r="V773" s="353"/>
      <c r="W773" s="353"/>
      <c r="X773" s="353"/>
      <c r="Y773" s="353"/>
      <c r="Z773" s="353"/>
    </row>
    <row r="774" ht="12.0" customHeight="1">
      <c r="A774" s="353"/>
      <c r="B774" s="353"/>
      <c r="C774" s="353"/>
      <c r="D774" s="353"/>
      <c r="E774" s="353"/>
      <c r="F774" s="353"/>
      <c r="G774" s="353"/>
      <c r="H774" s="353"/>
      <c r="I774" s="353"/>
      <c r="J774" s="353"/>
      <c r="K774" s="353"/>
      <c r="L774" s="353"/>
      <c r="M774" s="353"/>
      <c r="N774" s="353"/>
      <c r="O774" s="353"/>
      <c r="P774" s="353"/>
      <c r="Q774" s="353"/>
      <c r="R774" s="353"/>
      <c r="S774" s="353"/>
      <c r="T774" s="353"/>
      <c r="U774" s="353"/>
      <c r="V774" s="353"/>
      <c r="W774" s="353"/>
      <c r="X774" s="353"/>
      <c r="Y774" s="353"/>
      <c r="Z774" s="353"/>
    </row>
    <row r="775" ht="12.0" customHeight="1">
      <c r="A775" s="353"/>
      <c r="B775" s="353"/>
      <c r="C775" s="353"/>
      <c r="D775" s="353"/>
      <c r="E775" s="353"/>
      <c r="F775" s="353"/>
      <c r="G775" s="353"/>
      <c r="H775" s="353"/>
      <c r="I775" s="353"/>
      <c r="J775" s="353"/>
      <c r="K775" s="353"/>
      <c r="L775" s="353"/>
      <c r="M775" s="353"/>
      <c r="N775" s="353"/>
      <c r="O775" s="353"/>
      <c r="P775" s="353"/>
      <c r="Q775" s="353"/>
      <c r="R775" s="353"/>
      <c r="S775" s="353"/>
      <c r="T775" s="353"/>
      <c r="U775" s="353"/>
      <c r="V775" s="353"/>
      <c r="W775" s="353"/>
      <c r="X775" s="353"/>
      <c r="Y775" s="353"/>
      <c r="Z775" s="353"/>
    </row>
    <row r="776" ht="12.0" customHeight="1">
      <c r="A776" s="353"/>
      <c r="B776" s="353"/>
      <c r="C776" s="353"/>
      <c r="D776" s="353"/>
      <c r="E776" s="353"/>
      <c r="F776" s="353"/>
      <c r="G776" s="353"/>
      <c r="H776" s="353"/>
      <c r="I776" s="353"/>
      <c r="J776" s="353"/>
      <c r="K776" s="353"/>
      <c r="L776" s="353"/>
      <c r="M776" s="353"/>
      <c r="N776" s="353"/>
      <c r="O776" s="353"/>
      <c r="P776" s="353"/>
      <c r="Q776" s="353"/>
      <c r="R776" s="353"/>
      <c r="S776" s="353"/>
      <c r="T776" s="353"/>
      <c r="U776" s="353"/>
      <c r="V776" s="353"/>
      <c r="W776" s="353"/>
      <c r="X776" s="353"/>
      <c r="Y776" s="353"/>
      <c r="Z776" s="353"/>
    </row>
    <row r="777" ht="12.0" customHeight="1">
      <c r="A777" s="353"/>
      <c r="B777" s="353"/>
      <c r="C777" s="353"/>
      <c r="D777" s="353"/>
      <c r="E777" s="353"/>
      <c r="F777" s="353"/>
      <c r="G777" s="353"/>
      <c r="H777" s="353"/>
      <c r="I777" s="353"/>
      <c r="J777" s="353"/>
      <c r="K777" s="353"/>
      <c r="L777" s="353"/>
      <c r="M777" s="353"/>
      <c r="N777" s="353"/>
      <c r="O777" s="353"/>
      <c r="P777" s="353"/>
      <c r="Q777" s="353"/>
      <c r="R777" s="353"/>
      <c r="S777" s="353"/>
      <c r="T777" s="353"/>
      <c r="U777" s="353"/>
      <c r="V777" s="353"/>
      <c r="W777" s="353"/>
      <c r="X777" s="353"/>
      <c r="Y777" s="353"/>
      <c r="Z777" s="353"/>
    </row>
    <row r="778" ht="12.0" customHeight="1">
      <c r="A778" s="353"/>
      <c r="B778" s="353"/>
      <c r="C778" s="353"/>
      <c r="D778" s="353"/>
      <c r="E778" s="353"/>
      <c r="F778" s="353"/>
      <c r="G778" s="353"/>
      <c r="H778" s="353"/>
      <c r="I778" s="353"/>
      <c r="J778" s="353"/>
      <c r="K778" s="353"/>
      <c r="L778" s="353"/>
      <c r="M778" s="353"/>
      <c r="N778" s="353"/>
      <c r="O778" s="353"/>
      <c r="P778" s="353"/>
      <c r="Q778" s="353"/>
      <c r="R778" s="353"/>
      <c r="S778" s="353"/>
      <c r="T778" s="353"/>
      <c r="U778" s="353"/>
      <c r="V778" s="353"/>
      <c r="W778" s="353"/>
      <c r="X778" s="353"/>
      <c r="Y778" s="353"/>
      <c r="Z778" s="353"/>
    </row>
    <row r="779" ht="12.0" customHeight="1">
      <c r="A779" s="353"/>
      <c r="B779" s="353"/>
      <c r="C779" s="353"/>
      <c r="D779" s="353"/>
      <c r="E779" s="353"/>
      <c r="F779" s="353"/>
      <c r="G779" s="353"/>
      <c r="H779" s="353"/>
      <c r="I779" s="353"/>
      <c r="J779" s="353"/>
      <c r="K779" s="353"/>
      <c r="L779" s="353"/>
      <c r="M779" s="353"/>
      <c r="N779" s="353"/>
      <c r="O779" s="353"/>
      <c r="P779" s="353"/>
      <c r="Q779" s="353"/>
      <c r="R779" s="353"/>
      <c r="S779" s="353"/>
      <c r="T779" s="353"/>
      <c r="U779" s="353"/>
      <c r="V779" s="353"/>
      <c r="W779" s="353"/>
      <c r="X779" s="353"/>
      <c r="Y779" s="353"/>
      <c r="Z779" s="353"/>
    </row>
    <row r="780" ht="12.0" customHeight="1">
      <c r="A780" s="353"/>
      <c r="B780" s="353"/>
      <c r="C780" s="353"/>
      <c r="D780" s="353"/>
      <c r="E780" s="353"/>
      <c r="F780" s="353"/>
      <c r="G780" s="353"/>
      <c r="H780" s="353"/>
      <c r="I780" s="353"/>
      <c r="J780" s="353"/>
      <c r="K780" s="353"/>
      <c r="L780" s="353"/>
      <c r="M780" s="353"/>
      <c r="N780" s="353"/>
      <c r="O780" s="353"/>
      <c r="P780" s="353"/>
      <c r="Q780" s="353"/>
      <c r="R780" s="353"/>
      <c r="S780" s="353"/>
      <c r="T780" s="353"/>
      <c r="U780" s="353"/>
      <c r="V780" s="353"/>
      <c r="W780" s="353"/>
      <c r="X780" s="353"/>
      <c r="Y780" s="353"/>
      <c r="Z780" s="353"/>
    </row>
    <row r="781" ht="12.0" customHeight="1">
      <c r="A781" s="353"/>
      <c r="B781" s="353"/>
      <c r="C781" s="353"/>
      <c r="D781" s="353"/>
      <c r="E781" s="353"/>
      <c r="F781" s="353"/>
      <c r="G781" s="353"/>
      <c r="H781" s="353"/>
      <c r="I781" s="353"/>
      <c r="J781" s="353"/>
      <c r="K781" s="353"/>
      <c r="L781" s="353"/>
      <c r="M781" s="353"/>
      <c r="N781" s="353"/>
      <c r="O781" s="353"/>
      <c r="P781" s="353"/>
      <c r="Q781" s="353"/>
      <c r="R781" s="353"/>
      <c r="S781" s="353"/>
      <c r="T781" s="353"/>
      <c r="U781" s="353"/>
      <c r="V781" s="353"/>
      <c r="W781" s="353"/>
      <c r="X781" s="353"/>
      <c r="Y781" s="353"/>
      <c r="Z781" s="353"/>
    </row>
    <row r="782" ht="12.0" customHeight="1">
      <c r="A782" s="353"/>
      <c r="B782" s="353"/>
      <c r="C782" s="353"/>
      <c r="D782" s="353"/>
      <c r="E782" s="353"/>
      <c r="F782" s="353"/>
      <c r="G782" s="353"/>
      <c r="H782" s="353"/>
      <c r="I782" s="353"/>
      <c r="J782" s="353"/>
      <c r="K782" s="353"/>
      <c r="L782" s="353"/>
      <c r="M782" s="353"/>
      <c r="N782" s="353"/>
      <c r="O782" s="353"/>
      <c r="P782" s="353"/>
      <c r="Q782" s="353"/>
      <c r="R782" s="353"/>
      <c r="S782" s="353"/>
      <c r="T782" s="353"/>
      <c r="U782" s="353"/>
      <c r="V782" s="353"/>
      <c r="W782" s="353"/>
      <c r="X782" s="353"/>
      <c r="Y782" s="353"/>
      <c r="Z782" s="353"/>
    </row>
    <row r="783" ht="12.0" customHeight="1">
      <c r="A783" s="353"/>
      <c r="B783" s="353"/>
      <c r="C783" s="353"/>
      <c r="D783" s="353"/>
      <c r="E783" s="353"/>
      <c r="F783" s="353"/>
      <c r="G783" s="353"/>
      <c r="H783" s="353"/>
      <c r="I783" s="353"/>
      <c r="J783" s="353"/>
      <c r="K783" s="353"/>
      <c r="L783" s="353"/>
      <c r="M783" s="353"/>
      <c r="N783" s="353"/>
      <c r="O783" s="353"/>
      <c r="P783" s="353"/>
      <c r="Q783" s="353"/>
      <c r="R783" s="353"/>
      <c r="S783" s="353"/>
      <c r="T783" s="353"/>
      <c r="U783" s="353"/>
      <c r="V783" s="353"/>
      <c r="W783" s="353"/>
      <c r="X783" s="353"/>
      <c r="Y783" s="353"/>
      <c r="Z783" s="353"/>
    </row>
    <row r="784" ht="12.0" customHeight="1">
      <c r="A784" s="353"/>
      <c r="B784" s="353"/>
      <c r="C784" s="353"/>
      <c r="D784" s="353"/>
      <c r="E784" s="353"/>
      <c r="F784" s="353"/>
      <c r="G784" s="353"/>
      <c r="H784" s="353"/>
      <c r="I784" s="353"/>
      <c r="J784" s="353"/>
      <c r="K784" s="353"/>
      <c r="L784" s="353"/>
      <c r="M784" s="353"/>
      <c r="N784" s="353"/>
      <c r="O784" s="353"/>
      <c r="P784" s="353"/>
      <c r="Q784" s="353"/>
      <c r="R784" s="353"/>
      <c r="S784" s="353"/>
      <c r="T784" s="353"/>
      <c r="U784" s="353"/>
      <c r="V784" s="353"/>
      <c r="W784" s="353"/>
      <c r="X784" s="353"/>
      <c r="Y784" s="353"/>
      <c r="Z784" s="353"/>
    </row>
    <row r="785" ht="12.0" customHeight="1">
      <c r="A785" s="353"/>
      <c r="B785" s="353"/>
      <c r="C785" s="353"/>
      <c r="D785" s="353"/>
      <c r="E785" s="353"/>
      <c r="F785" s="353"/>
      <c r="G785" s="353"/>
      <c r="H785" s="353"/>
      <c r="I785" s="353"/>
      <c r="J785" s="353"/>
      <c r="K785" s="353"/>
      <c r="L785" s="353"/>
      <c r="M785" s="353"/>
      <c r="N785" s="353"/>
      <c r="O785" s="353"/>
      <c r="P785" s="353"/>
      <c r="Q785" s="353"/>
      <c r="R785" s="353"/>
      <c r="S785" s="353"/>
      <c r="T785" s="353"/>
      <c r="U785" s="353"/>
      <c r="V785" s="353"/>
      <c r="W785" s="353"/>
      <c r="X785" s="353"/>
      <c r="Y785" s="353"/>
      <c r="Z785" s="353"/>
    </row>
    <row r="786" ht="12.0" customHeight="1">
      <c r="A786" s="353"/>
      <c r="B786" s="353"/>
      <c r="C786" s="353"/>
      <c r="D786" s="353"/>
      <c r="E786" s="353"/>
      <c r="F786" s="353"/>
      <c r="G786" s="353"/>
      <c r="H786" s="353"/>
      <c r="I786" s="353"/>
      <c r="J786" s="353"/>
      <c r="K786" s="353"/>
      <c r="L786" s="353"/>
      <c r="M786" s="353"/>
      <c r="N786" s="353"/>
      <c r="O786" s="353"/>
      <c r="P786" s="353"/>
      <c r="Q786" s="353"/>
      <c r="R786" s="353"/>
      <c r="S786" s="353"/>
      <c r="T786" s="353"/>
      <c r="U786" s="353"/>
      <c r="V786" s="353"/>
      <c r="W786" s="353"/>
      <c r="X786" s="353"/>
      <c r="Y786" s="353"/>
      <c r="Z786" s="353"/>
    </row>
    <row r="787" ht="12.0" customHeight="1">
      <c r="A787" s="353"/>
      <c r="B787" s="353"/>
      <c r="C787" s="353"/>
      <c r="D787" s="353"/>
      <c r="E787" s="353"/>
      <c r="F787" s="353"/>
      <c r="G787" s="353"/>
      <c r="H787" s="353"/>
      <c r="I787" s="353"/>
      <c r="J787" s="353"/>
      <c r="K787" s="353"/>
      <c r="L787" s="353"/>
      <c r="M787" s="353"/>
      <c r="N787" s="353"/>
      <c r="O787" s="353"/>
      <c r="P787" s="353"/>
      <c r="Q787" s="353"/>
      <c r="R787" s="353"/>
      <c r="S787" s="353"/>
      <c r="T787" s="353"/>
      <c r="U787" s="353"/>
      <c r="V787" s="353"/>
      <c r="W787" s="353"/>
      <c r="X787" s="353"/>
      <c r="Y787" s="353"/>
      <c r="Z787" s="353"/>
    </row>
    <row r="788" ht="12.0" customHeight="1">
      <c r="A788" s="353"/>
      <c r="B788" s="353"/>
      <c r="C788" s="353"/>
      <c r="D788" s="353"/>
      <c r="E788" s="353"/>
      <c r="F788" s="353"/>
      <c r="G788" s="353"/>
      <c r="H788" s="353"/>
      <c r="I788" s="353"/>
      <c r="J788" s="353"/>
      <c r="K788" s="353"/>
      <c r="L788" s="353"/>
      <c r="M788" s="353"/>
      <c r="N788" s="353"/>
      <c r="O788" s="353"/>
      <c r="P788" s="353"/>
      <c r="Q788" s="353"/>
      <c r="R788" s="353"/>
      <c r="S788" s="353"/>
      <c r="T788" s="353"/>
      <c r="U788" s="353"/>
      <c r="V788" s="353"/>
      <c r="W788" s="353"/>
      <c r="X788" s="353"/>
      <c r="Y788" s="353"/>
      <c r="Z788" s="353"/>
    </row>
    <row r="789" ht="12.0" customHeight="1">
      <c r="A789" s="353"/>
      <c r="B789" s="353"/>
      <c r="C789" s="353"/>
      <c r="D789" s="353"/>
      <c r="E789" s="353"/>
      <c r="F789" s="353"/>
      <c r="G789" s="353"/>
      <c r="H789" s="353"/>
      <c r="I789" s="353"/>
      <c r="J789" s="353"/>
      <c r="K789" s="353"/>
      <c r="L789" s="353"/>
      <c r="M789" s="353"/>
      <c r="N789" s="353"/>
      <c r="O789" s="353"/>
      <c r="P789" s="353"/>
      <c r="Q789" s="353"/>
      <c r="R789" s="353"/>
      <c r="S789" s="353"/>
      <c r="T789" s="353"/>
      <c r="U789" s="353"/>
      <c r="V789" s="353"/>
      <c r="W789" s="353"/>
      <c r="X789" s="353"/>
      <c r="Y789" s="353"/>
      <c r="Z789" s="353"/>
    </row>
    <row r="790" ht="12.0" customHeight="1">
      <c r="A790" s="353"/>
      <c r="B790" s="353"/>
      <c r="C790" s="353"/>
      <c r="D790" s="353"/>
      <c r="E790" s="353"/>
      <c r="F790" s="353"/>
      <c r="G790" s="353"/>
      <c r="H790" s="353"/>
      <c r="I790" s="353"/>
      <c r="J790" s="353"/>
      <c r="K790" s="353"/>
      <c r="L790" s="353"/>
      <c r="M790" s="353"/>
      <c r="N790" s="353"/>
      <c r="O790" s="353"/>
      <c r="P790" s="353"/>
      <c r="Q790" s="353"/>
      <c r="R790" s="353"/>
      <c r="S790" s="353"/>
      <c r="T790" s="353"/>
      <c r="U790" s="353"/>
      <c r="V790" s="353"/>
      <c r="W790" s="353"/>
      <c r="X790" s="353"/>
      <c r="Y790" s="353"/>
      <c r="Z790" s="353"/>
    </row>
    <row r="791" ht="12.0" customHeight="1">
      <c r="A791" s="353"/>
      <c r="B791" s="353"/>
      <c r="C791" s="353"/>
      <c r="D791" s="353"/>
      <c r="E791" s="353"/>
      <c r="F791" s="353"/>
      <c r="G791" s="353"/>
      <c r="H791" s="353"/>
      <c r="I791" s="353"/>
      <c r="J791" s="353"/>
      <c r="K791" s="353"/>
      <c r="L791" s="353"/>
      <c r="M791" s="353"/>
      <c r="N791" s="353"/>
      <c r="O791" s="353"/>
      <c r="P791" s="353"/>
      <c r="Q791" s="353"/>
      <c r="R791" s="353"/>
      <c r="S791" s="353"/>
      <c r="T791" s="353"/>
      <c r="U791" s="353"/>
      <c r="V791" s="353"/>
      <c r="W791" s="353"/>
      <c r="X791" s="353"/>
      <c r="Y791" s="353"/>
      <c r="Z791" s="353"/>
    </row>
    <row r="792" ht="12.0" customHeight="1">
      <c r="A792" s="353"/>
      <c r="B792" s="353"/>
      <c r="C792" s="353"/>
      <c r="D792" s="353"/>
      <c r="E792" s="353"/>
      <c r="F792" s="353"/>
      <c r="G792" s="353"/>
      <c r="H792" s="353"/>
      <c r="I792" s="353"/>
      <c r="J792" s="353"/>
      <c r="K792" s="353"/>
      <c r="L792" s="353"/>
      <c r="M792" s="353"/>
      <c r="N792" s="353"/>
      <c r="O792" s="353"/>
      <c r="P792" s="353"/>
      <c r="Q792" s="353"/>
      <c r="R792" s="353"/>
      <c r="S792" s="353"/>
      <c r="T792" s="353"/>
      <c r="U792" s="353"/>
      <c r="V792" s="353"/>
      <c r="W792" s="353"/>
      <c r="X792" s="353"/>
      <c r="Y792" s="353"/>
      <c r="Z792" s="353"/>
    </row>
    <row r="793" ht="12.0" customHeight="1">
      <c r="A793" s="353"/>
      <c r="B793" s="353"/>
      <c r="C793" s="353"/>
      <c r="D793" s="353"/>
      <c r="E793" s="353"/>
      <c r="F793" s="353"/>
      <c r="G793" s="353"/>
      <c r="H793" s="353"/>
      <c r="I793" s="353"/>
      <c r="J793" s="353"/>
      <c r="K793" s="353"/>
      <c r="L793" s="353"/>
      <c r="M793" s="353"/>
      <c r="N793" s="353"/>
      <c r="O793" s="353"/>
      <c r="P793" s="353"/>
      <c r="Q793" s="353"/>
      <c r="R793" s="353"/>
      <c r="S793" s="353"/>
      <c r="T793" s="353"/>
      <c r="U793" s="353"/>
      <c r="V793" s="353"/>
      <c r="W793" s="353"/>
      <c r="X793" s="353"/>
      <c r="Y793" s="353"/>
      <c r="Z793" s="353"/>
    </row>
    <row r="794" ht="12.0" customHeight="1">
      <c r="A794" s="353"/>
      <c r="B794" s="353"/>
      <c r="C794" s="353"/>
      <c r="D794" s="353"/>
      <c r="E794" s="353"/>
      <c r="F794" s="353"/>
      <c r="G794" s="353"/>
      <c r="H794" s="353"/>
      <c r="I794" s="353"/>
      <c r="J794" s="353"/>
      <c r="K794" s="353"/>
      <c r="L794" s="353"/>
      <c r="M794" s="353"/>
      <c r="N794" s="353"/>
      <c r="O794" s="353"/>
      <c r="P794" s="353"/>
      <c r="Q794" s="353"/>
      <c r="R794" s="353"/>
      <c r="S794" s="353"/>
      <c r="T794" s="353"/>
      <c r="U794" s="353"/>
      <c r="V794" s="353"/>
      <c r="W794" s="353"/>
      <c r="X794" s="353"/>
      <c r="Y794" s="353"/>
      <c r="Z794" s="353"/>
    </row>
    <row r="795" ht="12.0" customHeight="1">
      <c r="A795" s="353"/>
      <c r="B795" s="353"/>
      <c r="C795" s="353"/>
      <c r="D795" s="353"/>
      <c r="E795" s="353"/>
      <c r="F795" s="353"/>
      <c r="G795" s="353"/>
      <c r="H795" s="353"/>
      <c r="I795" s="353"/>
      <c r="J795" s="353"/>
      <c r="K795" s="353"/>
      <c r="L795" s="353"/>
      <c r="M795" s="353"/>
      <c r="N795" s="353"/>
      <c r="O795" s="353"/>
      <c r="P795" s="353"/>
      <c r="Q795" s="353"/>
      <c r="R795" s="353"/>
      <c r="S795" s="353"/>
      <c r="T795" s="353"/>
      <c r="U795" s="353"/>
      <c r="V795" s="353"/>
      <c r="W795" s="353"/>
      <c r="X795" s="353"/>
      <c r="Y795" s="353"/>
      <c r="Z795" s="353"/>
    </row>
    <row r="796" ht="12.0" customHeight="1">
      <c r="A796" s="353"/>
      <c r="B796" s="353"/>
      <c r="C796" s="353"/>
      <c r="D796" s="353"/>
      <c r="E796" s="353"/>
      <c r="F796" s="353"/>
      <c r="G796" s="353"/>
      <c r="H796" s="353"/>
      <c r="I796" s="353"/>
      <c r="J796" s="353"/>
      <c r="K796" s="353"/>
      <c r="L796" s="353"/>
      <c r="M796" s="353"/>
      <c r="N796" s="353"/>
      <c r="O796" s="353"/>
      <c r="P796" s="353"/>
      <c r="Q796" s="353"/>
      <c r="R796" s="353"/>
      <c r="S796" s="353"/>
      <c r="T796" s="353"/>
      <c r="U796" s="353"/>
      <c r="V796" s="353"/>
      <c r="W796" s="353"/>
      <c r="X796" s="353"/>
      <c r="Y796" s="353"/>
      <c r="Z796" s="353"/>
    </row>
    <row r="797" ht="12.0" customHeight="1">
      <c r="A797" s="353"/>
      <c r="B797" s="353"/>
      <c r="C797" s="353"/>
      <c r="D797" s="353"/>
      <c r="E797" s="353"/>
      <c r="F797" s="353"/>
      <c r="G797" s="353"/>
      <c r="H797" s="353"/>
      <c r="I797" s="353"/>
      <c r="J797" s="353"/>
      <c r="K797" s="353"/>
      <c r="L797" s="353"/>
      <c r="M797" s="353"/>
      <c r="N797" s="353"/>
      <c r="O797" s="353"/>
      <c r="P797" s="353"/>
      <c r="Q797" s="353"/>
      <c r="R797" s="353"/>
      <c r="S797" s="353"/>
      <c r="T797" s="353"/>
      <c r="U797" s="353"/>
      <c r="V797" s="353"/>
      <c r="W797" s="353"/>
      <c r="X797" s="353"/>
      <c r="Y797" s="353"/>
      <c r="Z797" s="353"/>
    </row>
    <row r="798" ht="12.0" customHeight="1">
      <c r="A798" s="353"/>
      <c r="B798" s="353"/>
      <c r="C798" s="353"/>
      <c r="D798" s="353"/>
      <c r="E798" s="353"/>
      <c r="F798" s="353"/>
      <c r="G798" s="353"/>
      <c r="H798" s="353"/>
      <c r="I798" s="353"/>
      <c r="J798" s="353"/>
      <c r="K798" s="353"/>
      <c r="L798" s="353"/>
      <c r="M798" s="353"/>
      <c r="N798" s="353"/>
      <c r="O798" s="353"/>
      <c r="P798" s="353"/>
      <c r="Q798" s="353"/>
      <c r="R798" s="353"/>
      <c r="S798" s="353"/>
      <c r="T798" s="353"/>
      <c r="U798" s="353"/>
      <c r="V798" s="353"/>
      <c r="W798" s="353"/>
      <c r="X798" s="353"/>
      <c r="Y798" s="353"/>
      <c r="Z798" s="353"/>
    </row>
    <row r="799" ht="12.0" customHeight="1">
      <c r="A799" s="353"/>
      <c r="B799" s="353"/>
      <c r="C799" s="353"/>
      <c r="D799" s="353"/>
      <c r="E799" s="353"/>
      <c r="F799" s="353"/>
      <c r="G799" s="353"/>
      <c r="H799" s="353"/>
      <c r="I799" s="353"/>
      <c r="J799" s="353"/>
      <c r="K799" s="353"/>
      <c r="L799" s="353"/>
      <c r="M799" s="353"/>
      <c r="N799" s="353"/>
      <c r="O799" s="353"/>
      <c r="P799" s="353"/>
      <c r="Q799" s="353"/>
      <c r="R799" s="353"/>
      <c r="S799" s="353"/>
      <c r="T799" s="353"/>
      <c r="U799" s="353"/>
      <c r="V799" s="353"/>
      <c r="W799" s="353"/>
      <c r="X799" s="353"/>
      <c r="Y799" s="353"/>
      <c r="Z799" s="353"/>
    </row>
    <row r="800" ht="12.0" customHeight="1">
      <c r="A800" s="353"/>
      <c r="B800" s="353"/>
      <c r="C800" s="353"/>
      <c r="D800" s="353"/>
      <c r="E800" s="353"/>
      <c r="F800" s="353"/>
      <c r="G800" s="353"/>
      <c r="H800" s="353"/>
      <c r="I800" s="353"/>
      <c r="J800" s="353"/>
      <c r="K800" s="353"/>
      <c r="L800" s="353"/>
      <c r="M800" s="353"/>
      <c r="N800" s="353"/>
      <c r="O800" s="353"/>
      <c r="P800" s="353"/>
      <c r="Q800" s="353"/>
      <c r="R800" s="353"/>
      <c r="S800" s="353"/>
      <c r="T800" s="353"/>
      <c r="U800" s="353"/>
      <c r="V800" s="353"/>
      <c r="W800" s="353"/>
      <c r="X800" s="353"/>
      <c r="Y800" s="353"/>
      <c r="Z800" s="353"/>
    </row>
    <row r="801" ht="12.0" customHeight="1">
      <c r="A801" s="353"/>
      <c r="B801" s="353"/>
      <c r="C801" s="353"/>
      <c r="D801" s="353"/>
      <c r="E801" s="353"/>
      <c r="F801" s="353"/>
      <c r="G801" s="353"/>
      <c r="H801" s="353"/>
      <c r="I801" s="353"/>
      <c r="J801" s="353"/>
      <c r="K801" s="353"/>
      <c r="L801" s="353"/>
      <c r="M801" s="353"/>
      <c r="N801" s="353"/>
      <c r="O801" s="353"/>
      <c r="P801" s="353"/>
      <c r="Q801" s="353"/>
      <c r="R801" s="353"/>
      <c r="S801" s="353"/>
      <c r="T801" s="353"/>
      <c r="U801" s="353"/>
      <c r="V801" s="353"/>
      <c r="W801" s="353"/>
      <c r="X801" s="353"/>
      <c r="Y801" s="353"/>
      <c r="Z801" s="353"/>
    </row>
    <row r="802" ht="12.0" customHeight="1">
      <c r="A802" s="353"/>
      <c r="B802" s="353"/>
      <c r="C802" s="353"/>
      <c r="D802" s="353"/>
      <c r="E802" s="353"/>
      <c r="F802" s="353"/>
      <c r="G802" s="353"/>
      <c r="H802" s="353"/>
      <c r="I802" s="353"/>
      <c r="J802" s="353"/>
      <c r="K802" s="353"/>
      <c r="L802" s="353"/>
      <c r="M802" s="353"/>
      <c r="N802" s="353"/>
      <c r="O802" s="353"/>
      <c r="P802" s="353"/>
      <c r="Q802" s="353"/>
      <c r="R802" s="353"/>
      <c r="S802" s="353"/>
      <c r="T802" s="353"/>
      <c r="U802" s="353"/>
      <c r="V802" s="353"/>
      <c r="W802" s="353"/>
      <c r="X802" s="353"/>
      <c r="Y802" s="353"/>
      <c r="Z802" s="353"/>
    </row>
    <row r="803" ht="12.0" customHeight="1">
      <c r="A803" s="353"/>
      <c r="B803" s="353"/>
      <c r="C803" s="353"/>
      <c r="D803" s="353"/>
      <c r="E803" s="353"/>
      <c r="F803" s="353"/>
      <c r="G803" s="353"/>
      <c r="H803" s="353"/>
      <c r="I803" s="353"/>
      <c r="J803" s="353"/>
      <c r="K803" s="353"/>
      <c r="L803" s="353"/>
      <c r="M803" s="353"/>
      <c r="N803" s="353"/>
      <c r="O803" s="353"/>
      <c r="P803" s="353"/>
      <c r="Q803" s="353"/>
      <c r="R803" s="353"/>
      <c r="S803" s="353"/>
      <c r="T803" s="353"/>
      <c r="U803" s="353"/>
      <c r="V803" s="353"/>
      <c r="W803" s="353"/>
      <c r="X803" s="353"/>
      <c r="Y803" s="353"/>
      <c r="Z803" s="353"/>
    </row>
    <row r="804" ht="12.0" customHeight="1">
      <c r="A804" s="353"/>
      <c r="B804" s="353"/>
      <c r="C804" s="353"/>
      <c r="D804" s="353"/>
      <c r="E804" s="353"/>
      <c r="F804" s="353"/>
      <c r="G804" s="353"/>
      <c r="H804" s="353"/>
      <c r="I804" s="353"/>
      <c r="J804" s="353"/>
      <c r="K804" s="353"/>
      <c r="L804" s="353"/>
      <c r="M804" s="353"/>
      <c r="N804" s="353"/>
      <c r="O804" s="353"/>
      <c r="P804" s="353"/>
      <c r="Q804" s="353"/>
      <c r="R804" s="353"/>
      <c r="S804" s="353"/>
      <c r="T804" s="353"/>
      <c r="U804" s="353"/>
      <c r="V804" s="353"/>
      <c r="W804" s="353"/>
      <c r="X804" s="353"/>
      <c r="Y804" s="353"/>
      <c r="Z804" s="353"/>
    </row>
    <row r="805" ht="12.0" customHeight="1">
      <c r="A805" s="353"/>
      <c r="B805" s="353"/>
      <c r="C805" s="353"/>
      <c r="D805" s="353"/>
      <c r="E805" s="353"/>
      <c r="F805" s="353"/>
      <c r="G805" s="353"/>
      <c r="H805" s="353"/>
      <c r="I805" s="353"/>
      <c r="J805" s="353"/>
      <c r="K805" s="353"/>
      <c r="L805" s="353"/>
      <c r="M805" s="353"/>
      <c r="N805" s="353"/>
      <c r="O805" s="353"/>
      <c r="P805" s="353"/>
      <c r="Q805" s="353"/>
      <c r="R805" s="353"/>
      <c r="S805" s="353"/>
      <c r="T805" s="353"/>
      <c r="U805" s="353"/>
      <c r="V805" s="353"/>
      <c r="W805" s="353"/>
      <c r="X805" s="353"/>
      <c r="Y805" s="353"/>
      <c r="Z805" s="353"/>
    </row>
    <row r="806" ht="12.0" customHeight="1">
      <c r="A806" s="353"/>
      <c r="B806" s="353"/>
      <c r="C806" s="353"/>
      <c r="D806" s="353"/>
      <c r="E806" s="353"/>
      <c r="F806" s="353"/>
      <c r="G806" s="353"/>
      <c r="H806" s="353"/>
      <c r="I806" s="353"/>
      <c r="J806" s="353"/>
      <c r="K806" s="353"/>
      <c r="L806" s="353"/>
      <c r="M806" s="353"/>
      <c r="N806" s="353"/>
      <c r="O806" s="353"/>
      <c r="P806" s="353"/>
      <c r="Q806" s="353"/>
      <c r="R806" s="353"/>
      <c r="S806" s="353"/>
      <c r="T806" s="353"/>
      <c r="U806" s="353"/>
      <c r="V806" s="353"/>
      <c r="W806" s="353"/>
      <c r="X806" s="353"/>
      <c r="Y806" s="353"/>
      <c r="Z806" s="353"/>
    </row>
    <row r="807" ht="12.0" customHeight="1">
      <c r="A807" s="353"/>
      <c r="B807" s="353"/>
      <c r="C807" s="353"/>
      <c r="D807" s="353"/>
      <c r="E807" s="353"/>
      <c r="F807" s="353"/>
      <c r="G807" s="353"/>
      <c r="H807" s="353"/>
      <c r="I807" s="353"/>
      <c r="J807" s="353"/>
      <c r="K807" s="353"/>
      <c r="L807" s="353"/>
      <c r="M807" s="353"/>
      <c r="N807" s="353"/>
      <c r="O807" s="353"/>
      <c r="P807" s="353"/>
      <c r="Q807" s="353"/>
      <c r="R807" s="353"/>
      <c r="S807" s="353"/>
      <c r="T807" s="353"/>
      <c r="U807" s="353"/>
      <c r="V807" s="353"/>
      <c r="W807" s="353"/>
      <c r="X807" s="353"/>
      <c r="Y807" s="353"/>
      <c r="Z807" s="353"/>
    </row>
    <row r="808" ht="12.0" customHeight="1">
      <c r="A808" s="353"/>
      <c r="B808" s="353"/>
      <c r="C808" s="353"/>
      <c r="D808" s="353"/>
      <c r="E808" s="353"/>
      <c r="F808" s="353"/>
      <c r="G808" s="353"/>
      <c r="H808" s="353"/>
      <c r="I808" s="353"/>
      <c r="J808" s="353"/>
      <c r="K808" s="353"/>
      <c r="L808" s="353"/>
      <c r="M808" s="353"/>
      <c r="N808" s="353"/>
      <c r="O808" s="353"/>
      <c r="P808" s="353"/>
      <c r="Q808" s="353"/>
      <c r="R808" s="353"/>
      <c r="S808" s="353"/>
      <c r="T808" s="353"/>
      <c r="U808" s="353"/>
      <c r="V808" s="353"/>
      <c r="W808" s="353"/>
      <c r="X808" s="353"/>
      <c r="Y808" s="353"/>
      <c r="Z808" s="353"/>
    </row>
    <row r="809" ht="12.0" customHeight="1">
      <c r="A809" s="353"/>
      <c r="B809" s="353"/>
      <c r="C809" s="353"/>
      <c r="D809" s="353"/>
      <c r="E809" s="353"/>
      <c r="F809" s="353"/>
      <c r="G809" s="353"/>
      <c r="H809" s="353"/>
      <c r="I809" s="353"/>
      <c r="J809" s="353"/>
      <c r="K809" s="353"/>
      <c r="L809" s="353"/>
      <c r="M809" s="353"/>
      <c r="N809" s="353"/>
      <c r="O809" s="353"/>
      <c r="P809" s="353"/>
      <c r="Q809" s="353"/>
      <c r="R809" s="353"/>
      <c r="S809" s="353"/>
      <c r="T809" s="353"/>
      <c r="U809" s="353"/>
      <c r="V809" s="353"/>
      <c r="W809" s="353"/>
      <c r="X809" s="353"/>
      <c r="Y809" s="353"/>
      <c r="Z809" s="353"/>
    </row>
    <row r="810" ht="12.0" customHeight="1">
      <c r="A810" s="353"/>
      <c r="B810" s="353"/>
      <c r="C810" s="353"/>
      <c r="D810" s="353"/>
      <c r="E810" s="353"/>
      <c r="F810" s="353"/>
      <c r="G810" s="353"/>
      <c r="H810" s="353"/>
      <c r="I810" s="353"/>
      <c r="J810" s="353"/>
      <c r="K810" s="353"/>
      <c r="L810" s="353"/>
      <c r="M810" s="353"/>
      <c r="N810" s="353"/>
      <c r="O810" s="353"/>
      <c r="P810" s="353"/>
      <c r="Q810" s="353"/>
      <c r="R810" s="353"/>
      <c r="S810" s="353"/>
      <c r="T810" s="353"/>
      <c r="U810" s="353"/>
      <c r="V810" s="353"/>
      <c r="W810" s="353"/>
      <c r="X810" s="353"/>
      <c r="Y810" s="353"/>
      <c r="Z810" s="353"/>
    </row>
    <row r="811" ht="12.0" customHeight="1">
      <c r="A811" s="353"/>
      <c r="B811" s="353"/>
      <c r="C811" s="353"/>
      <c r="D811" s="353"/>
      <c r="E811" s="353"/>
      <c r="F811" s="353"/>
      <c r="G811" s="353"/>
      <c r="H811" s="353"/>
      <c r="I811" s="353"/>
      <c r="J811" s="353"/>
      <c r="K811" s="353"/>
      <c r="L811" s="353"/>
      <c r="M811" s="353"/>
      <c r="N811" s="353"/>
      <c r="O811" s="353"/>
      <c r="P811" s="353"/>
      <c r="Q811" s="353"/>
      <c r="R811" s="353"/>
      <c r="S811" s="353"/>
      <c r="T811" s="353"/>
      <c r="U811" s="353"/>
      <c r="V811" s="353"/>
      <c r="W811" s="353"/>
      <c r="X811" s="353"/>
      <c r="Y811" s="353"/>
      <c r="Z811" s="353"/>
    </row>
    <row r="812" ht="12.0" customHeight="1">
      <c r="A812" s="353"/>
      <c r="B812" s="353"/>
      <c r="C812" s="353"/>
      <c r="D812" s="353"/>
      <c r="E812" s="353"/>
      <c r="F812" s="353"/>
      <c r="G812" s="353"/>
      <c r="H812" s="353"/>
      <c r="I812" s="353"/>
      <c r="J812" s="353"/>
      <c r="K812" s="353"/>
      <c r="L812" s="353"/>
      <c r="M812" s="353"/>
      <c r="N812" s="353"/>
      <c r="O812" s="353"/>
      <c r="P812" s="353"/>
      <c r="Q812" s="353"/>
      <c r="R812" s="353"/>
      <c r="S812" s="353"/>
      <c r="T812" s="353"/>
      <c r="U812" s="353"/>
      <c r="V812" s="353"/>
      <c r="W812" s="353"/>
      <c r="X812" s="353"/>
      <c r="Y812" s="353"/>
      <c r="Z812" s="353"/>
    </row>
    <row r="813" ht="12.0" customHeight="1">
      <c r="A813" s="353"/>
      <c r="B813" s="353"/>
      <c r="C813" s="353"/>
      <c r="D813" s="353"/>
      <c r="E813" s="353"/>
      <c r="F813" s="353"/>
      <c r="G813" s="353"/>
      <c r="H813" s="353"/>
      <c r="I813" s="353"/>
      <c r="J813" s="353"/>
      <c r="K813" s="353"/>
      <c r="L813" s="353"/>
      <c r="M813" s="353"/>
      <c r="N813" s="353"/>
      <c r="O813" s="353"/>
      <c r="P813" s="353"/>
      <c r="Q813" s="353"/>
      <c r="R813" s="353"/>
      <c r="S813" s="353"/>
      <c r="T813" s="353"/>
      <c r="U813" s="353"/>
      <c r="V813" s="353"/>
      <c r="W813" s="353"/>
      <c r="X813" s="353"/>
      <c r="Y813" s="353"/>
      <c r="Z813" s="353"/>
    </row>
    <row r="814" ht="12.0" customHeight="1">
      <c r="A814" s="353"/>
      <c r="B814" s="353"/>
      <c r="C814" s="353"/>
      <c r="D814" s="353"/>
      <c r="E814" s="353"/>
      <c r="F814" s="353"/>
      <c r="G814" s="353"/>
      <c r="H814" s="353"/>
      <c r="I814" s="353"/>
      <c r="J814" s="353"/>
      <c r="K814" s="353"/>
      <c r="L814" s="353"/>
      <c r="M814" s="353"/>
      <c r="N814" s="353"/>
      <c r="O814" s="353"/>
      <c r="P814" s="353"/>
      <c r="Q814" s="353"/>
      <c r="R814" s="353"/>
      <c r="S814" s="353"/>
      <c r="T814" s="353"/>
      <c r="U814" s="353"/>
      <c r="V814" s="353"/>
      <c r="W814" s="353"/>
      <c r="X814" s="353"/>
      <c r="Y814" s="353"/>
      <c r="Z814" s="353"/>
    </row>
    <row r="815" ht="12.0" customHeight="1">
      <c r="A815" s="353"/>
      <c r="B815" s="353"/>
      <c r="C815" s="353"/>
      <c r="D815" s="353"/>
      <c r="E815" s="353"/>
      <c r="F815" s="353"/>
      <c r="G815" s="353"/>
      <c r="H815" s="353"/>
      <c r="I815" s="353"/>
      <c r="J815" s="353"/>
      <c r="K815" s="353"/>
      <c r="L815" s="353"/>
      <c r="M815" s="353"/>
      <c r="N815" s="353"/>
      <c r="O815" s="353"/>
      <c r="P815" s="353"/>
      <c r="Q815" s="353"/>
      <c r="R815" s="353"/>
      <c r="S815" s="353"/>
      <c r="T815" s="353"/>
      <c r="U815" s="353"/>
      <c r="V815" s="353"/>
      <c r="W815" s="353"/>
      <c r="X815" s="353"/>
      <c r="Y815" s="353"/>
      <c r="Z815" s="353"/>
    </row>
    <row r="816" ht="12.0" customHeight="1">
      <c r="A816" s="353"/>
      <c r="B816" s="353"/>
      <c r="C816" s="353"/>
      <c r="D816" s="353"/>
      <c r="E816" s="353"/>
      <c r="F816" s="353"/>
      <c r="G816" s="353"/>
      <c r="H816" s="353"/>
      <c r="I816" s="353"/>
      <c r="J816" s="353"/>
      <c r="K816" s="353"/>
      <c r="L816" s="353"/>
      <c r="M816" s="353"/>
      <c r="N816" s="353"/>
      <c r="O816" s="353"/>
      <c r="P816" s="353"/>
      <c r="Q816" s="353"/>
      <c r="R816" s="353"/>
      <c r="S816" s="353"/>
      <c r="T816" s="353"/>
      <c r="U816" s="353"/>
      <c r="V816" s="353"/>
      <c r="W816" s="353"/>
      <c r="X816" s="353"/>
      <c r="Y816" s="353"/>
      <c r="Z816" s="353"/>
    </row>
    <row r="817" ht="12.0" customHeight="1">
      <c r="A817" s="353"/>
      <c r="B817" s="353"/>
      <c r="C817" s="353"/>
      <c r="D817" s="353"/>
      <c r="E817" s="353"/>
      <c r="F817" s="353"/>
      <c r="G817" s="353"/>
      <c r="H817" s="353"/>
      <c r="I817" s="353"/>
      <c r="J817" s="353"/>
      <c r="K817" s="353"/>
      <c r="L817" s="353"/>
      <c r="M817" s="353"/>
      <c r="N817" s="353"/>
      <c r="O817" s="353"/>
      <c r="P817" s="353"/>
      <c r="Q817" s="353"/>
      <c r="R817" s="353"/>
      <c r="S817" s="353"/>
      <c r="T817" s="353"/>
      <c r="U817" s="353"/>
      <c r="V817" s="353"/>
      <c r="W817" s="353"/>
      <c r="X817" s="353"/>
      <c r="Y817" s="353"/>
      <c r="Z817" s="353"/>
    </row>
    <row r="818" ht="12.0" customHeight="1">
      <c r="A818" s="353"/>
      <c r="B818" s="353"/>
      <c r="C818" s="353"/>
      <c r="D818" s="353"/>
      <c r="E818" s="353"/>
      <c r="F818" s="353"/>
      <c r="G818" s="353"/>
      <c r="H818" s="353"/>
      <c r="I818" s="353"/>
      <c r="J818" s="353"/>
      <c r="K818" s="353"/>
      <c r="L818" s="353"/>
      <c r="M818" s="353"/>
      <c r="N818" s="353"/>
      <c r="O818" s="353"/>
      <c r="P818" s="353"/>
      <c r="Q818" s="353"/>
      <c r="R818" s="353"/>
      <c r="S818" s="353"/>
      <c r="T818" s="353"/>
      <c r="U818" s="353"/>
      <c r="V818" s="353"/>
      <c r="W818" s="353"/>
      <c r="X818" s="353"/>
      <c r="Y818" s="353"/>
      <c r="Z818" s="353"/>
    </row>
    <row r="819" ht="12.0" customHeight="1">
      <c r="A819" s="353"/>
      <c r="B819" s="353"/>
      <c r="C819" s="353"/>
      <c r="D819" s="353"/>
      <c r="E819" s="353"/>
      <c r="F819" s="353"/>
      <c r="G819" s="353"/>
      <c r="H819" s="353"/>
      <c r="I819" s="353"/>
      <c r="J819" s="353"/>
      <c r="K819" s="353"/>
      <c r="L819" s="353"/>
      <c r="M819" s="353"/>
      <c r="N819" s="353"/>
      <c r="O819" s="353"/>
      <c r="P819" s="353"/>
      <c r="Q819" s="353"/>
      <c r="R819" s="353"/>
      <c r="S819" s="353"/>
      <c r="T819" s="353"/>
      <c r="U819" s="353"/>
      <c r="V819" s="353"/>
      <c r="W819" s="353"/>
      <c r="X819" s="353"/>
      <c r="Y819" s="353"/>
      <c r="Z819" s="353"/>
    </row>
    <row r="820" ht="12.0" customHeight="1">
      <c r="A820" s="353"/>
      <c r="B820" s="353"/>
      <c r="C820" s="353"/>
      <c r="D820" s="353"/>
      <c r="E820" s="353"/>
      <c r="F820" s="353"/>
      <c r="G820" s="353"/>
      <c r="H820" s="353"/>
      <c r="I820" s="353"/>
      <c r="J820" s="353"/>
      <c r="K820" s="353"/>
      <c r="L820" s="353"/>
      <c r="M820" s="353"/>
      <c r="N820" s="353"/>
      <c r="O820" s="353"/>
      <c r="P820" s="353"/>
      <c r="Q820" s="353"/>
      <c r="R820" s="353"/>
      <c r="S820" s="353"/>
      <c r="T820" s="353"/>
      <c r="U820" s="353"/>
      <c r="V820" s="353"/>
      <c r="W820" s="353"/>
      <c r="X820" s="353"/>
      <c r="Y820" s="353"/>
      <c r="Z820" s="353"/>
    </row>
    <row r="821" ht="12.0" customHeight="1">
      <c r="A821" s="353"/>
      <c r="B821" s="353"/>
      <c r="C821" s="353"/>
      <c r="D821" s="353"/>
      <c r="E821" s="353"/>
      <c r="F821" s="353"/>
      <c r="G821" s="353"/>
      <c r="H821" s="353"/>
      <c r="I821" s="353"/>
      <c r="J821" s="353"/>
      <c r="K821" s="353"/>
      <c r="L821" s="353"/>
      <c r="M821" s="353"/>
      <c r="N821" s="353"/>
      <c r="O821" s="353"/>
      <c r="P821" s="353"/>
      <c r="Q821" s="353"/>
      <c r="R821" s="353"/>
      <c r="S821" s="353"/>
      <c r="T821" s="353"/>
      <c r="U821" s="353"/>
      <c r="V821" s="353"/>
      <c r="W821" s="353"/>
      <c r="X821" s="353"/>
      <c r="Y821" s="353"/>
      <c r="Z821" s="353"/>
    </row>
    <row r="822" ht="12.0" customHeight="1">
      <c r="A822" s="353"/>
      <c r="B822" s="353"/>
      <c r="C822" s="353"/>
      <c r="D822" s="353"/>
      <c r="E822" s="353"/>
      <c r="F822" s="353"/>
      <c r="G822" s="353"/>
      <c r="H822" s="353"/>
      <c r="I822" s="353"/>
      <c r="J822" s="353"/>
      <c r="K822" s="353"/>
      <c r="L822" s="353"/>
      <c r="M822" s="353"/>
      <c r="N822" s="353"/>
      <c r="O822" s="353"/>
      <c r="P822" s="353"/>
      <c r="Q822" s="353"/>
      <c r="R822" s="353"/>
      <c r="S822" s="353"/>
      <c r="T822" s="353"/>
      <c r="U822" s="353"/>
      <c r="V822" s="353"/>
      <c r="W822" s="353"/>
      <c r="X822" s="353"/>
      <c r="Y822" s="353"/>
      <c r="Z822" s="353"/>
    </row>
    <row r="823" ht="12.0" customHeight="1">
      <c r="A823" s="353"/>
      <c r="B823" s="353"/>
      <c r="C823" s="353"/>
      <c r="D823" s="353"/>
      <c r="E823" s="353"/>
      <c r="F823" s="353"/>
      <c r="G823" s="353"/>
      <c r="H823" s="353"/>
      <c r="I823" s="353"/>
      <c r="J823" s="353"/>
      <c r="K823" s="353"/>
      <c r="L823" s="353"/>
      <c r="M823" s="353"/>
      <c r="N823" s="353"/>
      <c r="O823" s="353"/>
      <c r="P823" s="353"/>
      <c r="Q823" s="353"/>
      <c r="R823" s="353"/>
      <c r="S823" s="353"/>
      <c r="T823" s="353"/>
      <c r="U823" s="353"/>
      <c r="V823" s="353"/>
      <c r="W823" s="353"/>
      <c r="X823" s="353"/>
      <c r="Y823" s="353"/>
      <c r="Z823" s="353"/>
    </row>
    <row r="824" ht="12.0" customHeight="1">
      <c r="A824" s="353"/>
      <c r="B824" s="353"/>
      <c r="C824" s="353"/>
      <c r="D824" s="353"/>
      <c r="E824" s="353"/>
      <c r="F824" s="353"/>
      <c r="G824" s="353"/>
      <c r="H824" s="353"/>
      <c r="I824" s="353"/>
      <c r="J824" s="353"/>
      <c r="K824" s="353"/>
      <c r="L824" s="353"/>
      <c r="M824" s="353"/>
      <c r="N824" s="353"/>
      <c r="O824" s="353"/>
      <c r="P824" s="353"/>
      <c r="Q824" s="353"/>
      <c r="R824" s="353"/>
      <c r="S824" s="353"/>
      <c r="T824" s="353"/>
      <c r="U824" s="353"/>
      <c r="V824" s="353"/>
      <c r="W824" s="353"/>
      <c r="X824" s="353"/>
      <c r="Y824" s="353"/>
      <c r="Z824" s="353"/>
    </row>
    <row r="825" ht="12.0" customHeight="1">
      <c r="A825" s="353"/>
      <c r="B825" s="353"/>
      <c r="C825" s="353"/>
      <c r="D825" s="353"/>
      <c r="E825" s="353"/>
      <c r="F825" s="353"/>
      <c r="G825" s="353"/>
      <c r="H825" s="353"/>
      <c r="I825" s="353"/>
      <c r="J825" s="353"/>
      <c r="K825" s="353"/>
      <c r="L825" s="353"/>
      <c r="M825" s="353"/>
      <c r="N825" s="353"/>
      <c r="O825" s="353"/>
      <c r="P825" s="353"/>
      <c r="Q825" s="353"/>
      <c r="R825" s="353"/>
      <c r="S825" s="353"/>
      <c r="T825" s="353"/>
      <c r="U825" s="353"/>
      <c r="V825" s="353"/>
      <c r="W825" s="353"/>
      <c r="X825" s="353"/>
      <c r="Y825" s="353"/>
      <c r="Z825" s="353"/>
    </row>
    <row r="826" ht="12.0" customHeight="1">
      <c r="A826" s="353"/>
      <c r="B826" s="353"/>
      <c r="C826" s="353"/>
      <c r="D826" s="353"/>
      <c r="E826" s="353"/>
      <c r="F826" s="353"/>
      <c r="G826" s="353"/>
      <c r="H826" s="353"/>
      <c r="I826" s="353"/>
      <c r="J826" s="353"/>
      <c r="K826" s="353"/>
      <c r="L826" s="353"/>
      <c r="M826" s="353"/>
      <c r="N826" s="353"/>
      <c r="O826" s="353"/>
      <c r="P826" s="353"/>
      <c r="Q826" s="353"/>
      <c r="R826" s="353"/>
      <c r="S826" s="353"/>
      <c r="T826" s="353"/>
      <c r="U826" s="353"/>
      <c r="V826" s="353"/>
      <c r="W826" s="353"/>
      <c r="X826" s="353"/>
      <c r="Y826" s="353"/>
      <c r="Z826" s="353"/>
    </row>
    <row r="827" ht="12.0" customHeight="1">
      <c r="A827" s="353"/>
      <c r="B827" s="353"/>
      <c r="C827" s="353"/>
      <c r="D827" s="353"/>
      <c r="E827" s="353"/>
      <c r="F827" s="353"/>
      <c r="G827" s="353"/>
      <c r="H827" s="353"/>
      <c r="I827" s="353"/>
      <c r="J827" s="353"/>
      <c r="K827" s="353"/>
      <c r="L827" s="353"/>
      <c r="M827" s="353"/>
      <c r="N827" s="353"/>
      <c r="O827" s="353"/>
      <c r="P827" s="353"/>
      <c r="Q827" s="353"/>
      <c r="R827" s="353"/>
      <c r="S827" s="353"/>
      <c r="T827" s="353"/>
      <c r="U827" s="353"/>
      <c r="V827" s="353"/>
      <c r="W827" s="353"/>
      <c r="X827" s="353"/>
      <c r="Y827" s="353"/>
      <c r="Z827" s="353"/>
    </row>
    <row r="828" ht="12.0" customHeight="1">
      <c r="A828" s="353"/>
      <c r="B828" s="353"/>
      <c r="C828" s="353"/>
      <c r="D828" s="353"/>
      <c r="E828" s="353"/>
      <c r="F828" s="353"/>
      <c r="G828" s="353"/>
      <c r="H828" s="353"/>
      <c r="I828" s="353"/>
      <c r="J828" s="353"/>
      <c r="K828" s="353"/>
      <c r="L828" s="353"/>
      <c r="M828" s="353"/>
      <c r="N828" s="353"/>
      <c r="O828" s="353"/>
      <c r="P828" s="353"/>
      <c r="Q828" s="353"/>
      <c r="R828" s="353"/>
      <c r="S828" s="353"/>
      <c r="T828" s="353"/>
      <c r="U828" s="353"/>
      <c r="V828" s="353"/>
      <c r="W828" s="353"/>
      <c r="X828" s="353"/>
      <c r="Y828" s="353"/>
      <c r="Z828" s="353"/>
    </row>
    <row r="829" ht="12.0" customHeight="1">
      <c r="A829" s="353"/>
      <c r="B829" s="353"/>
      <c r="C829" s="353"/>
      <c r="D829" s="353"/>
      <c r="E829" s="353"/>
      <c r="F829" s="353"/>
      <c r="G829" s="353"/>
      <c r="H829" s="353"/>
      <c r="I829" s="353"/>
      <c r="J829" s="353"/>
      <c r="K829" s="353"/>
      <c r="L829" s="353"/>
      <c r="M829" s="353"/>
      <c r="N829" s="353"/>
      <c r="O829" s="353"/>
      <c r="P829" s="353"/>
      <c r="Q829" s="353"/>
      <c r="R829" s="353"/>
      <c r="S829" s="353"/>
      <c r="T829" s="353"/>
      <c r="U829" s="353"/>
      <c r="V829" s="353"/>
      <c r="W829" s="353"/>
      <c r="X829" s="353"/>
      <c r="Y829" s="353"/>
      <c r="Z829" s="353"/>
    </row>
    <row r="830" ht="12.0" customHeight="1">
      <c r="A830" s="353"/>
      <c r="B830" s="353"/>
      <c r="C830" s="353"/>
      <c r="D830" s="353"/>
      <c r="E830" s="353"/>
      <c r="F830" s="353"/>
      <c r="G830" s="353"/>
      <c r="H830" s="353"/>
      <c r="I830" s="353"/>
      <c r="J830" s="353"/>
      <c r="K830" s="353"/>
      <c r="L830" s="353"/>
      <c r="M830" s="353"/>
      <c r="N830" s="353"/>
      <c r="O830" s="353"/>
      <c r="P830" s="353"/>
      <c r="Q830" s="353"/>
      <c r="R830" s="353"/>
      <c r="S830" s="353"/>
      <c r="T830" s="353"/>
      <c r="U830" s="353"/>
      <c r="V830" s="353"/>
      <c r="W830" s="353"/>
      <c r="X830" s="353"/>
      <c r="Y830" s="353"/>
      <c r="Z830" s="353"/>
    </row>
    <row r="831" ht="12.0" customHeight="1">
      <c r="A831" s="353"/>
      <c r="B831" s="353"/>
      <c r="C831" s="353"/>
      <c r="D831" s="353"/>
      <c r="E831" s="353"/>
      <c r="F831" s="353"/>
      <c r="G831" s="353"/>
      <c r="H831" s="353"/>
      <c r="I831" s="353"/>
      <c r="J831" s="353"/>
      <c r="K831" s="353"/>
      <c r="L831" s="353"/>
      <c r="M831" s="353"/>
      <c r="N831" s="353"/>
      <c r="O831" s="353"/>
      <c r="P831" s="353"/>
      <c r="Q831" s="353"/>
      <c r="R831" s="353"/>
      <c r="S831" s="353"/>
      <c r="T831" s="353"/>
      <c r="U831" s="353"/>
      <c r="V831" s="353"/>
      <c r="W831" s="353"/>
      <c r="X831" s="353"/>
      <c r="Y831" s="353"/>
      <c r="Z831" s="353"/>
    </row>
    <row r="832" ht="12.0" customHeight="1">
      <c r="A832" s="353"/>
      <c r="B832" s="353"/>
      <c r="C832" s="353"/>
      <c r="D832" s="353"/>
      <c r="E832" s="353"/>
      <c r="F832" s="353"/>
      <c r="G832" s="353"/>
      <c r="H832" s="353"/>
      <c r="I832" s="353"/>
      <c r="J832" s="353"/>
      <c r="K832" s="353"/>
      <c r="L832" s="353"/>
      <c r="M832" s="353"/>
      <c r="N832" s="353"/>
      <c r="O832" s="353"/>
      <c r="P832" s="353"/>
      <c r="Q832" s="353"/>
      <c r="R832" s="353"/>
      <c r="S832" s="353"/>
      <c r="T832" s="353"/>
      <c r="U832" s="353"/>
      <c r="V832" s="353"/>
      <c r="W832" s="353"/>
      <c r="X832" s="353"/>
      <c r="Y832" s="353"/>
      <c r="Z832" s="353"/>
    </row>
    <row r="833" ht="12.0" customHeight="1">
      <c r="A833" s="353"/>
      <c r="B833" s="353"/>
      <c r="C833" s="353"/>
      <c r="D833" s="353"/>
      <c r="E833" s="353"/>
      <c r="F833" s="353"/>
      <c r="G833" s="353"/>
      <c r="H833" s="353"/>
      <c r="I833" s="353"/>
      <c r="J833" s="353"/>
      <c r="K833" s="353"/>
      <c r="L833" s="353"/>
      <c r="M833" s="353"/>
      <c r="N833" s="353"/>
      <c r="O833" s="353"/>
      <c r="P833" s="353"/>
      <c r="Q833" s="353"/>
      <c r="R833" s="353"/>
      <c r="S833" s="353"/>
      <c r="T833" s="353"/>
      <c r="U833" s="353"/>
      <c r="V833" s="353"/>
      <c r="W833" s="353"/>
      <c r="X833" s="353"/>
      <c r="Y833" s="353"/>
      <c r="Z833" s="353"/>
    </row>
    <row r="834" ht="12.0" customHeight="1">
      <c r="A834" s="353"/>
      <c r="B834" s="353"/>
      <c r="C834" s="353"/>
      <c r="D834" s="353"/>
      <c r="E834" s="353"/>
      <c r="F834" s="353"/>
      <c r="G834" s="353"/>
      <c r="H834" s="353"/>
      <c r="I834" s="353"/>
      <c r="J834" s="353"/>
      <c r="K834" s="353"/>
      <c r="L834" s="353"/>
      <c r="M834" s="353"/>
      <c r="N834" s="353"/>
      <c r="O834" s="353"/>
      <c r="P834" s="353"/>
      <c r="Q834" s="353"/>
      <c r="R834" s="353"/>
      <c r="S834" s="353"/>
      <c r="T834" s="353"/>
      <c r="U834" s="353"/>
      <c r="V834" s="353"/>
      <c r="W834" s="353"/>
      <c r="X834" s="353"/>
      <c r="Y834" s="353"/>
      <c r="Z834" s="353"/>
    </row>
    <row r="835" ht="12.0" customHeight="1">
      <c r="A835" s="353"/>
      <c r="B835" s="353"/>
      <c r="C835" s="353"/>
      <c r="D835" s="353"/>
      <c r="E835" s="353"/>
      <c r="F835" s="353"/>
      <c r="G835" s="353"/>
      <c r="H835" s="353"/>
      <c r="I835" s="353"/>
      <c r="J835" s="353"/>
      <c r="K835" s="353"/>
      <c r="L835" s="353"/>
      <c r="M835" s="353"/>
      <c r="N835" s="353"/>
      <c r="O835" s="353"/>
      <c r="P835" s="353"/>
      <c r="Q835" s="353"/>
      <c r="R835" s="353"/>
      <c r="S835" s="353"/>
      <c r="T835" s="353"/>
      <c r="U835" s="353"/>
      <c r="V835" s="353"/>
      <c r="W835" s="353"/>
      <c r="X835" s="353"/>
      <c r="Y835" s="353"/>
      <c r="Z835" s="353"/>
    </row>
    <row r="836" ht="12.0" customHeight="1">
      <c r="A836" s="353"/>
      <c r="B836" s="353"/>
      <c r="C836" s="353"/>
      <c r="D836" s="353"/>
      <c r="E836" s="353"/>
      <c r="F836" s="353"/>
      <c r="G836" s="353"/>
      <c r="H836" s="353"/>
      <c r="I836" s="353"/>
      <c r="J836" s="353"/>
      <c r="K836" s="353"/>
      <c r="L836" s="353"/>
      <c r="M836" s="353"/>
      <c r="N836" s="353"/>
      <c r="O836" s="353"/>
      <c r="P836" s="353"/>
      <c r="Q836" s="353"/>
      <c r="R836" s="353"/>
      <c r="S836" s="353"/>
      <c r="T836" s="353"/>
      <c r="U836" s="353"/>
      <c r="V836" s="353"/>
      <c r="W836" s="353"/>
      <c r="X836" s="353"/>
      <c r="Y836" s="353"/>
      <c r="Z836" s="353"/>
    </row>
    <row r="837" ht="12.0" customHeight="1">
      <c r="A837" s="353"/>
      <c r="B837" s="353"/>
      <c r="C837" s="353"/>
      <c r="D837" s="353"/>
      <c r="E837" s="353"/>
      <c r="F837" s="353"/>
      <c r="G837" s="353"/>
      <c r="H837" s="353"/>
      <c r="I837" s="353"/>
      <c r="J837" s="353"/>
      <c r="K837" s="353"/>
      <c r="L837" s="353"/>
      <c r="M837" s="353"/>
      <c r="N837" s="353"/>
      <c r="O837" s="353"/>
      <c r="P837" s="353"/>
      <c r="Q837" s="353"/>
      <c r="R837" s="353"/>
      <c r="S837" s="353"/>
      <c r="T837" s="353"/>
      <c r="U837" s="353"/>
      <c r="V837" s="353"/>
      <c r="W837" s="353"/>
      <c r="X837" s="353"/>
      <c r="Y837" s="353"/>
      <c r="Z837" s="353"/>
    </row>
    <row r="838" ht="12.0" customHeight="1">
      <c r="A838" s="353"/>
      <c r="B838" s="353"/>
      <c r="C838" s="353"/>
      <c r="D838" s="353"/>
      <c r="E838" s="353"/>
      <c r="F838" s="353"/>
      <c r="G838" s="353"/>
      <c r="H838" s="353"/>
      <c r="I838" s="353"/>
      <c r="J838" s="353"/>
      <c r="K838" s="353"/>
      <c r="L838" s="353"/>
      <c r="M838" s="353"/>
      <c r="N838" s="353"/>
      <c r="O838" s="353"/>
      <c r="P838" s="353"/>
      <c r="Q838" s="353"/>
      <c r="R838" s="353"/>
      <c r="S838" s="353"/>
      <c r="T838" s="353"/>
      <c r="U838" s="353"/>
      <c r="V838" s="353"/>
      <c r="W838" s="353"/>
      <c r="X838" s="353"/>
      <c r="Y838" s="353"/>
      <c r="Z838" s="353"/>
    </row>
    <row r="839" ht="12.0" customHeight="1">
      <c r="A839" s="353"/>
      <c r="B839" s="353"/>
      <c r="C839" s="353"/>
      <c r="D839" s="353"/>
      <c r="E839" s="353"/>
      <c r="F839" s="353"/>
      <c r="G839" s="353"/>
      <c r="H839" s="353"/>
      <c r="I839" s="353"/>
      <c r="J839" s="353"/>
      <c r="K839" s="353"/>
      <c r="L839" s="353"/>
      <c r="M839" s="353"/>
      <c r="N839" s="353"/>
      <c r="O839" s="353"/>
      <c r="P839" s="353"/>
      <c r="Q839" s="353"/>
      <c r="R839" s="353"/>
      <c r="S839" s="353"/>
      <c r="T839" s="353"/>
      <c r="U839" s="353"/>
      <c r="V839" s="353"/>
      <c r="W839" s="353"/>
      <c r="X839" s="353"/>
      <c r="Y839" s="353"/>
      <c r="Z839" s="353"/>
    </row>
    <row r="840" ht="12.0" customHeight="1">
      <c r="A840" s="353"/>
      <c r="B840" s="353"/>
      <c r="C840" s="353"/>
      <c r="D840" s="353"/>
      <c r="E840" s="353"/>
      <c r="F840" s="353"/>
      <c r="G840" s="353"/>
      <c r="H840" s="353"/>
      <c r="I840" s="353"/>
      <c r="J840" s="353"/>
      <c r="K840" s="353"/>
      <c r="L840" s="353"/>
      <c r="M840" s="353"/>
      <c r="N840" s="353"/>
      <c r="O840" s="353"/>
      <c r="P840" s="353"/>
      <c r="Q840" s="353"/>
      <c r="R840" s="353"/>
      <c r="S840" s="353"/>
      <c r="T840" s="353"/>
      <c r="U840" s="353"/>
      <c r="V840" s="353"/>
      <c r="W840" s="353"/>
      <c r="X840" s="353"/>
      <c r="Y840" s="353"/>
      <c r="Z840" s="353"/>
    </row>
    <row r="841" ht="12.0" customHeight="1">
      <c r="A841" s="353"/>
      <c r="B841" s="353"/>
      <c r="C841" s="353"/>
      <c r="D841" s="353"/>
      <c r="E841" s="353"/>
      <c r="F841" s="353"/>
      <c r="G841" s="353"/>
      <c r="H841" s="353"/>
      <c r="I841" s="353"/>
      <c r="J841" s="353"/>
      <c r="K841" s="353"/>
      <c r="L841" s="353"/>
      <c r="M841" s="353"/>
      <c r="N841" s="353"/>
      <c r="O841" s="353"/>
      <c r="P841" s="353"/>
      <c r="Q841" s="353"/>
      <c r="R841" s="353"/>
      <c r="S841" s="353"/>
      <c r="T841" s="353"/>
      <c r="U841" s="353"/>
      <c r="V841" s="353"/>
      <c r="W841" s="353"/>
      <c r="X841" s="353"/>
      <c r="Y841" s="353"/>
      <c r="Z841" s="353"/>
    </row>
    <row r="842" ht="12.0" customHeight="1">
      <c r="A842" s="353"/>
      <c r="B842" s="353"/>
      <c r="C842" s="353"/>
      <c r="D842" s="353"/>
      <c r="E842" s="353"/>
      <c r="F842" s="353"/>
      <c r="G842" s="353"/>
      <c r="H842" s="353"/>
      <c r="I842" s="353"/>
      <c r="J842" s="353"/>
      <c r="K842" s="353"/>
      <c r="L842" s="353"/>
      <c r="M842" s="353"/>
      <c r="N842" s="353"/>
      <c r="O842" s="353"/>
      <c r="P842" s="353"/>
      <c r="Q842" s="353"/>
      <c r="R842" s="353"/>
      <c r="S842" s="353"/>
      <c r="T842" s="353"/>
      <c r="U842" s="353"/>
      <c r="V842" s="353"/>
      <c r="W842" s="353"/>
      <c r="X842" s="353"/>
      <c r="Y842" s="353"/>
      <c r="Z842" s="353"/>
    </row>
    <row r="843" ht="12.0" customHeight="1">
      <c r="A843" s="353"/>
      <c r="B843" s="353"/>
      <c r="C843" s="353"/>
      <c r="D843" s="353"/>
      <c r="E843" s="353"/>
      <c r="F843" s="353"/>
      <c r="G843" s="353"/>
      <c r="H843" s="353"/>
      <c r="I843" s="353"/>
      <c r="J843" s="353"/>
      <c r="K843" s="353"/>
      <c r="L843" s="353"/>
      <c r="M843" s="353"/>
      <c r="N843" s="353"/>
      <c r="O843" s="353"/>
      <c r="P843" s="353"/>
      <c r="Q843" s="353"/>
      <c r="R843" s="353"/>
      <c r="S843" s="353"/>
      <c r="T843" s="353"/>
      <c r="U843" s="353"/>
      <c r="V843" s="353"/>
      <c r="W843" s="353"/>
      <c r="X843" s="353"/>
      <c r="Y843" s="353"/>
      <c r="Z843" s="353"/>
    </row>
    <row r="844" ht="12.0" customHeight="1">
      <c r="A844" s="353"/>
      <c r="B844" s="353"/>
      <c r="C844" s="353"/>
      <c r="D844" s="353"/>
      <c r="E844" s="353"/>
      <c r="F844" s="353"/>
      <c r="G844" s="353"/>
      <c r="H844" s="353"/>
      <c r="I844" s="353"/>
      <c r="J844" s="353"/>
      <c r="K844" s="353"/>
      <c r="L844" s="353"/>
      <c r="M844" s="353"/>
      <c r="N844" s="353"/>
      <c r="O844" s="353"/>
      <c r="P844" s="353"/>
      <c r="Q844" s="353"/>
      <c r="R844" s="353"/>
      <c r="S844" s="353"/>
      <c r="T844" s="353"/>
      <c r="U844" s="353"/>
      <c r="V844" s="353"/>
      <c r="W844" s="353"/>
      <c r="X844" s="353"/>
      <c r="Y844" s="353"/>
      <c r="Z844" s="353"/>
    </row>
    <row r="845" ht="12.0" customHeight="1">
      <c r="A845" s="353"/>
      <c r="B845" s="353"/>
      <c r="C845" s="353"/>
      <c r="D845" s="353"/>
      <c r="E845" s="353"/>
      <c r="F845" s="353"/>
      <c r="G845" s="353"/>
      <c r="H845" s="353"/>
      <c r="I845" s="353"/>
      <c r="J845" s="353"/>
      <c r="K845" s="353"/>
      <c r="L845" s="353"/>
      <c r="M845" s="353"/>
      <c r="N845" s="353"/>
      <c r="O845" s="353"/>
      <c r="P845" s="353"/>
      <c r="Q845" s="353"/>
      <c r="R845" s="353"/>
      <c r="S845" s="353"/>
      <c r="T845" s="353"/>
      <c r="U845" s="353"/>
      <c r="V845" s="353"/>
      <c r="W845" s="353"/>
      <c r="X845" s="353"/>
      <c r="Y845" s="353"/>
      <c r="Z845" s="353"/>
    </row>
    <row r="846" ht="12.0" customHeight="1">
      <c r="A846" s="353"/>
      <c r="B846" s="353"/>
      <c r="C846" s="353"/>
      <c r="D846" s="353"/>
      <c r="E846" s="353"/>
      <c r="F846" s="353"/>
      <c r="G846" s="353"/>
      <c r="H846" s="353"/>
      <c r="I846" s="353"/>
      <c r="J846" s="353"/>
      <c r="K846" s="353"/>
      <c r="L846" s="353"/>
      <c r="M846" s="353"/>
      <c r="N846" s="353"/>
      <c r="O846" s="353"/>
      <c r="P846" s="353"/>
      <c r="Q846" s="353"/>
      <c r="R846" s="353"/>
      <c r="S846" s="353"/>
      <c r="T846" s="353"/>
      <c r="U846" s="353"/>
      <c r="V846" s="353"/>
      <c r="W846" s="353"/>
      <c r="X846" s="353"/>
      <c r="Y846" s="353"/>
      <c r="Z846" s="353"/>
    </row>
    <row r="847" ht="12.0" customHeight="1">
      <c r="A847" s="353"/>
      <c r="B847" s="353"/>
      <c r="C847" s="353"/>
      <c r="D847" s="353"/>
      <c r="E847" s="353"/>
      <c r="F847" s="353"/>
      <c r="G847" s="353"/>
      <c r="H847" s="353"/>
      <c r="I847" s="353"/>
      <c r="J847" s="353"/>
      <c r="K847" s="353"/>
      <c r="L847" s="353"/>
      <c r="M847" s="353"/>
      <c r="N847" s="353"/>
      <c r="O847" s="353"/>
      <c r="P847" s="353"/>
      <c r="Q847" s="353"/>
      <c r="R847" s="353"/>
      <c r="S847" s="353"/>
      <c r="T847" s="353"/>
      <c r="U847" s="353"/>
      <c r="V847" s="353"/>
      <c r="W847" s="353"/>
      <c r="X847" s="353"/>
      <c r="Y847" s="353"/>
      <c r="Z847" s="353"/>
    </row>
    <row r="848" ht="12.0" customHeight="1">
      <c r="A848" s="353"/>
      <c r="B848" s="353"/>
      <c r="C848" s="353"/>
      <c r="D848" s="353"/>
      <c r="E848" s="353"/>
      <c r="F848" s="353"/>
      <c r="G848" s="353"/>
      <c r="H848" s="353"/>
      <c r="I848" s="353"/>
      <c r="J848" s="353"/>
      <c r="K848" s="353"/>
      <c r="L848" s="353"/>
      <c r="M848" s="353"/>
      <c r="N848" s="353"/>
      <c r="O848" s="353"/>
      <c r="P848" s="353"/>
      <c r="Q848" s="353"/>
      <c r="R848" s="353"/>
      <c r="S848" s="353"/>
      <c r="T848" s="353"/>
      <c r="U848" s="353"/>
      <c r="V848" s="353"/>
      <c r="W848" s="353"/>
      <c r="X848" s="353"/>
      <c r="Y848" s="353"/>
      <c r="Z848" s="353"/>
    </row>
    <row r="849" ht="12.0" customHeight="1">
      <c r="A849" s="353"/>
      <c r="B849" s="353"/>
      <c r="C849" s="353"/>
      <c r="D849" s="353"/>
      <c r="E849" s="353"/>
      <c r="F849" s="353"/>
      <c r="G849" s="353"/>
      <c r="H849" s="353"/>
      <c r="I849" s="353"/>
      <c r="J849" s="353"/>
      <c r="K849" s="353"/>
      <c r="L849" s="353"/>
      <c r="M849" s="353"/>
      <c r="N849" s="353"/>
      <c r="O849" s="353"/>
      <c r="P849" s="353"/>
      <c r="Q849" s="353"/>
      <c r="R849" s="353"/>
      <c r="S849" s="353"/>
      <c r="T849" s="353"/>
      <c r="U849" s="353"/>
      <c r="V849" s="353"/>
      <c r="W849" s="353"/>
      <c r="X849" s="353"/>
      <c r="Y849" s="353"/>
      <c r="Z849" s="353"/>
    </row>
    <row r="850" ht="12.0" customHeight="1">
      <c r="A850" s="353"/>
      <c r="B850" s="353"/>
      <c r="C850" s="353"/>
      <c r="D850" s="353"/>
      <c r="E850" s="353"/>
      <c r="F850" s="353"/>
      <c r="G850" s="353"/>
      <c r="H850" s="353"/>
      <c r="I850" s="353"/>
      <c r="J850" s="353"/>
      <c r="K850" s="353"/>
      <c r="L850" s="353"/>
      <c r="M850" s="353"/>
      <c r="N850" s="353"/>
      <c r="O850" s="353"/>
      <c r="P850" s="353"/>
      <c r="Q850" s="353"/>
      <c r="R850" s="353"/>
      <c r="S850" s="353"/>
      <c r="T850" s="353"/>
      <c r="U850" s="353"/>
      <c r="V850" s="353"/>
      <c r="W850" s="353"/>
      <c r="X850" s="353"/>
      <c r="Y850" s="353"/>
      <c r="Z850" s="353"/>
    </row>
    <row r="851" ht="12.0" customHeight="1">
      <c r="A851" s="353"/>
      <c r="B851" s="353"/>
      <c r="C851" s="353"/>
      <c r="D851" s="353"/>
      <c r="E851" s="353"/>
      <c r="F851" s="353"/>
      <c r="G851" s="353"/>
      <c r="H851" s="353"/>
      <c r="I851" s="353"/>
      <c r="J851" s="353"/>
      <c r="K851" s="353"/>
      <c r="L851" s="353"/>
      <c r="M851" s="353"/>
      <c r="N851" s="353"/>
      <c r="O851" s="353"/>
      <c r="P851" s="353"/>
      <c r="Q851" s="353"/>
      <c r="R851" s="353"/>
      <c r="S851" s="353"/>
      <c r="T851" s="353"/>
      <c r="U851" s="353"/>
      <c r="V851" s="353"/>
      <c r="W851" s="353"/>
      <c r="X851" s="353"/>
      <c r="Y851" s="353"/>
      <c r="Z851" s="353"/>
    </row>
    <row r="852" ht="12.0" customHeight="1">
      <c r="A852" s="353"/>
      <c r="B852" s="353"/>
      <c r="C852" s="353"/>
      <c r="D852" s="353"/>
      <c r="E852" s="353"/>
      <c r="F852" s="353"/>
      <c r="G852" s="353"/>
      <c r="H852" s="353"/>
      <c r="I852" s="353"/>
      <c r="J852" s="353"/>
      <c r="K852" s="353"/>
      <c r="L852" s="353"/>
      <c r="M852" s="353"/>
      <c r="N852" s="353"/>
      <c r="O852" s="353"/>
      <c r="P852" s="353"/>
      <c r="Q852" s="353"/>
      <c r="R852" s="353"/>
      <c r="S852" s="353"/>
      <c r="T852" s="353"/>
      <c r="U852" s="353"/>
      <c r="V852" s="353"/>
      <c r="W852" s="353"/>
      <c r="X852" s="353"/>
      <c r="Y852" s="353"/>
      <c r="Z852" s="353"/>
    </row>
    <row r="853" ht="12.0" customHeight="1">
      <c r="A853" s="353"/>
      <c r="B853" s="353"/>
      <c r="C853" s="353"/>
      <c r="D853" s="353"/>
      <c r="E853" s="353"/>
      <c r="F853" s="353"/>
      <c r="G853" s="353"/>
      <c r="H853" s="353"/>
      <c r="I853" s="353"/>
      <c r="J853" s="353"/>
      <c r="K853" s="353"/>
      <c r="L853" s="353"/>
      <c r="M853" s="353"/>
      <c r="N853" s="353"/>
      <c r="O853" s="353"/>
      <c r="P853" s="353"/>
      <c r="Q853" s="353"/>
      <c r="R853" s="353"/>
      <c r="S853" s="353"/>
      <c r="T853" s="353"/>
      <c r="U853" s="353"/>
      <c r="V853" s="353"/>
      <c r="W853" s="353"/>
      <c r="X853" s="353"/>
      <c r="Y853" s="353"/>
      <c r="Z853" s="353"/>
    </row>
    <row r="854" ht="12.0" customHeight="1">
      <c r="A854" s="353"/>
      <c r="B854" s="353"/>
      <c r="C854" s="353"/>
      <c r="D854" s="353"/>
      <c r="E854" s="353"/>
      <c r="F854" s="353"/>
      <c r="G854" s="353"/>
      <c r="H854" s="353"/>
      <c r="I854" s="353"/>
      <c r="J854" s="353"/>
      <c r="K854" s="353"/>
      <c r="L854" s="353"/>
      <c r="M854" s="353"/>
      <c r="N854" s="353"/>
      <c r="O854" s="353"/>
      <c r="P854" s="353"/>
      <c r="Q854" s="353"/>
      <c r="R854" s="353"/>
      <c r="S854" s="353"/>
      <c r="T854" s="353"/>
      <c r="U854" s="353"/>
      <c r="V854" s="353"/>
      <c r="W854" s="353"/>
      <c r="X854" s="353"/>
      <c r="Y854" s="353"/>
      <c r="Z854" s="353"/>
    </row>
    <row r="855" ht="12.0" customHeight="1">
      <c r="A855" s="353"/>
      <c r="B855" s="353"/>
      <c r="C855" s="353"/>
      <c r="D855" s="353"/>
      <c r="E855" s="353"/>
      <c r="F855" s="353"/>
      <c r="G855" s="353"/>
      <c r="H855" s="353"/>
      <c r="I855" s="353"/>
      <c r="J855" s="353"/>
      <c r="K855" s="353"/>
      <c r="L855" s="353"/>
      <c r="M855" s="353"/>
      <c r="N855" s="353"/>
      <c r="O855" s="353"/>
      <c r="P855" s="353"/>
      <c r="Q855" s="353"/>
      <c r="R855" s="353"/>
      <c r="S855" s="353"/>
      <c r="T855" s="353"/>
      <c r="U855" s="353"/>
      <c r="V855" s="353"/>
      <c r="W855" s="353"/>
      <c r="X855" s="353"/>
      <c r="Y855" s="353"/>
      <c r="Z855" s="353"/>
    </row>
    <row r="856" ht="12.0" customHeight="1">
      <c r="A856" s="353"/>
      <c r="B856" s="353"/>
      <c r="C856" s="353"/>
      <c r="D856" s="353"/>
      <c r="E856" s="353"/>
      <c r="F856" s="353"/>
      <c r="G856" s="353"/>
      <c r="H856" s="353"/>
      <c r="I856" s="353"/>
      <c r="J856" s="353"/>
      <c r="K856" s="353"/>
      <c r="L856" s="353"/>
      <c r="M856" s="353"/>
      <c r="N856" s="353"/>
      <c r="O856" s="353"/>
      <c r="P856" s="353"/>
      <c r="Q856" s="353"/>
      <c r="R856" s="353"/>
      <c r="S856" s="353"/>
      <c r="T856" s="353"/>
      <c r="U856" s="353"/>
      <c r="V856" s="353"/>
      <c r="W856" s="353"/>
      <c r="X856" s="353"/>
      <c r="Y856" s="353"/>
      <c r="Z856" s="353"/>
    </row>
    <row r="857" ht="12.0" customHeight="1">
      <c r="A857" s="353"/>
      <c r="B857" s="353"/>
      <c r="C857" s="353"/>
      <c r="D857" s="353"/>
      <c r="E857" s="353"/>
      <c r="F857" s="353"/>
      <c r="G857" s="353"/>
      <c r="H857" s="353"/>
      <c r="I857" s="353"/>
      <c r="J857" s="353"/>
      <c r="K857" s="353"/>
      <c r="L857" s="353"/>
      <c r="M857" s="353"/>
      <c r="N857" s="353"/>
      <c r="O857" s="353"/>
      <c r="P857" s="353"/>
      <c r="Q857" s="353"/>
      <c r="R857" s="353"/>
      <c r="S857" s="353"/>
      <c r="T857" s="353"/>
      <c r="U857" s="353"/>
      <c r="V857" s="353"/>
      <c r="W857" s="353"/>
      <c r="X857" s="353"/>
      <c r="Y857" s="353"/>
      <c r="Z857" s="353"/>
    </row>
    <row r="858" ht="12.0" customHeight="1">
      <c r="A858" s="353"/>
      <c r="B858" s="353"/>
      <c r="C858" s="353"/>
      <c r="D858" s="353"/>
      <c r="E858" s="353"/>
      <c r="F858" s="353"/>
      <c r="G858" s="353"/>
      <c r="H858" s="353"/>
      <c r="I858" s="353"/>
      <c r="J858" s="353"/>
      <c r="K858" s="353"/>
      <c r="L858" s="353"/>
      <c r="M858" s="353"/>
      <c r="N858" s="353"/>
      <c r="O858" s="353"/>
      <c r="P858" s="353"/>
      <c r="Q858" s="353"/>
      <c r="R858" s="353"/>
      <c r="S858" s="353"/>
      <c r="T858" s="353"/>
      <c r="U858" s="353"/>
      <c r="V858" s="353"/>
      <c r="W858" s="353"/>
      <c r="X858" s="353"/>
      <c r="Y858" s="353"/>
      <c r="Z858" s="353"/>
    </row>
    <row r="859" ht="12.0" customHeight="1">
      <c r="A859" s="353"/>
      <c r="B859" s="353"/>
      <c r="C859" s="353"/>
      <c r="D859" s="353"/>
      <c r="E859" s="353"/>
      <c r="F859" s="353"/>
      <c r="G859" s="353"/>
      <c r="H859" s="353"/>
      <c r="I859" s="353"/>
      <c r="J859" s="353"/>
      <c r="K859" s="353"/>
      <c r="L859" s="353"/>
      <c r="M859" s="353"/>
      <c r="N859" s="353"/>
      <c r="O859" s="353"/>
      <c r="P859" s="353"/>
      <c r="Q859" s="353"/>
      <c r="R859" s="353"/>
      <c r="S859" s="353"/>
      <c r="T859" s="353"/>
      <c r="U859" s="353"/>
      <c r="V859" s="353"/>
      <c r="W859" s="353"/>
      <c r="X859" s="353"/>
      <c r="Y859" s="353"/>
      <c r="Z859" s="353"/>
    </row>
    <row r="860" ht="12.0" customHeight="1">
      <c r="A860" s="353"/>
      <c r="B860" s="353"/>
      <c r="C860" s="353"/>
      <c r="D860" s="353"/>
      <c r="E860" s="353"/>
      <c r="F860" s="353"/>
      <c r="G860" s="353"/>
      <c r="H860" s="353"/>
      <c r="I860" s="353"/>
      <c r="J860" s="353"/>
      <c r="K860" s="353"/>
      <c r="L860" s="353"/>
      <c r="M860" s="353"/>
      <c r="N860" s="353"/>
      <c r="O860" s="353"/>
      <c r="P860" s="353"/>
      <c r="Q860" s="353"/>
      <c r="R860" s="353"/>
      <c r="S860" s="353"/>
      <c r="T860" s="353"/>
      <c r="U860" s="353"/>
      <c r="V860" s="353"/>
      <c r="W860" s="353"/>
      <c r="X860" s="353"/>
      <c r="Y860" s="353"/>
      <c r="Z860" s="353"/>
    </row>
    <row r="861" ht="12.0" customHeight="1">
      <c r="A861" s="353"/>
      <c r="B861" s="353"/>
      <c r="C861" s="353"/>
      <c r="D861" s="353"/>
      <c r="E861" s="353"/>
      <c r="F861" s="353"/>
      <c r="G861" s="353"/>
      <c r="H861" s="353"/>
      <c r="I861" s="353"/>
      <c r="J861" s="353"/>
      <c r="K861" s="353"/>
      <c r="L861" s="353"/>
      <c r="M861" s="353"/>
      <c r="N861" s="353"/>
      <c r="O861" s="353"/>
      <c r="P861" s="353"/>
      <c r="Q861" s="353"/>
      <c r="R861" s="353"/>
      <c r="S861" s="353"/>
      <c r="T861" s="353"/>
      <c r="U861" s="353"/>
      <c r="V861" s="353"/>
      <c r="W861" s="353"/>
      <c r="X861" s="353"/>
      <c r="Y861" s="353"/>
      <c r="Z861" s="353"/>
    </row>
    <row r="862" ht="12.0" customHeight="1">
      <c r="A862" s="353"/>
      <c r="B862" s="353"/>
      <c r="C862" s="353"/>
      <c r="D862" s="353"/>
      <c r="E862" s="353"/>
      <c r="F862" s="353"/>
      <c r="G862" s="353"/>
      <c r="H862" s="353"/>
      <c r="I862" s="353"/>
      <c r="J862" s="353"/>
      <c r="K862" s="353"/>
      <c r="L862" s="353"/>
      <c r="M862" s="353"/>
      <c r="N862" s="353"/>
      <c r="O862" s="353"/>
      <c r="P862" s="353"/>
      <c r="Q862" s="353"/>
      <c r="R862" s="353"/>
      <c r="S862" s="353"/>
      <c r="T862" s="353"/>
      <c r="U862" s="353"/>
      <c r="V862" s="353"/>
      <c r="W862" s="353"/>
      <c r="X862" s="353"/>
      <c r="Y862" s="353"/>
      <c r="Z862" s="353"/>
    </row>
    <row r="863" ht="12.0" customHeight="1">
      <c r="A863" s="353"/>
      <c r="B863" s="353"/>
      <c r="C863" s="353"/>
      <c r="D863" s="353"/>
      <c r="E863" s="353"/>
      <c r="F863" s="353"/>
      <c r="G863" s="353"/>
      <c r="H863" s="353"/>
      <c r="I863" s="353"/>
      <c r="J863" s="353"/>
      <c r="K863" s="353"/>
      <c r="L863" s="353"/>
      <c r="M863" s="353"/>
      <c r="N863" s="353"/>
      <c r="O863" s="353"/>
      <c r="P863" s="353"/>
      <c r="Q863" s="353"/>
      <c r="R863" s="353"/>
      <c r="S863" s="353"/>
      <c r="T863" s="353"/>
      <c r="U863" s="353"/>
      <c r="V863" s="353"/>
      <c r="W863" s="353"/>
      <c r="X863" s="353"/>
      <c r="Y863" s="353"/>
      <c r="Z863" s="353"/>
    </row>
    <row r="864" ht="12.0" customHeight="1">
      <c r="A864" s="353"/>
      <c r="B864" s="353"/>
      <c r="C864" s="353"/>
      <c r="D864" s="353"/>
      <c r="E864" s="353"/>
      <c r="F864" s="353"/>
      <c r="G864" s="353"/>
      <c r="H864" s="353"/>
      <c r="I864" s="353"/>
      <c r="J864" s="353"/>
      <c r="K864" s="353"/>
      <c r="L864" s="353"/>
      <c r="M864" s="353"/>
      <c r="N864" s="353"/>
      <c r="O864" s="353"/>
      <c r="P864" s="353"/>
      <c r="Q864" s="353"/>
      <c r="R864" s="353"/>
      <c r="S864" s="353"/>
      <c r="T864" s="353"/>
      <c r="U864" s="353"/>
      <c r="V864" s="353"/>
      <c r="W864" s="353"/>
      <c r="X864" s="353"/>
      <c r="Y864" s="353"/>
      <c r="Z864" s="353"/>
    </row>
    <row r="865" ht="12.0" customHeight="1">
      <c r="A865" s="353"/>
      <c r="B865" s="353"/>
      <c r="C865" s="353"/>
      <c r="D865" s="353"/>
      <c r="E865" s="353"/>
      <c r="F865" s="353"/>
      <c r="G865" s="353"/>
      <c r="H865" s="353"/>
      <c r="I865" s="353"/>
      <c r="J865" s="353"/>
      <c r="K865" s="353"/>
      <c r="L865" s="353"/>
      <c r="M865" s="353"/>
      <c r="N865" s="353"/>
      <c r="O865" s="353"/>
      <c r="P865" s="353"/>
      <c r="Q865" s="353"/>
      <c r="R865" s="353"/>
      <c r="S865" s="353"/>
      <c r="T865" s="353"/>
      <c r="U865" s="353"/>
      <c r="V865" s="353"/>
      <c r="W865" s="353"/>
      <c r="X865" s="353"/>
      <c r="Y865" s="353"/>
      <c r="Z865" s="353"/>
    </row>
    <row r="866" ht="12.0" customHeight="1">
      <c r="A866" s="353"/>
      <c r="B866" s="353"/>
      <c r="C866" s="353"/>
      <c r="D866" s="353"/>
      <c r="E866" s="353"/>
      <c r="F866" s="353"/>
      <c r="G866" s="353"/>
      <c r="H866" s="353"/>
      <c r="I866" s="353"/>
      <c r="J866" s="353"/>
      <c r="K866" s="353"/>
      <c r="L866" s="353"/>
      <c r="M866" s="353"/>
      <c r="N866" s="353"/>
      <c r="O866" s="353"/>
      <c r="P866" s="353"/>
      <c r="Q866" s="353"/>
      <c r="R866" s="353"/>
      <c r="S866" s="353"/>
      <c r="T866" s="353"/>
      <c r="U866" s="353"/>
      <c r="V866" s="353"/>
      <c r="W866" s="353"/>
      <c r="X866" s="353"/>
      <c r="Y866" s="353"/>
      <c r="Z866" s="353"/>
    </row>
    <row r="867" ht="12.0" customHeight="1">
      <c r="A867" s="353"/>
      <c r="B867" s="353"/>
      <c r="C867" s="353"/>
      <c r="D867" s="353"/>
      <c r="E867" s="353"/>
      <c r="F867" s="353"/>
      <c r="G867" s="353"/>
      <c r="H867" s="353"/>
      <c r="I867" s="353"/>
      <c r="J867" s="353"/>
      <c r="K867" s="353"/>
      <c r="L867" s="353"/>
      <c r="M867" s="353"/>
      <c r="N867" s="353"/>
      <c r="O867" s="353"/>
      <c r="P867" s="353"/>
      <c r="Q867" s="353"/>
      <c r="R867" s="353"/>
      <c r="S867" s="353"/>
      <c r="T867" s="353"/>
      <c r="U867" s="353"/>
      <c r="V867" s="353"/>
      <c r="W867" s="353"/>
      <c r="X867" s="353"/>
      <c r="Y867" s="353"/>
      <c r="Z867" s="353"/>
    </row>
    <row r="868" ht="12.0" customHeight="1">
      <c r="A868" s="353"/>
      <c r="B868" s="353"/>
      <c r="C868" s="353"/>
      <c r="D868" s="353"/>
      <c r="E868" s="353"/>
      <c r="F868" s="353"/>
      <c r="G868" s="353"/>
      <c r="H868" s="353"/>
      <c r="I868" s="353"/>
      <c r="J868" s="353"/>
      <c r="K868" s="353"/>
      <c r="L868" s="353"/>
      <c r="M868" s="353"/>
      <c r="N868" s="353"/>
      <c r="O868" s="353"/>
      <c r="P868" s="353"/>
      <c r="Q868" s="353"/>
      <c r="R868" s="353"/>
      <c r="S868" s="353"/>
      <c r="T868" s="353"/>
      <c r="U868" s="353"/>
      <c r="V868" s="353"/>
      <c r="W868" s="353"/>
      <c r="X868" s="353"/>
      <c r="Y868" s="353"/>
      <c r="Z868" s="353"/>
    </row>
    <row r="869" ht="12.0" customHeight="1">
      <c r="A869" s="353"/>
      <c r="B869" s="353"/>
      <c r="C869" s="353"/>
      <c r="D869" s="353"/>
      <c r="E869" s="353"/>
      <c r="F869" s="353"/>
      <c r="G869" s="353"/>
      <c r="H869" s="353"/>
      <c r="I869" s="353"/>
      <c r="J869" s="353"/>
      <c r="K869" s="353"/>
      <c r="L869" s="353"/>
      <c r="M869" s="353"/>
      <c r="N869" s="353"/>
      <c r="O869" s="353"/>
      <c r="P869" s="353"/>
      <c r="Q869" s="353"/>
      <c r="R869" s="353"/>
      <c r="S869" s="353"/>
      <c r="T869" s="353"/>
      <c r="U869" s="353"/>
      <c r="V869" s="353"/>
      <c r="W869" s="353"/>
      <c r="X869" s="353"/>
      <c r="Y869" s="353"/>
      <c r="Z869" s="353"/>
    </row>
    <row r="870" ht="12.0" customHeight="1">
      <c r="A870" s="353"/>
      <c r="B870" s="353"/>
      <c r="C870" s="353"/>
      <c r="D870" s="353"/>
      <c r="E870" s="353"/>
      <c r="F870" s="353"/>
      <c r="G870" s="353"/>
      <c r="H870" s="353"/>
      <c r="I870" s="353"/>
      <c r="J870" s="353"/>
      <c r="K870" s="353"/>
      <c r="L870" s="353"/>
      <c r="M870" s="353"/>
      <c r="N870" s="353"/>
      <c r="O870" s="353"/>
      <c r="P870" s="353"/>
      <c r="Q870" s="353"/>
      <c r="R870" s="353"/>
      <c r="S870" s="353"/>
      <c r="T870" s="353"/>
      <c r="U870" s="353"/>
      <c r="V870" s="353"/>
      <c r="W870" s="353"/>
      <c r="X870" s="353"/>
      <c r="Y870" s="353"/>
      <c r="Z870" s="353"/>
    </row>
    <row r="871" ht="12.0" customHeight="1">
      <c r="A871" s="353"/>
      <c r="B871" s="353"/>
      <c r="C871" s="353"/>
      <c r="D871" s="353"/>
      <c r="E871" s="353"/>
      <c r="F871" s="353"/>
      <c r="G871" s="353"/>
      <c r="H871" s="353"/>
      <c r="I871" s="353"/>
      <c r="J871" s="353"/>
      <c r="K871" s="353"/>
      <c r="L871" s="353"/>
      <c r="M871" s="353"/>
      <c r="N871" s="353"/>
      <c r="O871" s="353"/>
      <c r="P871" s="353"/>
      <c r="Q871" s="353"/>
      <c r="R871" s="353"/>
      <c r="S871" s="353"/>
      <c r="T871" s="353"/>
      <c r="U871" s="353"/>
      <c r="V871" s="353"/>
      <c r="W871" s="353"/>
      <c r="X871" s="353"/>
      <c r="Y871" s="353"/>
      <c r="Z871" s="353"/>
    </row>
    <row r="872" ht="12.0" customHeight="1">
      <c r="A872" s="353"/>
      <c r="B872" s="353"/>
      <c r="C872" s="353"/>
      <c r="D872" s="353"/>
      <c r="E872" s="353"/>
      <c r="F872" s="353"/>
      <c r="G872" s="353"/>
      <c r="H872" s="353"/>
      <c r="I872" s="353"/>
      <c r="J872" s="353"/>
      <c r="K872" s="353"/>
      <c r="L872" s="353"/>
      <c r="M872" s="353"/>
      <c r="N872" s="353"/>
      <c r="O872" s="353"/>
      <c r="P872" s="353"/>
      <c r="Q872" s="353"/>
      <c r="R872" s="353"/>
      <c r="S872" s="353"/>
      <c r="T872" s="353"/>
      <c r="U872" s="353"/>
      <c r="V872" s="353"/>
      <c r="W872" s="353"/>
      <c r="X872" s="353"/>
      <c r="Y872" s="353"/>
      <c r="Z872" s="353"/>
    </row>
    <row r="873" ht="12.0" customHeight="1">
      <c r="A873" s="353"/>
      <c r="B873" s="353"/>
      <c r="C873" s="353"/>
      <c r="D873" s="353"/>
      <c r="E873" s="353"/>
      <c r="F873" s="353"/>
      <c r="G873" s="353"/>
      <c r="H873" s="353"/>
      <c r="I873" s="353"/>
      <c r="J873" s="353"/>
      <c r="K873" s="353"/>
      <c r="L873" s="353"/>
      <c r="M873" s="353"/>
      <c r="N873" s="353"/>
      <c r="O873" s="353"/>
      <c r="P873" s="353"/>
      <c r="Q873" s="353"/>
      <c r="R873" s="353"/>
      <c r="S873" s="353"/>
      <c r="T873" s="353"/>
      <c r="U873" s="353"/>
      <c r="V873" s="353"/>
      <c r="W873" s="353"/>
      <c r="X873" s="353"/>
      <c r="Y873" s="353"/>
      <c r="Z873" s="353"/>
    </row>
    <row r="874" ht="12.0" customHeight="1">
      <c r="A874" s="353"/>
      <c r="B874" s="353"/>
      <c r="C874" s="353"/>
      <c r="D874" s="353"/>
      <c r="E874" s="353"/>
      <c r="F874" s="353"/>
      <c r="G874" s="353"/>
      <c r="H874" s="353"/>
      <c r="I874" s="353"/>
      <c r="J874" s="353"/>
      <c r="K874" s="353"/>
      <c r="L874" s="353"/>
      <c r="M874" s="353"/>
      <c r="N874" s="353"/>
      <c r="O874" s="353"/>
      <c r="P874" s="353"/>
      <c r="Q874" s="353"/>
      <c r="R874" s="353"/>
      <c r="S874" s="353"/>
      <c r="T874" s="353"/>
      <c r="U874" s="353"/>
      <c r="V874" s="353"/>
      <c r="W874" s="353"/>
      <c r="X874" s="353"/>
      <c r="Y874" s="353"/>
      <c r="Z874" s="353"/>
    </row>
    <row r="875" ht="12.0" customHeight="1">
      <c r="A875" s="353"/>
      <c r="B875" s="353"/>
      <c r="C875" s="353"/>
      <c r="D875" s="353"/>
      <c r="E875" s="353"/>
      <c r="F875" s="353"/>
      <c r="G875" s="353"/>
      <c r="H875" s="353"/>
      <c r="I875" s="353"/>
      <c r="J875" s="353"/>
      <c r="K875" s="353"/>
      <c r="L875" s="353"/>
      <c r="M875" s="353"/>
      <c r="N875" s="353"/>
      <c r="O875" s="353"/>
      <c r="P875" s="353"/>
      <c r="Q875" s="353"/>
      <c r="R875" s="353"/>
      <c r="S875" s="353"/>
      <c r="T875" s="353"/>
      <c r="U875" s="353"/>
      <c r="V875" s="353"/>
      <c r="W875" s="353"/>
      <c r="X875" s="353"/>
      <c r="Y875" s="353"/>
      <c r="Z875" s="353"/>
    </row>
    <row r="876" ht="12.0" customHeight="1">
      <c r="A876" s="353"/>
      <c r="B876" s="353"/>
      <c r="C876" s="353"/>
      <c r="D876" s="353"/>
      <c r="E876" s="353"/>
      <c r="F876" s="353"/>
      <c r="G876" s="353"/>
      <c r="H876" s="353"/>
      <c r="I876" s="353"/>
      <c r="J876" s="353"/>
      <c r="K876" s="353"/>
      <c r="L876" s="353"/>
      <c r="M876" s="353"/>
      <c r="N876" s="353"/>
      <c r="O876" s="353"/>
      <c r="P876" s="353"/>
      <c r="Q876" s="353"/>
      <c r="R876" s="353"/>
      <c r="S876" s="353"/>
      <c r="T876" s="353"/>
      <c r="U876" s="353"/>
      <c r="V876" s="353"/>
      <c r="W876" s="353"/>
      <c r="X876" s="353"/>
      <c r="Y876" s="353"/>
      <c r="Z876" s="353"/>
    </row>
    <row r="877" ht="12.0" customHeight="1">
      <c r="A877" s="353"/>
      <c r="B877" s="353"/>
      <c r="C877" s="353"/>
      <c r="D877" s="353"/>
      <c r="E877" s="353"/>
      <c r="F877" s="353"/>
      <c r="G877" s="353"/>
      <c r="H877" s="353"/>
      <c r="I877" s="353"/>
      <c r="J877" s="353"/>
      <c r="K877" s="353"/>
      <c r="L877" s="353"/>
      <c r="M877" s="353"/>
      <c r="N877" s="353"/>
      <c r="O877" s="353"/>
      <c r="P877" s="353"/>
      <c r="Q877" s="353"/>
      <c r="R877" s="353"/>
      <c r="S877" s="353"/>
      <c r="T877" s="353"/>
      <c r="U877" s="353"/>
      <c r="V877" s="353"/>
      <c r="W877" s="353"/>
      <c r="X877" s="353"/>
      <c r="Y877" s="353"/>
      <c r="Z877" s="353"/>
    </row>
    <row r="878" ht="12.0" customHeight="1">
      <c r="A878" s="353"/>
      <c r="B878" s="353"/>
      <c r="C878" s="353"/>
      <c r="D878" s="353"/>
      <c r="E878" s="353"/>
      <c r="F878" s="353"/>
      <c r="G878" s="353"/>
      <c r="H878" s="353"/>
      <c r="I878" s="353"/>
      <c r="J878" s="353"/>
      <c r="K878" s="353"/>
      <c r="L878" s="353"/>
      <c r="M878" s="353"/>
      <c r="N878" s="353"/>
      <c r="O878" s="353"/>
      <c r="P878" s="353"/>
      <c r="Q878" s="353"/>
      <c r="R878" s="353"/>
      <c r="S878" s="353"/>
      <c r="T878" s="353"/>
      <c r="U878" s="353"/>
      <c r="V878" s="353"/>
      <c r="W878" s="353"/>
      <c r="X878" s="353"/>
      <c r="Y878" s="353"/>
      <c r="Z878" s="353"/>
    </row>
    <row r="879" ht="12.0" customHeight="1">
      <c r="A879" s="353"/>
      <c r="B879" s="353"/>
      <c r="C879" s="353"/>
      <c r="D879" s="353"/>
      <c r="E879" s="353"/>
      <c r="F879" s="353"/>
      <c r="G879" s="353"/>
      <c r="H879" s="353"/>
      <c r="I879" s="353"/>
      <c r="J879" s="353"/>
      <c r="K879" s="353"/>
      <c r="L879" s="353"/>
      <c r="M879" s="353"/>
      <c r="N879" s="353"/>
      <c r="O879" s="353"/>
      <c r="P879" s="353"/>
      <c r="Q879" s="353"/>
      <c r="R879" s="353"/>
      <c r="S879" s="353"/>
      <c r="T879" s="353"/>
      <c r="U879" s="353"/>
      <c r="V879" s="353"/>
      <c r="W879" s="353"/>
      <c r="X879" s="353"/>
      <c r="Y879" s="353"/>
      <c r="Z879" s="353"/>
    </row>
    <row r="880" ht="12.0" customHeight="1">
      <c r="A880" s="353"/>
      <c r="B880" s="353"/>
      <c r="C880" s="353"/>
      <c r="D880" s="353"/>
      <c r="E880" s="353"/>
      <c r="F880" s="353"/>
      <c r="G880" s="353"/>
      <c r="H880" s="353"/>
      <c r="I880" s="353"/>
      <c r="J880" s="353"/>
      <c r="K880" s="353"/>
      <c r="L880" s="353"/>
      <c r="M880" s="353"/>
      <c r="N880" s="353"/>
      <c r="O880" s="353"/>
      <c r="P880" s="353"/>
      <c r="Q880" s="353"/>
      <c r="R880" s="353"/>
      <c r="S880" s="353"/>
      <c r="T880" s="353"/>
      <c r="U880" s="353"/>
      <c r="V880" s="353"/>
      <c r="W880" s="353"/>
      <c r="X880" s="353"/>
      <c r="Y880" s="353"/>
      <c r="Z880" s="353"/>
    </row>
    <row r="881" ht="12.0" customHeight="1">
      <c r="A881" s="353"/>
      <c r="B881" s="353"/>
      <c r="C881" s="353"/>
      <c r="D881" s="353"/>
      <c r="E881" s="353"/>
      <c r="F881" s="353"/>
      <c r="G881" s="353"/>
      <c r="H881" s="353"/>
      <c r="I881" s="353"/>
      <c r="J881" s="353"/>
      <c r="K881" s="353"/>
      <c r="L881" s="353"/>
      <c r="M881" s="353"/>
      <c r="N881" s="353"/>
      <c r="O881" s="353"/>
      <c r="P881" s="353"/>
      <c r="Q881" s="353"/>
      <c r="R881" s="353"/>
      <c r="S881" s="353"/>
      <c r="T881" s="353"/>
      <c r="U881" s="353"/>
      <c r="V881" s="353"/>
      <c r="W881" s="353"/>
      <c r="X881" s="353"/>
      <c r="Y881" s="353"/>
      <c r="Z881" s="353"/>
    </row>
    <row r="882" ht="12.0" customHeight="1">
      <c r="A882" s="353"/>
      <c r="B882" s="353"/>
      <c r="C882" s="353"/>
      <c r="D882" s="353"/>
      <c r="E882" s="353"/>
      <c r="F882" s="353"/>
      <c r="G882" s="353"/>
      <c r="H882" s="353"/>
      <c r="I882" s="353"/>
      <c r="J882" s="353"/>
      <c r="K882" s="353"/>
      <c r="L882" s="353"/>
      <c r="M882" s="353"/>
      <c r="N882" s="353"/>
      <c r="O882" s="353"/>
      <c r="P882" s="353"/>
      <c r="Q882" s="353"/>
      <c r="R882" s="353"/>
      <c r="S882" s="353"/>
      <c r="T882" s="353"/>
      <c r="U882" s="353"/>
      <c r="V882" s="353"/>
      <c r="W882" s="353"/>
      <c r="X882" s="353"/>
      <c r="Y882" s="353"/>
      <c r="Z882" s="353"/>
    </row>
    <row r="883" ht="12.0" customHeight="1">
      <c r="A883" s="353"/>
      <c r="B883" s="353"/>
      <c r="C883" s="353"/>
      <c r="D883" s="353"/>
      <c r="E883" s="353"/>
      <c r="F883" s="353"/>
      <c r="G883" s="353"/>
      <c r="H883" s="353"/>
      <c r="I883" s="353"/>
      <c r="J883" s="353"/>
      <c r="K883" s="353"/>
      <c r="L883" s="353"/>
      <c r="M883" s="353"/>
      <c r="N883" s="353"/>
      <c r="O883" s="353"/>
      <c r="P883" s="353"/>
      <c r="Q883" s="353"/>
      <c r="R883" s="353"/>
      <c r="S883" s="353"/>
      <c r="T883" s="353"/>
      <c r="U883" s="353"/>
      <c r="V883" s="353"/>
      <c r="W883" s="353"/>
      <c r="X883" s="353"/>
      <c r="Y883" s="353"/>
      <c r="Z883" s="353"/>
    </row>
    <row r="884" ht="12.0" customHeight="1">
      <c r="A884" s="353"/>
      <c r="B884" s="353"/>
      <c r="C884" s="353"/>
      <c r="D884" s="353"/>
      <c r="E884" s="353"/>
      <c r="F884" s="353"/>
      <c r="G884" s="353"/>
      <c r="H884" s="353"/>
      <c r="I884" s="353"/>
      <c r="J884" s="353"/>
      <c r="K884" s="353"/>
      <c r="L884" s="353"/>
      <c r="M884" s="353"/>
      <c r="N884" s="353"/>
      <c r="O884" s="353"/>
      <c r="P884" s="353"/>
      <c r="Q884" s="353"/>
      <c r="R884" s="353"/>
      <c r="S884" s="353"/>
      <c r="T884" s="353"/>
      <c r="U884" s="353"/>
      <c r="V884" s="353"/>
      <c r="W884" s="353"/>
      <c r="X884" s="353"/>
      <c r="Y884" s="353"/>
      <c r="Z884" s="353"/>
    </row>
    <row r="885" ht="12.0" customHeight="1">
      <c r="A885" s="353"/>
      <c r="B885" s="353"/>
      <c r="C885" s="353"/>
      <c r="D885" s="353"/>
      <c r="E885" s="353"/>
      <c r="F885" s="353"/>
      <c r="G885" s="353"/>
      <c r="H885" s="353"/>
      <c r="I885" s="353"/>
      <c r="J885" s="353"/>
      <c r="K885" s="353"/>
      <c r="L885" s="353"/>
      <c r="M885" s="353"/>
      <c r="N885" s="353"/>
      <c r="O885" s="353"/>
      <c r="P885" s="353"/>
      <c r="Q885" s="353"/>
      <c r="R885" s="353"/>
      <c r="S885" s="353"/>
      <c r="T885" s="353"/>
      <c r="U885" s="353"/>
      <c r="V885" s="353"/>
      <c r="W885" s="353"/>
      <c r="X885" s="353"/>
      <c r="Y885" s="353"/>
      <c r="Z885" s="353"/>
    </row>
    <row r="886" ht="12.0" customHeight="1">
      <c r="A886" s="353"/>
      <c r="B886" s="353"/>
      <c r="C886" s="353"/>
      <c r="D886" s="353"/>
      <c r="E886" s="353"/>
      <c r="F886" s="353"/>
      <c r="G886" s="353"/>
      <c r="H886" s="353"/>
      <c r="I886" s="353"/>
      <c r="J886" s="353"/>
      <c r="K886" s="353"/>
      <c r="L886" s="353"/>
      <c r="M886" s="353"/>
      <c r="N886" s="353"/>
      <c r="O886" s="353"/>
      <c r="P886" s="353"/>
      <c r="Q886" s="353"/>
      <c r="R886" s="353"/>
      <c r="S886" s="353"/>
      <c r="T886" s="353"/>
      <c r="U886" s="353"/>
      <c r="V886" s="353"/>
      <c r="W886" s="353"/>
      <c r="X886" s="353"/>
      <c r="Y886" s="353"/>
      <c r="Z886" s="353"/>
    </row>
    <row r="887" ht="12.0" customHeight="1">
      <c r="A887" s="353"/>
      <c r="B887" s="353"/>
      <c r="C887" s="353"/>
      <c r="D887" s="353"/>
      <c r="E887" s="353"/>
      <c r="F887" s="353"/>
      <c r="G887" s="353"/>
      <c r="H887" s="353"/>
      <c r="I887" s="353"/>
      <c r="J887" s="353"/>
      <c r="K887" s="353"/>
      <c r="L887" s="353"/>
      <c r="M887" s="353"/>
      <c r="N887" s="353"/>
      <c r="O887" s="353"/>
      <c r="P887" s="353"/>
      <c r="Q887" s="353"/>
      <c r="R887" s="353"/>
      <c r="S887" s="353"/>
      <c r="T887" s="353"/>
      <c r="U887" s="353"/>
      <c r="V887" s="353"/>
      <c r="W887" s="353"/>
      <c r="X887" s="353"/>
      <c r="Y887" s="353"/>
      <c r="Z887" s="353"/>
    </row>
    <row r="888" ht="12.0" customHeight="1">
      <c r="A888" s="353"/>
      <c r="B888" s="353"/>
      <c r="C888" s="353"/>
      <c r="D888" s="353"/>
      <c r="E888" s="353"/>
      <c r="F888" s="353"/>
      <c r="G888" s="353"/>
      <c r="H888" s="353"/>
      <c r="I888" s="353"/>
      <c r="J888" s="353"/>
      <c r="K888" s="353"/>
      <c r="L888" s="353"/>
      <c r="M888" s="353"/>
      <c r="N888" s="353"/>
      <c r="O888" s="353"/>
      <c r="P888" s="353"/>
      <c r="Q888" s="353"/>
      <c r="R888" s="353"/>
      <c r="S888" s="353"/>
      <c r="T888" s="353"/>
      <c r="U888" s="353"/>
      <c r="V888" s="353"/>
      <c r="W888" s="353"/>
      <c r="X888" s="353"/>
      <c r="Y888" s="353"/>
      <c r="Z888" s="353"/>
    </row>
    <row r="889" ht="12.0" customHeight="1">
      <c r="A889" s="353"/>
      <c r="B889" s="353"/>
      <c r="C889" s="353"/>
      <c r="D889" s="353"/>
      <c r="E889" s="353"/>
      <c r="F889" s="353"/>
      <c r="G889" s="353"/>
      <c r="H889" s="353"/>
      <c r="I889" s="353"/>
      <c r="J889" s="353"/>
      <c r="K889" s="353"/>
      <c r="L889" s="353"/>
      <c r="M889" s="353"/>
      <c r="N889" s="353"/>
      <c r="O889" s="353"/>
      <c r="P889" s="353"/>
      <c r="Q889" s="353"/>
      <c r="R889" s="353"/>
      <c r="S889" s="353"/>
      <c r="T889" s="353"/>
      <c r="U889" s="353"/>
      <c r="V889" s="353"/>
      <c r="W889" s="353"/>
      <c r="X889" s="353"/>
      <c r="Y889" s="353"/>
      <c r="Z889" s="353"/>
    </row>
    <row r="890" ht="12.0" customHeight="1">
      <c r="A890" s="353"/>
      <c r="B890" s="353"/>
      <c r="C890" s="353"/>
      <c r="D890" s="353"/>
      <c r="E890" s="353"/>
      <c r="F890" s="353"/>
      <c r="G890" s="353"/>
      <c r="H890" s="353"/>
      <c r="I890" s="353"/>
      <c r="J890" s="353"/>
      <c r="K890" s="353"/>
      <c r="L890" s="353"/>
      <c r="M890" s="353"/>
      <c r="N890" s="353"/>
      <c r="O890" s="353"/>
      <c r="P890" s="353"/>
      <c r="Q890" s="353"/>
      <c r="R890" s="353"/>
      <c r="S890" s="353"/>
      <c r="T890" s="353"/>
      <c r="U890" s="353"/>
      <c r="V890" s="353"/>
      <c r="W890" s="353"/>
      <c r="X890" s="353"/>
      <c r="Y890" s="353"/>
      <c r="Z890" s="353"/>
    </row>
    <row r="891" ht="12.0" customHeight="1">
      <c r="A891" s="353"/>
      <c r="B891" s="353"/>
      <c r="C891" s="353"/>
      <c r="D891" s="353"/>
      <c r="E891" s="353"/>
      <c r="F891" s="353"/>
      <c r="G891" s="353"/>
      <c r="H891" s="353"/>
      <c r="I891" s="353"/>
      <c r="J891" s="353"/>
      <c r="K891" s="353"/>
      <c r="L891" s="353"/>
      <c r="M891" s="353"/>
      <c r="N891" s="353"/>
      <c r="O891" s="353"/>
      <c r="P891" s="353"/>
      <c r="Q891" s="353"/>
      <c r="R891" s="353"/>
      <c r="S891" s="353"/>
      <c r="T891" s="353"/>
      <c r="U891" s="353"/>
      <c r="V891" s="353"/>
      <c r="W891" s="353"/>
      <c r="X891" s="353"/>
      <c r="Y891" s="353"/>
      <c r="Z891" s="353"/>
    </row>
    <row r="892" ht="12.0" customHeight="1">
      <c r="A892" s="353"/>
      <c r="B892" s="353"/>
      <c r="C892" s="353"/>
      <c r="D892" s="353"/>
      <c r="E892" s="353"/>
      <c r="F892" s="353"/>
      <c r="G892" s="353"/>
      <c r="H892" s="353"/>
      <c r="I892" s="353"/>
      <c r="J892" s="353"/>
      <c r="K892" s="353"/>
      <c r="L892" s="353"/>
      <c r="M892" s="353"/>
      <c r="N892" s="353"/>
      <c r="O892" s="353"/>
      <c r="P892" s="353"/>
      <c r="Q892" s="353"/>
      <c r="R892" s="353"/>
      <c r="S892" s="353"/>
      <c r="T892" s="353"/>
      <c r="U892" s="353"/>
      <c r="V892" s="353"/>
      <c r="W892" s="353"/>
      <c r="X892" s="353"/>
      <c r="Y892" s="353"/>
      <c r="Z892" s="353"/>
    </row>
    <row r="893" ht="12.0" customHeight="1">
      <c r="A893" s="353"/>
      <c r="B893" s="353"/>
      <c r="C893" s="353"/>
      <c r="D893" s="353"/>
      <c r="E893" s="353"/>
      <c r="F893" s="353"/>
      <c r="G893" s="353"/>
      <c r="H893" s="353"/>
      <c r="I893" s="353"/>
      <c r="J893" s="353"/>
      <c r="K893" s="353"/>
      <c r="L893" s="353"/>
      <c r="M893" s="353"/>
      <c r="N893" s="353"/>
      <c r="O893" s="353"/>
      <c r="P893" s="353"/>
      <c r="Q893" s="353"/>
      <c r="R893" s="353"/>
      <c r="S893" s="353"/>
      <c r="T893" s="353"/>
      <c r="U893" s="353"/>
      <c r="V893" s="353"/>
      <c r="W893" s="353"/>
      <c r="X893" s="353"/>
      <c r="Y893" s="353"/>
      <c r="Z893" s="353"/>
    </row>
    <row r="894" ht="12.0" customHeight="1">
      <c r="A894" s="353"/>
      <c r="B894" s="353"/>
      <c r="C894" s="353"/>
      <c r="D894" s="353"/>
      <c r="E894" s="353"/>
      <c r="F894" s="353"/>
      <c r="G894" s="353"/>
      <c r="H894" s="353"/>
      <c r="I894" s="353"/>
      <c r="J894" s="353"/>
      <c r="K894" s="353"/>
      <c r="L894" s="353"/>
      <c r="M894" s="353"/>
      <c r="N894" s="353"/>
      <c r="O894" s="353"/>
      <c r="P894" s="353"/>
      <c r="Q894" s="353"/>
      <c r="R894" s="353"/>
      <c r="S894" s="353"/>
      <c r="T894" s="353"/>
      <c r="U894" s="353"/>
      <c r="V894" s="353"/>
      <c r="W894" s="353"/>
      <c r="X894" s="353"/>
      <c r="Y894" s="353"/>
      <c r="Z894" s="353"/>
    </row>
    <row r="895" ht="12.0" customHeight="1">
      <c r="A895" s="353"/>
      <c r="B895" s="353"/>
      <c r="C895" s="353"/>
      <c r="D895" s="353"/>
      <c r="E895" s="353"/>
      <c r="F895" s="353"/>
      <c r="G895" s="353"/>
      <c r="H895" s="353"/>
      <c r="I895" s="353"/>
      <c r="J895" s="353"/>
      <c r="K895" s="353"/>
      <c r="L895" s="353"/>
      <c r="M895" s="353"/>
      <c r="N895" s="353"/>
      <c r="O895" s="353"/>
      <c r="P895" s="353"/>
      <c r="Q895" s="353"/>
      <c r="R895" s="353"/>
      <c r="S895" s="353"/>
      <c r="T895" s="353"/>
      <c r="U895" s="353"/>
      <c r="V895" s="353"/>
      <c r="W895" s="353"/>
      <c r="X895" s="353"/>
      <c r="Y895" s="353"/>
      <c r="Z895" s="353"/>
    </row>
    <row r="896" ht="12.0" customHeight="1">
      <c r="A896" s="353"/>
      <c r="B896" s="353"/>
      <c r="C896" s="353"/>
      <c r="D896" s="353"/>
      <c r="E896" s="353"/>
      <c r="F896" s="353"/>
      <c r="G896" s="353"/>
      <c r="H896" s="353"/>
      <c r="I896" s="353"/>
      <c r="J896" s="353"/>
      <c r="K896" s="353"/>
      <c r="L896" s="353"/>
      <c r="M896" s="353"/>
      <c r="N896" s="353"/>
      <c r="O896" s="353"/>
      <c r="P896" s="353"/>
      <c r="Q896" s="353"/>
      <c r="R896" s="353"/>
      <c r="S896" s="353"/>
      <c r="T896" s="353"/>
      <c r="U896" s="353"/>
      <c r="V896" s="353"/>
      <c r="W896" s="353"/>
      <c r="X896" s="353"/>
      <c r="Y896" s="353"/>
      <c r="Z896" s="353"/>
    </row>
    <row r="897" ht="12.0" customHeight="1">
      <c r="A897" s="353"/>
      <c r="B897" s="353"/>
      <c r="C897" s="353"/>
      <c r="D897" s="353"/>
      <c r="E897" s="353"/>
      <c r="F897" s="353"/>
      <c r="G897" s="353"/>
      <c r="H897" s="353"/>
      <c r="I897" s="353"/>
      <c r="J897" s="353"/>
      <c r="K897" s="353"/>
      <c r="L897" s="353"/>
      <c r="M897" s="353"/>
      <c r="N897" s="353"/>
      <c r="O897" s="353"/>
      <c r="P897" s="353"/>
      <c r="Q897" s="353"/>
      <c r="R897" s="353"/>
      <c r="S897" s="353"/>
      <c r="T897" s="353"/>
      <c r="U897" s="353"/>
      <c r="V897" s="353"/>
      <c r="W897" s="353"/>
      <c r="X897" s="353"/>
      <c r="Y897" s="353"/>
      <c r="Z897" s="353"/>
    </row>
    <row r="898" ht="12.0" customHeight="1">
      <c r="A898" s="353"/>
      <c r="B898" s="353"/>
      <c r="C898" s="353"/>
      <c r="D898" s="353"/>
      <c r="E898" s="353"/>
      <c r="F898" s="353"/>
      <c r="G898" s="353"/>
      <c r="H898" s="353"/>
      <c r="I898" s="353"/>
      <c r="J898" s="353"/>
      <c r="K898" s="353"/>
      <c r="L898" s="353"/>
      <c r="M898" s="353"/>
      <c r="N898" s="353"/>
      <c r="O898" s="353"/>
      <c r="P898" s="353"/>
      <c r="Q898" s="353"/>
      <c r="R898" s="353"/>
      <c r="S898" s="353"/>
      <c r="T898" s="353"/>
      <c r="U898" s="353"/>
      <c r="V898" s="353"/>
      <c r="W898" s="353"/>
      <c r="X898" s="353"/>
      <c r="Y898" s="353"/>
      <c r="Z898" s="353"/>
    </row>
    <row r="899" ht="12.0" customHeight="1">
      <c r="A899" s="353"/>
      <c r="B899" s="353"/>
      <c r="C899" s="353"/>
      <c r="D899" s="353"/>
      <c r="E899" s="353"/>
      <c r="F899" s="353"/>
      <c r="G899" s="353"/>
      <c r="H899" s="353"/>
      <c r="I899" s="353"/>
      <c r="J899" s="353"/>
      <c r="K899" s="353"/>
      <c r="L899" s="353"/>
      <c r="M899" s="353"/>
      <c r="N899" s="353"/>
      <c r="O899" s="353"/>
      <c r="P899" s="353"/>
      <c r="Q899" s="353"/>
      <c r="R899" s="353"/>
      <c r="S899" s="353"/>
      <c r="T899" s="353"/>
      <c r="U899" s="353"/>
      <c r="V899" s="353"/>
      <c r="W899" s="353"/>
      <c r="X899" s="353"/>
      <c r="Y899" s="353"/>
      <c r="Z899" s="353"/>
    </row>
    <row r="900" ht="12.0" customHeight="1">
      <c r="A900" s="353"/>
      <c r="B900" s="353"/>
      <c r="C900" s="353"/>
      <c r="D900" s="353"/>
      <c r="E900" s="353"/>
      <c r="F900" s="353"/>
      <c r="G900" s="353"/>
      <c r="H900" s="353"/>
      <c r="I900" s="353"/>
      <c r="J900" s="353"/>
      <c r="K900" s="353"/>
      <c r="L900" s="353"/>
      <c r="M900" s="353"/>
      <c r="N900" s="353"/>
      <c r="O900" s="353"/>
      <c r="P900" s="353"/>
      <c r="Q900" s="353"/>
      <c r="R900" s="353"/>
      <c r="S900" s="353"/>
      <c r="T900" s="353"/>
      <c r="U900" s="353"/>
      <c r="V900" s="353"/>
      <c r="W900" s="353"/>
      <c r="X900" s="353"/>
      <c r="Y900" s="353"/>
      <c r="Z900" s="353"/>
    </row>
    <row r="901" ht="12.0" customHeight="1">
      <c r="A901" s="353"/>
      <c r="B901" s="353"/>
      <c r="C901" s="353"/>
      <c r="D901" s="353"/>
      <c r="E901" s="353"/>
      <c r="F901" s="353"/>
      <c r="G901" s="353"/>
      <c r="H901" s="353"/>
      <c r="I901" s="353"/>
      <c r="J901" s="353"/>
      <c r="K901" s="353"/>
      <c r="L901" s="353"/>
      <c r="M901" s="353"/>
      <c r="N901" s="353"/>
      <c r="O901" s="353"/>
      <c r="P901" s="353"/>
      <c r="Q901" s="353"/>
      <c r="R901" s="353"/>
      <c r="S901" s="353"/>
      <c r="T901" s="353"/>
      <c r="U901" s="353"/>
      <c r="V901" s="353"/>
      <c r="W901" s="353"/>
      <c r="X901" s="353"/>
      <c r="Y901" s="353"/>
      <c r="Z901" s="353"/>
    </row>
    <row r="902" ht="12.0" customHeight="1">
      <c r="A902" s="353"/>
      <c r="B902" s="353"/>
      <c r="C902" s="353"/>
      <c r="D902" s="353"/>
      <c r="E902" s="353"/>
      <c r="F902" s="353"/>
      <c r="G902" s="353"/>
      <c r="H902" s="353"/>
      <c r="I902" s="353"/>
      <c r="J902" s="353"/>
      <c r="K902" s="353"/>
      <c r="L902" s="353"/>
      <c r="M902" s="353"/>
      <c r="N902" s="353"/>
      <c r="O902" s="353"/>
      <c r="P902" s="353"/>
      <c r="Q902" s="353"/>
      <c r="R902" s="353"/>
      <c r="S902" s="353"/>
      <c r="T902" s="353"/>
      <c r="U902" s="353"/>
      <c r="V902" s="353"/>
      <c r="W902" s="353"/>
      <c r="X902" s="353"/>
      <c r="Y902" s="353"/>
      <c r="Z902" s="353"/>
    </row>
    <row r="903" ht="12.0" customHeight="1">
      <c r="A903" s="353"/>
      <c r="B903" s="353"/>
      <c r="C903" s="353"/>
      <c r="D903" s="353"/>
      <c r="E903" s="353"/>
      <c r="F903" s="353"/>
      <c r="G903" s="353"/>
      <c r="H903" s="353"/>
      <c r="I903" s="353"/>
      <c r="J903" s="353"/>
      <c r="K903" s="353"/>
      <c r="L903" s="353"/>
      <c r="M903" s="353"/>
      <c r="N903" s="353"/>
      <c r="O903" s="353"/>
      <c r="P903" s="353"/>
      <c r="Q903" s="353"/>
      <c r="R903" s="353"/>
      <c r="S903" s="353"/>
      <c r="T903" s="353"/>
      <c r="U903" s="353"/>
      <c r="V903" s="353"/>
      <c r="W903" s="353"/>
      <c r="X903" s="353"/>
      <c r="Y903" s="353"/>
      <c r="Z903" s="353"/>
    </row>
    <row r="904" ht="12.0" customHeight="1">
      <c r="A904" s="353"/>
      <c r="B904" s="353"/>
      <c r="C904" s="353"/>
      <c r="D904" s="353"/>
      <c r="E904" s="353"/>
      <c r="F904" s="353"/>
      <c r="G904" s="353"/>
      <c r="H904" s="353"/>
      <c r="I904" s="353"/>
      <c r="J904" s="353"/>
      <c r="K904" s="353"/>
      <c r="L904" s="353"/>
      <c r="M904" s="353"/>
      <c r="N904" s="353"/>
      <c r="O904" s="353"/>
      <c r="P904" s="353"/>
      <c r="Q904" s="353"/>
      <c r="R904" s="353"/>
      <c r="S904" s="353"/>
      <c r="T904" s="353"/>
      <c r="U904" s="353"/>
      <c r="V904" s="353"/>
      <c r="W904" s="353"/>
      <c r="X904" s="353"/>
      <c r="Y904" s="353"/>
      <c r="Z904" s="353"/>
    </row>
    <row r="905" ht="12.0" customHeight="1">
      <c r="A905" s="353"/>
      <c r="B905" s="353"/>
      <c r="C905" s="353"/>
      <c r="D905" s="353"/>
      <c r="E905" s="353"/>
      <c r="F905" s="353"/>
      <c r="G905" s="353"/>
      <c r="H905" s="353"/>
      <c r="I905" s="353"/>
      <c r="J905" s="353"/>
      <c r="K905" s="353"/>
      <c r="L905" s="353"/>
      <c r="M905" s="353"/>
      <c r="N905" s="353"/>
      <c r="O905" s="353"/>
      <c r="P905" s="353"/>
      <c r="Q905" s="353"/>
      <c r="R905" s="353"/>
      <c r="S905" s="353"/>
      <c r="T905" s="353"/>
      <c r="U905" s="353"/>
      <c r="V905" s="353"/>
      <c r="W905" s="353"/>
      <c r="X905" s="353"/>
      <c r="Y905" s="353"/>
      <c r="Z905" s="353"/>
    </row>
    <row r="906" ht="12.0" customHeight="1">
      <c r="A906" s="353"/>
      <c r="B906" s="353"/>
      <c r="C906" s="353"/>
      <c r="D906" s="353"/>
      <c r="E906" s="353"/>
      <c r="F906" s="353"/>
      <c r="G906" s="353"/>
      <c r="H906" s="353"/>
      <c r="I906" s="353"/>
      <c r="J906" s="353"/>
      <c r="K906" s="353"/>
      <c r="L906" s="353"/>
      <c r="M906" s="353"/>
      <c r="N906" s="353"/>
      <c r="O906" s="353"/>
      <c r="P906" s="353"/>
      <c r="Q906" s="353"/>
      <c r="R906" s="353"/>
      <c r="S906" s="353"/>
      <c r="T906" s="353"/>
      <c r="U906" s="353"/>
      <c r="V906" s="353"/>
      <c r="W906" s="353"/>
      <c r="X906" s="353"/>
      <c r="Y906" s="353"/>
      <c r="Z906" s="353"/>
    </row>
    <row r="907" ht="12.0" customHeight="1">
      <c r="A907" s="353"/>
      <c r="B907" s="353"/>
      <c r="C907" s="353"/>
      <c r="D907" s="353"/>
      <c r="E907" s="353"/>
      <c r="F907" s="353"/>
      <c r="G907" s="353"/>
      <c r="H907" s="353"/>
      <c r="I907" s="353"/>
      <c r="J907" s="353"/>
      <c r="K907" s="353"/>
      <c r="L907" s="353"/>
      <c r="M907" s="353"/>
      <c r="N907" s="353"/>
      <c r="O907" s="353"/>
      <c r="P907" s="353"/>
      <c r="Q907" s="353"/>
      <c r="R907" s="353"/>
      <c r="S907" s="353"/>
      <c r="T907" s="353"/>
      <c r="U907" s="353"/>
      <c r="V907" s="353"/>
      <c r="W907" s="353"/>
      <c r="X907" s="353"/>
      <c r="Y907" s="353"/>
      <c r="Z907" s="353"/>
    </row>
    <row r="908" ht="12.0" customHeight="1">
      <c r="A908" s="353"/>
      <c r="B908" s="353"/>
      <c r="C908" s="353"/>
      <c r="D908" s="353"/>
      <c r="E908" s="353"/>
      <c r="F908" s="353"/>
      <c r="G908" s="353"/>
      <c r="H908" s="353"/>
      <c r="I908" s="353"/>
      <c r="J908" s="353"/>
      <c r="K908" s="353"/>
      <c r="L908" s="353"/>
      <c r="M908" s="353"/>
      <c r="N908" s="353"/>
      <c r="O908" s="353"/>
      <c r="P908" s="353"/>
      <c r="Q908" s="353"/>
      <c r="R908" s="353"/>
      <c r="S908" s="353"/>
      <c r="T908" s="353"/>
      <c r="U908" s="353"/>
      <c r="V908" s="353"/>
      <c r="W908" s="353"/>
      <c r="X908" s="353"/>
      <c r="Y908" s="353"/>
      <c r="Z908" s="353"/>
    </row>
    <row r="909" ht="12.0" customHeight="1">
      <c r="A909" s="353"/>
      <c r="B909" s="353"/>
      <c r="C909" s="353"/>
      <c r="D909" s="353"/>
      <c r="E909" s="353"/>
      <c r="F909" s="353"/>
      <c r="G909" s="353"/>
      <c r="H909" s="353"/>
      <c r="I909" s="353"/>
      <c r="J909" s="353"/>
      <c r="K909" s="353"/>
      <c r="L909" s="353"/>
      <c r="M909" s="353"/>
      <c r="N909" s="353"/>
      <c r="O909" s="353"/>
      <c r="P909" s="353"/>
      <c r="Q909" s="353"/>
      <c r="R909" s="353"/>
      <c r="S909" s="353"/>
      <c r="T909" s="353"/>
      <c r="U909" s="353"/>
      <c r="V909" s="353"/>
      <c r="W909" s="353"/>
      <c r="X909" s="353"/>
      <c r="Y909" s="353"/>
      <c r="Z909" s="353"/>
    </row>
    <row r="910" ht="12.0" customHeight="1">
      <c r="A910" s="353"/>
      <c r="B910" s="353"/>
      <c r="C910" s="353"/>
      <c r="D910" s="353"/>
      <c r="E910" s="353"/>
      <c r="F910" s="353"/>
      <c r="G910" s="353"/>
      <c r="H910" s="353"/>
      <c r="I910" s="353"/>
      <c r="J910" s="353"/>
      <c r="K910" s="353"/>
      <c r="L910" s="353"/>
      <c r="M910" s="353"/>
      <c r="N910" s="353"/>
      <c r="O910" s="353"/>
      <c r="P910" s="353"/>
      <c r="Q910" s="353"/>
      <c r="R910" s="353"/>
      <c r="S910" s="353"/>
      <c r="T910" s="353"/>
      <c r="U910" s="353"/>
      <c r="V910" s="353"/>
      <c r="W910" s="353"/>
      <c r="X910" s="353"/>
      <c r="Y910" s="353"/>
      <c r="Z910" s="353"/>
    </row>
    <row r="911" ht="12.0" customHeight="1">
      <c r="A911" s="353"/>
      <c r="B911" s="353"/>
      <c r="C911" s="353"/>
      <c r="D911" s="353"/>
      <c r="E911" s="353"/>
      <c r="F911" s="353"/>
      <c r="G911" s="353"/>
      <c r="H911" s="353"/>
      <c r="I911" s="353"/>
      <c r="J911" s="353"/>
      <c r="K911" s="353"/>
      <c r="L911" s="353"/>
      <c r="M911" s="353"/>
      <c r="N911" s="353"/>
      <c r="O911" s="353"/>
      <c r="P911" s="353"/>
      <c r="Q911" s="353"/>
      <c r="R911" s="353"/>
      <c r="S911" s="353"/>
      <c r="T911" s="353"/>
      <c r="U911" s="353"/>
      <c r="V911" s="353"/>
      <c r="W911" s="353"/>
      <c r="X911" s="353"/>
      <c r="Y911" s="353"/>
      <c r="Z911" s="353"/>
    </row>
    <row r="912" ht="12.0" customHeight="1">
      <c r="A912" s="353"/>
      <c r="B912" s="353"/>
      <c r="C912" s="353"/>
      <c r="D912" s="353"/>
      <c r="E912" s="353"/>
      <c r="F912" s="353"/>
      <c r="G912" s="353"/>
      <c r="H912" s="353"/>
      <c r="I912" s="353"/>
      <c r="J912" s="353"/>
      <c r="K912" s="353"/>
      <c r="L912" s="353"/>
      <c r="M912" s="353"/>
      <c r="N912" s="353"/>
      <c r="O912" s="353"/>
      <c r="P912" s="353"/>
      <c r="Q912" s="353"/>
      <c r="R912" s="353"/>
      <c r="S912" s="353"/>
      <c r="T912" s="353"/>
      <c r="U912" s="353"/>
      <c r="V912" s="353"/>
      <c r="W912" s="353"/>
      <c r="X912" s="353"/>
      <c r="Y912" s="353"/>
      <c r="Z912" s="353"/>
    </row>
    <row r="913" ht="12.0" customHeight="1">
      <c r="A913" s="353"/>
      <c r="B913" s="353"/>
      <c r="C913" s="353"/>
      <c r="D913" s="353"/>
      <c r="E913" s="353"/>
      <c r="F913" s="353"/>
      <c r="G913" s="353"/>
      <c r="H913" s="353"/>
      <c r="I913" s="353"/>
      <c r="J913" s="353"/>
      <c r="K913" s="353"/>
      <c r="L913" s="353"/>
      <c r="M913" s="353"/>
      <c r="N913" s="353"/>
      <c r="O913" s="353"/>
      <c r="P913" s="353"/>
      <c r="Q913" s="353"/>
      <c r="R913" s="353"/>
      <c r="S913" s="353"/>
      <c r="T913" s="353"/>
      <c r="U913" s="353"/>
      <c r="V913" s="353"/>
      <c r="W913" s="353"/>
      <c r="X913" s="353"/>
      <c r="Y913" s="353"/>
      <c r="Z913" s="353"/>
    </row>
    <row r="914" ht="12.0" customHeight="1">
      <c r="A914" s="353"/>
      <c r="B914" s="353"/>
      <c r="C914" s="353"/>
      <c r="D914" s="353"/>
      <c r="E914" s="353"/>
      <c r="F914" s="353"/>
      <c r="G914" s="353"/>
      <c r="H914" s="353"/>
      <c r="I914" s="353"/>
      <c r="J914" s="353"/>
      <c r="K914" s="353"/>
      <c r="L914" s="353"/>
      <c r="M914" s="353"/>
      <c r="N914" s="353"/>
      <c r="O914" s="353"/>
      <c r="P914" s="353"/>
      <c r="Q914" s="353"/>
      <c r="R914" s="353"/>
      <c r="S914" s="353"/>
      <c r="T914" s="353"/>
      <c r="U914" s="353"/>
      <c r="V914" s="353"/>
      <c r="W914" s="353"/>
      <c r="X914" s="353"/>
      <c r="Y914" s="353"/>
      <c r="Z914" s="353"/>
    </row>
    <row r="915" ht="12.0" customHeight="1">
      <c r="A915" s="353"/>
      <c r="B915" s="353"/>
      <c r="C915" s="353"/>
      <c r="D915" s="353"/>
      <c r="E915" s="353"/>
      <c r="F915" s="353"/>
      <c r="G915" s="353"/>
      <c r="H915" s="353"/>
      <c r="I915" s="353"/>
      <c r="J915" s="353"/>
      <c r="K915" s="353"/>
      <c r="L915" s="353"/>
      <c r="M915" s="353"/>
      <c r="N915" s="353"/>
      <c r="O915" s="353"/>
      <c r="P915" s="353"/>
      <c r="Q915" s="353"/>
      <c r="R915" s="353"/>
      <c r="S915" s="353"/>
      <c r="T915" s="353"/>
      <c r="U915" s="353"/>
      <c r="V915" s="353"/>
      <c r="W915" s="353"/>
      <c r="X915" s="353"/>
      <c r="Y915" s="353"/>
      <c r="Z915" s="353"/>
    </row>
    <row r="916" ht="12.0" customHeight="1">
      <c r="A916" s="353"/>
      <c r="B916" s="353"/>
      <c r="C916" s="353"/>
      <c r="D916" s="353"/>
      <c r="E916" s="353"/>
      <c r="F916" s="353"/>
      <c r="G916" s="353"/>
      <c r="H916" s="353"/>
      <c r="I916" s="353"/>
      <c r="J916" s="353"/>
      <c r="K916" s="353"/>
      <c r="L916" s="353"/>
      <c r="M916" s="353"/>
      <c r="N916" s="353"/>
      <c r="O916" s="353"/>
      <c r="P916" s="353"/>
      <c r="Q916" s="353"/>
      <c r="R916" s="353"/>
      <c r="S916" s="353"/>
      <c r="T916" s="353"/>
      <c r="U916" s="353"/>
      <c r="V916" s="353"/>
      <c r="W916" s="353"/>
      <c r="X916" s="353"/>
      <c r="Y916" s="353"/>
      <c r="Z916" s="353"/>
    </row>
    <row r="917" ht="12.0" customHeight="1">
      <c r="A917" s="353"/>
      <c r="B917" s="353"/>
      <c r="C917" s="353"/>
      <c r="D917" s="353"/>
      <c r="E917" s="353"/>
      <c r="F917" s="353"/>
      <c r="G917" s="353"/>
      <c r="H917" s="353"/>
      <c r="I917" s="353"/>
      <c r="J917" s="353"/>
      <c r="K917" s="353"/>
      <c r="L917" s="353"/>
      <c r="M917" s="353"/>
      <c r="N917" s="353"/>
      <c r="O917" s="353"/>
      <c r="P917" s="353"/>
      <c r="Q917" s="353"/>
      <c r="R917" s="353"/>
      <c r="S917" s="353"/>
      <c r="T917" s="353"/>
      <c r="U917" s="353"/>
      <c r="V917" s="353"/>
      <c r="W917" s="353"/>
      <c r="X917" s="353"/>
      <c r="Y917" s="353"/>
      <c r="Z917" s="353"/>
    </row>
    <row r="918" ht="12.0" customHeight="1">
      <c r="A918" s="353"/>
      <c r="B918" s="353"/>
      <c r="C918" s="353"/>
      <c r="D918" s="353"/>
      <c r="E918" s="353"/>
      <c r="F918" s="353"/>
      <c r="G918" s="353"/>
      <c r="H918" s="353"/>
      <c r="I918" s="353"/>
      <c r="J918" s="353"/>
      <c r="K918" s="353"/>
      <c r="L918" s="353"/>
      <c r="M918" s="353"/>
      <c r="N918" s="353"/>
      <c r="O918" s="353"/>
      <c r="P918" s="353"/>
      <c r="Q918" s="353"/>
      <c r="R918" s="353"/>
      <c r="S918" s="353"/>
      <c r="T918" s="353"/>
      <c r="U918" s="353"/>
      <c r="V918" s="353"/>
      <c r="W918" s="353"/>
      <c r="X918" s="353"/>
      <c r="Y918" s="353"/>
      <c r="Z918" s="353"/>
    </row>
    <row r="919" ht="12.0" customHeight="1">
      <c r="A919" s="353"/>
      <c r="B919" s="353"/>
      <c r="C919" s="353"/>
      <c r="D919" s="353"/>
      <c r="E919" s="353"/>
      <c r="F919" s="353"/>
      <c r="G919" s="353"/>
      <c r="H919" s="353"/>
      <c r="I919" s="353"/>
      <c r="J919" s="353"/>
      <c r="K919" s="353"/>
      <c r="L919" s="353"/>
      <c r="M919" s="353"/>
      <c r="N919" s="353"/>
      <c r="O919" s="353"/>
      <c r="P919" s="353"/>
      <c r="Q919" s="353"/>
      <c r="R919" s="353"/>
      <c r="S919" s="353"/>
      <c r="T919" s="353"/>
      <c r="U919" s="353"/>
      <c r="V919" s="353"/>
      <c r="W919" s="353"/>
      <c r="X919" s="353"/>
      <c r="Y919" s="353"/>
      <c r="Z919" s="353"/>
    </row>
    <row r="920" ht="12.0" customHeight="1">
      <c r="A920" s="353"/>
      <c r="B920" s="353"/>
      <c r="C920" s="353"/>
      <c r="D920" s="353"/>
      <c r="E920" s="353"/>
      <c r="F920" s="353"/>
      <c r="G920" s="353"/>
      <c r="H920" s="353"/>
      <c r="I920" s="353"/>
      <c r="J920" s="353"/>
      <c r="K920" s="353"/>
      <c r="L920" s="353"/>
      <c r="M920" s="353"/>
      <c r="N920" s="353"/>
      <c r="O920" s="353"/>
      <c r="P920" s="353"/>
      <c r="Q920" s="353"/>
      <c r="R920" s="353"/>
      <c r="S920" s="353"/>
      <c r="T920" s="353"/>
      <c r="U920" s="353"/>
      <c r="V920" s="353"/>
      <c r="W920" s="353"/>
      <c r="X920" s="353"/>
      <c r="Y920" s="353"/>
      <c r="Z920" s="353"/>
    </row>
    <row r="921" ht="12.0" customHeight="1">
      <c r="A921" s="353"/>
      <c r="B921" s="353"/>
      <c r="C921" s="353"/>
      <c r="D921" s="353"/>
      <c r="E921" s="353"/>
      <c r="F921" s="353"/>
      <c r="G921" s="353"/>
      <c r="H921" s="353"/>
      <c r="I921" s="353"/>
      <c r="J921" s="353"/>
      <c r="K921" s="353"/>
      <c r="L921" s="353"/>
      <c r="M921" s="353"/>
      <c r="N921" s="353"/>
      <c r="O921" s="353"/>
      <c r="P921" s="353"/>
      <c r="Q921" s="353"/>
      <c r="R921" s="353"/>
      <c r="S921" s="353"/>
      <c r="T921" s="353"/>
      <c r="U921" s="353"/>
      <c r="V921" s="353"/>
      <c r="W921" s="353"/>
      <c r="X921" s="353"/>
      <c r="Y921" s="353"/>
      <c r="Z921" s="353"/>
    </row>
    <row r="922" ht="12.0" customHeight="1">
      <c r="A922" s="353"/>
      <c r="B922" s="353"/>
      <c r="C922" s="353"/>
      <c r="D922" s="353"/>
      <c r="E922" s="353"/>
      <c r="F922" s="353"/>
      <c r="G922" s="353"/>
      <c r="H922" s="353"/>
      <c r="I922" s="353"/>
      <c r="J922" s="353"/>
      <c r="K922" s="353"/>
      <c r="L922" s="353"/>
      <c r="M922" s="353"/>
      <c r="N922" s="353"/>
      <c r="O922" s="353"/>
      <c r="P922" s="353"/>
      <c r="Q922" s="353"/>
      <c r="R922" s="353"/>
      <c r="S922" s="353"/>
      <c r="T922" s="353"/>
      <c r="U922" s="353"/>
      <c r="V922" s="353"/>
      <c r="W922" s="353"/>
      <c r="X922" s="353"/>
      <c r="Y922" s="353"/>
      <c r="Z922" s="353"/>
    </row>
    <row r="923" ht="12.0" customHeight="1">
      <c r="A923" s="353"/>
      <c r="B923" s="353"/>
      <c r="C923" s="353"/>
      <c r="D923" s="353"/>
      <c r="E923" s="353"/>
      <c r="F923" s="353"/>
      <c r="G923" s="353"/>
      <c r="H923" s="353"/>
      <c r="I923" s="353"/>
      <c r="J923" s="353"/>
      <c r="K923" s="353"/>
      <c r="L923" s="353"/>
      <c r="M923" s="353"/>
      <c r="N923" s="353"/>
      <c r="O923" s="353"/>
      <c r="P923" s="353"/>
      <c r="Q923" s="353"/>
      <c r="R923" s="353"/>
      <c r="S923" s="353"/>
      <c r="T923" s="353"/>
      <c r="U923" s="353"/>
      <c r="V923" s="353"/>
      <c r="W923" s="353"/>
      <c r="X923" s="353"/>
      <c r="Y923" s="353"/>
      <c r="Z923" s="353"/>
    </row>
    <row r="924" ht="12.0" customHeight="1">
      <c r="A924" s="353"/>
      <c r="B924" s="353"/>
      <c r="C924" s="353"/>
      <c r="D924" s="353"/>
      <c r="E924" s="353"/>
      <c r="F924" s="353"/>
      <c r="G924" s="353"/>
      <c r="H924" s="353"/>
      <c r="I924" s="353"/>
      <c r="J924" s="353"/>
      <c r="K924" s="353"/>
      <c r="L924" s="353"/>
      <c r="M924" s="353"/>
      <c r="N924" s="353"/>
      <c r="O924" s="353"/>
      <c r="P924" s="353"/>
      <c r="Q924" s="353"/>
      <c r="R924" s="353"/>
      <c r="S924" s="353"/>
      <c r="T924" s="353"/>
      <c r="U924" s="353"/>
      <c r="V924" s="353"/>
      <c r="W924" s="353"/>
      <c r="X924" s="353"/>
      <c r="Y924" s="353"/>
      <c r="Z924" s="353"/>
    </row>
    <row r="925" ht="12.0" customHeight="1">
      <c r="A925" s="353"/>
      <c r="B925" s="353"/>
      <c r="C925" s="353"/>
      <c r="D925" s="353"/>
      <c r="E925" s="353"/>
      <c r="F925" s="353"/>
      <c r="G925" s="353"/>
      <c r="H925" s="353"/>
      <c r="I925" s="353"/>
      <c r="J925" s="353"/>
      <c r="K925" s="353"/>
      <c r="L925" s="353"/>
      <c r="M925" s="353"/>
      <c r="N925" s="353"/>
      <c r="O925" s="353"/>
      <c r="P925" s="353"/>
      <c r="Q925" s="353"/>
      <c r="R925" s="353"/>
      <c r="S925" s="353"/>
      <c r="T925" s="353"/>
      <c r="U925" s="353"/>
      <c r="V925" s="353"/>
      <c r="W925" s="353"/>
      <c r="X925" s="353"/>
      <c r="Y925" s="353"/>
      <c r="Z925" s="353"/>
    </row>
    <row r="926" ht="12.0" customHeight="1">
      <c r="A926" s="353"/>
      <c r="B926" s="353"/>
      <c r="C926" s="353"/>
      <c r="D926" s="353"/>
      <c r="E926" s="353"/>
      <c r="F926" s="353"/>
      <c r="G926" s="353"/>
      <c r="H926" s="353"/>
      <c r="I926" s="353"/>
      <c r="J926" s="353"/>
      <c r="K926" s="353"/>
      <c r="L926" s="353"/>
      <c r="M926" s="353"/>
      <c r="N926" s="353"/>
      <c r="O926" s="353"/>
      <c r="P926" s="353"/>
      <c r="Q926" s="353"/>
      <c r="R926" s="353"/>
      <c r="S926" s="353"/>
      <c r="T926" s="353"/>
      <c r="U926" s="353"/>
      <c r="V926" s="353"/>
      <c r="W926" s="353"/>
      <c r="X926" s="353"/>
      <c r="Y926" s="353"/>
      <c r="Z926" s="353"/>
    </row>
    <row r="927" ht="12.0" customHeight="1">
      <c r="A927" s="353"/>
      <c r="B927" s="353"/>
      <c r="C927" s="353"/>
      <c r="D927" s="353"/>
      <c r="E927" s="353"/>
      <c r="F927" s="353"/>
      <c r="G927" s="353"/>
      <c r="H927" s="353"/>
      <c r="I927" s="353"/>
      <c r="J927" s="353"/>
      <c r="K927" s="353"/>
      <c r="L927" s="353"/>
      <c r="M927" s="353"/>
      <c r="N927" s="353"/>
      <c r="O927" s="353"/>
      <c r="P927" s="353"/>
      <c r="Q927" s="353"/>
      <c r="R927" s="353"/>
      <c r="S927" s="353"/>
      <c r="T927" s="353"/>
      <c r="U927" s="353"/>
      <c r="V927" s="353"/>
      <c r="W927" s="353"/>
      <c r="X927" s="353"/>
      <c r="Y927" s="353"/>
      <c r="Z927" s="353"/>
    </row>
    <row r="928" ht="12.0" customHeight="1">
      <c r="A928" s="353"/>
      <c r="B928" s="353"/>
      <c r="C928" s="353"/>
      <c r="D928" s="353"/>
      <c r="E928" s="353"/>
      <c r="F928" s="353"/>
      <c r="G928" s="353"/>
      <c r="H928" s="353"/>
      <c r="I928" s="353"/>
      <c r="J928" s="353"/>
      <c r="K928" s="353"/>
      <c r="L928" s="353"/>
      <c r="M928" s="353"/>
      <c r="N928" s="353"/>
      <c r="O928" s="353"/>
      <c r="P928" s="353"/>
      <c r="Q928" s="353"/>
      <c r="R928" s="353"/>
      <c r="S928" s="353"/>
      <c r="T928" s="353"/>
      <c r="U928" s="353"/>
      <c r="V928" s="353"/>
      <c r="W928" s="353"/>
      <c r="X928" s="353"/>
      <c r="Y928" s="353"/>
      <c r="Z928" s="353"/>
    </row>
    <row r="929" ht="12.0" customHeight="1">
      <c r="A929" s="353"/>
      <c r="B929" s="353"/>
      <c r="C929" s="353"/>
      <c r="D929" s="353"/>
      <c r="E929" s="353"/>
      <c r="F929" s="353"/>
      <c r="G929" s="353"/>
      <c r="H929" s="353"/>
      <c r="I929" s="353"/>
      <c r="J929" s="353"/>
      <c r="K929" s="353"/>
      <c r="L929" s="353"/>
      <c r="M929" s="353"/>
      <c r="N929" s="353"/>
      <c r="O929" s="353"/>
      <c r="P929" s="353"/>
      <c r="Q929" s="353"/>
      <c r="R929" s="353"/>
      <c r="S929" s="353"/>
      <c r="T929" s="353"/>
      <c r="U929" s="353"/>
      <c r="V929" s="353"/>
      <c r="W929" s="353"/>
      <c r="X929" s="353"/>
      <c r="Y929" s="353"/>
      <c r="Z929" s="353"/>
    </row>
    <row r="930" ht="12.0" customHeight="1">
      <c r="A930" s="353"/>
      <c r="B930" s="353"/>
      <c r="C930" s="353"/>
      <c r="D930" s="353"/>
      <c r="E930" s="353"/>
      <c r="F930" s="353"/>
      <c r="G930" s="353"/>
      <c r="H930" s="353"/>
      <c r="I930" s="353"/>
      <c r="J930" s="353"/>
      <c r="K930" s="353"/>
      <c r="L930" s="353"/>
      <c r="M930" s="353"/>
      <c r="N930" s="353"/>
      <c r="O930" s="353"/>
      <c r="P930" s="353"/>
      <c r="Q930" s="353"/>
      <c r="R930" s="353"/>
      <c r="S930" s="353"/>
      <c r="T930" s="353"/>
      <c r="U930" s="353"/>
      <c r="V930" s="353"/>
      <c r="W930" s="353"/>
      <c r="X930" s="353"/>
      <c r="Y930" s="353"/>
      <c r="Z930" s="353"/>
    </row>
    <row r="931" ht="12.0" customHeight="1">
      <c r="A931" s="353"/>
      <c r="B931" s="353"/>
      <c r="C931" s="353"/>
      <c r="D931" s="353"/>
      <c r="E931" s="353"/>
      <c r="F931" s="353"/>
      <c r="G931" s="353"/>
      <c r="H931" s="353"/>
      <c r="I931" s="353"/>
      <c r="J931" s="353"/>
      <c r="K931" s="353"/>
      <c r="L931" s="353"/>
      <c r="M931" s="353"/>
      <c r="N931" s="353"/>
      <c r="O931" s="353"/>
      <c r="P931" s="353"/>
      <c r="Q931" s="353"/>
      <c r="R931" s="353"/>
      <c r="S931" s="353"/>
      <c r="T931" s="353"/>
      <c r="U931" s="353"/>
      <c r="V931" s="353"/>
      <c r="W931" s="353"/>
      <c r="X931" s="353"/>
      <c r="Y931" s="353"/>
      <c r="Z931" s="353"/>
    </row>
    <row r="932" ht="12.0" customHeight="1">
      <c r="A932" s="353"/>
      <c r="B932" s="353"/>
      <c r="C932" s="353"/>
      <c r="D932" s="353"/>
      <c r="E932" s="353"/>
      <c r="F932" s="353"/>
      <c r="G932" s="353"/>
      <c r="H932" s="353"/>
      <c r="I932" s="353"/>
      <c r="J932" s="353"/>
      <c r="K932" s="353"/>
      <c r="L932" s="353"/>
      <c r="M932" s="353"/>
      <c r="N932" s="353"/>
      <c r="O932" s="353"/>
      <c r="P932" s="353"/>
      <c r="Q932" s="353"/>
      <c r="R932" s="353"/>
      <c r="S932" s="353"/>
      <c r="T932" s="353"/>
      <c r="U932" s="353"/>
      <c r="V932" s="353"/>
      <c r="W932" s="353"/>
      <c r="X932" s="353"/>
      <c r="Y932" s="353"/>
      <c r="Z932" s="353"/>
    </row>
    <row r="933" ht="12.0" customHeight="1">
      <c r="A933" s="353"/>
      <c r="B933" s="353"/>
      <c r="C933" s="353"/>
      <c r="D933" s="353"/>
      <c r="E933" s="353"/>
      <c r="F933" s="353"/>
      <c r="G933" s="353"/>
      <c r="H933" s="353"/>
      <c r="I933" s="353"/>
      <c r="J933" s="353"/>
      <c r="K933" s="353"/>
      <c r="L933" s="353"/>
      <c r="M933" s="353"/>
      <c r="N933" s="353"/>
      <c r="O933" s="353"/>
      <c r="P933" s="353"/>
      <c r="Q933" s="353"/>
      <c r="R933" s="353"/>
      <c r="S933" s="353"/>
      <c r="T933" s="353"/>
      <c r="U933" s="353"/>
      <c r="V933" s="353"/>
      <c r="W933" s="353"/>
      <c r="X933" s="353"/>
      <c r="Y933" s="353"/>
      <c r="Z933" s="353"/>
    </row>
    <row r="934" ht="12.0" customHeight="1">
      <c r="A934" s="353"/>
      <c r="B934" s="353"/>
      <c r="C934" s="353"/>
      <c r="D934" s="353"/>
      <c r="E934" s="353"/>
      <c r="F934" s="353"/>
      <c r="G934" s="353"/>
      <c r="H934" s="353"/>
      <c r="I934" s="353"/>
      <c r="J934" s="353"/>
      <c r="K934" s="353"/>
      <c r="L934" s="353"/>
      <c r="M934" s="353"/>
      <c r="N934" s="353"/>
      <c r="O934" s="353"/>
      <c r="P934" s="353"/>
      <c r="Q934" s="353"/>
      <c r="R934" s="353"/>
      <c r="S934" s="353"/>
      <c r="T934" s="353"/>
      <c r="U934" s="353"/>
      <c r="V934" s="353"/>
      <c r="W934" s="353"/>
      <c r="X934" s="353"/>
      <c r="Y934" s="353"/>
      <c r="Z934" s="353"/>
    </row>
    <row r="935" ht="12.0" customHeight="1">
      <c r="A935" s="353"/>
      <c r="B935" s="353"/>
      <c r="C935" s="353"/>
      <c r="D935" s="353"/>
      <c r="E935" s="353"/>
      <c r="F935" s="353"/>
      <c r="G935" s="353"/>
      <c r="H935" s="353"/>
      <c r="I935" s="353"/>
      <c r="J935" s="353"/>
      <c r="K935" s="353"/>
      <c r="L935" s="353"/>
      <c r="M935" s="353"/>
      <c r="N935" s="353"/>
      <c r="O935" s="353"/>
      <c r="P935" s="353"/>
      <c r="Q935" s="353"/>
      <c r="R935" s="353"/>
      <c r="S935" s="353"/>
      <c r="T935" s="353"/>
      <c r="U935" s="353"/>
      <c r="V935" s="353"/>
      <c r="W935" s="353"/>
      <c r="X935" s="353"/>
      <c r="Y935" s="353"/>
      <c r="Z935" s="353"/>
    </row>
    <row r="936" ht="12.0" customHeight="1">
      <c r="A936" s="353"/>
      <c r="B936" s="353"/>
      <c r="C936" s="353"/>
      <c r="D936" s="353"/>
      <c r="E936" s="353"/>
      <c r="F936" s="353"/>
      <c r="G936" s="353"/>
      <c r="H936" s="353"/>
      <c r="I936" s="353"/>
      <c r="J936" s="353"/>
      <c r="K936" s="353"/>
      <c r="L936" s="353"/>
      <c r="M936" s="353"/>
      <c r="N936" s="353"/>
      <c r="O936" s="353"/>
      <c r="P936" s="353"/>
      <c r="Q936" s="353"/>
      <c r="R936" s="353"/>
      <c r="S936" s="353"/>
      <c r="T936" s="353"/>
      <c r="U936" s="353"/>
      <c r="V936" s="353"/>
      <c r="W936" s="353"/>
      <c r="X936" s="353"/>
      <c r="Y936" s="353"/>
      <c r="Z936" s="353"/>
    </row>
    <row r="937" ht="12.0" customHeight="1">
      <c r="A937" s="353"/>
      <c r="B937" s="353"/>
      <c r="C937" s="353"/>
      <c r="D937" s="353"/>
      <c r="E937" s="353"/>
      <c r="F937" s="353"/>
      <c r="G937" s="353"/>
      <c r="H937" s="353"/>
      <c r="I937" s="353"/>
      <c r="J937" s="353"/>
      <c r="K937" s="353"/>
      <c r="L937" s="353"/>
      <c r="M937" s="353"/>
      <c r="N937" s="353"/>
      <c r="O937" s="353"/>
      <c r="P937" s="353"/>
      <c r="Q937" s="353"/>
      <c r="R937" s="353"/>
      <c r="S937" s="353"/>
      <c r="T937" s="353"/>
      <c r="U937" s="353"/>
      <c r="V937" s="353"/>
      <c r="W937" s="353"/>
      <c r="X937" s="353"/>
      <c r="Y937" s="353"/>
      <c r="Z937" s="353"/>
    </row>
    <row r="938" ht="12.0" customHeight="1">
      <c r="A938" s="353"/>
      <c r="B938" s="353"/>
      <c r="C938" s="353"/>
      <c r="D938" s="353"/>
      <c r="E938" s="353"/>
      <c r="F938" s="353"/>
      <c r="G938" s="353"/>
      <c r="H938" s="353"/>
      <c r="I938" s="353"/>
      <c r="J938" s="353"/>
      <c r="K938" s="353"/>
      <c r="L938" s="353"/>
      <c r="M938" s="353"/>
      <c r="N938" s="353"/>
      <c r="O938" s="353"/>
      <c r="P938" s="353"/>
      <c r="Q938" s="353"/>
      <c r="R938" s="353"/>
      <c r="S938" s="353"/>
      <c r="T938" s="353"/>
      <c r="U938" s="353"/>
      <c r="V938" s="353"/>
      <c r="W938" s="353"/>
      <c r="X938" s="353"/>
      <c r="Y938" s="353"/>
      <c r="Z938" s="353"/>
    </row>
    <row r="939" ht="12.0" customHeight="1">
      <c r="A939" s="353"/>
      <c r="B939" s="353"/>
      <c r="C939" s="353"/>
      <c r="D939" s="353"/>
      <c r="E939" s="353"/>
      <c r="F939" s="353"/>
      <c r="G939" s="353"/>
      <c r="H939" s="353"/>
      <c r="I939" s="353"/>
      <c r="J939" s="353"/>
      <c r="K939" s="353"/>
      <c r="L939" s="353"/>
      <c r="M939" s="353"/>
      <c r="N939" s="353"/>
      <c r="O939" s="353"/>
      <c r="P939" s="353"/>
      <c r="Q939" s="353"/>
      <c r="R939" s="353"/>
      <c r="S939" s="353"/>
      <c r="T939" s="353"/>
      <c r="U939" s="353"/>
      <c r="V939" s="353"/>
      <c r="W939" s="353"/>
      <c r="X939" s="353"/>
      <c r="Y939" s="353"/>
      <c r="Z939" s="353"/>
    </row>
    <row r="940" ht="12.0" customHeight="1">
      <c r="A940" s="353"/>
      <c r="B940" s="353"/>
      <c r="C940" s="353"/>
      <c r="D940" s="353"/>
      <c r="E940" s="353"/>
      <c r="F940" s="353"/>
      <c r="G940" s="353"/>
      <c r="H940" s="353"/>
      <c r="I940" s="353"/>
      <c r="J940" s="353"/>
      <c r="K940" s="353"/>
      <c r="L940" s="353"/>
      <c r="M940" s="353"/>
      <c r="N940" s="353"/>
      <c r="O940" s="353"/>
      <c r="P940" s="353"/>
      <c r="Q940" s="353"/>
      <c r="R940" s="353"/>
      <c r="S940" s="353"/>
      <c r="T940" s="353"/>
      <c r="U940" s="353"/>
      <c r="V940" s="353"/>
      <c r="W940" s="353"/>
      <c r="X940" s="353"/>
      <c r="Y940" s="353"/>
      <c r="Z940" s="353"/>
    </row>
    <row r="941" ht="12.0" customHeight="1">
      <c r="A941" s="353"/>
      <c r="B941" s="353"/>
      <c r="C941" s="353"/>
      <c r="D941" s="353"/>
      <c r="E941" s="353"/>
      <c r="F941" s="353"/>
      <c r="G941" s="353"/>
      <c r="H941" s="353"/>
      <c r="I941" s="353"/>
      <c r="J941" s="353"/>
      <c r="K941" s="353"/>
      <c r="L941" s="353"/>
      <c r="M941" s="353"/>
      <c r="N941" s="353"/>
      <c r="O941" s="353"/>
      <c r="P941" s="353"/>
      <c r="Q941" s="353"/>
      <c r="R941" s="353"/>
      <c r="S941" s="353"/>
      <c r="T941" s="353"/>
      <c r="U941" s="353"/>
      <c r="V941" s="353"/>
      <c r="W941" s="353"/>
      <c r="X941" s="353"/>
      <c r="Y941" s="353"/>
      <c r="Z941" s="353"/>
    </row>
    <row r="942" ht="12.0" customHeight="1">
      <c r="A942" s="353"/>
      <c r="B942" s="353"/>
      <c r="C942" s="353"/>
      <c r="D942" s="353"/>
      <c r="E942" s="353"/>
      <c r="F942" s="353"/>
      <c r="G942" s="353"/>
      <c r="H942" s="353"/>
      <c r="I942" s="353"/>
      <c r="J942" s="353"/>
      <c r="K942" s="353"/>
      <c r="L942" s="353"/>
      <c r="M942" s="353"/>
      <c r="N942" s="353"/>
      <c r="O942" s="353"/>
      <c r="P942" s="353"/>
      <c r="Q942" s="353"/>
      <c r="R942" s="353"/>
      <c r="S942" s="353"/>
      <c r="T942" s="353"/>
      <c r="U942" s="353"/>
      <c r="V942" s="353"/>
      <c r="W942" s="353"/>
      <c r="X942" s="353"/>
      <c r="Y942" s="353"/>
      <c r="Z942" s="353"/>
    </row>
    <row r="943" ht="12.0" customHeight="1">
      <c r="A943" s="353"/>
      <c r="B943" s="353"/>
      <c r="C943" s="353"/>
      <c r="D943" s="353"/>
      <c r="E943" s="353"/>
      <c r="F943" s="353"/>
      <c r="G943" s="353"/>
      <c r="H943" s="353"/>
      <c r="I943" s="353"/>
      <c r="J943" s="353"/>
      <c r="K943" s="353"/>
      <c r="L943" s="353"/>
      <c r="M943" s="353"/>
      <c r="N943" s="353"/>
      <c r="O943" s="353"/>
      <c r="P943" s="353"/>
      <c r="Q943" s="353"/>
      <c r="R943" s="353"/>
      <c r="S943" s="353"/>
      <c r="T943" s="353"/>
      <c r="U943" s="353"/>
      <c r="V943" s="353"/>
      <c r="W943" s="353"/>
      <c r="X943" s="353"/>
      <c r="Y943" s="353"/>
      <c r="Z943" s="353"/>
    </row>
    <row r="944" ht="12.0" customHeight="1">
      <c r="A944" s="353"/>
      <c r="B944" s="353"/>
      <c r="C944" s="353"/>
      <c r="D944" s="353"/>
      <c r="E944" s="353"/>
      <c r="F944" s="353"/>
      <c r="G944" s="353"/>
      <c r="H944" s="353"/>
      <c r="I944" s="353"/>
      <c r="J944" s="353"/>
      <c r="K944" s="353"/>
      <c r="L944" s="353"/>
      <c r="M944" s="353"/>
      <c r="N944" s="353"/>
      <c r="O944" s="353"/>
      <c r="P944" s="353"/>
      <c r="Q944" s="353"/>
      <c r="R944" s="353"/>
      <c r="S944" s="353"/>
      <c r="T944" s="353"/>
      <c r="U944" s="353"/>
      <c r="V944" s="353"/>
      <c r="W944" s="353"/>
      <c r="X944" s="353"/>
      <c r="Y944" s="353"/>
      <c r="Z944" s="353"/>
    </row>
    <row r="945" ht="12.0" customHeight="1">
      <c r="A945" s="353"/>
      <c r="B945" s="353"/>
      <c r="C945" s="353"/>
      <c r="D945" s="353"/>
      <c r="E945" s="353"/>
      <c r="F945" s="353"/>
      <c r="G945" s="353"/>
      <c r="H945" s="353"/>
      <c r="I945" s="353"/>
      <c r="J945" s="353"/>
      <c r="K945" s="353"/>
      <c r="L945" s="353"/>
      <c r="M945" s="353"/>
      <c r="N945" s="353"/>
      <c r="O945" s="353"/>
      <c r="P945" s="353"/>
      <c r="Q945" s="353"/>
      <c r="R945" s="353"/>
      <c r="S945" s="353"/>
      <c r="T945" s="353"/>
      <c r="U945" s="353"/>
      <c r="V945" s="353"/>
      <c r="W945" s="353"/>
      <c r="X945" s="353"/>
      <c r="Y945" s="353"/>
      <c r="Z945" s="353"/>
    </row>
    <row r="946" ht="12.0" customHeight="1">
      <c r="A946" s="353"/>
      <c r="B946" s="353"/>
      <c r="C946" s="353"/>
      <c r="D946" s="353"/>
      <c r="E946" s="353"/>
      <c r="F946" s="353"/>
      <c r="G946" s="353"/>
      <c r="H946" s="353"/>
      <c r="I946" s="353"/>
      <c r="J946" s="353"/>
      <c r="K946" s="353"/>
      <c r="L946" s="353"/>
      <c r="M946" s="353"/>
      <c r="N946" s="353"/>
      <c r="O946" s="353"/>
      <c r="P946" s="353"/>
      <c r="Q946" s="353"/>
      <c r="R946" s="353"/>
      <c r="S946" s="353"/>
      <c r="T946" s="353"/>
      <c r="U946" s="353"/>
      <c r="V946" s="353"/>
      <c r="W946" s="353"/>
      <c r="X946" s="353"/>
      <c r="Y946" s="353"/>
      <c r="Z946" s="353"/>
    </row>
    <row r="947" ht="12.0" customHeight="1">
      <c r="A947" s="353"/>
      <c r="B947" s="353"/>
      <c r="C947" s="353"/>
      <c r="D947" s="353"/>
      <c r="E947" s="353"/>
      <c r="F947" s="353"/>
      <c r="G947" s="353"/>
      <c r="H947" s="353"/>
      <c r="I947" s="353"/>
      <c r="J947" s="353"/>
      <c r="K947" s="353"/>
      <c r="L947" s="353"/>
      <c r="M947" s="353"/>
      <c r="N947" s="353"/>
      <c r="O947" s="353"/>
      <c r="P947" s="353"/>
      <c r="Q947" s="353"/>
      <c r="R947" s="353"/>
      <c r="S947" s="353"/>
      <c r="T947" s="353"/>
      <c r="U947" s="353"/>
      <c r="V947" s="353"/>
      <c r="W947" s="353"/>
      <c r="X947" s="353"/>
      <c r="Y947" s="353"/>
      <c r="Z947" s="353"/>
    </row>
    <row r="948" ht="12.0" customHeight="1">
      <c r="A948" s="353"/>
      <c r="B948" s="353"/>
      <c r="C948" s="353"/>
      <c r="D948" s="353"/>
      <c r="E948" s="353"/>
      <c r="F948" s="353"/>
      <c r="G948" s="353"/>
      <c r="H948" s="353"/>
      <c r="I948" s="353"/>
      <c r="J948" s="353"/>
      <c r="K948" s="353"/>
      <c r="L948" s="353"/>
      <c r="M948" s="353"/>
      <c r="N948" s="353"/>
      <c r="O948" s="353"/>
      <c r="P948" s="353"/>
      <c r="Q948" s="353"/>
      <c r="R948" s="353"/>
      <c r="S948" s="353"/>
      <c r="T948" s="353"/>
      <c r="U948" s="353"/>
      <c r="V948" s="353"/>
      <c r="W948" s="353"/>
      <c r="X948" s="353"/>
      <c r="Y948" s="353"/>
      <c r="Z948" s="353"/>
    </row>
    <row r="949" ht="12.0" customHeight="1">
      <c r="A949" s="353"/>
      <c r="B949" s="353"/>
      <c r="C949" s="353"/>
      <c r="D949" s="353"/>
      <c r="E949" s="353"/>
      <c r="F949" s="353"/>
      <c r="G949" s="353"/>
      <c r="H949" s="353"/>
      <c r="I949" s="353"/>
      <c r="J949" s="353"/>
      <c r="K949" s="353"/>
      <c r="L949" s="353"/>
      <c r="M949" s="353"/>
      <c r="N949" s="353"/>
      <c r="O949" s="353"/>
      <c r="P949" s="353"/>
      <c r="Q949" s="353"/>
      <c r="R949" s="353"/>
      <c r="S949" s="353"/>
      <c r="T949" s="353"/>
      <c r="U949" s="353"/>
      <c r="V949" s="353"/>
      <c r="W949" s="353"/>
      <c r="X949" s="353"/>
      <c r="Y949" s="353"/>
      <c r="Z949" s="353"/>
    </row>
    <row r="950" ht="12.0" customHeight="1">
      <c r="A950" s="353"/>
      <c r="B950" s="353"/>
      <c r="C950" s="353"/>
      <c r="D950" s="353"/>
      <c r="E950" s="353"/>
      <c r="F950" s="353"/>
      <c r="G950" s="353"/>
      <c r="H950" s="353"/>
      <c r="I950" s="353"/>
      <c r="J950" s="353"/>
      <c r="K950" s="353"/>
      <c r="L950" s="353"/>
      <c r="M950" s="353"/>
      <c r="N950" s="353"/>
      <c r="O950" s="353"/>
      <c r="P950" s="353"/>
      <c r="Q950" s="353"/>
      <c r="R950" s="353"/>
      <c r="S950" s="353"/>
      <c r="T950" s="353"/>
      <c r="U950" s="353"/>
      <c r="V950" s="353"/>
      <c r="W950" s="353"/>
      <c r="X950" s="353"/>
      <c r="Y950" s="353"/>
      <c r="Z950" s="353"/>
    </row>
    <row r="951" ht="12.0" customHeight="1">
      <c r="A951" s="353"/>
      <c r="B951" s="353"/>
      <c r="C951" s="353"/>
      <c r="D951" s="353"/>
      <c r="E951" s="353"/>
      <c r="F951" s="353"/>
      <c r="G951" s="353"/>
      <c r="H951" s="353"/>
      <c r="I951" s="353"/>
      <c r="J951" s="353"/>
      <c r="K951" s="353"/>
      <c r="L951" s="353"/>
      <c r="M951" s="353"/>
      <c r="N951" s="353"/>
      <c r="O951" s="353"/>
      <c r="P951" s="353"/>
      <c r="Q951" s="353"/>
      <c r="R951" s="353"/>
      <c r="S951" s="353"/>
      <c r="T951" s="353"/>
      <c r="U951" s="353"/>
      <c r="V951" s="353"/>
      <c r="W951" s="353"/>
      <c r="X951" s="353"/>
      <c r="Y951" s="353"/>
      <c r="Z951" s="353"/>
    </row>
    <row r="952" ht="12.0" customHeight="1">
      <c r="A952" s="353"/>
      <c r="B952" s="353"/>
      <c r="C952" s="353"/>
      <c r="D952" s="353"/>
      <c r="E952" s="353"/>
      <c r="F952" s="353"/>
      <c r="G952" s="353"/>
      <c r="H952" s="353"/>
      <c r="I952" s="353"/>
      <c r="J952" s="353"/>
      <c r="K952" s="353"/>
      <c r="L952" s="353"/>
      <c r="M952" s="353"/>
      <c r="N952" s="353"/>
      <c r="O952" s="353"/>
      <c r="P952" s="353"/>
      <c r="Q952" s="353"/>
      <c r="R952" s="353"/>
      <c r="S952" s="353"/>
      <c r="T952" s="353"/>
      <c r="U952" s="353"/>
      <c r="V952" s="353"/>
      <c r="W952" s="353"/>
      <c r="X952" s="353"/>
      <c r="Y952" s="353"/>
      <c r="Z952" s="353"/>
    </row>
    <row r="953" ht="12.0" customHeight="1">
      <c r="A953" s="353"/>
      <c r="B953" s="353"/>
      <c r="C953" s="353"/>
      <c r="D953" s="353"/>
      <c r="E953" s="353"/>
      <c r="F953" s="353"/>
      <c r="G953" s="353"/>
      <c r="H953" s="353"/>
      <c r="I953" s="353"/>
      <c r="J953" s="353"/>
      <c r="K953" s="353"/>
      <c r="L953" s="353"/>
      <c r="M953" s="353"/>
      <c r="N953" s="353"/>
      <c r="O953" s="353"/>
      <c r="P953" s="353"/>
      <c r="Q953" s="353"/>
      <c r="R953" s="353"/>
      <c r="S953" s="353"/>
      <c r="T953" s="353"/>
      <c r="U953" s="353"/>
      <c r="V953" s="353"/>
      <c r="W953" s="353"/>
      <c r="X953" s="353"/>
      <c r="Y953" s="353"/>
      <c r="Z953" s="353"/>
    </row>
    <row r="954" ht="12.0" customHeight="1">
      <c r="A954" s="353"/>
      <c r="B954" s="353"/>
      <c r="C954" s="353"/>
      <c r="D954" s="353"/>
      <c r="E954" s="353"/>
      <c r="F954" s="353"/>
      <c r="G954" s="353"/>
      <c r="H954" s="353"/>
      <c r="I954" s="353"/>
      <c r="J954" s="353"/>
      <c r="K954" s="353"/>
      <c r="L954" s="353"/>
      <c r="M954" s="353"/>
      <c r="N954" s="353"/>
      <c r="O954" s="353"/>
      <c r="P954" s="353"/>
      <c r="Q954" s="353"/>
      <c r="R954" s="353"/>
      <c r="S954" s="353"/>
      <c r="T954" s="353"/>
      <c r="U954" s="353"/>
      <c r="V954" s="353"/>
      <c r="W954" s="353"/>
      <c r="X954" s="353"/>
      <c r="Y954" s="353"/>
      <c r="Z954" s="353"/>
    </row>
    <row r="955" ht="12.0" customHeight="1">
      <c r="A955" s="353"/>
      <c r="B955" s="353"/>
      <c r="C955" s="353"/>
      <c r="D955" s="353"/>
      <c r="E955" s="353"/>
      <c r="F955" s="353"/>
      <c r="G955" s="353"/>
      <c r="H955" s="353"/>
      <c r="I955" s="353"/>
      <c r="J955" s="353"/>
      <c r="K955" s="353"/>
      <c r="L955" s="353"/>
      <c r="M955" s="353"/>
      <c r="N955" s="353"/>
      <c r="O955" s="353"/>
      <c r="P955" s="353"/>
      <c r="Q955" s="353"/>
      <c r="R955" s="353"/>
      <c r="S955" s="353"/>
      <c r="T955" s="353"/>
      <c r="U955" s="353"/>
      <c r="V955" s="353"/>
      <c r="W955" s="353"/>
      <c r="X955" s="353"/>
      <c r="Y955" s="353"/>
      <c r="Z955" s="353"/>
    </row>
    <row r="956" ht="12.0" customHeight="1">
      <c r="A956" s="353"/>
      <c r="B956" s="353"/>
      <c r="C956" s="353"/>
      <c r="D956" s="353"/>
      <c r="E956" s="353"/>
      <c r="F956" s="353"/>
      <c r="G956" s="353"/>
      <c r="H956" s="353"/>
      <c r="I956" s="353"/>
      <c r="J956" s="353"/>
      <c r="K956" s="353"/>
      <c r="L956" s="353"/>
      <c r="M956" s="353"/>
      <c r="N956" s="353"/>
      <c r="O956" s="353"/>
      <c r="P956" s="353"/>
      <c r="Q956" s="353"/>
      <c r="R956" s="353"/>
      <c r="S956" s="353"/>
      <c r="T956" s="353"/>
      <c r="U956" s="353"/>
      <c r="V956" s="353"/>
      <c r="W956" s="353"/>
      <c r="X956" s="353"/>
      <c r="Y956" s="353"/>
      <c r="Z956" s="353"/>
    </row>
    <row r="957" ht="12.0" customHeight="1">
      <c r="A957" s="353"/>
      <c r="B957" s="353"/>
      <c r="C957" s="353"/>
      <c r="D957" s="353"/>
      <c r="E957" s="353"/>
      <c r="F957" s="353"/>
      <c r="G957" s="353"/>
      <c r="H957" s="353"/>
      <c r="I957" s="353"/>
      <c r="J957" s="353"/>
      <c r="K957" s="353"/>
      <c r="L957" s="353"/>
      <c r="M957" s="353"/>
      <c r="N957" s="353"/>
      <c r="O957" s="353"/>
      <c r="P957" s="353"/>
      <c r="Q957" s="353"/>
      <c r="R957" s="353"/>
      <c r="S957" s="353"/>
      <c r="T957" s="353"/>
      <c r="U957" s="353"/>
      <c r="V957" s="353"/>
      <c r="W957" s="353"/>
      <c r="X957" s="353"/>
      <c r="Y957" s="353"/>
      <c r="Z957" s="353"/>
    </row>
    <row r="958" ht="12.0" customHeight="1">
      <c r="A958" s="353"/>
      <c r="B958" s="353"/>
      <c r="C958" s="353"/>
      <c r="D958" s="353"/>
      <c r="E958" s="353"/>
      <c r="F958" s="353"/>
      <c r="G958" s="353"/>
      <c r="H958" s="353"/>
      <c r="I958" s="353"/>
      <c r="J958" s="353"/>
      <c r="K958" s="353"/>
      <c r="L958" s="353"/>
      <c r="M958" s="353"/>
      <c r="N958" s="353"/>
      <c r="O958" s="353"/>
      <c r="P958" s="353"/>
      <c r="Q958" s="353"/>
      <c r="R958" s="353"/>
      <c r="S958" s="353"/>
      <c r="T958" s="353"/>
      <c r="U958" s="353"/>
      <c r="V958" s="353"/>
      <c r="W958" s="353"/>
      <c r="X958" s="353"/>
      <c r="Y958" s="353"/>
      <c r="Z958" s="353"/>
    </row>
    <row r="959" ht="12.0" customHeight="1">
      <c r="A959" s="353"/>
      <c r="B959" s="353"/>
      <c r="C959" s="353"/>
      <c r="D959" s="353"/>
      <c r="E959" s="353"/>
      <c r="F959" s="353"/>
      <c r="G959" s="353"/>
      <c r="H959" s="353"/>
      <c r="I959" s="353"/>
      <c r="J959" s="353"/>
      <c r="K959" s="353"/>
      <c r="L959" s="353"/>
      <c r="M959" s="353"/>
      <c r="N959" s="353"/>
      <c r="O959" s="353"/>
      <c r="P959" s="353"/>
      <c r="Q959" s="353"/>
      <c r="R959" s="353"/>
      <c r="S959" s="353"/>
      <c r="T959" s="353"/>
      <c r="U959" s="353"/>
      <c r="V959" s="353"/>
      <c r="W959" s="353"/>
      <c r="X959" s="353"/>
      <c r="Y959" s="353"/>
      <c r="Z959" s="353"/>
    </row>
    <row r="960" ht="12.0" customHeight="1">
      <c r="A960" s="353"/>
      <c r="B960" s="353"/>
      <c r="C960" s="353"/>
      <c r="D960" s="353"/>
      <c r="E960" s="353"/>
      <c r="F960" s="353"/>
      <c r="G960" s="353"/>
      <c r="H960" s="353"/>
      <c r="I960" s="353"/>
      <c r="J960" s="353"/>
      <c r="K960" s="353"/>
      <c r="L960" s="353"/>
      <c r="M960" s="353"/>
      <c r="N960" s="353"/>
      <c r="O960" s="353"/>
      <c r="P960" s="353"/>
      <c r="Q960" s="353"/>
      <c r="R960" s="353"/>
      <c r="S960" s="353"/>
      <c r="T960" s="353"/>
      <c r="U960" s="353"/>
      <c r="V960" s="353"/>
      <c r="W960" s="353"/>
      <c r="X960" s="353"/>
      <c r="Y960" s="353"/>
      <c r="Z960" s="353"/>
    </row>
    <row r="961" ht="12.0" customHeight="1">
      <c r="A961" s="353"/>
      <c r="B961" s="353"/>
      <c r="C961" s="353"/>
      <c r="D961" s="353"/>
      <c r="E961" s="353"/>
      <c r="F961" s="353"/>
      <c r="G961" s="353"/>
      <c r="H961" s="353"/>
      <c r="I961" s="353"/>
      <c r="J961" s="353"/>
      <c r="K961" s="353"/>
      <c r="L961" s="353"/>
      <c r="M961" s="353"/>
      <c r="N961" s="353"/>
      <c r="O961" s="353"/>
      <c r="P961" s="353"/>
      <c r="Q961" s="353"/>
      <c r="R961" s="353"/>
      <c r="S961" s="353"/>
      <c r="T961" s="353"/>
      <c r="U961" s="353"/>
      <c r="V961" s="353"/>
      <c r="W961" s="353"/>
      <c r="X961" s="353"/>
      <c r="Y961" s="353"/>
      <c r="Z961" s="353"/>
    </row>
    <row r="962" ht="12.0" customHeight="1">
      <c r="A962" s="353"/>
      <c r="B962" s="353"/>
      <c r="C962" s="353"/>
      <c r="D962" s="353"/>
      <c r="E962" s="353"/>
      <c r="F962" s="353"/>
      <c r="G962" s="353"/>
      <c r="H962" s="353"/>
      <c r="I962" s="353"/>
      <c r="J962" s="353"/>
      <c r="K962" s="353"/>
      <c r="L962" s="353"/>
      <c r="M962" s="353"/>
      <c r="N962" s="353"/>
      <c r="O962" s="353"/>
      <c r="P962" s="353"/>
      <c r="Q962" s="353"/>
      <c r="R962" s="353"/>
      <c r="S962" s="353"/>
      <c r="T962" s="353"/>
      <c r="U962" s="353"/>
      <c r="V962" s="353"/>
      <c r="W962" s="353"/>
      <c r="X962" s="353"/>
      <c r="Y962" s="353"/>
      <c r="Z962" s="353"/>
    </row>
    <row r="963" ht="12.0" customHeight="1">
      <c r="A963" s="353"/>
      <c r="B963" s="353"/>
      <c r="C963" s="353"/>
      <c r="D963" s="353"/>
      <c r="E963" s="353"/>
      <c r="F963" s="353"/>
      <c r="G963" s="353"/>
      <c r="H963" s="353"/>
      <c r="I963" s="353"/>
      <c r="J963" s="353"/>
      <c r="K963" s="353"/>
      <c r="L963" s="353"/>
      <c r="M963" s="353"/>
      <c r="N963" s="353"/>
      <c r="O963" s="353"/>
      <c r="P963" s="353"/>
      <c r="Q963" s="353"/>
      <c r="R963" s="353"/>
      <c r="S963" s="353"/>
      <c r="T963" s="353"/>
      <c r="U963" s="353"/>
      <c r="V963" s="353"/>
      <c r="W963" s="353"/>
      <c r="X963" s="353"/>
      <c r="Y963" s="353"/>
      <c r="Z963" s="353"/>
    </row>
    <row r="964" ht="12.0" customHeight="1">
      <c r="A964" s="353"/>
      <c r="B964" s="353"/>
      <c r="C964" s="353"/>
      <c r="D964" s="353"/>
      <c r="E964" s="353"/>
      <c r="F964" s="353"/>
      <c r="G964" s="353"/>
      <c r="H964" s="353"/>
      <c r="I964" s="353"/>
      <c r="J964" s="353"/>
      <c r="K964" s="353"/>
      <c r="L964" s="353"/>
      <c r="M964" s="353"/>
      <c r="N964" s="353"/>
      <c r="O964" s="353"/>
      <c r="P964" s="353"/>
      <c r="Q964" s="353"/>
      <c r="R964" s="353"/>
      <c r="S964" s="353"/>
      <c r="T964" s="353"/>
      <c r="U964" s="353"/>
      <c r="V964" s="353"/>
      <c r="W964" s="353"/>
      <c r="X964" s="353"/>
      <c r="Y964" s="353"/>
      <c r="Z964" s="353"/>
    </row>
    <row r="965" ht="12.0" customHeight="1">
      <c r="A965" s="353"/>
      <c r="B965" s="353"/>
      <c r="C965" s="353"/>
      <c r="D965" s="353"/>
      <c r="E965" s="353"/>
      <c r="F965" s="353"/>
      <c r="G965" s="353"/>
      <c r="H965" s="353"/>
      <c r="I965" s="353"/>
      <c r="J965" s="353"/>
      <c r="K965" s="353"/>
      <c r="L965" s="353"/>
      <c r="M965" s="353"/>
      <c r="N965" s="353"/>
      <c r="O965" s="353"/>
      <c r="P965" s="353"/>
      <c r="Q965" s="353"/>
      <c r="R965" s="353"/>
      <c r="S965" s="353"/>
      <c r="T965" s="353"/>
      <c r="U965" s="353"/>
      <c r="V965" s="353"/>
      <c r="W965" s="353"/>
      <c r="X965" s="353"/>
      <c r="Y965" s="353"/>
      <c r="Z965" s="353"/>
    </row>
    <row r="966" ht="12.0" customHeight="1">
      <c r="A966" s="353"/>
      <c r="B966" s="353"/>
      <c r="C966" s="353"/>
      <c r="D966" s="353"/>
      <c r="E966" s="353"/>
      <c r="F966" s="353"/>
      <c r="G966" s="353"/>
      <c r="H966" s="353"/>
      <c r="I966" s="353"/>
      <c r="J966" s="353"/>
      <c r="K966" s="353"/>
      <c r="L966" s="353"/>
      <c r="M966" s="353"/>
      <c r="N966" s="353"/>
      <c r="O966" s="353"/>
      <c r="P966" s="353"/>
      <c r="Q966" s="353"/>
      <c r="R966" s="353"/>
      <c r="S966" s="353"/>
      <c r="T966" s="353"/>
      <c r="U966" s="353"/>
      <c r="V966" s="353"/>
      <c r="W966" s="353"/>
      <c r="X966" s="353"/>
      <c r="Y966" s="353"/>
      <c r="Z966" s="353"/>
    </row>
    <row r="967" ht="12.0" customHeight="1">
      <c r="A967" s="353"/>
      <c r="B967" s="353"/>
      <c r="C967" s="353"/>
      <c r="D967" s="353"/>
      <c r="E967" s="353"/>
      <c r="F967" s="353"/>
      <c r="G967" s="353"/>
      <c r="H967" s="353"/>
      <c r="I967" s="353"/>
      <c r="J967" s="353"/>
      <c r="K967" s="353"/>
      <c r="L967" s="353"/>
      <c r="M967" s="353"/>
      <c r="N967" s="353"/>
      <c r="O967" s="353"/>
      <c r="P967" s="353"/>
      <c r="Q967" s="353"/>
      <c r="R967" s="353"/>
      <c r="S967" s="353"/>
      <c r="T967" s="353"/>
      <c r="U967" s="353"/>
      <c r="V967" s="353"/>
      <c r="W967" s="353"/>
      <c r="X967" s="353"/>
      <c r="Y967" s="353"/>
      <c r="Z967" s="353"/>
    </row>
    <row r="968" ht="12.0" customHeight="1">
      <c r="A968" s="353"/>
      <c r="B968" s="353"/>
      <c r="C968" s="353"/>
      <c r="D968" s="353"/>
      <c r="E968" s="353"/>
      <c r="F968" s="353"/>
      <c r="G968" s="353"/>
      <c r="H968" s="353"/>
      <c r="I968" s="353"/>
      <c r="J968" s="353"/>
      <c r="K968" s="353"/>
      <c r="L968" s="353"/>
      <c r="M968" s="353"/>
      <c r="N968" s="353"/>
      <c r="O968" s="353"/>
      <c r="P968" s="353"/>
      <c r="Q968" s="353"/>
      <c r="R968" s="353"/>
      <c r="S968" s="353"/>
      <c r="T968" s="353"/>
      <c r="U968" s="353"/>
      <c r="V968" s="353"/>
      <c r="W968" s="353"/>
      <c r="X968" s="353"/>
      <c r="Y968" s="353"/>
      <c r="Z968" s="353"/>
    </row>
    <row r="969" ht="12.0" customHeight="1">
      <c r="A969" s="353"/>
      <c r="B969" s="353"/>
      <c r="C969" s="353"/>
      <c r="D969" s="353"/>
      <c r="E969" s="353"/>
      <c r="F969" s="353"/>
      <c r="G969" s="353"/>
      <c r="H969" s="353"/>
      <c r="I969" s="353"/>
      <c r="J969" s="353"/>
      <c r="K969" s="353"/>
      <c r="L969" s="353"/>
      <c r="M969" s="353"/>
      <c r="N969" s="353"/>
      <c r="O969" s="353"/>
      <c r="P969" s="353"/>
      <c r="Q969" s="353"/>
      <c r="R969" s="353"/>
      <c r="S969" s="353"/>
      <c r="T969" s="353"/>
      <c r="U969" s="353"/>
      <c r="V969" s="353"/>
      <c r="W969" s="353"/>
      <c r="X969" s="353"/>
      <c r="Y969" s="353"/>
      <c r="Z969" s="353"/>
    </row>
    <row r="970" ht="12.0" customHeight="1">
      <c r="A970" s="353"/>
      <c r="B970" s="353"/>
      <c r="C970" s="353"/>
      <c r="D970" s="353"/>
      <c r="E970" s="353"/>
      <c r="F970" s="353"/>
      <c r="G970" s="353"/>
      <c r="H970" s="353"/>
      <c r="I970" s="353"/>
      <c r="J970" s="353"/>
      <c r="K970" s="353"/>
      <c r="L970" s="353"/>
      <c r="M970" s="353"/>
      <c r="N970" s="353"/>
      <c r="O970" s="353"/>
      <c r="P970" s="353"/>
      <c r="Q970" s="353"/>
      <c r="R970" s="353"/>
      <c r="S970" s="353"/>
      <c r="T970" s="353"/>
      <c r="U970" s="353"/>
      <c r="V970" s="353"/>
      <c r="W970" s="353"/>
      <c r="X970" s="353"/>
      <c r="Y970" s="353"/>
      <c r="Z970" s="353"/>
    </row>
    <row r="971" ht="12.0" customHeight="1">
      <c r="A971" s="353"/>
      <c r="B971" s="353"/>
      <c r="C971" s="353"/>
      <c r="D971" s="353"/>
      <c r="E971" s="353"/>
      <c r="F971" s="353"/>
      <c r="G971" s="353"/>
      <c r="H971" s="353"/>
      <c r="I971" s="353"/>
      <c r="J971" s="353"/>
      <c r="K971" s="353"/>
      <c r="L971" s="353"/>
      <c r="M971" s="353"/>
      <c r="N971" s="353"/>
      <c r="O971" s="353"/>
      <c r="P971" s="353"/>
      <c r="Q971" s="353"/>
      <c r="R971" s="353"/>
      <c r="S971" s="353"/>
      <c r="T971" s="353"/>
      <c r="U971" s="353"/>
      <c r="V971" s="353"/>
      <c r="W971" s="353"/>
      <c r="X971" s="353"/>
      <c r="Y971" s="353"/>
      <c r="Z971" s="353"/>
    </row>
    <row r="972" ht="12.0" customHeight="1">
      <c r="A972" s="353"/>
      <c r="B972" s="353"/>
      <c r="C972" s="353"/>
      <c r="D972" s="353"/>
      <c r="E972" s="353"/>
      <c r="F972" s="353"/>
      <c r="G972" s="353"/>
      <c r="H972" s="353"/>
      <c r="I972" s="353"/>
      <c r="J972" s="353"/>
      <c r="K972" s="353"/>
      <c r="L972" s="353"/>
      <c r="M972" s="353"/>
      <c r="N972" s="353"/>
      <c r="O972" s="353"/>
      <c r="P972" s="353"/>
      <c r="Q972" s="353"/>
      <c r="R972" s="353"/>
      <c r="S972" s="353"/>
      <c r="T972" s="353"/>
      <c r="U972" s="353"/>
      <c r="V972" s="353"/>
      <c r="W972" s="353"/>
      <c r="X972" s="353"/>
      <c r="Y972" s="353"/>
      <c r="Z972" s="353"/>
    </row>
    <row r="973" ht="12.0" customHeight="1">
      <c r="A973" s="353"/>
      <c r="B973" s="353"/>
      <c r="C973" s="353"/>
      <c r="D973" s="353"/>
      <c r="E973" s="353"/>
      <c r="F973" s="353"/>
      <c r="G973" s="353"/>
      <c r="H973" s="353"/>
      <c r="I973" s="353"/>
      <c r="J973" s="353"/>
      <c r="K973" s="353"/>
      <c r="L973" s="353"/>
      <c r="M973" s="353"/>
      <c r="N973" s="353"/>
      <c r="O973" s="353"/>
      <c r="P973" s="353"/>
      <c r="Q973" s="353"/>
      <c r="R973" s="353"/>
      <c r="S973" s="353"/>
      <c r="T973" s="353"/>
      <c r="U973" s="353"/>
      <c r="V973" s="353"/>
      <c r="W973" s="353"/>
      <c r="X973" s="353"/>
      <c r="Y973" s="353"/>
      <c r="Z973" s="353"/>
    </row>
    <row r="974" ht="12.0" customHeight="1">
      <c r="A974" s="353"/>
      <c r="B974" s="353"/>
      <c r="C974" s="353"/>
      <c r="D974" s="353"/>
      <c r="E974" s="353"/>
      <c r="F974" s="353"/>
      <c r="G974" s="353"/>
      <c r="H974" s="353"/>
      <c r="I974" s="353"/>
      <c r="J974" s="353"/>
      <c r="K974" s="353"/>
      <c r="L974" s="353"/>
      <c r="M974" s="353"/>
      <c r="N974" s="353"/>
      <c r="O974" s="353"/>
      <c r="P974" s="353"/>
      <c r="Q974" s="353"/>
      <c r="R974" s="353"/>
      <c r="S974" s="353"/>
      <c r="T974" s="353"/>
      <c r="U974" s="353"/>
      <c r="V974" s="353"/>
      <c r="W974" s="353"/>
      <c r="X974" s="353"/>
      <c r="Y974" s="353"/>
      <c r="Z974" s="353"/>
    </row>
    <row r="975" ht="12.0" customHeight="1">
      <c r="A975" s="353"/>
      <c r="B975" s="353"/>
      <c r="C975" s="353"/>
      <c r="D975" s="353"/>
      <c r="E975" s="353"/>
      <c r="F975" s="353"/>
      <c r="G975" s="353"/>
      <c r="H975" s="353"/>
      <c r="I975" s="353"/>
      <c r="J975" s="353"/>
      <c r="K975" s="353"/>
      <c r="L975" s="353"/>
      <c r="M975" s="353"/>
      <c r="N975" s="353"/>
      <c r="O975" s="353"/>
      <c r="P975" s="353"/>
      <c r="Q975" s="353"/>
      <c r="R975" s="353"/>
      <c r="S975" s="353"/>
      <c r="T975" s="353"/>
      <c r="U975" s="353"/>
      <c r="V975" s="353"/>
      <c r="W975" s="353"/>
      <c r="X975" s="353"/>
      <c r="Y975" s="353"/>
      <c r="Z975" s="353"/>
    </row>
    <row r="976" ht="12.0" customHeight="1">
      <c r="A976" s="353"/>
      <c r="B976" s="353"/>
      <c r="C976" s="353"/>
      <c r="D976" s="353"/>
      <c r="E976" s="353"/>
      <c r="F976" s="353"/>
      <c r="G976" s="353"/>
      <c r="H976" s="353"/>
      <c r="I976" s="353"/>
      <c r="J976" s="353"/>
      <c r="K976" s="353"/>
      <c r="L976" s="353"/>
      <c r="M976" s="353"/>
      <c r="N976" s="353"/>
      <c r="O976" s="353"/>
      <c r="P976" s="353"/>
      <c r="Q976" s="353"/>
      <c r="R976" s="353"/>
      <c r="S976" s="353"/>
      <c r="T976" s="353"/>
      <c r="U976" s="353"/>
      <c r="V976" s="353"/>
      <c r="W976" s="353"/>
      <c r="X976" s="353"/>
      <c r="Y976" s="353"/>
      <c r="Z976" s="353"/>
    </row>
    <row r="977" ht="12.0" customHeight="1">
      <c r="A977" s="353"/>
      <c r="B977" s="353"/>
      <c r="C977" s="353"/>
      <c r="D977" s="353"/>
      <c r="E977" s="353"/>
      <c r="F977" s="353"/>
      <c r="G977" s="353"/>
      <c r="H977" s="353"/>
      <c r="I977" s="353"/>
      <c r="J977" s="353"/>
      <c r="K977" s="353"/>
      <c r="L977" s="353"/>
      <c r="M977" s="353"/>
      <c r="N977" s="353"/>
      <c r="O977" s="353"/>
      <c r="P977" s="353"/>
      <c r="Q977" s="353"/>
      <c r="R977" s="353"/>
      <c r="S977" s="353"/>
      <c r="T977" s="353"/>
      <c r="U977" s="353"/>
      <c r="V977" s="353"/>
      <c r="W977" s="353"/>
      <c r="X977" s="353"/>
      <c r="Y977" s="353"/>
      <c r="Z977" s="353"/>
    </row>
    <row r="978" ht="12.0" customHeight="1">
      <c r="A978" s="353"/>
      <c r="B978" s="353"/>
      <c r="C978" s="353"/>
      <c r="D978" s="353"/>
      <c r="E978" s="353"/>
      <c r="F978" s="353"/>
      <c r="G978" s="353"/>
      <c r="H978" s="353"/>
      <c r="I978" s="353"/>
      <c r="J978" s="353"/>
      <c r="K978" s="353"/>
      <c r="L978" s="353"/>
      <c r="M978" s="353"/>
      <c r="N978" s="353"/>
      <c r="O978" s="353"/>
      <c r="P978" s="353"/>
      <c r="Q978" s="353"/>
      <c r="R978" s="353"/>
      <c r="S978" s="353"/>
      <c r="T978" s="353"/>
      <c r="U978" s="353"/>
      <c r="V978" s="353"/>
      <c r="W978" s="353"/>
      <c r="X978" s="353"/>
      <c r="Y978" s="353"/>
      <c r="Z978" s="353"/>
    </row>
    <row r="979" ht="12.0" customHeight="1">
      <c r="A979" s="353"/>
      <c r="B979" s="353"/>
      <c r="C979" s="353"/>
      <c r="D979" s="353"/>
      <c r="E979" s="353"/>
      <c r="F979" s="353"/>
      <c r="G979" s="353"/>
      <c r="H979" s="353"/>
      <c r="I979" s="353"/>
      <c r="J979" s="353"/>
      <c r="K979" s="353"/>
      <c r="L979" s="353"/>
      <c r="M979" s="353"/>
      <c r="N979" s="353"/>
      <c r="O979" s="353"/>
      <c r="P979" s="353"/>
      <c r="Q979" s="353"/>
      <c r="R979" s="353"/>
      <c r="S979" s="353"/>
      <c r="T979" s="353"/>
      <c r="U979" s="353"/>
      <c r="V979" s="353"/>
      <c r="W979" s="353"/>
      <c r="X979" s="353"/>
      <c r="Y979" s="353"/>
      <c r="Z979" s="353"/>
    </row>
    <row r="980" ht="12.0" customHeight="1">
      <c r="A980" s="353"/>
      <c r="B980" s="353"/>
      <c r="C980" s="353"/>
      <c r="D980" s="353"/>
      <c r="E980" s="353"/>
      <c r="F980" s="353"/>
      <c r="G980" s="353"/>
      <c r="H980" s="353"/>
      <c r="I980" s="353"/>
      <c r="J980" s="353"/>
      <c r="K980" s="353"/>
      <c r="L980" s="353"/>
      <c r="M980" s="353"/>
      <c r="N980" s="353"/>
      <c r="O980" s="353"/>
      <c r="P980" s="353"/>
      <c r="Q980" s="353"/>
      <c r="R980" s="353"/>
      <c r="S980" s="353"/>
      <c r="T980" s="353"/>
      <c r="U980" s="353"/>
      <c r="V980" s="353"/>
      <c r="W980" s="353"/>
      <c r="X980" s="353"/>
      <c r="Y980" s="353"/>
      <c r="Z980" s="353"/>
    </row>
    <row r="981" ht="12.0" customHeight="1">
      <c r="A981" s="353"/>
      <c r="B981" s="353"/>
      <c r="C981" s="353"/>
      <c r="D981" s="353"/>
      <c r="E981" s="353"/>
      <c r="F981" s="353"/>
      <c r="G981" s="353"/>
      <c r="H981" s="353"/>
      <c r="I981" s="353"/>
      <c r="J981" s="353"/>
      <c r="K981" s="353"/>
      <c r="L981" s="353"/>
      <c r="M981" s="353"/>
      <c r="N981" s="353"/>
      <c r="O981" s="353"/>
      <c r="P981" s="353"/>
      <c r="Q981" s="353"/>
      <c r="R981" s="353"/>
      <c r="S981" s="353"/>
      <c r="T981" s="353"/>
      <c r="U981" s="353"/>
      <c r="V981" s="353"/>
      <c r="W981" s="353"/>
      <c r="X981" s="353"/>
      <c r="Y981" s="353"/>
      <c r="Z981" s="353"/>
    </row>
    <row r="982" ht="12.0" customHeight="1">
      <c r="A982" s="353"/>
      <c r="B982" s="353"/>
      <c r="C982" s="353"/>
      <c r="D982" s="353"/>
      <c r="E982" s="353"/>
      <c r="F982" s="353"/>
      <c r="G982" s="353"/>
      <c r="H982" s="353"/>
      <c r="I982" s="353"/>
      <c r="J982" s="353"/>
      <c r="K982" s="353"/>
      <c r="L982" s="353"/>
      <c r="M982" s="353"/>
      <c r="N982" s="353"/>
      <c r="O982" s="353"/>
      <c r="P982" s="353"/>
      <c r="Q982" s="353"/>
      <c r="R982" s="353"/>
      <c r="S982" s="353"/>
      <c r="T982" s="353"/>
      <c r="U982" s="353"/>
      <c r="V982" s="353"/>
      <c r="W982" s="353"/>
      <c r="X982" s="353"/>
      <c r="Y982" s="353"/>
      <c r="Z982" s="353"/>
    </row>
    <row r="983" ht="12.0" customHeight="1">
      <c r="A983" s="353"/>
      <c r="B983" s="353"/>
      <c r="C983" s="353"/>
      <c r="D983" s="353"/>
      <c r="E983" s="353"/>
      <c r="F983" s="353"/>
      <c r="G983" s="353"/>
      <c r="H983" s="353"/>
      <c r="I983" s="353"/>
      <c r="J983" s="353"/>
      <c r="K983" s="353"/>
      <c r="L983" s="353"/>
      <c r="M983" s="353"/>
      <c r="N983" s="353"/>
      <c r="O983" s="353"/>
      <c r="P983" s="353"/>
      <c r="Q983" s="353"/>
      <c r="R983" s="353"/>
      <c r="S983" s="353"/>
      <c r="T983" s="353"/>
      <c r="U983" s="353"/>
      <c r="V983" s="353"/>
      <c r="W983" s="353"/>
      <c r="X983" s="353"/>
      <c r="Y983" s="353"/>
      <c r="Z983" s="353"/>
    </row>
    <row r="984" ht="12.0" customHeight="1">
      <c r="A984" s="353"/>
      <c r="B984" s="353"/>
      <c r="C984" s="353"/>
      <c r="D984" s="353"/>
      <c r="E984" s="353"/>
      <c r="F984" s="353"/>
      <c r="G984" s="353"/>
      <c r="H984" s="353"/>
      <c r="I984" s="353"/>
      <c r="J984" s="353"/>
      <c r="K984" s="353"/>
      <c r="L984" s="353"/>
      <c r="M984" s="353"/>
      <c r="N984" s="353"/>
      <c r="O984" s="353"/>
      <c r="P984" s="353"/>
      <c r="Q984" s="353"/>
      <c r="R984" s="353"/>
      <c r="S984" s="353"/>
      <c r="T984" s="353"/>
      <c r="U984" s="353"/>
      <c r="V984" s="353"/>
      <c r="W984" s="353"/>
      <c r="X984" s="353"/>
      <c r="Y984" s="353"/>
      <c r="Z984" s="353"/>
    </row>
    <row r="985" ht="12.0" customHeight="1">
      <c r="A985" s="353"/>
      <c r="B985" s="353"/>
      <c r="C985" s="353"/>
      <c r="D985" s="353"/>
      <c r="E985" s="353"/>
      <c r="F985" s="353"/>
      <c r="G985" s="353"/>
      <c r="H985" s="353"/>
      <c r="I985" s="353"/>
      <c r="J985" s="353"/>
      <c r="K985" s="353"/>
      <c r="L985" s="353"/>
      <c r="M985" s="353"/>
      <c r="N985" s="353"/>
      <c r="O985" s="353"/>
      <c r="P985" s="353"/>
      <c r="Q985" s="353"/>
      <c r="R985" s="353"/>
      <c r="S985" s="353"/>
      <c r="T985" s="353"/>
      <c r="U985" s="353"/>
      <c r="V985" s="353"/>
      <c r="W985" s="353"/>
      <c r="X985" s="353"/>
      <c r="Y985" s="353"/>
      <c r="Z985" s="353"/>
    </row>
    <row r="986" ht="12.0" customHeight="1">
      <c r="A986" s="353"/>
      <c r="B986" s="353"/>
      <c r="C986" s="353"/>
      <c r="D986" s="353"/>
      <c r="E986" s="353"/>
      <c r="F986" s="353"/>
      <c r="G986" s="353"/>
      <c r="H986" s="353"/>
      <c r="I986" s="353"/>
      <c r="J986" s="353"/>
      <c r="K986" s="353"/>
      <c r="L986" s="353"/>
      <c r="M986" s="353"/>
      <c r="N986" s="353"/>
      <c r="O986" s="353"/>
      <c r="P986" s="353"/>
      <c r="Q986" s="353"/>
      <c r="R986" s="353"/>
      <c r="S986" s="353"/>
      <c r="T986" s="353"/>
      <c r="U986" s="353"/>
      <c r="V986" s="353"/>
      <c r="W986" s="353"/>
      <c r="X986" s="353"/>
      <c r="Y986" s="353"/>
      <c r="Z986" s="353"/>
    </row>
    <row r="987" ht="12.0" customHeight="1">
      <c r="A987" s="353"/>
      <c r="B987" s="353"/>
      <c r="C987" s="353"/>
      <c r="D987" s="353"/>
      <c r="E987" s="353"/>
      <c r="F987" s="353"/>
      <c r="G987" s="353"/>
      <c r="H987" s="353"/>
      <c r="I987" s="353"/>
      <c r="J987" s="353"/>
      <c r="K987" s="353"/>
      <c r="L987" s="353"/>
      <c r="M987" s="353"/>
      <c r="N987" s="353"/>
      <c r="O987" s="353"/>
      <c r="P987" s="353"/>
      <c r="Q987" s="353"/>
      <c r="R987" s="353"/>
      <c r="S987" s="353"/>
      <c r="T987" s="353"/>
      <c r="U987" s="353"/>
      <c r="V987" s="353"/>
      <c r="W987" s="353"/>
      <c r="X987" s="353"/>
      <c r="Y987" s="353"/>
      <c r="Z987" s="353"/>
    </row>
    <row r="988" ht="12.0" customHeight="1">
      <c r="A988" s="353"/>
      <c r="B988" s="353"/>
      <c r="C988" s="353"/>
      <c r="D988" s="353"/>
      <c r="E988" s="353"/>
      <c r="F988" s="353"/>
      <c r="G988" s="353"/>
      <c r="H988" s="353"/>
      <c r="I988" s="353"/>
      <c r="J988" s="353"/>
      <c r="K988" s="353"/>
      <c r="L988" s="353"/>
      <c r="M988" s="353"/>
      <c r="N988" s="353"/>
      <c r="O988" s="353"/>
      <c r="P988" s="353"/>
      <c r="Q988" s="353"/>
      <c r="R988" s="353"/>
      <c r="S988" s="353"/>
      <c r="T988" s="353"/>
      <c r="U988" s="353"/>
      <c r="V988" s="353"/>
      <c r="W988" s="353"/>
      <c r="X988" s="353"/>
      <c r="Y988" s="353"/>
      <c r="Z988" s="353"/>
    </row>
    <row r="989" ht="12.0" customHeight="1">
      <c r="A989" s="353"/>
      <c r="B989" s="353"/>
      <c r="C989" s="353"/>
      <c r="D989" s="353"/>
      <c r="E989" s="353"/>
      <c r="F989" s="353"/>
      <c r="G989" s="353"/>
      <c r="H989" s="353"/>
      <c r="I989" s="353"/>
      <c r="J989" s="353"/>
      <c r="K989" s="353"/>
      <c r="L989" s="353"/>
      <c r="M989" s="353"/>
      <c r="N989" s="353"/>
      <c r="O989" s="353"/>
      <c r="P989" s="353"/>
      <c r="Q989" s="353"/>
      <c r="R989" s="353"/>
      <c r="S989" s="353"/>
      <c r="T989" s="353"/>
      <c r="U989" s="353"/>
      <c r="V989" s="353"/>
      <c r="W989" s="353"/>
      <c r="X989" s="353"/>
      <c r="Y989" s="353"/>
      <c r="Z989" s="353"/>
    </row>
    <row r="990" ht="12.0" customHeight="1">
      <c r="A990" s="353"/>
      <c r="B990" s="353"/>
      <c r="C990" s="353"/>
      <c r="D990" s="353"/>
      <c r="E990" s="353"/>
      <c r="F990" s="353"/>
      <c r="G990" s="353"/>
      <c r="H990" s="353"/>
      <c r="I990" s="353"/>
      <c r="J990" s="353"/>
      <c r="K990" s="353"/>
      <c r="L990" s="353"/>
      <c r="M990" s="353"/>
      <c r="N990" s="353"/>
      <c r="O990" s="353"/>
      <c r="P990" s="353"/>
      <c r="Q990" s="353"/>
      <c r="R990" s="353"/>
      <c r="S990" s="353"/>
      <c r="T990" s="353"/>
      <c r="U990" s="353"/>
      <c r="V990" s="353"/>
      <c r="W990" s="353"/>
      <c r="X990" s="353"/>
      <c r="Y990" s="353"/>
      <c r="Z990" s="353"/>
    </row>
    <row r="991" ht="12.0" customHeight="1">
      <c r="A991" s="353"/>
      <c r="B991" s="353"/>
      <c r="C991" s="353"/>
      <c r="D991" s="353"/>
      <c r="E991" s="353"/>
      <c r="F991" s="353"/>
      <c r="G991" s="353"/>
      <c r="H991" s="353"/>
      <c r="I991" s="353"/>
      <c r="J991" s="353"/>
      <c r="K991" s="353"/>
      <c r="L991" s="353"/>
      <c r="M991" s="353"/>
      <c r="N991" s="353"/>
      <c r="O991" s="353"/>
      <c r="P991" s="353"/>
      <c r="Q991" s="353"/>
      <c r="R991" s="353"/>
      <c r="S991" s="353"/>
      <c r="T991" s="353"/>
      <c r="U991" s="353"/>
      <c r="V991" s="353"/>
      <c r="W991" s="353"/>
      <c r="X991" s="353"/>
      <c r="Y991" s="353"/>
      <c r="Z991" s="353"/>
    </row>
    <row r="992" ht="12.0" customHeight="1">
      <c r="A992" s="353"/>
      <c r="B992" s="353"/>
      <c r="C992" s="353"/>
      <c r="D992" s="353"/>
      <c r="E992" s="353"/>
      <c r="F992" s="353"/>
      <c r="G992" s="353"/>
      <c r="H992" s="353"/>
      <c r="I992" s="353"/>
      <c r="J992" s="353"/>
      <c r="K992" s="353"/>
      <c r="L992" s="353"/>
      <c r="M992" s="353"/>
      <c r="N992" s="353"/>
      <c r="O992" s="353"/>
      <c r="P992" s="353"/>
      <c r="Q992" s="353"/>
      <c r="R992" s="353"/>
      <c r="S992" s="353"/>
      <c r="T992" s="353"/>
      <c r="U992" s="353"/>
      <c r="V992" s="353"/>
      <c r="W992" s="353"/>
      <c r="X992" s="353"/>
      <c r="Y992" s="353"/>
      <c r="Z992" s="353"/>
    </row>
    <row r="993" ht="12.0" customHeight="1">
      <c r="A993" s="353"/>
      <c r="B993" s="353"/>
      <c r="C993" s="353"/>
      <c r="D993" s="353"/>
      <c r="E993" s="353"/>
      <c r="F993" s="353"/>
      <c r="G993" s="353"/>
      <c r="H993" s="353"/>
      <c r="I993" s="353"/>
      <c r="J993" s="353"/>
      <c r="K993" s="353"/>
      <c r="L993" s="353"/>
      <c r="M993" s="353"/>
      <c r="N993" s="353"/>
      <c r="O993" s="353"/>
      <c r="P993" s="353"/>
      <c r="Q993" s="353"/>
      <c r="R993" s="353"/>
      <c r="S993" s="353"/>
      <c r="T993" s="353"/>
      <c r="U993" s="353"/>
      <c r="V993" s="353"/>
      <c r="W993" s="353"/>
      <c r="X993" s="353"/>
      <c r="Y993" s="353"/>
      <c r="Z993" s="353"/>
    </row>
    <row r="994" ht="12.0" customHeight="1">
      <c r="A994" s="353"/>
      <c r="B994" s="353"/>
      <c r="C994" s="353"/>
      <c r="D994" s="353"/>
      <c r="E994" s="353"/>
      <c r="F994" s="353"/>
      <c r="G994" s="353"/>
      <c r="H994" s="353"/>
      <c r="I994" s="353"/>
      <c r="J994" s="353"/>
      <c r="K994" s="353"/>
      <c r="L994" s="353"/>
      <c r="M994" s="353"/>
      <c r="N994" s="353"/>
      <c r="O994" s="353"/>
      <c r="P994" s="353"/>
      <c r="Q994" s="353"/>
      <c r="R994" s="353"/>
      <c r="S994" s="353"/>
      <c r="T994" s="353"/>
      <c r="U994" s="353"/>
      <c r="V994" s="353"/>
      <c r="W994" s="353"/>
      <c r="X994" s="353"/>
      <c r="Y994" s="353"/>
      <c r="Z994" s="353"/>
    </row>
    <row r="995" ht="12.0" customHeight="1">
      <c r="A995" s="353"/>
      <c r="B995" s="353"/>
      <c r="C995" s="353"/>
      <c r="D995" s="353"/>
      <c r="E995" s="353"/>
      <c r="F995" s="353"/>
      <c r="G995" s="353"/>
      <c r="H995" s="353"/>
      <c r="I995" s="353"/>
      <c r="J995" s="353"/>
      <c r="K995" s="353"/>
      <c r="L995" s="353"/>
      <c r="M995" s="353"/>
      <c r="N995" s="353"/>
      <c r="O995" s="353"/>
      <c r="P995" s="353"/>
      <c r="Q995" s="353"/>
      <c r="R995" s="353"/>
      <c r="S995" s="353"/>
      <c r="T995" s="353"/>
      <c r="U995" s="353"/>
      <c r="V995" s="353"/>
      <c r="W995" s="353"/>
      <c r="X995" s="353"/>
      <c r="Y995" s="353"/>
      <c r="Z995" s="353"/>
    </row>
    <row r="996" ht="12.0" customHeight="1">
      <c r="A996" s="353"/>
      <c r="B996" s="353"/>
      <c r="C996" s="353"/>
      <c r="D996" s="353"/>
      <c r="E996" s="353"/>
      <c r="F996" s="353"/>
      <c r="G996" s="353"/>
      <c r="H996" s="353"/>
      <c r="I996" s="353"/>
      <c r="J996" s="353"/>
      <c r="K996" s="353"/>
      <c r="L996" s="353"/>
      <c r="M996" s="353"/>
      <c r="N996" s="353"/>
      <c r="O996" s="353"/>
      <c r="P996" s="353"/>
      <c r="Q996" s="353"/>
      <c r="R996" s="353"/>
      <c r="S996" s="353"/>
      <c r="T996" s="353"/>
      <c r="U996" s="353"/>
      <c r="V996" s="353"/>
      <c r="W996" s="353"/>
      <c r="X996" s="353"/>
      <c r="Y996" s="353"/>
      <c r="Z996" s="353"/>
    </row>
    <row r="997" ht="12.0" customHeight="1">
      <c r="A997" s="353"/>
      <c r="B997" s="353"/>
      <c r="C997" s="353"/>
      <c r="D997" s="353"/>
      <c r="E997" s="353"/>
      <c r="F997" s="353"/>
      <c r="G997" s="353"/>
      <c r="H997" s="353"/>
      <c r="I997" s="353"/>
      <c r="J997" s="353"/>
      <c r="K997" s="353"/>
      <c r="L997" s="353"/>
      <c r="M997" s="353"/>
      <c r="N997" s="353"/>
      <c r="O997" s="353"/>
      <c r="P997" s="353"/>
      <c r="Q997" s="353"/>
      <c r="R997" s="353"/>
      <c r="S997" s="353"/>
      <c r="T997" s="353"/>
      <c r="U997" s="353"/>
      <c r="V997" s="353"/>
      <c r="W997" s="353"/>
      <c r="X997" s="353"/>
      <c r="Y997" s="353"/>
      <c r="Z997" s="353"/>
    </row>
    <row r="998" ht="12.0" customHeight="1">
      <c r="A998" s="353"/>
      <c r="B998" s="353"/>
      <c r="C998" s="353"/>
      <c r="D998" s="353"/>
      <c r="E998" s="353"/>
      <c r="F998" s="353"/>
      <c r="G998" s="353"/>
      <c r="H998" s="353"/>
      <c r="I998" s="353"/>
      <c r="J998" s="353"/>
      <c r="K998" s="353"/>
      <c r="L998" s="353"/>
      <c r="M998" s="353"/>
      <c r="N998" s="353"/>
      <c r="O998" s="353"/>
      <c r="P998" s="353"/>
      <c r="Q998" s="353"/>
      <c r="R998" s="353"/>
      <c r="S998" s="353"/>
      <c r="T998" s="353"/>
      <c r="U998" s="353"/>
      <c r="V998" s="353"/>
      <c r="W998" s="353"/>
      <c r="X998" s="353"/>
      <c r="Y998" s="353"/>
      <c r="Z998" s="353"/>
    </row>
    <row r="999" ht="12.0" customHeight="1">
      <c r="A999" s="353"/>
      <c r="B999" s="353"/>
      <c r="C999" s="353"/>
      <c r="D999" s="353"/>
      <c r="E999" s="353"/>
      <c r="F999" s="353"/>
      <c r="G999" s="353"/>
      <c r="H999" s="353"/>
      <c r="I999" s="353"/>
      <c r="J999" s="353"/>
      <c r="K999" s="353"/>
      <c r="L999" s="353"/>
      <c r="M999" s="353"/>
      <c r="N999" s="353"/>
      <c r="O999" s="353"/>
      <c r="P999" s="353"/>
      <c r="Q999" s="353"/>
      <c r="R999" s="353"/>
      <c r="S999" s="353"/>
      <c r="T999" s="353"/>
      <c r="U999" s="353"/>
      <c r="V999" s="353"/>
      <c r="W999" s="353"/>
      <c r="X999" s="353"/>
      <c r="Y999" s="353"/>
      <c r="Z999" s="353"/>
    </row>
    <row r="1000" ht="12.0" customHeight="1">
      <c r="A1000" s="353"/>
      <c r="B1000" s="353"/>
      <c r="C1000" s="353"/>
      <c r="D1000" s="353"/>
      <c r="E1000" s="353"/>
      <c r="F1000" s="353"/>
      <c r="G1000" s="353"/>
      <c r="H1000" s="353"/>
      <c r="I1000" s="353"/>
      <c r="J1000" s="353"/>
      <c r="K1000" s="353"/>
      <c r="L1000" s="353"/>
      <c r="M1000" s="353"/>
      <c r="N1000" s="353"/>
      <c r="O1000" s="353"/>
      <c r="P1000" s="353"/>
      <c r="Q1000" s="353"/>
      <c r="R1000" s="353"/>
      <c r="S1000" s="353"/>
      <c r="T1000" s="353"/>
      <c r="U1000" s="353"/>
      <c r="V1000" s="353"/>
      <c r="W1000" s="353"/>
      <c r="X1000" s="353"/>
      <c r="Y1000" s="353"/>
      <c r="Z1000" s="353"/>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268</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269</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679">
        <v>2719451.0</v>
      </c>
      <c r="C8" s="679">
        <v>2719451.0</v>
      </c>
      <c r="D8" s="679">
        <v>0.0</v>
      </c>
      <c r="E8" s="679">
        <v>0.0</v>
      </c>
      <c r="F8" s="662">
        <f t="shared" ref="F8:F58" si="1">B8-C8-D8-E8</f>
        <v>0</v>
      </c>
      <c r="G8" s="222"/>
      <c r="H8" s="222"/>
      <c r="I8" s="222"/>
      <c r="J8" s="222"/>
      <c r="K8" s="222"/>
      <c r="L8" s="222"/>
      <c r="M8" s="222"/>
      <c r="N8" s="222"/>
      <c r="O8" s="222"/>
      <c r="P8" s="222"/>
      <c r="Q8" s="222"/>
      <c r="R8" s="222"/>
      <c r="S8" s="222"/>
      <c r="T8" s="222"/>
      <c r="U8" s="222"/>
      <c r="V8" s="222"/>
      <c r="W8" s="222"/>
      <c r="X8" s="222"/>
      <c r="Y8" s="222"/>
      <c r="Z8" s="222"/>
    </row>
    <row r="9" ht="16.5" customHeight="1">
      <c r="A9" s="663" t="s">
        <v>270</v>
      </c>
      <c r="B9" s="680">
        <v>1589409.0</v>
      </c>
      <c r="C9" s="680">
        <v>1589409.0</v>
      </c>
      <c r="D9" s="680">
        <v>0.0</v>
      </c>
      <c r="E9" s="680">
        <v>0.0</v>
      </c>
      <c r="F9" s="664">
        <f t="shared" si="1"/>
        <v>0</v>
      </c>
      <c r="G9" s="222"/>
      <c r="H9" s="222"/>
      <c r="I9" s="222"/>
      <c r="J9" s="222"/>
      <c r="K9" s="222"/>
      <c r="L9" s="222"/>
      <c r="M9" s="222"/>
      <c r="N9" s="222"/>
      <c r="O9" s="222"/>
      <c r="P9" s="222"/>
      <c r="Q9" s="222"/>
      <c r="R9" s="222"/>
      <c r="S9" s="222"/>
      <c r="T9" s="222"/>
      <c r="U9" s="222"/>
      <c r="V9" s="222"/>
      <c r="W9" s="222"/>
      <c r="X9" s="222"/>
      <c r="Y9" s="222"/>
      <c r="Z9" s="222"/>
    </row>
    <row r="10" ht="16.5" customHeight="1">
      <c r="A10" s="665" t="s">
        <v>89</v>
      </c>
      <c r="B10" s="680">
        <v>215902.0</v>
      </c>
      <c r="C10" s="680">
        <v>0.0</v>
      </c>
      <c r="D10" s="680">
        <v>0.0</v>
      </c>
      <c r="E10" s="680">
        <v>0.0</v>
      </c>
      <c r="F10" s="664">
        <f t="shared" si="1"/>
        <v>215902</v>
      </c>
      <c r="G10" s="222"/>
      <c r="H10" s="222"/>
      <c r="I10" s="222"/>
      <c r="J10" s="222"/>
      <c r="K10" s="222"/>
      <c r="L10" s="222"/>
      <c r="M10" s="222"/>
      <c r="N10" s="222"/>
      <c r="O10" s="222"/>
      <c r="P10" s="222"/>
      <c r="Q10" s="222"/>
      <c r="R10" s="222"/>
      <c r="S10" s="222"/>
      <c r="T10" s="222"/>
      <c r="U10" s="222"/>
      <c r="V10" s="222"/>
      <c r="W10" s="222"/>
      <c r="X10" s="222"/>
      <c r="Y10" s="222"/>
      <c r="Z10" s="222"/>
    </row>
    <row r="11" ht="16.5" customHeight="1">
      <c r="A11" s="663" t="s">
        <v>90</v>
      </c>
      <c r="B11" s="680">
        <v>537459.0</v>
      </c>
      <c r="C11" s="680">
        <v>0.0</v>
      </c>
      <c r="D11" s="680">
        <v>0.0</v>
      </c>
      <c r="E11" s="680">
        <v>0.0</v>
      </c>
      <c r="F11" s="664">
        <f t="shared" si="1"/>
        <v>537459</v>
      </c>
      <c r="G11" s="222"/>
      <c r="H11" s="222"/>
      <c r="I11" s="222"/>
      <c r="J11" s="222"/>
      <c r="K11" s="222"/>
      <c r="L11" s="222"/>
      <c r="M11" s="222"/>
      <c r="N11" s="222"/>
      <c r="O11" s="222"/>
      <c r="P11" s="222"/>
      <c r="Q11" s="222"/>
      <c r="R11" s="222"/>
      <c r="S11" s="222"/>
      <c r="T11" s="222"/>
      <c r="U11" s="222"/>
      <c r="V11" s="222"/>
      <c r="W11" s="222"/>
      <c r="X11" s="222"/>
      <c r="Y11" s="222"/>
      <c r="Z11" s="222"/>
    </row>
    <row r="12" ht="16.5" customHeight="1">
      <c r="A12" s="663" t="s">
        <v>91</v>
      </c>
      <c r="B12" s="680">
        <v>1851248.0</v>
      </c>
      <c r="C12" s="680">
        <v>1851248.0</v>
      </c>
      <c r="D12" s="680">
        <v>0.0</v>
      </c>
      <c r="E12" s="680">
        <v>0.0</v>
      </c>
      <c r="F12" s="664">
        <f t="shared" si="1"/>
        <v>0</v>
      </c>
      <c r="G12" s="222"/>
      <c r="H12" s="222"/>
      <c r="I12" s="222"/>
      <c r="J12" s="222"/>
      <c r="K12" s="222"/>
      <c r="L12" s="222"/>
      <c r="M12" s="222"/>
      <c r="N12" s="222"/>
      <c r="O12" s="222"/>
      <c r="P12" s="222"/>
      <c r="Q12" s="222"/>
      <c r="R12" s="222"/>
      <c r="S12" s="222"/>
      <c r="T12" s="222"/>
      <c r="U12" s="222"/>
      <c r="V12" s="222"/>
      <c r="W12" s="222"/>
      <c r="X12" s="222"/>
      <c r="Y12" s="222"/>
      <c r="Z12" s="222"/>
    </row>
    <row r="13" ht="16.5" customHeight="1">
      <c r="A13" s="663" t="s">
        <v>254</v>
      </c>
      <c r="B13" s="680">
        <v>0.0</v>
      </c>
      <c r="C13" s="680">
        <v>0.0</v>
      </c>
      <c r="D13" s="680">
        <v>0.0</v>
      </c>
      <c r="E13" s="680">
        <v>0.0</v>
      </c>
      <c r="F13" s="664">
        <f t="shared" si="1"/>
        <v>0</v>
      </c>
      <c r="G13" s="222"/>
      <c r="H13" s="222"/>
      <c r="I13" s="222"/>
      <c r="J13" s="222"/>
      <c r="K13" s="222"/>
      <c r="L13" s="222"/>
      <c r="M13" s="222"/>
      <c r="N13" s="222"/>
      <c r="O13" s="222"/>
      <c r="P13" s="222"/>
      <c r="Q13" s="222"/>
      <c r="R13" s="222"/>
      <c r="S13" s="222"/>
      <c r="T13" s="222"/>
      <c r="U13" s="222"/>
      <c r="V13" s="222"/>
      <c r="W13" s="222"/>
      <c r="X13" s="222"/>
      <c r="Y13" s="222"/>
      <c r="Z13" s="222"/>
    </row>
    <row r="14" ht="16.5" customHeight="1">
      <c r="A14" s="663" t="s">
        <v>92</v>
      </c>
      <c r="B14" s="680">
        <v>68000.0</v>
      </c>
      <c r="C14" s="680">
        <v>68000.0</v>
      </c>
      <c r="D14" s="680">
        <v>0.0</v>
      </c>
      <c r="E14" s="680">
        <v>0.0</v>
      </c>
      <c r="F14" s="664">
        <f t="shared" si="1"/>
        <v>0</v>
      </c>
      <c r="G14" s="222"/>
      <c r="H14" s="222"/>
      <c r="I14" s="222"/>
      <c r="J14" s="222"/>
      <c r="K14" s="222"/>
      <c r="L14" s="222"/>
      <c r="M14" s="222"/>
      <c r="N14" s="222"/>
      <c r="O14" s="222"/>
      <c r="P14" s="222"/>
      <c r="Q14" s="222"/>
      <c r="R14" s="222"/>
      <c r="S14" s="222"/>
      <c r="T14" s="222"/>
      <c r="U14" s="222"/>
      <c r="V14" s="222"/>
      <c r="W14" s="222"/>
      <c r="X14" s="222"/>
      <c r="Y14" s="222"/>
      <c r="Z14" s="222"/>
    </row>
    <row r="15" ht="16.5" customHeight="1">
      <c r="A15" s="663" t="s">
        <v>151</v>
      </c>
      <c r="B15" s="681">
        <v>5700741.0</v>
      </c>
      <c r="C15" s="681">
        <v>4840106.0</v>
      </c>
      <c r="D15" s="681">
        <v>860635.0</v>
      </c>
      <c r="E15" s="681">
        <v>0.0</v>
      </c>
      <c r="F15" s="664">
        <f t="shared" si="1"/>
        <v>0</v>
      </c>
      <c r="G15" s="222"/>
      <c r="H15" s="222"/>
      <c r="I15" s="222"/>
      <c r="J15" s="222"/>
      <c r="K15" s="222"/>
      <c r="L15" s="222"/>
      <c r="M15" s="222"/>
      <c r="N15" s="222"/>
      <c r="O15" s="222"/>
      <c r="P15" s="222"/>
      <c r="Q15" s="222"/>
      <c r="R15" s="222"/>
      <c r="S15" s="222"/>
      <c r="T15" s="222"/>
      <c r="U15" s="222"/>
      <c r="V15" s="222"/>
      <c r="W15" s="222"/>
      <c r="X15" s="222"/>
      <c r="Y15" s="222"/>
      <c r="Z15" s="222"/>
    </row>
    <row r="16" ht="16.5" customHeight="1">
      <c r="A16" s="663" t="s">
        <v>95</v>
      </c>
      <c r="B16" s="680">
        <v>0.0</v>
      </c>
      <c r="C16" s="680">
        <v>0.0</v>
      </c>
      <c r="D16" s="680">
        <v>0.0</v>
      </c>
      <c r="E16" s="680">
        <v>0.0</v>
      </c>
      <c r="F16" s="664">
        <f t="shared" si="1"/>
        <v>0</v>
      </c>
      <c r="G16" s="222"/>
      <c r="H16" s="222"/>
      <c r="I16" s="222"/>
      <c r="J16" s="222"/>
      <c r="K16" s="222"/>
      <c r="L16" s="222"/>
      <c r="M16" s="222"/>
      <c r="N16" s="222"/>
      <c r="O16" s="222"/>
      <c r="P16" s="222"/>
      <c r="Q16" s="222"/>
      <c r="R16" s="222"/>
      <c r="S16" s="222"/>
      <c r="T16" s="222"/>
      <c r="U16" s="222"/>
      <c r="V16" s="222"/>
      <c r="W16" s="222"/>
      <c r="X16" s="222"/>
      <c r="Y16" s="222"/>
      <c r="Z16" s="222"/>
    </row>
    <row r="17" ht="16.5" customHeight="1">
      <c r="A17" s="663" t="s">
        <v>96</v>
      </c>
      <c r="B17" s="680">
        <v>376958.0</v>
      </c>
      <c r="C17" s="680">
        <v>376958.0</v>
      </c>
      <c r="D17" s="680">
        <v>0.0</v>
      </c>
      <c r="E17" s="680">
        <v>0.0</v>
      </c>
      <c r="F17" s="664">
        <f t="shared" si="1"/>
        <v>0</v>
      </c>
      <c r="G17" s="222"/>
      <c r="H17" s="222"/>
      <c r="I17" s="222"/>
      <c r="J17" s="222"/>
      <c r="K17" s="222"/>
      <c r="L17" s="222"/>
      <c r="M17" s="222"/>
      <c r="N17" s="222"/>
      <c r="O17" s="222"/>
      <c r="P17" s="222"/>
      <c r="Q17" s="222"/>
      <c r="R17" s="222"/>
      <c r="S17" s="222"/>
      <c r="T17" s="222"/>
      <c r="U17" s="222"/>
      <c r="V17" s="222"/>
      <c r="W17" s="222"/>
      <c r="X17" s="222"/>
      <c r="Y17" s="222"/>
      <c r="Z17" s="222"/>
    </row>
    <row r="18" ht="16.5" customHeight="1">
      <c r="A18" s="663" t="s">
        <v>97</v>
      </c>
      <c r="B18" s="680">
        <v>1318383.0</v>
      </c>
      <c r="C18" s="680">
        <v>1318383.0</v>
      </c>
      <c r="D18" s="680">
        <v>0.0</v>
      </c>
      <c r="E18" s="680">
        <v>0.0</v>
      </c>
      <c r="F18" s="664">
        <f t="shared" si="1"/>
        <v>0</v>
      </c>
      <c r="G18" s="222"/>
      <c r="H18" s="222"/>
      <c r="I18" s="222"/>
      <c r="J18" s="222"/>
      <c r="K18" s="222"/>
      <c r="L18" s="222"/>
      <c r="M18" s="222"/>
      <c r="N18" s="222"/>
      <c r="O18" s="222"/>
      <c r="P18" s="222"/>
      <c r="Q18" s="222"/>
      <c r="R18" s="222"/>
      <c r="S18" s="222"/>
      <c r="T18" s="222"/>
      <c r="U18" s="222"/>
      <c r="V18" s="222"/>
      <c r="W18" s="222"/>
      <c r="X18" s="222"/>
      <c r="Y18" s="222"/>
      <c r="Z18" s="222"/>
    </row>
    <row r="19" ht="16.5" customHeight="1">
      <c r="A19" s="663" t="s">
        <v>98</v>
      </c>
      <c r="B19" s="680">
        <v>0.0</v>
      </c>
      <c r="C19" s="680">
        <v>0.0</v>
      </c>
      <c r="D19" s="680">
        <v>0.0</v>
      </c>
      <c r="E19" s="680">
        <v>0.0</v>
      </c>
      <c r="F19" s="664">
        <f t="shared" si="1"/>
        <v>0</v>
      </c>
      <c r="G19" s="222"/>
      <c r="H19" s="222"/>
      <c r="I19" s="222"/>
      <c r="J19" s="222"/>
      <c r="K19" s="222"/>
      <c r="L19" s="222"/>
      <c r="M19" s="222"/>
      <c r="N19" s="222"/>
      <c r="O19" s="222"/>
      <c r="P19" s="222"/>
      <c r="Q19" s="222"/>
      <c r="R19" s="222"/>
      <c r="S19" s="222"/>
      <c r="T19" s="222"/>
      <c r="U19" s="222"/>
      <c r="V19" s="222"/>
      <c r="W19" s="222"/>
      <c r="X19" s="222"/>
      <c r="Y19" s="222"/>
      <c r="Z19" s="222"/>
    </row>
    <row r="20" ht="16.5" customHeight="1">
      <c r="A20" s="663" t="s">
        <v>99</v>
      </c>
      <c r="B20" s="680">
        <v>1134636.0</v>
      </c>
      <c r="C20" s="680">
        <v>1134636.0</v>
      </c>
      <c r="D20" s="680">
        <v>0.0</v>
      </c>
      <c r="E20" s="680">
        <v>0.0</v>
      </c>
      <c r="F20" s="664">
        <f t="shared" si="1"/>
        <v>0</v>
      </c>
      <c r="G20" s="222"/>
      <c r="H20" s="222"/>
      <c r="I20" s="222"/>
      <c r="J20" s="222"/>
      <c r="K20" s="222"/>
      <c r="L20" s="222"/>
      <c r="M20" s="222"/>
      <c r="N20" s="222"/>
      <c r="O20" s="222"/>
      <c r="P20" s="222"/>
      <c r="Q20" s="222"/>
      <c r="R20" s="222"/>
      <c r="S20" s="222"/>
      <c r="T20" s="222"/>
      <c r="U20" s="222"/>
      <c r="V20" s="222"/>
      <c r="W20" s="222"/>
      <c r="X20" s="222"/>
      <c r="Y20" s="222"/>
      <c r="Z20" s="222"/>
    </row>
    <row r="21" ht="16.5" customHeight="1">
      <c r="A21" s="663" t="s">
        <v>100</v>
      </c>
      <c r="B21" s="680">
        <v>1.177357E7</v>
      </c>
      <c r="C21" s="680">
        <v>2874846.0</v>
      </c>
      <c r="D21" s="680">
        <v>1736636.0</v>
      </c>
      <c r="E21" s="680">
        <v>617934.0</v>
      </c>
      <c r="F21" s="664">
        <f t="shared" si="1"/>
        <v>6544154</v>
      </c>
      <c r="G21" s="222"/>
      <c r="H21" s="222"/>
      <c r="I21" s="222"/>
      <c r="J21" s="222"/>
      <c r="K21" s="222"/>
      <c r="L21" s="222"/>
      <c r="M21" s="222"/>
      <c r="N21" s="222"/>
      <c r="O21" s="222"/>
      <c r="P21" s="222"/>
      <c r="Q21" s="222"/>
      <c r="R21" s="222"/>
      <c r="S21" s="222"/>
      <c r="T21" s="222"/>
      <c r="U21" s="222"/>
      <c r="V21" s="222"/>
      <c r="W21" s="222"/>
      <c r="X21" s="222"/>
      <c r="Y21" s="222"/>
      <c r="Z21" s="222"/>
    </row>
    <row r="22" ht="16.5" customHeight="1">
      <c r="A22" s="663" t="s">
        <v>257</v>
      </c>
      <c r="B22" s="680">
        <v>0.0</v>
      </c>
      <c r="C22" s="680">
        <v>0.0</v>
      </c>
      <c r="D22" s="680">
        <v>0.0</v>
      </c>
      <c r="E22" s="680">
        <v>0.0</v>
      </c>
      <c r="F22" s="664">
        <f t="shared" si="1"/>
        <v>0</v>
      </c>
      <c r="G22" s="222"/>
      <c r="H22" s="222"/>
      <c r="I22" s="222"/>
      <c r="J22" s="222"/>
      <c r="K22" s="222"/>
      <c r="L22" s="222"/>
      <c r="M22" s="222"/>
      <c r="N22" s="222"/>
      <c r="O22" s="222"/>
      <c r="P22" s="222"/>
      <c r="Q22" s="222"/>
      <c r="R22" s="222"/>
      <c r="S22" s="222"/>
      <c r="T22" s="222"/>
      <c r="U22" s="222"/>
      <c r="V22" s="222"/>
      <c r="W22" s="222"/>
      <c r="X22" s="222"/>
      <c r="Y22" s="222"/>
      <c r="Z22" s="222"/>
    </row>
    <row r="23" ht="16.5" customHeight="1">
      <c r="A23" s="663" t="s">
        <v>101</v>
      </c>
      <c r="B23" s="680">
        <v>1.6615295E7</v>
      </c>
      <c r="C23" s="680">
        <f>15622987+75353</f>
        <v>15698340</v>
      </c>
      <c r="D23" s="680">
        <f>992308-75353</f>
        <v>916955</v>
      </c>
      <c r="E23" s="680">
        <v>0.0</v>
      </c>
      <c r="F23" s="664">
        <f t="shared" si="1"/>
        <v>0</v>
      </c>
      <c r="G23" s="222"/>
      <c r="H23" s="222"/>
      <c r="I23" s="222"/>
      <c r="J23" s="222"/>
      <c r="K23" s="222"/>
      <c r="L23" s="222"/>
      <c r="M23" s="222"/>
      <c r="N23" s="222"/>
      <c r="O23" s="222"/>
      <c r="P23" s="222"/>
      <c r="Q23" s="222"/>
      <c r="R23" s="222"/>
      <c r="S23" s="222"/>
      <c r="T23" s="222"/>
      <c r="U23" s="222"/>
      <c r="V23" s="222"/>
      <c r="W23" s="222"/>
      <c r="X23" s="222"/>
      <c r="Y23" s="222"/>
      <c r="Z23" s="222"/>
    </row>
    <row r="24" ht="16.5" customHeight="1">
      <c r="A24" s="663" t="s">
        <v>102</v>
      </c>
      <c r="B24" s="680">
        <v>698237.0</v>
      </c>
      <c r="C24" s="680">
        <v>698237.0</v>
      </c>
      <c r="D24" s="680">
        <v>0.0</v>
      </c>
      <c r="E24" s="680">
        <v>0.0</v>
      </c>
      <c r="F24" s="664">
        <f t="shared" si="1"/>
        <v>0</v>
      </c>
      <c r="G24" s="222"/>
      <c r="H24" s="222"/>
      <c r="I24" s="222"/>
      <c r="J24" s="222"/>
      <c r="K24" s="222"/>
      <c r="L24" s="222"/>
      <c r="M24" s="222"/>
      <c r="N24" s="222"/>
      <c r="O24" s="222"/>
      <c r="P24" s="222"/>
      <c r="Q24" s="222"/>
      <c r="R24" s="222"/>
      <c r="S24" s="222"/>
      <c r="T24" s="222"/>
      <c r="U24" s="222"/>
      <c r="V24" s="222"/>
      <c r="W24" s="222"/>
      <c r="X24" s="222"/>
      <c r="Y24" s="222"/>
      <c r="Z24" s="222"/>
    </row>
    <row r="25" ht="16.5" customHeight="1">
      <c r="A25" s="663" t="s">
        <v>104</v>
      </c>
      <c r="B25" s="680">
        <v>257245.0</v>
      </c>
      <c r="C25" s="680">
        <v>257245.0</v>
      </c>
      <c r="D25" s="680">
        <v>0.0</v>
      </c>
      <c r="E25" s="680">
        <v>0.0</v>
      </c>
      <c r="F25" s="664">
        <f t="shared" si="1"/>
        <v>0</v>
      </c>
      <c r="G25" s="222"/>
      <c r="H25" s="222"/>
      <c r="I25" s="222"/>
      <c r="J25" s="222"/>
      <c r="K25" s="222"/>
      <c r="L25" s="222"/>
      <c r="M25" s="222"/>
      <c r="N25" s="222"/>
      <c r="O25" s="222"/>
      <c r="P25" s="222"/>
      <c r="Q25" s="222"/>
      <c r="R25" s="222"/>
      <c r="S25" s="222"/>
      <c r="T25" s="222"/>
      <c r="U25" s="222"/>
      <c r="V25" s="222"/>
      <c r="W25" s="222"/>
      <c r="X25" s="222"/>
      <c r="Y25" s="222"/>
      <c r="Z25" s="222"/>
    </row>
    <row r="26" ht="16.5" customHeight="1">
      <c r="A26" s="663" t="s">
        <v>105</v>
      </c>
      <c r="B26" s="680">
        <v>55124.0</v>
      </c>
      <c r="C26" s="680">
        <v>55124.0</v>
      </c>
      <c r="D26" s="680">
        <v>0.0</v>
      </c>
      <c r="E26" s="680">
        <v>0.0</v>
      </c>
      <c r="F26" s="664">
        <f t="shared" si="1"/>
        <v>0</v>
      </c>
      <c r="G26" s="222"/>
      <c r="H26" s="222"/>
      <c r="I26" s="222"/>
      <c r="J26" s="222"/>
      <c r="K26" s="222"/>
      <c r="L26" s="222"/>
      <c r="M26" s="222"/>
      <c r="N26" s="222"/>
      <c r="O26" s="222"/>
      <c r="P26" s="222"/>
      <c r="Q26" s="222"/>
      <c r="R26" s="222"/>
      <c r="S26" s="222"/>
      <c r="T26" s="222"/>
      <c r="U26" s="222"/>
      <c r="V26" s="222"/>
      <c r="W26" s="222"/>
      <c r="X26" s="222"/>
      <c r="Y26" s="222"/>
      <c r="Z26" s="222"/>
    </row>
    <row r="27" ht="16.5" customHeight="1">
      <c r="A27" s="663" t="s">
        <v>106</v>
      </c>
      <c r="B27" s="680">
        <v>385868.0</v>
      </c>
      <c r="C27" s="680">
        <v>385868.0</v>
      </c>
      <c r="D27" s="680">
        <v>0.0</v>
      </c>
      <c r="E27" s="680">
        <v>0.0</v>
      </c>
      <c r="F27" s="664">
        <f t="shared" si="1"/>
        <v>0</v>
      </c>
      <c r="G27" s="222"/>
      <c r="H27" s="222"/>
      <c r="I27" s="222"/>
      <c r="J27" s="222"/>
      <c r="K27" s="222"/>
      <c r="L27" s="222"/>
      <c r="M27" s="222"/>
      <c r="N27" s="222"/>
      <c r="O27" s="222"/>
      <c r="P27" s="222"/>
      <c r="Q27" s="222"/>
      <c r="R27" s="222"/>
      <c r="S27" s="222"/>
      <c r="T27" s="222"/>
      <c r="U27" s="222"/>
      <c r="V27" s="222"/>
      <c r="W27" s="222"/>
      <c r="X27" s="222"/>
      <c r="Y27" s="222"/>
      <c r="Z27" s="222"/>
    </row>
    <row r="28" ht="16.5" customHeight="1">
      <c r="A28" s="663" t="s">
        <v>107</v>
      </c>
      <c r="B28" s="680">
        <v>491522.0</v>
      </c>
      <c r="C28" s="680">
        <v>491522.0</v>
      </c>
      <c r="D28" s="680">
        <v>0.0</v>
      </c>
      <c r="E28" s="680">
        <v>0.0</v>
      </c>
      <c r="F28" s="664">
        <f t="shared" si="1"/>
        <v>0</v>
      </c>
      <c r="G28" s="222"/>
      <c r="H28" s="222"/>
      <c r="I28" s="222"/>
      <c r="J28" s="222"/>
      <c r="K28" s="222"/>
      <c r="L28" s="222"/>
      <c r="M28" s="222"/>
      <c r="N28" s="222"/>
      <c r="O28" s="222"/>
      <c r="P28" s="222"/>
      <c r="Q28" s="222"/>
      <c r="R28" s="222"/>
      <c r="S28" s="222"/>
      <c r="T28" s="222"/>
      <c r="U28" s="222"/>
      <c r="V28" s="222"/>
      <c r="W28" s="222"/>
      <c r="X28" s="222"/>
      <c r="Y28" s="222"/>
      <c r="Z28" s="222"/>
    </row>
    <row r="29" ht="16.5" customHeight="1">
      <c r="A29" s="663" t="s">
        <v>108</v>
      </c>
      <c r="B29" s="680">
        <v>9550235.0</v>
      </c>
      <c r="C29" s="680">
        <v>9550235.0</v>
      </c>
      <c r="D29" s="680">
        <v>0.0</v>
      </c>
      <c r="E29" s="680">
        <v>0.0</v>
      </c>
      <c r="F29" s="664">
        <f t="shared" si="1"/>
        <v>0</v>
      </c>
      <c r="G29" s="222"/>
      <c r="H29" s="222"/>
      <c r="I29" s="222"/>
      <c r="J29" s="222"/>
      <c r="K29" s="222"/>
      <c r="L29" s="222"/>
      <c r="M29" s="222"/>
      <c r="N29" s="222"/>
      <c r="O29" s="222"/>
      <c r="P29" s="222"/>
      <c r="Q29" s="222"/>
      <c r="R29" s="222"/>
      <c r="S29" s="222"/>
      <c r="T29" s="222"/>
      <c r="U29" s="222"/>
      <c r="V29" s="222"/>
      <c r="W29" s="222"/>
      <c r="X29" s="222"/>
      <c r="Y29" s="222"/>
      <c r="Z29" s="222"/>
    </row>
    <row r="30" ht="16.5" customHeight="1">
      <c r="A30" s="663" t="s">
        <v>109</v>
      </c>
      <c r="B30" s="680">
        <v>2.8361303E7</v>
      </c>
      <c r="C30" s="680">
        <v>2.8361303E7</v>
      </c>
      <c r="D30" s="680">
        <v>0.0</v>
      </c>
      <c r="E30" s="680">
        <v>0.0</v>
      </c>
      <c r="F30" s="664">
        <f t="shared" si="1"/>
        <v>0</v>
      </c>
      <c r="G30" s="222"/>
      <c r="H30" s="222"/>
      <c r="I30" s="222"/>
      <c r="J30" s="222"/>
      <c r="K30" s="222"/>
      <c r="L30" s="222"/>
      <c r="M30" s="222"/>
      <c r="N30" s="222"/>
      <c r="O30" s="222"/>
      <c r="P30" s="222"/>
      <c r="Q30" s="222"/>
      <c r="R30" s="222"/>
      <c r="S30" s="222"/>
      <c r="T30" s="222"/>
      <c r="U30" s="222"/>
      <c r="V30" s="222"/>
      <c r="W30" s="222"/>
      <c r="X30" s="222"/>
      <c r="Y30" s="222"/>
      <c r="Z30" s="222"/>
    </row>
    <row r="31" ht="16.5" customHeight="1">
      <c r="A31" s="663" t="s">
        <v>111</v>
      </c>
      <c r="B31" s="680">
        <v>0.0</v>
      </c>
      <c r="C31" s="680">
        <v>0.0</v>
      </c>
      <c r="D31" s="680">
        <v>0.0</v>
      </c>
      <c r="E31" s="680">
        <v>0.0</v>
      </c>
      <c r="F31" s="664">
        <f t="shared" si="1"/>
        <v>0</v>
      </c>
      <c r="G31" s="222"/>
      <c r="H31" s="222"/>
      <c r="I31" s="222"/>
      <c r="J31" s="222"/>
      <c r="K31" s="222"/>
      <c r="L31" s="222"/>
      <c r="M31" s="222"/>
      <c r="N31" s="222"/>
      <c r="O31" s="222"/>
      <c r="P31" s="222"/>
      <c r="Q31" s="222"/>
      <c r="R31" s="222"/>
      <c r="S31" s="222"/>
      <c r="T31" s="222"/>
      <c r="U31" s="222"/>
      <c r="V31" s="222"/>
      <c r="W31" s="222"/>
      <c r="X31" s="222"/>
      <c r="Y31" s="222"/>
      <c r="Z31" s="222"/>
    </row>
    <row r="32" ht="16.5" customHeight="1">
      <c r="A32" s="663" t="s">
        <v>112</v>
      </c>
      <c r="B32" s="680">
        <v>0.0</v>
      </c>
      <c r="C32" s="680">
        <v>0.0</v>
      </c>
      <c r="D32" s="680">
        <v>0.0</v>
      </c>
      <c r="E32" s="680">
        <v>0.0</v>
      </c>
      <c r="F32" s="664">
        <f t="shared" si="1"/>
        <v>0</v>
      </c>
      <c r="G32" s="222"/>
      <c r="H32" s="222"/>
      <c r="I32" s="222"/>
      <c r="J32" s="222"/>
      <c r="K32" s="222"/>
      <c r="L32" s="222"/>
      <c r="M32" s="222"/>
      <c r="N32" s="222"/>
      <c r="O32" s="222"/>
      <c r="P32" s="222"/>
      <c r="Q32" s="222"/>
      <c r="R32" s="222"/>
      <c r="S32" s="222"/>
      <c r="T32" s="222"/>
      <c r="U32" s="222"/>
      <c r="V32" s="222"/>
      <c r="W32" s="222"/>
      <c r="X32" s="222"/>
      <c r="Y32" s="222"/>
      <c r="Z32" s="222"/>
    </row>
    <row r="33" ht="16.5" customHeight="1">
      <c r="A33" s="663" t="s">
        <v>113</v>
      </c>
      <c r="B33" s="680">
        <v>18375.0</v>
      </c>
      <c r="C33" s="680">
        <v>18375.0</v>
      </c>
      <c r="D33" s="680">
        <v>0.0</v>
      </c>
      <c r="E33" s="680">
        <v>0.0</v>
      </c>
      <c r="F33" s="664">
        <f t="shared" si="1"/>
        <v>0</v>
      </c>
      <c r="G33" s="222"/>
      <c r="H33" s="222"/>
      <c r="I33" s="222"/>
      <c r="J33" s="222"/>
      <c r="K33" s="222"/>
      <c r="L33" s="222"/>
      <c r="M33" s="222"/>
      <c r="N33" s="222"/>
      <c r="O33" s="222"/>
      <c r="P33" s="222"/>
      <c r="Q33" s="222"/>
      <c r="R33" s="222"/>
      <c r="S33" s="222"/>
      <c r="T33" s="222"/>
      <c r="U33" s="222"/>
      <c r="V33" s="222"/>
      <c r="W33" s="222"/>
      <c r="X33" s="222"/>
      <c r="Y33" s="222"/>
      <c r="Z33" s="222"/>
    </row>
    <row r="34" ht="16.5" customHeight="1">
      <c r="A34" s="663" t="s">
        <v>114</v>
      </c>
      <c r="B34" s="680">
        <v>0.0</v>
      </c>
      <c r="C34" s="680">
        <v>0.0</v>
      </c>
      <c r="D34" s="680">
        <v>0.0</v>
      </c>
      <c r="E34" s="680">
        <v>0.0</v>
      </c>
      <c r="F34" s="664">
        <f t="shared" si="1"/>
        <v>0</v>
      </c>
      <c r="G34" s="222"/>
      <c r="H34" s="222"/>
      <c r="I34" s="222"/>
      <c r="J34" s="222"/>
      <c r="K34" s="222"/>
      <c r="L34" s="222"/>
      <c r="M34" s="222"/>
      <c r="N34" s="222"/>
      <c r="O34" s="222"/>
      <c r="P34" s="222"/>
      <c r="Q34" s="222"/>
      <c r="R34" s="222"/>
      <c r="S34" s="222"/>
      <c r="T34" s="222"/>
      <c r="U34" s="222"/>
      <c r="V34" s="222"/>
      <c r="W34" s="222"/>
      <c r="X34" s="222"/>
      <c r="Y34" s="222"/>
      <c r="Z34" s="222"/>
    </row>
    <row r="35" ht="16.5" customHeight="1">
      <c r="A35" s="663" t="s">
        <v>115</v>
      </c>
      <c r="B35" s="680">
        <v>128623.0</v>
      </c>
      <c r="C35" s="680">
        <v>128623.0</v>
      </c>
      <c r="D35" s="680">
        <v>0.0</v>
      </c>
      <c r="E35" s="680">
        <v>0.0</v>
      </c>
      <c r="F35" s="664">
        <f t="shared" si="1"/>
        <v>0</v>
      </c>
      <c r="G35" s="222"/>
      <c r="H35" s="222"/>
      <c r="I35" s="222"/>
      <c r="J35" s="222"/>
      <c r="K35" s="222"/>
      <c r="L35" s="222"/>
      <c r="M35" s="222"/>
      <c r="N35" s="222"/>
      <c r="O35" s="222"/>
      <c r="P35" s="222"/>
      <c r="Q35" s="222"/>
      <c r="R35" s="222"/>
      <c r="S35" s="222"/>
      <c r="T35" s="222"/>
      <c r="U35" s="222"/>
      <c r="V35" s="222"/>
      <c r="W35" s="222"/>
      <c r="X35" s="222"/>
      <c r="Y35" s="222"/>
      <c r="Z35" s="222"/>
    </row>
    <row r="36" ht="16.5" customHeight="1">
      <c r="A36" s="663" t="s">
        <v>116</v>
      </c>
      <c r="B36" s="680">
        <v>0.0</v>
      </c>
      <c r="C36" s="680">
        <v>0.0</v>
      </c>
      <c r="D36" s="680">
        <v>0.0</v>
      </c>
      <c r="E36" s="680">
        <v>0.0</v>
      </c>
      <c r="F36" s="664">
        <f t="shared" si="1"/>
        <v>0</v>
      </c>
      <c r="G36" s="222"/>
      <c r="H36" s="222"/>
      <c r="I36" s="222"/>
      <c r="J36" s="222"/>
      <c r="K36" s="222"/>
      <c r="L36" s="222"/>
      <c r="M36" s="222"/>
      <c r="N36" s="222"/>
      <c r="O36" s="222"/>
      <c r="P36" s="222"/>
      <c r="Q36" s="222"/>
      <c r="R36" s="222"/>
      <c r="S36" s="222"/>
      <c r="T36" s="222"/>
      <c r="U36" s="222"/>
      <c r="V36" s="222"/>
      <c r="W36" s="222"/>
      <c r="X36" s="222"/>
      <c r="Y36" s="222"/>
      <c r="Z36" s="222"/>
    </row>
    <row r="37" ht="16.5" customHeight="1">
      <c r="A37" s="663" t="s">
        <v>117</v>
      </c>
      <c r="B37" s="680">
        <v>18375.0</v>
      </c>
      <c r="C37" s="680">
        <v>18375.0</v>
      </c>
      <c r="D37" s="680">
        <v>0.0</v>
      </c>
      <c r="E37" s="680">
        <v>0.0</v>
      </c>
      <c r="F37" s="664">
        <f t="shared" si="1"/>
        <v>0</v>
      </c>
      <c r="G37" s="222"/>
      <c r="H37" s="222"/>
      <c r="I37" s="222"/>
      <c r="J37" s="222"/>
      <c r="K37" s="222"/>
      <c r="L37" s="222"/>
      <c r="M37" s="222"/>
      <c r="N37" s="222"/>
      <c r="O37" s="222"/>
      <c r="P37" s="222"/>
      <c r="Q37" s="222"/>
      <c r="R37" s="222"/>
      <c r="S37" s="222"/>
      <c r="T37" s="222"/>
      <c r="U37" s="222"/>
      <c r="V37" s="222"/>
      <c r="W37" s="222"/>
      <c r="X37" s="222"/>
      <c r="Y37" s="222"/>
      <c r="Z37" s="222"/>
    </row>
    <row r="38" ht="16.5" customHeight="1">
      <c r="A38" s="663" t="s">
        <v>118</v>
      </c>
      <c r="B38" s="680">
        <v>2916979.0</v>
      </c>
      <c r="C38" s="680">
        <v>2916979.0</v>
      </c>
      <c r="D38" s="680">
        <v>0.0</v>
      </c>
      <c r="E38" s="680">
        <v>0.0</v>
      </c>
      <c r="F38" s="664">
        <f t="shared" si="1"/>
        <v>0</v>
      </c>
      <c r="G38" s="222"/>
      <c r="H38" s="222"/>
      <c r="I38" s="222"/>
      <c r="J38" s="222"/>
      <c r="K38" s="222"/>
      <c r="L38" s="222"/>
      <c r="M38" s="222"/>
      <c r="N38" s="222"/>
      <c r="O38" s="222"/>
      <c r="P38" s="222"/>
      <c r="Q38" s="222"/>
      <c r="R38" s="222"/>
      <c r="S38" s="222"/>
      <c r="T38" s="222"/>
      <c r="U38" s="222"/>
      <c r="V38" s="222"/>
      <c r="W38" s="222"/>
      <c r="X38" s="222"/>
      <c r="Y38" s="222"/>
      <c r="Z38" s="222"/>
    </row>
    <row r="39" ht="16.5" customHeight="1">
      <c r="A39" s="663" t="s">
        <v>119</v>
      </c>
      <c r="B39" s="680">
        <v>440992.0</v>
      </c>
      <c r="C39" s="680">
        <v>440992.0</v>
      </c>
      <c r="D39" s="680">
        <v>0.0</v>
      </c>
      <c r="E39" s="680">
        <v>0.0</v>
      </c>
      <c r="F39" s="664">
        <f t="shared" si="1"/>
        <v>0</v>
      </c>
      <c r="G39" s="222"/>
      <c r="H39" s="222"/>
      <c r="I39" s="222"/>
      <c r="J39" s="222"/>
      <c r="K39" s="222"/>
      <c r="L39" s="222"/>
      <c r="M39" s="222"/>
      <c r="N39" s="222"/>
      <c r="O39" s="222"/>
      <c r="P39" s="222"/>
      <c r="Q39" s="222"/>
      <c r="R39" s="222"/>
      <c r="S39" s="222"/>
      <c r="T39" s="222"/>
      <c r="U39" s="222"/>
      <c r="V39" s="222"/>
      <c r="W39" s="222"/>
      <c r="X39" s="222"/>
      <c r="Y39" s="222"/>
      <c r="Z39" s="222"/>
    </row>
    <row r="40" ht="16.5" customHeight="1">
      <c r="A40" s="663" t="s">
        <v>120</v>
      </c>
      <c r="B40" s="680">
        <v>1028982.0</v>
      </c>
      <c r="C40" s="680">
        <v>1028982.0</v>
      </c>
      <c r="D40" s="680">
        <v>0.0</v>
      </c>
      <c r="E40" s="680">
        <v>0.0</v>
      </c>
      <c r="F40" s="664">
        <f t="shared" si="1"/>
        <v>0</v>
      </c>
      <c r="G40" s="222"/>
      <c r="H40" s="222"/>
      <c r="I40" s="222"/>
      <c r="J40" s="222"/>
      <c r="K40" s="222"/>
      <c r="L40" s="222"/>
      <c r="M40" s="222"/>
      <c r="N40" s="222"/>
      <c r="O40" s="222"/>
      <c r="P40" s="222"/>
      <c r="Q40" s="222"/>
      <c r="R40" s="222"/>
      <c r="S40" s="222"/>
      <c r="T40" s="222"/>
      <c r="U40" s="222"/>
      <c r="V40" s="222"/>
      <c r="W40" s="222"/>
      <c r="X40" s="222"/>
      <c r="Y40" s="222"/>
      <c r="Z40" s="222"/>
    </row>
    <row r="41" ht="16.5" customHeight="1">
      <c r="A41" s="663" t="s">
        <v>121</v>
      </c>
      <c r="B41" s="680">
        <v>0.0</v>
      </c>
      <c r="C41" s="680">
        <v>0.0</v>
      </c>
      <c r="D41" s="680">
        <v>0.0</v>
      </c>
      <c r="E41" s="680">
        <v>0.0</v>
      </c>
      <c r="F41" s="664">
        <f t="shared" si="1"/>
        <v>0</v>
      </c>
      <c r="G41" s="222"/>
      <c r="H41" s="222"/>
      <c r="I41" s="222"/>
      <c r="J41" s="222"/>
      <c r="K41" s="222"/>
      <c r="L41" s="222"/>
      <c r="M41" s="222"/>
      <c r="N41" s="222"/>
      <c r="O41" s="222"/>
      <c r="P41" s="222"/>
      <c r="Q41" s="222"/>
      <c r="R41" s="222"/>
      <c r="S41" s="222"/>
      <c r="T41" s="222"/>
      <c r="U41" s="222"/>
      <c r="V41" s="222"/>
      <c r="W41" s="222"/>
      <c r="X41" s="222"/>
      <c r="Y41" s="222"/>
      <c r="Z41" s="222"/>
    </row>
    <row r="42" ht="16.5" customHeight="1">
      <c r="A42" s="663" t="s">
        <v>122</v>
      </c>
      <c r="B42" s="680">
        <v>620145.0</v>
      </c>
      <c r="C42" s="680">
        <v>620145.0</v>
      </c>
      <c r="D42" s="680">
        <v>0.0</v>
      </c>
      <c r="E42" s="680">
        <v>0.0</v>
      </c>
      <c r="F42" s="664">
        <f t="shared" si="1"/>
        <v>0</v>
      </c>
      <c r="G42" s="222"/>
      <c r="H42" s="222"/>
      <c r="I42" s="222"/>
      <c r="J42" s="222"/>
      <c r="K42" s="222"/>
      <c r="L42" s="222"/>
      <c r="M42" s="222"/>
      <c r="N42" s="222"/>
      <c r="O42" s="222"/>
      <c r="P42" s="222"/>
      <c r="Q42" s="222"/>
      <c r="R42" s="222"/>
      <c r="S42" s="222"/>
      <c r="T42" s="222"/>
      <c r="U42" s="222"/>
      <c r="V42" s="222"/>
      <c r="W42" s="222"/>
      <c r="X42" s="222"/>
      <c r="Y42" s="222"/>
      <c r="Z42" s="222"/>
    </row>
    <row r="43" ht="16.5" customHeight="1">
      <c r="A43" s="663" t="s">
        <v>123</v>
      </c>
      <c r="B43" s="680">
        <v>505303.0</v>
      </c>
      <c r="C43" s="680">
        <v>505303.0</v>
      </c>
      <c r="D43" s="680">
        <v>0.0</v>
      </c>
      <c r="E43" s="680">
        <v>0.0</v>
      </c>
      <c r="F43" s="664">
        <f t="shared" si="1"/>
        <v>0</v>
      </c>
      <c r="G43" s="222"/>
      <c r="H43" s="222"/>
      <c r="I43" s="222"/>
      <c r="J43" s="222"/>
      <c r="K43" s="222"/>
      <c r="L43" s="222"/>
      <c r="M43" s="222"/>
      <c r="N43" s="222"/>
      <c r="O43" s="222"/>
      <c r="P43" s="222"/>
      <c r="Q43" s="222"/>
      <c r="R43" s="222"/>
      <c r="S43" s="222"/>
      <c r="T43" s="222"/>
      <c r="U43" s="222"/>
      <c r="V43" s="222"/>
      <c r="W43" s="222"/>
      <c r="X43" s="222"/>
      <c r="Y43" s="222"/>
      <c r="Z43" s="222"/>
    </row>
    <row r="44" ht="16.5" customHeight="1">
      <c r="A44" s="663" t="s">
        <v>125</v>
      </c>
      <c r="B44" s="680">
        <v>8176728.0</v>
      </c>
      <c r="C44" s="680">
        <v>0.0</v>
      </c>
      <c r="D44" s="680">
        <v>0.0</v>
      </c>
      <c r="E44" s="680">
        <v>0.0</v>
      </c>
      <c r="F44" s="664">
        <f t="shared" si="1"/>
        <v>8176728</v>
      </c>
      <c r="G44" s="222"/>
      <c r="H44" s="222"/>
      <c r="I44" s="222"/>
      <c r="J44" s="222"/>
      <c r="K44" s="222"/>
      <c r="L44" s="222"/>
      <c r="M44" s="222"/>
      <c r="N44" s="222"/>
      <c r="O44" s="222"/>
      <c r="P44" s="222"/>
      <c r="Q44" s="222"/>
      <c r="R44" s="222"/>
      <c r="S44" s="222"/>
      <c r="T44" s="222"/>
      <c r="U44" s="222"/>
      <c r="V44" s="222"/>
      <c r="W44" s="222"/>
      <c r="X44" s="222"/>
      <c r="Y44" s="222"/>
      <c r="Z44" s="222"/>
    </row>
    <row r="45" ht="16.5" customHeight="1">
      <c r="A45" s="663" t="s">
        <v>127</v>
      </c>
      <c r="B45" s="680">
        <v>0.0</v>
      </c>
      <c r="C45" s="680">
        <v>0.0</v>
      </c>
      <c r="D45" s="680">
        <v>0.0</v>
      </c>
      <c r="E45" s="680">
        <v>0.0</v>
      </c>
      <c r="F45" s="664">
        <f t="shared" si="1"/>
        <v>0</v>
      </c>
      <c r="G45" s="222"/>
      <c r="H45" s="222"/>
      <c r="I45" s="222"/>
      <c r="J45" s="222"/>
      <c r="K45" s="222"/>
      <c r="L45" s="222"/>
      <c r="M45" s="222"/>
      <c r="N45" s="222"/>
      <c r="O45" s="222"/>
      <c r="P45" s="222"/>
      <c r="Q45" s="222"/>
      <c r="R45" s="222"/>
      <c r="S45" s="222"/>
      <c r="T45" s="222"/>
      <c r="U45" s="222"/>
      <c r="V45" s="222"/>
      <c r="W45" s="222"/>
      <c r="X45" s="222"/>
      <c r="Y45" s="222"/>
      <c r="Z45" s="222"/>
    </row>
    <row r="46" ht="16.5" customHeight="1">
      <c r="A46" s="678" t="s">
        <v>262</v>
      </c>
      <c r="B46" s="680">
        <v>151591.0</v>
      </c>
      <c r="C46" s="680">
        <v>151591.0</v>
      </c>
      <c r="D46" s="680">
        <v>0.0</v>
      </c>
      <c r="E46" s="680">
        <v>0.0</v>
      </c>
      <c r="F46" s="664">
        <f t="shared" si="1"/>
        <v>0</v>
      </c>
      <c r="G46" s="222"/>
      <c r="H46" s="222"/>
      <c r="I46" s="222"/>
      <c r="J46" s="222"/>
      <c r="K46" s="222"/>
      <c r="L46" s="222"/>
      <c r="M46" s="222"/>
      <c r="N46" s="222"/>
      <c r="O46" s="222"/>
      <c r="P46" s="222"/>
      <c r="Q46" s="222"/>
      <c r="R46" s="222"/>
      <c r="S46" s="222"/>
      <c r="T46" s="222"/>
      <c r="U46" s="222"/>
      <c r="V46" s="222"/>
      <c r="W46" s="222"/>
      <c r="X46" s="222"/>
      <c r="Y46" s="222"/>
      <c r="Z46" s="222"/>
    </row>
    <row r="47" ht="16.5" customHeight="1">
      <c r="A47" s="663" t="s">
        <v>129</v>
      </c>
      <c r="B47" s="680">
        <v>0.0</v>
      </c>
      <c r="C47" s="680">
        <v>0.0</v>
      </c>
      <c r="D47" s="680">
        <v>0.0</v>
      </c>
      <c r="E47" s="680">
        <v>0.0</v>
      </c>
      <c r="F47" s="664">
        <f t="shared" si="1"/>
        <v>0</v>
      </c>
      <c r="G47" s="222"/>
      <c r="H47" s="222"/>
      <c r="I47" s="222"/>
      <c r="J47" s="222"/>
      <c r="K47" s="222"/>
      <c r="L47" s="222"/>
      <c r="M47" s="222"/>
      <c r="N47" s="222"/>
      <c r="O47" s="222"/>
      <c r="P47" s="222"/>
      <c r="Q47" s="222"/>
      <c r="R47" s="222"/>
      <c r="S47" s="222"/>
      <c r="T47" s="222"/>
      <c r="U47" s="222"/>
      <c r="V47" s="222"/>
      <c r="W47" s="222"/>
      <c r="X47" s="222"/>
      <c r="Y47" s="222"/>
      <c r="Z47" s="222"/>
    </row>
    <row r="48" ht="16.5" customHeight="1">
      <c r="A48" s="663" t="s">
        <v>130</v>
      </c>
      <c r="B48" s="680">
        <v>592583.0</v>
      </c>
      <c r="C48" s="680">
        <v>592583.0</v>
      </c>
      <c r="D48" s="680">
        <v>0.0</v>
      </c>
      <c r="E48" s="680">
        <v>0.0</v>
      </c>
      <c r="F48" s="664">
        <f t="shared" si="1"/>
        <v>0</v>
      </c>
      <c r="G48" s="222"/>
      <c r="H48" s="222"/>
      <c r="I48" s="222"/>
      <c r="J48" s="222"/>
      <c r="K48" s="222"/>
      <c r="L48" s="222"/>
      <c r="M48" s="222"/>
      <c r="N48" s="222"/>
      <c r="O48" s="222"/>
      <c r="P48" s="222"/>
      <c r="Q48" s="222"/>
      <c r="R48" s="222"/>
      <c r="S48" s="222"/>
      <c r="T48" s="222"/>
      <c r="U48" s="222"/>
      <c r="V48" s="222"/>
      <c r="W48" s="222"/>
      <c r="X48" s="222"/>
      <c r="Y48" s="222"/>
      <c r="Z48" s="222"/>
    </row>
    <row r="49" ht="16.5" customHeight="1">
      <c r="A49" s="663" t="s">
        <v>131</v>
      </c>
      <c r="B49" s="680">
        <v>4341016.0</v>
      </c>
      <c r="C49" s="680">
        <v>4341016.0</v>
      </c>
      <c r="D49" s="680">
        <v>0.0</v>
      </c>
      <c r="E49" s="680">
        <v>0.0</v>
      </c>
      <c r="F49" s="664">
        <f t="shared" si="1"/>
        <v>0</v>
      </c>
      <c r="G49" s="222"/>
      <c r="H49" s="222"/>
      <c r="I49" s="222"/>
      <c r="J49" s="222"/>
      <c r="K49" s="222"/>
      <c r="L49" s="222"/>
      <c r="M49" s="222"/>
      <c r="N49" s="222"/>
      <c r="O49" s="222"/>
      <c r="P49" s="222"/>
      <c r="Q49" s="222"/>
      <c r="R49" s="222"/>
      <c r="S49" s="222"/>
      <c r="T49" s="222"/>
      <c r="U49" s="222"/>
      <c r="V49" s="222"/>
      <c r="W49" s="222"/>
      <c r="X49" s="222"/>
      <c r="Y49" s="222"/>
      <c r="Z49" s="222"/>
    </row>
    <row r="50" ht="16.5" customHeight="1">
      <c r="A50" s="663" t="s">
        <v>132</v>
      </c>
      <c r="B50" s="680">
        <v>2255491.0</v>
      </c>
      <c r="C50" s="680">
        <v>2255491.0</v>
      </c>
      <c r="D50" s="680">
        <v>0.0</v>
      </c>
      <c r="E50" s="680">
        <v>0.0</v>
      </c>
      <c r="F50" s="664">
        <f t="shared" si="1"/>
        <v>0</v>
      </c>
      <c r="G50" s="222"/>
      <c r="H50" s="222"/>
      <c r="I50" s="222"/>
      <c r="J50" s="222"/>
      <c r="K50" s="222"/>
      <c r="L50" s="222"/>
      <c r="M50" s="222"/>
      <c r="N50" s="222"/>
      <c r="O50" s="222"/>
      <c r="P50" s="222"/>
      <c r="Q50" s="222"/>
      <c r="R50" s="222"/>
      <c r="S50" s="222"/>
      <c r="T50" s="222"/>
      <c r="U50" s="222"/>
      <c r="V50" s="222"/>
      <c r="W50" s="222"/>
      <c r="X50" s="222"/>
      <c r="Y50" s="222"/>
      <c r="Z50" s="222"/>
    </row>
    <row r="51" ht="16.5" customHeight="1">
      <c r="A51" s="663" t="s">
        <v>133</v>
      </c>
      <c r="B51" s="680">
        <v>2223335.0</v>
      </c>
      <c r="C51" s="680">
        <v>2189435.0</v>
      </c>
      <c r="D51" s="680">
        <v>33900.0</v>
      </c>
      <c r="E51" s="680">
        <v>0.0</v>
      </c>
      <c r="F51" s="664">
        <f t="shared" si="1"/>
        <v>0</v>
      </c>
      <c r="G51" s="222"/>
      <c r="H51" s="222"/>
      <c r="I51" s="222"/>
      <c r="J51" s="222"/>
      <c r="K51" s="222"/>
      <c r="L51" s="222"/>
      <c r="M51" s="222"/>
      <c r="N51" s="222"/>
      <c r="O51" s="222"/>
      <c r="P51" s="222"/>
      <c r="Q51" s="222"/>
      <c r="R51" s="222"/>
      <c r="S51" s="222"/>
      <c r="T51" s="222"/>
      <c r="U51" s="222"/>
      <c r="V51" s="222"/>
      <c r="W51" s="222"/>
      <c r="X51" s="222"/>
      <c r="Y51" s="222"/>
      <c r="Z51" s="222"/>
    </row>
    <row r="52" ht="16.5" customHeight="1">
      <c r="A52" s="663" t="s">
        <v>134</v>
      </c>
      <c r="B52" s="680">
        <v>0.0</v>
      </c>
      <c r="C52" s="680">
        <v>0.0</v>
      </c>
      <c r="D52" s="680">
        <v>0.0</v>
      </c>
      <c r="E52" s="680">
        <v>0.0</v>
      </c>
      <c r="F52" s="664">
        <f t="shared" si="1"/>
        <v>0</v>
      </c>
      <c r="G52" s="222"/>
      <c r="H52" s="222"/>
      <c r="I52" s="222"/>
      <c r="J52" s="222"/>
      <c r="K52" s="222"/>
      <c r="L52" s="222"/>
      <c r="M52" s="222"/>
      <c r="N52" s="222"/>
      <c r="O52" s="222"/>
      <c r="P52" s="222"/>
      <c r="Q52" s="222"/>
      <c r="R52" s="222"/>
      <c r="S52" s="222"/>
      <c r="T52" s="222"/>
      <c r="U52" s="222"/>
      <c r="V52" s="222"/>
      <c r="W52" s="222"/>
      <c r="X52" s="222"/>
      <c r="Y52" s="222"/>
      <c r="Z52" s="222"/>
    </row>
    <row r="53" ht="16.5" customHeight="1">
      <c r="A53" s="663" t="s">
        <v>230</v>
      </c>
      <c r="B53" s="680">
        <v>59718.0</v>
      </c>
      <c r="C53" s="680">
        <v>0.0</v>
      </c>
      <c r="D53" s="680">
        <v>0.0</v>
      </c>
      <c r="E53" s="680">
        <v>0.0</v>
      </c>
      <c r="F53" s="664">
        <f t="shared" si="1"/>
        <v>59718</v>
      </c>
      <c r="G53" s="222"/>
      <c r="H53" s="222"/>
      <c r="I53" s="222"/>
      <c r="J53" s="222"/>
      <c r="K53" s="222"/>
      <c r="L53" s="222"/>
      <c r="M53" s="222"/>
      <c r="N53" s="222"/>
      <c r="O53" s="222"/>
      <c r="P53" s="222"/>
      <c r="Q53" s="222"/>
      <c r="R53" s="222"/>
      <c r="S53" s="222"/>
      <c r="T53" s="222"/>
      <c r="U53" s="222"/>
      <c r="V53" s="222"/>
      <c r="W53" s="222"/>
      <c r="X53" s="222"/>
      <c r="Y53" s="222"/>
      <c r="Z53" s="222"/>
    </row>
    <row r="54" ht="16.5" customHeight="1">
      <c r="A54" s="663" t="s">
        <v>136</v>
      </c>
      <c r="B54" s="680">
        <v>1365867.0</v>
      </c>
      <c r="C54" s="680">
        <v>0.0</v>
      </c>
      <c r="D54" s="680">
        <v>0.0</v>
      </c>
      <c r="E54" s="680">
        <v>0.0</v>
      </c>
      <c r="F54" s="664">
        <f t="shared" si="1"/>
        <v>1365867</v>
      </c>
      <c r="G54" s="222"/>
      <c r="H54" s="222"/>
      <c r="I54" s="222"/>
      <c r="J54" s="222"/>
      <c r="K54" s="222"/>
      <c r="L54" s="222"/>
      <c r="M54" s="222"/>
      <c r="N54" s="222"/>
      <c r="O54" s="222"/>
      <c r="P54" s="222"/>
      <c r="Q54" s="222"/>
      <c r="R54" s="222"/>
      <c r="S54" s="222"/>
      <c r="T54" s="222"/>
      <c r="U54" s="222"/>
      <c r="V54" s="222"/>
      <c r="W54" s="222"/>
      <c r="X54" s="222"/>
      <c r="Y54" s="222"/>
      <c r="Z54" s="222"/>
    </row>
    <row r="55" ht="16.5" customHeight="1">
      <c r="A55" s="663" t="s">
        <v>137</v>
      </c>
      <c r="B55" s="680">
        <v>0.0</v>
      </c>
      <c r="C55" s="680">
        <v>0.0</v>
      </c>
      <c r="D55" s="680">
        <v>0.0</v>
      </c>
      <c r="E55" s="680">
        <v>0.0</v>
      </c>
      <c r="F55" s="664">
        <f t="shared" si="1"/>
        <v>0</v>
      </c>
      <c r="G55" s="222"/>
      <c r="H55" s="222"/>
      <c r="I55" s="222"/>
      <c r="J55" s="222"/>
      <c r="K55" s="222"/>
      <c r="L55" s="222"/>
      <c r="M55" s="222"/>
      <c r="N55" s="222"/>
      <c r="O55" s="222"/>
      <c r="P55" s="222"/>
      <c r="Q55" s="222"/>
      <c r="R55" s="222"/>
      <c r="S55" s="222"/>
      <c r="T55" s="222"/>
      <c r="U55" s="222"/>
      <c r="V55" s="222"/>
      <c r="W55" s="222"/>
      <c r="X55" s="222"/>
      <c r="Y55" s="222"/>
      <c r="Z55" s="222"/>
    </row>
    <row r="56" ht="16.5" customHeight="1">
      <c r="A56" s="663" t="s">
        <v>138</v>
      </c>
      <c r="B56" s="680">
        <v>9766137.0</v>
      </c>
      <c r="C56" s="680">
        <v>8138450.0</v>
      </c>
      <c r="D56" s="680">
        <v>0.0</v>
      </c>
      <c r="E56" s="680">
        <v>1627687.0</v>
      </c>
      <c r="F56" s="664">
        <f t="shared" si="1"/>
        <v>0</v>
      </c>
      <c r="G56" s="222"/>
      <c r="H56" s="222"/>
      <c r="I56" s="222"/>
      <c r="J56" s="222"/>
      <c r="K56" s="222"/>
      <c r="L56" s="222"/>
      <c r="M56" s="222"/>
      <c r="N56" s="222"/>
      <c r="O56" s="222"/>
      <c r="P56" s="222"/>
      <c r="Q56" s="222"/>
      <c r="R56" s="222"/>
      <c r="S56" s="222"/>
      <c r="T56" s="222"/>
      <c r="U56" s="222"/>
      <c r="V56" s="222"/>
      <c r="W56" s="222"/>
      <c r="X56" s="222"/>
      <c r="Y56" s="222"/>
      <c r="Z56" s="222"/>
    </row>
    <row r="57" ht="16.5" customHeight="1">
      <c r="A57" s="663" t="s">
        <v>139</v>
      </c>
      <c r="B57" s="680">
        <v>3.8833333E7</v>
      </c>
      <c r="C57" s="680">
        <v>3.8381333E7</v>
      </c>
      <c r="D57" s="680">
        <v>452000.0</v>
      </c>
      <c r="E57" s="680">
        <v>0.0</v>
      </c>
      <c r="F57" s="664">
        <f t="shared" si="1"/>
        <v>0</v>
      </c>
      <c r="G57" s="222"/>
      <c r="H57" s="222"/>
      <c r="I57" s="222"/>
      <c r="J57" s="222"/>
      <c r="K57" s="222"/>
      <c r="L57" s="222"/>
      <c r="M57" s="222"/>
      <c r="N57" s="222"/>
      <c r="O57" s="222"/>
      <c r="P57" s="222"/>
      <c r="Q57" s="222"/>
      <c r="R57" s="222"/>
      <c r="S57" s="222"/>
      <c r="T57" s="222"/>
      <c r="U57" s="222"/>
      <c r="V57" s="222"/>
      <c r="W57" s="222"/>
      <c r="X57" s="222"/>
      <c r="Y57" s="222"/>
      <c r="Z57" s="222"/>
    </row>
    <row r="58" ht="16.5" customHeight="1">
      <c r="A58" s="668" t="s">
        <v>140</v>
      </c>
      <c r="B58" s="680">
        <v>0.0</v>
      </c>
      <c r="C58" s="680">
        <v>0.0</v>
      </c>
      <c r="D58" s="680">
        <v>0.0</v>
      </c>
      <c r="E58" s="680">
        <v>0.0</v>
      </c>
      <c r="F58" s="670">
        <f t="shared" si="1"/>
        <v>0</v>
      </c>
      <c r="G58" s="222"/>
      <c r="H58" s="222"/>
      <c r="I58" s="222"/>
      <c r="J58" s="222"/>
      <c r="K58" s="222"/>
      <c r="L58" s="222"/>
      <c r="M58" s="222"/>
      <c r="N58" s="222"/>
      <c r="O58" s="222"/>
      <c r="P58" s="222"/>
      <c r="Q58" s="222"/>
      <c r="R58" s="222"/>
      <c r="S58" s="222"/>
      <c r="T58" s="222"/>
      <c r="U58" s="222"/>
      <c r="V58" s="222"/>
      <c r="W58" s="222"/>
      <c r="X58" s="222"/>
      <c r="Y58" s="222"/>
      <c r="Z58" s="222"/>
    </row>
    <row r="59">
      <c r="A59" s="682" t="s">
        <v>143</v>
      </c>
      <c r="B59" s="672">
        <f t="shared" ref="B59:F59" si="2">SUM(B8:B58)</f>
        <v>157144159</v>
      </c>
      <c r="C59" s="672">
        <f t="shared" si="2"/>
        <v>133998584</v>
      </c>
      <c r="D59" s="672">
        <f t="shared" si="2"/>
        <v>4000126</v>
      </c>
      <c r="E59" s="672">
        <f t="shared" si="2"/>
        <v>2245621</v>
      </c>
      <c r="F59" s="683">
        <f t="shared" si="2"/>
        <v>16899828</v>
      </c>
      <c r="G59" s="222"/>
      <c r="H59" s="222"/>
      <c r="I59" s="222"/>
      <c r="J59" s="222"/>
      <c r="K59" s="222"/>
      <c r="L59" s="222"/>
      <c r="M59" s="222"/>
      <c r="N59" s="222"/>
      <c r="O59" s="222"/>
      <c r="P59" s="222"/>
      <c r="Q59" s="222"/>
      <c r="R59" s="222"/>
      <c r="S59" s="222"/>
      <c r="T59" s="222"/>
      <c r="U59" s="222"/>
      <c r="V59" s="222"/>
      <c r="W59" s="222"/>
      <c r="X59" s="222"/>
      <c r="Y59" s="222"/>
      <c r="Z59" s="222"/>
    </row>
    <row r="60">
      <c r="A60" s="433"/>
      <c r="B60" s="222"/>
      <c r="C60" s="222"/>
      <c r="D60" s="222"/>
      <c r="E60" s="684"/>
      <c r="F60" s="684"/>
      <c r="G60" s="222"/>
      <c r="H60" s="222"/>
      <c r="I60" s="222"/>
      <c r="J60" s="222"/>
      <c r="K60" s="222"/>
      <c r="L60" s="222"/>
      <c r="M60" s="222"/>
      <c r="N60" s="222"/>
      <c r="O60" s="222"/>
      <c r="P60" s="222"/>
      <c r="Q60" s="222"/>
      <c r="R60" s="222"/>
      <c r="S60" s="222"/>
      <c r="T60" s="222"/>
      <c r="U60" s="222"/>
      <c r="V60" s="222"/>
      <c r="W60" s="222"/>
      <c r="X60" s="222"/>
      <c r="Y60" s="222"/>
      <c r="Z60" s="222"/>
    </row>
    <row r="61">
      <c r="A61" s="685"/>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685"/>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3" width="17.29"/>
    <col customWidth="1" min="4" max="4" width="13.71"/>
    <col customWidth="1" min="5" max="6" width="17.29"/>
    <col customWidth="1" min="7" max="26" width="9.71"/>
  </cols>
  <sheetData>
    <row r="1" ht="16.5" customHeight="1">
      <c r="A1" s="222"/>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222"/>
      <c r="B2" s="433"/>
      <c r="C2" s="222"/>
      <c r="D2" s="222"/>
      <c r="E2" s="222"/>
      <c r="F2" s="632" t="s">
        <v>271</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272</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484" t="s">
        <v>150</v>
      </c>
      <c r="B8" s="686">
        <f>'YR1994'!B8+'YR1995'!B8+'YR1996'!B8</f>
        <v>7845588</v>
      </c>
      <c r="C8" s="686">
        <f>'YR1994'!C8+'YR1995'!C8+'YR1996'!C8+91869+42162</f>
        <v>7276402</v>
      </c>
      <c r="D8" s="686">
        <f>'YR1994'!D8+'YR1995'!D8+'YR1996'!D8-91869-42162</f>
        <v>569186</v>
      </c>
      <c r="E8" s="686">
        <f>'YR1994'!E8+'YR1995'!E8+'YR1996'!E8</f>
        <v>0</v>
      </c>
      <c r="F8" s="687">
        <f t="shared" ref="F8:F12" si="1">B8-C8-D8-E8</f>
        <v>0</v>
      </c>
      <c r="G8" s="222"/>
      <c r="H8" s="222"/>
      <c r="I8" s="222"/>
      <c r="J8" s="222"/>
      <c r="K8" s="222"/>
      <c r="L8" s="222"/>
      <c r="M8" s="222"/>
      <c r="N8" s="222"/>
      <c r="O8" s="222"/>
      <c r="P8" s="222"/>
      <c r="Q8" s="222"/>
      <c r="R8" s="222"/>
      <c r="S8" s="222"/>
      <c r="T8" s="222"/>
      <c r="U8" s="222"/>
      <c r="V8" s="222"/>
      <c r="W8" s="222"/>
      <c r="X8" s="222"/>
      <c r="Y8" s="222"/>
      <c r="Z8" s="222"/>
    </row>
    <row r="9" ht="18.0" customHeight="1">
      <c r="A9" s="488" t="s">
        <v>270</v>
      </c>
      <c r="B9" s="688">
        <f>'YR1994'!B9+'YR1995'!B9+'YR1996'!B9</f>
        <v>4123053</v>
      </c>
      <c r="C9" s="688">
        <f>'YR1994'!C9+'YR1995'!C9+'YR1996'!C9</f>
        <v>4006425</v>
      </c>
      <c r="D9" s="688">
        <f>'YR1994'!D9+'YR1995'!D9+'YR1996'!D9</f>
        <v>116628</v>
      </c>
      <c r="E9" s="688">
        <f>'YR1994'!E9+'YR1995'!E9+'YR1996'!E9</f>
        <v>0</v>
      </c>
      <c r="F9" s="689">
        <f t="shared" si="1"/>
        <v>0</v>
      </c>
      <c r="G9" s="222"/>
      <c r="H9" s="222"/>
      <c r="I9" s="222"/>
      <c r="J9" s="222"/>
      <c r="K9" s="222"/>
      <c r="L9" s="222"/>
      <c r="M9" s="222"/>
      <c r="N9" s="222"/>
      <c r="O9" s="222"/>
      <c r="P9" s="222"/>
      <c r="Q9" s="222"/>
      <c r="R9" s="222"/>
      <c r="S9" s="222"/>
      <c r="T9" s="222"/>
      <c r="U9" s="222"/>
      <c r="V9" s="222"/>
      <c r="W9" s="222"/>
      <c r="X9" s="222"/>
      <c r="Y9" s="222"/>
      <c r="Z9" s="222"/>
    </row>
    <row r="10" ht="18.0" customHeight="1">
      <c r="A10" s="491" t="s">
        <v>89</v>
      </c>
      <c r="B10" s="688">
        <f>'YR1994'!B10+'YR1995'!B10+'YR1996'!B10</f>
        <v>63182</v>
      </c>
      <c r="C10" s="688">
        <f>63182</f>
        <v>63182</v>
      </c>
      <c r="D10" s="688">
        <f>'YR1994'!D10+'YR1995'!D10+'YR1996'!D10</f>
        <v>0</v>
      </c>
      <c r="E10" s="688">
        <v>0.0</v>
      </c>
      <c r="F10" s="689">
        <f t="shared" si="1"/>
        <v>0</v>
      </c>
      <c r="G10" s="222"/>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88">
        <f>'YR1994'!B11+'YR1995'!B11+'YR1996'!B11</f>
        <v>160066</v>
      </c>
      <c r="C11" s="688">
        <f>'YR1994'!C11+'YR1995'!C11+'YR1996'!C11</f>
        <v>0</v>
      </c>
      <c r="D11" s="688">
        <f>'YR1994'!D11+'YR1995'!D11+'YR1996'!D11</f>
        <v>0</v>
      </c>
      <c r="E11" s="688">
        <f>'YR1994'!E11+'YR1995'!E11+'YR1996'!E11</f>
        <v>0</v>
      </c>
      <c r="F11" s="689">
        <f t="shared" si="1"/>
        <v>160066</v>
      </c>
      <c r="G11" s="222"/>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88">
        <f>'YR1994'!B12+'YR1995'!B12+'YR1996'!B12</f>
        <v>5452741</v>
      </c>
      <c r="C12" s="688">
        <f>'YR1994'!C12+'YR1995'!C12+'YR1996'!C12</f>
        <v>5452741</v>
      </c>
      <c r="D12" s="688">
        <f>'YR1994'!D12+'YR1995'!D12+'YR1996'!D12</f>
        <v>0</v>
      </c>
      <c r="E12" s="688">
        <f>'YR1994'!E12+'YR1995'!E12+'YR1996'!E12</f>
        <v>0</v>
      </c>
      <c r="F12" s="689">
        <f t="shared" si="1"/>
        <v>0</v>
      </c>
      <c r="G12" s="222"/>
      <c r="H12" s="222"/>
      <c r="I12" s="222"/>
      <c r="J12" s="222"/>
      <c r="K12" s="222"/>
      <c r="L12" s="222"/>
      <c r="M12" s="222"/>
      <c r="N12" s="222"/>
      <c r="O12" s="222"/>
      <c r="P12" s="222"/>
      <c r="Q12" s="222"/>
      <c r="R12" s="222"/>
      <c r="S12" s="222"/>
      <c r="T12" s="222"/>
      <c r="U12" s="222"/>
      <c r="V12" s="222"/>
      <c r="W12" s="222"/>
      <c r="X12" s="222"/>
      <c r="Y12" s="222"/>
      <c r="Z12" s="222"/>
    </row>
    <row r="13" ht="18.0" customHeight="1">
      <c r="A13" s="663" t="s">
        <v>254</v>
      </c>
      <c r="B13" s="688">
        <f>'YR1994'!B13+'YR1995'!B13+'YR1996'!B13</f>
        <v>0</v>
      </c>
      <c r="C13" s="688">
        <f>'YR1994'!C13+'YR1995'!C13+'YR1996'!C13</f>
        <v>0</v>
      </c>
      <c r="D13" s="688">
        <f>'YR1994'!D13+'YR1995'!D13+'YR1996'!D13</f>
        <v>0</v>
      </c>
      <c r="E13" s="688">
        <f>'YR1994'!E13+'YR1995'!E13+'YR1996'!E13</f>
        <v>0</v>
      </c>
      <c r="F13" s="689"/>
      <c r="G13" s="222"/>
      <c r="H13" s="222"/>
      <c r="I13" s="222"/>
      <c r="J13" s="222"/>
      <c r="K13" s="222"/>
      <c r="L13" s="222"/>
      <c r="M13" s="222"/>
      <c r="N13" s="222"/>
      <c r="O13" s="222"/>
      <c r="P13" s="222"/>
      <c r="Q13" s="222"/>
      <c r="R13" s="222"/>
      <c r="S13" s="222"/>
      <c r="T13" s="222"/>
      <c r="U13" s="222"/>
      <c r="V13" s="222"/>
      <c r="W13" s="222"/>
      <c r="X13" s="222"/>
      <c r="Y13" s="222"/>
      <c r="Z13" s="222"/>
    </row>
    <row r="14" ht="18.0" customHeight="1">
      <c r="A14" s="488" t="s">
        <v>92</v>
      </c>
      <c r="B14" s="688">
        <f>'YR1994'!B14+'YR1995'!B14+'YR1996'!B14</f>
        <v>529218</v>
      </c>
      <c r="C14" s="688">
        <f>'YR1994'!C14+'YR1995'!C14+'YR1996'!C14</f>
        <v>529218</v>
      </c>
      <c r="D14" s="688">
        <f>'YR1994'!D14+'YR1995'!D14+'YR1996'!D14</f>
        <v>0</v>
      </c>
      <c r="E14" s="688">
        <f>'YR1994'!E14+'YR1995'!E14+'YR1996'!E14</f>
        <v>0</v>
      </c>
      <c r="F14" s="689">
        <f t="shared" ref="F14:F58" si="2">B14-C14-D14-E14</f>
        <v>0</v>
      </c>
      <c r="G14" s="222"/>
      <c r="H14" s="222"/>
      <c r="I14" s="222"/>
      <c r="J14" s="222"/>
      <c r="K14" s="222"/>
      <c r="L14" s="222"/>
      <c r="M14" s="222"/>
      <c r="N14" s="222"/>
      <c r="O14" s="222"/>
      <c r="P14" s="222"/>
      <c r="Q14" s="222"/>
      <c r="R14" s="222"/>
      <c r="S14" s="222"/>
      <c r="T14" s="222"/>
      <c r="U14" s="222"/>
      <c r="V14" s="222"/>
      <c r="W14" s="222"/>
      <c r="X14" s="222"/>
      <c r="Y14" s="222"/>
      <c r="Z14" s="222"/>
    </row>
    <row r="15" ht="18.0" customHeight="1">
      <c r="A15" s="488" t="s">
        <v>151</v>
      </c>
      <c r="B15" s="688">
        <f>'YR1994'!B15+'YR1995'!B15+'YR1996'!B15</f>
        <v>16253343</v>
      </c>
      <c r="C15" s="688">
        <f>'YR1994'!C15+'YR1995'!C15+'YR1996'!C15</f>
        <v>14815493</v>
      </c>
      <c r="D15" s="688">
        <f>'YR1994'!D15+'YR1995'!D15+'YR1996'!D15</f>
        <v>1437850</v>
      </c>
      <c r="E15" s="688">
        <f>'YR1994'!E15+'YR1995'!E15+'YR1996'!E15</f>
        <v>0</v>
      </c>
      <c r="F15" s="689">
        <f t="shared" si="2"/>
        <v>0</v>
      </c>
      <c r="G15" s="222"/>
      <c r="H15" s="222"/>
      <c r="I15" s="222"/>
      <c r="J15" s="222"/>
      <c r="K15" s="222"/>
      <c r="L15" s="222"/>
      <c r="M15" s="222"/>
      <c r="N15" s="222"/>
      <c r="O15" s="222"/>
      <c r="P15" s="222"/>
      <c r="Q15" s="222"/>
      <c r="R15" s="222"/>
      <c r="S15" s="222"/>
      <c r="T15" s="222"/>
      <c r="U15" s="222"/>
      <c r="V15" s="222"/>
      <c r="W15" s="222"/>
      <c r="X15" s="222"/>
      <c r="Y15" s="222"/>
      <c r="Z15" s="222"/>
    </row>
    <row r="16" ht="18.0" customHeight="1">
      <c r="A16" s="488" t="s">
        <v>95</v>
      </c>
      <c r="B16" s="688">
        <f>'YR1994'!B16+'YR1995'!B16+'YR1996'!B16</f>
        <v>122023</v>
      </c>
      <c r="C16" s="688">
        <f>'YR1994'!C16+'YR1995'!C16+'YR1996'!C16</f>
        <v>122023</v>
      </c>
      <c r="D16" s="688">
        <f>'YR1994'!D16+'YR1995'!D16+'YR1996'!D16</f>
        <v>0</v>
      </c>
      <c r="E16" s="688">
        <f>'YR1994'!E16+'YR1995'!E16+'YR1996'!E16</f>
        <v>0</v>
      </c>
      <c r="F16" s="689">
        <f t="shared" si="2"/>
        <v>0</v>
      </c>
      <c r="G16" s="222"/>
      <c r="H16" s="222"/>
      <c r="I16" s="222"/>
      <c r="J16" s="222"/>
      <c r="K16" s="222"/>
      <c r="L16" s="222"/>
      <c r="M16" s="222"/>
      <c r="N16" s="222"/>
      <c r="O16" s="222"/>
      <c r="P16" s="222"/>
      <c r="Q16" s="222"/>
      <c r="R16" s="222"/>
      <c r="S16" s="222"/>
      <c r="T16" s="222"/>
      <c r="U16" s="222"/>
      <c r="V16" s="222"/>
      <c r="W16" s="222"/>
      <c r="X16" s="222"/>
      <c r="Y16" s="222"/>
      <c r="Z16" s="222"/>
    </row>
    <row r="17" ht="18.0" customHeight="1">
      <c r="A17" s="488" t="s">
        <v>96</v>
      </c>
      <c r="B17" s="688">
        <f>'YR1994'!B17+'YR1995'!B17+'YR1996'!B17</f>
        <v>1918089</v>
      </c>
      <c r="C17" s="688">
        <f>'YR1994'!C17+'YR1995'!C17+'YR1996'!C17</f>
        <v>1918089</v>
      </c>
      <c r="D17" s="688">
        <f>'YR1994'!D17+'YR1995'!D17+'YR1996'!D17</f>
        <v>0</v>
      </c>
      <c r="E17" s="688">
        <f>'YR1994'!E17+'YR1995'!E17+'YR1996'!E17</f>
        <v>0</v>
      </c>
      <c r="F17" s="689">
        <f t="shared" si="2"/>
        <v>0</v>
      </c>
      <c r="G17" s="222"/>
      <c r="H17" s="222"/>
      <c r="I17" s="222"/>
      <c r="J17" s="222"/>
      <c r="K17" s="222"/>
      <c r="L17" s="222"/>
      <c r="M17" s="222"/>
      <c r="N17" s="222"/>
      <c r="O17" s="222"/>
      <c r="P17" s="222"/>
      <c r="Q17" s="222"/>
      <c r="R17" s="222"/>
      <c r="S17" s="222"/>
      <c r="T17" s="222"/>
      <c r="U17" s="222"/>
      <c r="V17" s="222"/>
      <c r="W17" s="222"/>
      <c r="X17" s="222"/>
      <c r="Y17" s="222"/>
      <c r="Z17" s="222"/>
    </row>
    <row r="18" ht="18.0" customHeight="1">
      <c r="A18" s="488" t="s">
        <v>97</v>
      </c>
      <c r="B18" s="688">
        <f>'YR1994'!B18+'YR1995'!B18+'YR1996'!B18</f>
        <v>3517291</v>
      </c>
      <c r="C18" s="688">
        <f>'YR1994'!C18+'YR1995'!C18+'YR1996'!C18+43947</f>
        <v>3356238</v>
      </c>
      <c r="D18" s="688">
        <f>'YR1994'!D18+'YR1995'!D18+'YR1996'!D18-43947</f>
        <v>161053</v>
      </c>
      <c r="E18" s="688">
        <f>'YR1994'!E18+'YR1995'!E18+'YR1996'!E18</f>
        <v>0</v>
      </c>
      <c r="F18" s="689">
        <f t="shared" si="2"/>
        <v>0</v>
      </c>
      <c r="G18" s="222"/>
      <c r="H18" s="222"/>
      <c r="I18" s="222"/>
      <c r="J18" s="222"/>
      <c r="K18" s="222"/>
      <c r="L18" s="222"/>
      <c r="M18" s="222"/>
      <c r="N18" s="222"/>
      <c r="O18" s="222"/>
      <c r="P18" s="222"/>
      <c r="Q18" s="222"/>
      <c r="R18" s="222"/>
      <c r="S18" s="222"/>
      <c r="T18" s="222"/>
      <c r="U18" s="222"/>
      <c r="V18" s="222"/>
      <c r="W18" s="222"/>
      <c r="X18" s="222"/>
      <c r="Y18" s="222"/>
      <c r="Z18" s="222"/>
    </row>
    <row r="19" ht="18.0" customHeight="1">
      <c r="A19" s="488" t="s">
        <v>98</v>
      </c>
      <c r="B19" s="688">
        <f>'YR1994'!B19+'YR1995'!B19+'YR1996'!B19</f>
        <v>0</v>
      </c>
      <c r="C19" s="688">
        <f>'YR1994'!C19+'YR1995'!C19+'YR1996'!C19</f>
        <v>0</v>
      </c>
      <c r="D19" s="688">
        <f>'YR1994'!D19+'YR1995'!D19+'YR1996'!D19</f>
        <v>0</v>
      </c>
      <c r="E19" s="688">
        <f>'YR1994'!E19+'YR1995'!E19+'YR1996'!E19</f>
        <v>0</v>
      </c>
      <c r="F19" s="689">
        <f t="shared" si="2"/>
        <v>0</v>
      </c>
      <c r="G19" s="222"/>
      <c r="H19" s="222"/>
      <c r="I19" s="222"/>
      <c r="J19" s="222"/>
      <c r="K19" s="222"/>
      <c r="L19" s="222"/>
      <c r="M19" s="222"/>
      <c r="N19" s="222"/>
      <c r="O19" s="222"/>
      <c r="P19" s="222"/>
      <c r="Q19" s="222"/>
      <c r="R19" s="222"/>
      <c r="S19" s="222"/>
      <c r="T19" s="222"/>
      <c r="U19" s="222"/>
      <c r="V19" s="222"/>
      <c r="W19" s="222"/>
      <c r="X19" s="222"/>
      <c r="Y19" s="222"/>
      <c r="Z19" s="222"/>
    </row>
    <row r="20" ht="18.0" customHeight="1">
      <c r="A20" s="488" t="s">
        <v>99</v>
      </c>
      <c r="B20" s="688">
        <f>'YR1994'!B20+'YR1995'!B20+'YR1996'!B20</f>
        <v>3064031</v>
      </c>
      <c r="C20" s="688">
        <f>'YR1994'!C20+'YR1995'!C20+'YR1996'!C20</f>
        <v>2960591</v>
      </c>
      <c r="D20" s="688">
        <f>'YR1994'!D20+'YR1995'!D20+'YR1996'!D20</f>
        <v>103440</v>
      </c>
      <c r="E20" s="688">
        <f>'YR1994'!E20+'YR1995'!E20+'YR1996'!E20</f>
        <v>0</v>
      </c>
      <c r="F20" s="689">
        <f t="shared" si="2"/>
        <v>0</v>
      </c>
      <c r="G20" s="222"/>
      <c r="H20" s="222"/>
      <c r="I20" s="222"/>
      <c r="J20" s="222"/>
      <c r="K20" s="222"/>
      <c r="L20" s="222"/>
      <c r="M20" s="222"/>
      <c r="N20" s="222"/>
      <c r="O20" s="222"/>
      <c r="P20" s="222"/>
      <c r="Q20" s="222"/>
      <c r="R20" s="222"/>
      <c r="S20" s="222"/>
      <c r="T20" s="222"/>
      <c r="U20" s="222"/>
      <c r="V20" s="222"/>
      <c r="W20" s="222"/>
      <c r="X20" s="222"/>
      <c r="Y20" s="222"/>
      <c r="Z20" s="222"/>
    </row>
    <row r="21" ht="18.0" customHeight="1">
      <c r="A21" s="488" t="s">
        <v>100</v>
      </c>
      <c r="B21" s="688">
        <f>'YR1994'!B21+'YR1995'!B21+'YR1996'!B21-693288</f>
        <v>31398558</v>
      </c>
      <c r="C21" s="688">
        <f>'YR1994'!C21+'YR1995'!C21+'YR1996'!C21+1649</f>
        <v>30114778</v>
      </c>
      <c r="D21" s="688">
        <f>'YR1994'!D21+'YR1995'!D21+'YR1996'!D21-1649</f>
        <v>1283780</v>
      </c>
      <c r="E21" s="688">
        <f>'YR1994'!E21+'YR1995'!E21+'YR1996'!E21</f>
        <v>0</v>
      </c>
      <c r="F21" s="689">
        <f t="shared" si="2"/>
        <v>0</v>
      </c>
      <c r="G21" s="222"/>
      <c r="H21" s="222"/>
      <c r="I21" s="222"/>
      <c r="J21" s="222"/>
      <c r="K21" s="222"/>
      <c r="L21" s="222"/>
      <c r="M21" s="222"/>
      <c r="N21" s="222"/>
      <c r="O21" s="222"/>
      <c r="P21" s="222"/>
      <c r="Q21" s="222"/>
      <c r="R21" s="222"/>
      <c r="S21" s="222"/>
      <c r="T21" s="222"/>
      <c r="U21" s="222"/>
      <c r="V21" s="222"/>
      <c r="W21" s="222"/>
      <c r="X21" s="222"/>
      <c r="Y21" s="222"/>
      <c r="Z21" s="222"/>
    </row>
    <row r="22" ht="18.0" customHeight="1">
      <c r="A22" s="663" t="s">
        <v>257</v>
      </c>
      <c r="B22" s="688">
        <f>'YR1994'!B22+'YR1995'!B22+'YR1996'!B22</f>
        <v>0</v>
      </c>
      <c r="C22" s="688">
        <f>'YR1994'!C22+'YR1995'!C22+'YR1996'!C22</f>
        <v>0</v>
      </c>
      <c r="D22" s="688">
        <f>'YR1994'!D22+'YR1995'!D22+'YR1996'!D22</f>
        <v>0</v>
      </c>
      <c r="E22" s="688">
        <f>'YR1994'!E22+'YR1995'!E22+'YR1996'!E22</f>
        <v>0</v>
      </c>
      <c r="F22" s="689">
        <f t="shared" si="2"/>
        <v>0</v>
      </c>
      <c r="G22" s="222"/>
      <c r="H22" s="222"/>
      <c r="I22" s="222"/>
      <c r="J22" s="222"/>
      <c r="K22" s="222"/>
      <c r="L22" s="222"/>
      <c r="M22" s="222"/>
      <c r="N22" s="222"/>
      <c r="O22" s="222"/>
      <c r="P22" s="222"/>
      <c r="Q22" s="222"/>
      <c r="R22" s="222"/>
      <c r="S22" s="222"/>
      <c r="T22" s="222"/>
      <c r="U22" s="222"/>
      <c r="V22" s="222"/>
      <c r="W22" s="222"/>
      <c r="X22" s="222"/>
      <c r="Y22" s="222"/>
      <c r="Z22" s="222"/>
    </row>
    <row r="23" ht="18.0" customHeight="1">
      <c r="A23" s="488" t="s">
        <v>101</v>
      </c>
      <c r="B23" s="688">
        <f>'YR1994'!B23+'YR1995'!B23+'YR1996'!B23-171486</f>
        <v>46731522</v>
      </c>
      <c r="C23" s="688">
        <f>'YR1994'!C23+'YR1995'!C23+'YR1996'!C23</f>
        <v>45394604</v>
      </c>
      <c r="D23" s="688">
        <f>'YR1994'!D23+'YR1995'!D23+'YR1996'!D23</f>
        <v>1336918</v>
      </c>
      <c r="E23" s="688">
        <v>0.0</v>
      </c>
      <c r="F23" s="689">
        <f t="shared" si="2"/>
        <v>0</v>
      </c>
      <c r="G23" s="222"/>
      <c r="H23" s="222"/>
      <c r="I23" s="222"/>
      <c r="J23" s="222"/>
      <c r="K23" s="222"/>
      <c r="L23" s="222"/>
      <c r="M23" s="222"/>
      <c r="N23" s="222"/>
      <c r="O23" s="222"/>
      <c r="P23" s="222"/>
      <c r="Q23" s="222"/>
      <c r="R23" s="222"/>
      <c r="S23" s="222"/>
      <c r="T23" s="222"/>
      <c r="U23" s="222"/>
      <c r="V23" s="222"/>
      <c r="W23" s="222"/>
      <c r="X23" s="222"/>
      <c r="Y23" s="222"/>
      <c r="Z23" s="222"/>
    </row>
    <row r="24" ht="18.0" customHeight="1">
      <c r="A24" s="488" t="s">
        <v>102</v>
      </c>
      <c r="B24" s="688">
        <f>'YR1994'!B24+'YR1995'!B24+'YR1996'!B24</f>
        <v>1882874</v>
      </c>
      <c r="C24" s="688">
        <f>'YR1994'!C24+'YR1995'!C24+'YR1996'!C24</f>
        <v>1882874</v>
      </c>
      <c r="D24" s="688">
        <f>'YR1994'!D24+'YR1995'!D24+'YR1996'!D24</f>
        <v>0</v>
      </c>
      <c r="E24" s="688">
        <f>'YR1994'!E24+'YR1995'!E24+'YR1996'!E24</f>
        <v>0</v>
      </c>
      <c r="F24" s="689">
        <f t="shared" si="2"/>
        <v>0</v>
      </c>
      <c r="G24" s="222"/>
      <c r="H24" s="222"/>
      <c r="I24" s="222"/>
      <c r="J24" s="222"/>
      <c r="K24" s="222"/>
      <c r="L24" s="222"/>
      <c r="M24" s="222"/>
      <c r="N24" s="222"/>
      <c r="O24" s="222"/>
      <c r="P24" s="222"/>
      <c r="Q24" s="222"/>
      <c r="R24" s="222"/>
      <c r="S24" s="222"/>
      <c r="T24" s="222"/>
      <c r="U24" s="222"/>
      <c r="V24" s="222"/>
      <c r="W24" s="222"/>
      <c r="X24" s="222"/>
      <c r="Y24" s="222"/>
      <c r="Z24" s="222"/>
    </row>
    <row r="25" ht="18.0" customHeight="1">
      <c r="A25" s="488" t="s">
        <v>104</v>
      </c>
      <c r="B25" s="688">
        <f>'YR1994'!B25+'YR1995'!B25+'YR1996'!B25</f>
        <v>871800</v>
      </c>
      <c r="C25" s="688">
        <f>'YR1994'!C25+'YR1995'!C25+'YR1996'!C25</f>
        <v>871800</v>
      </c>
      <c r="D25" s="688">
        <f>'YR1994'!D25+'YR1995'!D25+'YR1996'!D25</f>
        <v>0</v>
      </c>
      <c r="E25" s="688">
        <f>'YR1994'!E25+'YR1995'!E25+'YR1996'!E25</f>
        <v>0</v>
      </c>
      <c r="F25" s="689">
        <f t="shared" si="2"/>
        <v>0</v>
      </c>
      <c r="G25" s="222"/>
      <c r="H25" s="222"/>
      <c r="I25" s="222"/>
      <c r="J25" s="222"/>
      <c r="K25" s="222"/>
      <c r="L25" s="222"/>
      <c r="M25" s="222"/>
      <c r="N25" s="222"/>
      <c r="O25" s="222"/>
      <c r="P25" s="222"/>
      <c r="Q25" s="222"/>
      <c r="R25" s="222"/>
      <c r="S25" s="222"/>
      <c r="T25" s="222"/>
      <c r="U25" s="222"/>
      <c r="V25" s="222"/>
      <c r="W25" s="222"/>
      <c r="X25" s="222"/>
      <c r="Y25" s="222"/>
      <c r="Z25" s="222"/>
    </row>
    <row r="26" ht="18.0" customHeight="1">
      <c r="A26" s="488" t="s">
        <v>105</v>
      </c>
      <c r="B26" s="688">
        <f>'YR1994'!B26+'YR1995'!B26+'YR1996'!B26</f>
        <v>156911</v>
      </c>
      <c r="C26" s="688">
        <f>'YR1994'!C26+'YR1995'!C26+'YR1996'!C26</f>
        <v>156911</v>
      </c>
      <c r="D26" s="688">
        <f>'YR1994'!D26+'YR1995'!D26+'YR1996'!D26</f>
        <v>0</v>
      </c>
      <c r="E26" s="688">
        <f>'YR1994'!E26+'YR1995'!E26+'YR1996'!E26</f>
        <v>0</v>
      </c>
      <c r="F26" s="689">
        <f t="shared" si="2"/>
        <v>0</v>
      </c>
      <c r="G26" s="222"/>
      <c r="H26" s="222"/>
      <c r="I26" s="222"/>
      <c r="J26" s="222"/>
      <c r="K26" s="222"/>
      <c r="L26" s="222"/>
      <c r="M26" s="222"/>
      <c r="N26" s="222"/>
      <c r="O26" s="222"/>
      <c r="P26" s="222"/>
      <c r="Q26" s="222"/>
      <c r="R26" s="222"/>
      <c r="S26" s="222"/>
      <c r="T26" s="222"/>
      <c r="U26" s="222"/>
      <c r="V26" s="222"/>
      <c r="W26" s="222"/>
      <c r="X26" s="222"/>
      <c r="Y26" s="222"/>
      <c r="Z26" s="222"/>
    </row>
    <row r="27" ht="18.0" customHeight="1">
      <c r="A27" s="488" t="s">
        <v>106</v>
      </c>
      <c r="B27" s="688">
        <f>'YR1994'!B27+'YR1995'!B27+'YR1996'!B27</f>
        <v>993714</v>
      </c>
      <c r="C27" s="688">
        <f>'YR1994'!C27+'YR1995'!C27+'YR1996'!C27</f>
        <v>993714</v>
      </c>
      <c r="D27" s="688">
        <f>'YR1994'!D27+'YR1995'!D27+'YR1996'!D27</f>
        <v>0</v>
      </c>
      <c r="E27" s="688">
        <f>'YR1994'!E27+'YR1995'!E27+'YR1996'!E27</f>
        <v>0</v>
      </c>
      <c r="F27" s="689">
        <f t="shared" si="2"/>
        <v>0</v>
      </c>
      <c r="G27" s="222"/>
      <c r="H27" s="222"/>
      <c r="I27" s="222"/>
      <c r="J27" s="222"/>
      <c r="K27" s="222"/>
      <c r="L27" s="222"/>
      <c r="M27" s="222"/>
      <c r="N27" s="222"/>
      <c r="O27" s="222"/>
      <c r="P27" s="222"/>
      <c r="Q27" s="222"/>
      <c r="R27" s="222"/>
      <c r="S27" s="222"/>
      <c r="T27" s="222"/>
      <c r="U27" s="222"/>
      <c r="V27" s="222"/>
      <c r="W27" s="222"/>
      <c r="X27" s="222"/>
      <c r="Y27" s="222"/>
      <c r="Z27" s="222"/>
    </row>
    <row r="28" ht="18.0" customHeight="1">
      <c r="A28" s="488" t="s">
        <v>107</v>
      </c>
      <c r="B28" s="688">
        <f>'YR1994'!B28+'YR1995'!B28+'YR1996'!B28</f>
        <v>1268293</v>
      </c>
      <c r="C28" s="688">
        <f>'YR1994'!C28+'YR1995'!C28+'YR1996'!C28</f>
        <v>1268293</v>
      </c>
      <c r="D28" s="688">
        <f>'YR1994'!D28+'YR1995'!D28+'YR1996'!D28</f>
        <v>0</v>
      </c>
      <c r="E28" s="688">
        <f>'YR1994'!E28+'YR1995'!E28+'YR1996'!E28</f>
        <v>0</v>
      </c>
      <c r="F28" s="689">
        <f t="shared" si="2"/>
        <v>0</v>
      </c>
      <c r="G28" s="222"/>
      <c r="H28" s="222"/>
      <c r="I28" s="222"/>
      <c r="J28" s="222"/>
      <c r="K28" s="222"/>
      <c r="L28" s="222"/>
      <c r="M28" s="222"/>
      <c r="N28" s="222"/>
      <c r="O28" s="222"/>
      <c r="P28" s="222"/>
      <c r="Q28" s="222"/>
      <c r="R28" s="222"/>
      <c r="S28" s="222"/>
      <c r="T28" s="222"/>
      <c r="U28" s="222"/>
      <c r="V28" s="222"/>
      <c r="W28" s="222"/>
      <c r="X28" s="222"/>
      <c r="Y28" s="222"/>
      <c r="Z28" s="222"/>
    </row>
    <row r="29" ht="18.0" customHeight="1">
      <c r="A29" s="488" t="s">
        <v>108</v>
      </c>
      <c r="B29" s="688">
        <f>'YR1994'!B29+'YR1995'!B29+'YR1996'!B29-1568782</f>
        <v>22449969</v>
      </c>
      <c r="C29" s="688">
        <f>'YR1994'!C29+'YR1995'!C29+'YR1996'!C29</f>
        <v>22449969</v>
      </c>
      <c r="D29" s="688">
        <f>'YR1994'!D29+'YR1995'!D29+'YR1996'!D29</f>
        <v>0</v>
      </c>
      <c r="E29" s="688">
        <f>'YR1994'!E29+'YR1995'!E29+'YR1996'!E29</f>
        <v>0</v>
      </c>
      <c r="F29" s="689">
        <f t="shared" si="2"/>
        <v>0</v>
      </c>
      <c r="G29" s="222"/>
      <c r="H29" s="222"/>
      <c r="I29" s="222"/>
      <c r="J29" s="222"/>
      <c r="K29" s="222"/>
      <c r="L29" s="222"/>
      <c r="M29" s="222"/>
      <c r="N29" s="222"/>
      <c r="O29" s="222"/>
      <c r="P29" s="222"/>
      <c r="Q29" s="222"/>
      <c r="R29" s="222"/>
      <c r="S29" s="222"/>
      <c r="T29" s="222"/>
      <c r="U29" s="222"/>
      <c r="V29" s="222"/>
      <c r="W29" s="222"/>
      <c r="X29" s="222"/>
      <c r="Y29" s="222"/>
      <c r="Z29" s="222"/>
    </row>
    <row r="30" ht="18.0" customHeight="1">
      <c r="A30" s="488" t="s">
        <v>109</v>
      </c>
      <c r="B30" s="688">
        <f>'YR1994'!B30+'YR1995'!B30+'YR1996'!B30-5164674</f>
        <v>65152008</v>
      </c>
      <c r="C30" s="688">
        <f>'YR1994'!C30+'YR1995'!C30+'YR1996'!C30</f>
        <v>65152008</v>
      </c>
      <c r="D30" s="688">
        <f>'YR1994'!D30+'YR1995'!D30+'YR1996'!D30</f>
        <v>0</v>
      </c>
      <c r="E30" s="688">
        <f>'YR1994'!E30+'YR1995'!E30+'YR1996'!E30</f>
        <v>0</v>
      </c>
      <c r="F30" s="689">
        <f t="shared" si="2"/>
        <v>0</v>
      </c>
      <c r="G30" s="222"/>
      <c r="H30" s="222"/>
      <c r="I30" s="222"/>
      <c r="J30" s="222"/>
      <c r="K30" s="222"/>
      <c r="L30" s="222"/>
      <c r="M30" s="222"/>
      <c r="N30" s="222"/>
      <c r="O30" s="222"/>
      <c r="P30" s="222"/>
      <c r="Q30" s="222"/>
      <c r="R30" s="222"/>
      <c r="S30" s="222"/>
      <c r="T30" s="222"/>
      <c r="U30" s="222"/>
      <c r="V30" s="222"/>
      <c r="W30" s="222"/>
      <c r="X30" s="222"/>
      <c r="Y30" s="222"/>
      <c r="Z30" s="222"/>
    </row>
    <row r="31" ht="18.0" customHeight="1">
      <c r="A31" s="663" t="s">
        <v>111</v>
      </c>
      <c r="B31" s="688">
        <f>'YR1994'!B31+'YR1995'!B31+'YR1996'!B31</f>
        <v>0</v>
      </c>
      <c r="C31" s="688">
        <f>'YR1994'!C31+'YR1995'!C31+'YR1996'!C31</f>
        <v>0</v>
      </c>
      <c r="D31" s="688">
        <f>'YR1994'!D31+'YR1995'!D31+'YR1996'!D31</f>
        <v>0</v>
      </c>
      <c r="E31" s="688">
        <f>'YR1994'!E31+'YR1995'!E31+'YR1996'!E31</f>
        <v>0</v>
      </c>
      <c r="F31" s="689">
        <f t="shared" si="2"/>
        <v>0</v>
      </c>
      <c r="G31" s="222"/>
      <c r="H31" s="222"/>
      <c r="I31" s="222"/>
      <c r="J31" s="222"/>
      <c r="K31" s="222"/>
      <c r="L31" s="222"/>
      <c r="M31" s="222"/>
      <c r="N31" s="222"/>
      <c r="O31" s="222"/>
      <c r="P31" s="222"/>
      <c r="Q31" s="222"/>
      <c r="R31" s="222"/>
      <c r="S31" s="222"/>
      <c r="T31" s="222"/>
      <c r="U31" s="222"/>
      <c r="V31" s="222"/>
      <c r="W31" s="222"/>
      <c r="X31" s="222"/>
      <c r="Y31" s="222"/>
      <c r="Z31" s="222"/>
    </row>
    <row r="32" ht="18.0" customHeight="1">
      <c r="A32" s="488" t="s">
        <v>112</v>
      </c>
      <c r="B32" s="688">
        <f>'YR1994'!B32+'YR1995'!B32+'YR1996'!B32</f>
        <v>0</v>
      </c>
      <c r="C32" s="688">
        <f>'YR1994'!C32+'YR1995'!C32+'YR1996'!C32</f>
        <v>0</v>
      </c>
      <c r="D32" s="688">
        <f>'YR1994'!D32+'YR1995'!D32+'YR1996'!D32</f>
        <v>0</v>
      </c>
      <c r="E32" s="688">
        <f>'YR1994'!E32+'YR1995'!E32+'YR1996'!E32</f>
        <v>0</v>
      </c>
      <c r="F32" s="689">
        <f t="shared" si="2"/>
        <v>0</v>
      </c>
      <c r="G32" s="222"/>
      <c r="H32" s="222"/>
      <c r="I32" s="222"/>
      <c r="J32" s="222"/>
      <c r="K32" s="222"/>
      <c r="L32" s="222"/>
      <c r="M32" s="222"/>
      <c r="N32" s="222"/>
      <c r="O32" s="222"/>
      <c r="P32" s="222"/>
      <c r="Q32" s="222"/>
      <c r="R32" s="222"/>
      <c r="S32" s="222"/>
      <c r="T32" s="222"/>
      <c r="U32" s="222"/>
      <c r="V32" s="222"/>
      <c r="W32" s="222"/>
      <c r="X32" s="222"/>
      <c r="Y32" s="222"/>
      <c r="Z32" s="222"/>
    </row>
    <row r="33" ht="18.0" customHeight="1">
      <c r="A33" s="488" t="s">
        <v>113</v>
      </c>
      <c r="B33" s="688">
        <f>'YR1994'!B33+'YR1995'!B33+'YR1996'!B33</f>
        <v>52304</v>
      </c>
      <c r="C33" s="688">
        <f>'YR1994'!C33+'YR1995'!C33+'YR1996'!C33</f>
        <v>52304</v>
      </c>
      <c r="D33" s="688">
        <f>'YR1994'!D33+'YR1995'!D33+'YR1996'!D33</f>
        <v>0</v>
      </c>
      <c r="E33" s="688">
        <f>'YR1994'!E33+'YR1995'!E33+'YR1996'!E33</f>
        <v>0</v>
      </c>
      <c r="F33" s="689">
        <f t="shared" si="2"/>
        <v>0</v>
      </c>
      <c r="G33" s="222"/>
      <c r="H33" s="222"/>
      <c r="I33" s="222"/>
      <c r="J33" s="222"/>
      <c r="K33" s="222"/>
      <c r="L33" s="222"/>
      <c r="M33" s="222"/>
      <c r="N33" s="222"/>
      <c r="O33" s="222"/>
      <c r="P33" s="222"/>
      <c r="Q33" s="222"/>
      <c r="R33" s="222"/>
      <c r="S33" s="222"/>
      <c r="T33" s="222"/>
      <c r="U33" s="222"/>
      <c r="V33" s="222"/>
      <c r="W33" s="222"/>
      <c r="X33" s="222"/>
      <c r="Y33" s="222"/>
      <c r="Z33" s="222"/>
    </row>
    <row r="34" ht="18.0" customHeight="1">
      <c r="A34" s="488" t="s">
        <v>114</v>
      </c>
      <c r="B34" s="688">
        <f>'YR1994'!B34+'YR1995'!B34+'YR1996'!B34</f>
        <v>0</v>
      </c>
      <c r="C34" s="688">
        <f>'YR1994'!C34+'YR1995'!C34+'YR1996'!C34</f>
        <v>0</v>
      </c>
      <c r="D34" s="688">
        <f>'YR1994'!D34+'YR1995'!D34+'YR1996'!D34</f>
        <v>0</v>
      </c>
      <c r="E34" s="688">
        <f>'YR1994'!E34+'YR1995'!E34+'YR1996'!E34</f>
        <v>0</v>
      </c>
      <c r="F34" s="689">
        <f t="shared" si="2"/>
        <v>0</v>
      </c>
      <c r="G34" s="222"/>
      <c r="H34" s="222"/>
      <c r="I34" s="222"/>
      <c r="J34" s="222"/>
      <c r="K34" s="222"/>
      <c r="L34" s="222"/>
      <c r="M34" s="222"/>
      <c r="N34" s="222"/>
      <c r="O34" s="222"/>
      <c r="P34" s="222"/>
      <c r="Q34" s="222"/>
      <c r="R34" s="222"/>
      <c r="S34" s="222"/>
      <c r="T34" s="222"/>
      <c r="U34" s="222"/>
      <c r="V34" s="222"/>
      <c r="W34" s="222"/>
      <c r="X34" s="222"/>
      <c r="Y34" s="222"/>
      <c r="Z34" s="222"/>
    </row>
    <row r="35" ht="18.0" customHeight="1">
      <c r="A35" s="488" t="s">
        <v>115</v>
      </c>
      <c r="B35" s="688">
        <f>'YR1994'!B35+'YR1995'!B35+'YR1996'!B35</f>
        <v>331238</v>
      </c>
      <c r="C35" s="688">
        <f>'YR1994'!C35+'YR1995'!C35+'YR1996'!C35</f>
        <v>331238</v>
      </c>
      <c r="D35" s="688">
        <f>'YR1994'!D35+'YR1995'!D35+'YR1996'!D35</f>
        <v>0</v>
      </c>
      <c r="E35" s="688">
        <f>'YR1994'!E35+'YR1995'!E35+'YR1996'!E35</f>
        <v>0</v>
      </c>
      <c r="F35" s="689">
        <f t="shared" si="2"/>
        <v>0</v>
      </c>
      <c r="G35" s="222"/>
      <c r="H35" s="222"/>
      <c r="I35" s="222"/>
      <c r="J35" s="222"/>
      <c r="K35" s="222"/>
      <c r="L35" s="222"/>
      <c r="M35" s="222"/>
      <c r="N35" s="222"/>
      <c r="O35" s="222"/>
      <c r="P35" s="222"/>
      <c r="Q35" s="222"/>
      <c r="R35" s="222"/>
      <c r="S35" s="222"/>
      <c r="T35" s="222"/>
      <c r="U35" s="222"/>
      <c r="V35" s="222"/>
      <c r="W35" s="222"/>
      <c r="X35" s="222"/>
      <c r="Y35" s="222"/>
      <c r="Z35" s="222"/>
    </row>
    <row r="36" ht="18.0" customHeight="1">
      <c r="A36" s="663" t="s">
        <v>116</v>
      </c>
      <c r="B36" s="688">
        <f>'YR1994'!B36+'YR1995'!B36+'YR1996'!B36</f>
        <v>0</v>
      </c>
      <c r="C36" s="688">
        <f>'YR1994'!C36+'YR1995'!C36+'YR1996'!C36</f>
        <v>0</v>
      </c>
      <c r="D36" s="688">
        <f>'YR1994'!D36+'YR1995'!D36+'YR1996'!D36</f>
        <v>0</v>
      </c>
      <c r="E36" s="688">
        <f>'YR1994'!E36+'YR1995'!E36+'YR1996'!E36</f>
        <v>0</v>
      </c>
      <c r="F36" s="689">
        <f t="shared" si="2"/>
        <v>0</v>
      </c>
      <c r="G36" s="222"/>
      <c r="H36" s="222"/>
      <c r="I36" s="222"/>
      <c r="J36" s="222"/>
      <c r="K36" s="222"/>
      <c r="L36" s="222"/>
      <c r="M36" s="222"/>
      <c r="N36" s="222"/>
      <c r="O36" s="222"/>
      <c r="P36" s="222"/>
      <c r="Q36" s="222"/>
      <c r="R36" s="222"/>
      <c r="S36" s="222"/>
      <c r="T36" s="222"/>
      <c r="U36" s="222"/>
      <c r="V36" s="222"/>
      <c r="W36" s="222"/>
      <c r="X36" s="222"/>
      <c r="Y36" s="222"/>
      <c r="Z36" s="222"/>
    </row>
    <row r="37" ht="18.0" customHeight="1">
      <c r="A37" s="488" t="s">
        <v>117</v>
      </c>
      <c r="B37" s="688">
        <f>'YR1994'!B37+'YR1995'!B37+'YR1996'!B37</f>
        <v>52304</v>
      </c>
      <c r="C37" s="688">
        <f>'YR1994'!C37+'YR1995'!C37+'YR1996'!C37</f>
        <v>52304</v>
      </c>
      <c r="D37" s="688">
        <f>'YR1994'!D37+'YR1995'!D37+'YR1996'!D37</f>
        <v>0</v>
      </c>
      <c r="E37" s="688">
        <f>'YR1994'!E37+'YR1995'!E37+'YR1996'!E37</f>
        <v>0</v>
      </c>
      <c r="F37" s="689">
        <f t="shared" si="2"/>
        <v>0</v>
      </c>
      <c r="G37" s="222"/>
      <c r="H37" s="222"/>
      <c r="I37" s="222"/>
      <c r="J37" s="222"/>
      <c r="K37" s="222"/>
      <c r="L37" s="222"/>
      <c r="M37" s="222"/>
      <c r="N37" s="222"/>
      <c r="O37" s="222"/>
      <c r="P37" s="222"/>
      <c r="Q37" s="222"/>
      <c r="R37" s="222"/>
      <c r="S37" s="222"/>
      <c r="T37" s="222"/>
      <c r="U37" s="222"/>
      <c r="V37" s="222"/>
      <c r="W37" s="222"/>
      <c r="X37" s="222"/>
      <c r="Y37" s="222"/>
      <c r="Z37" s="222"/>
    </row>
    <row r="38" ht="18.0" customHeight="1">
      <c r="A38" s="488" t="s">
        <v>118</v>
      </c>
      <c r="B38" s="688">
        <f>'YR1994'!B38+'YR1995'!B38+'YR1996'!B38</f>
        <v>7997927</v>
      </c>
      <c r="C38" s="688">
        <f>'YR1994'!C38+'YR1995'!C38+'YR1996'!C38</f>
        <v>7997927</v>
      </c>
      <c r="D38" s="688">
        <f>'YR1994'!D38+'YR1995'!D38+'YR1996'!D38</f>
        <v>0</v>
      </c>
      <c r="E38" s="688">
        <f>'YR1994'!E38+'YR1995'!E38+'YR1996'!E38</f>
        <v>0</v>
      </c>
      <c r="F38" s="689">
        <f t="shared" si="2"/>
        <v>0</v>
      </c>
      <c r="G38" s="222"/>
      <c r="H38" s="222"/>
      <c r="I38" s="222"/>
      <c r="J38" s="222"/>
      <c r="K38" s="222"/>
      <c r="L38" s="222"/>
      <c r="M38" s="222"/>
      <c r="N38" s="222"/>
      <c r="O38" s="222"/>
      <c r="P38" s="222"/>
      <c r="Q38" s="222"/>
      <c r="R38" s="222"/>
      <c r="S38" s="222"/>
      <c r="T38" s="222"/>
      <c r="U38" s="222"/>
      <c r="V38" s="222"/>
      <c r="W38" s="222"/>
      <c r="X38" s="222"/>
      <c r="Y38" s="222"/>
      <c r="Z38" s="222"/>
    </row>
    <row r="39" ht="18.0" customHeight="1">
      <c r="A39" s="488" t="s">
        <v>119</v>
      </c>
      <c r="B39" s="688">
        <f>'YR1994'!B39+'YR1995'!B39+'YR1996'!B39</f>
        <v>1255284</v>
      </c>
      <c r="C39" s="688">
        <f>'YR1994'!C39+'YR1995'!C39+'YR1996'!C39</f>
        <v>1255284</v>
      </c>
      <c r="D39" s="688">
        <f>'YR1994'!D39+'YR1995'!D39+'YR1996'!D39</f>
        <v>0</v>
      </c>
      <c r="E39" s="688">
        <f>'YR1994'!E39+'YR1995'!E39+'YR1996'!E39</f>
        <v>0</v>
      </c>
      <c r="F39" s="689">
        <f t="shared" si="2"/>
        <v>0</v>
      </c>
      <c r="G39" s="222"/>
      <c r="H39" s="222"/>
      <c r="I39" s="222"/>
      <c r="J39" s="222"/>
      <c r="K39" s="222"/>
      <c r="L39" s="222"/>
      <c r="M39" s="222"/>
      <c r="N39" s="222"/>
      <c r="O39" s="222"/>
      <c r="P39" s="222"/>
      <c r="Q39" s="222"/>
      <c r="R39" s="222"/>
      <c r="S39" s="222"/>
      <c r="T39" s="222"/>
      <c r="U39" s="222"/>
      <c r="V39" s="222"/>
      <c r="W39" s="222"/>
      <c r="X39" s="222"/>
      <c r="Y39" s="222"/>
      <c r="Z39" s="222"/>
    </row>
    <row r="40" ht="18.0" customHeight="1">
      <c r="A40" s="488" t="s">
        <v>120</v>
      </c>
      <c r="B40" s="688">
        <f>'YR1994'!B40+'YR1995'!B40+'YR1996'!B40</f>
        <v>2894111</v>
      </c>
      <c r="C40" s="688">
        <f>'YR1994'!C40+'YR1995'!C40+'YR1996'!C40</f>
        <v>2894111</v>
      </c>
      <c r="D40" s="688">
        <f>'YR1994'!D40+'YR1995'!D40+'YR1996'!D40</f>
        <v>0</v>
      </c>
      <c r="E40" s="688">
        <f>'YR1994'!E40+'YR1995'!E40+'YR1996'!E40</f>
        <v>0</v>
      </c>
      <c r="F40" s="689">
        <f t="shared" si="2"/>
        <v>0</v>
      </c>
      <c r="G40" s="222"/>
      <c r="H40" s="222"/>
      <c r="I40" s="222"/>
      <c r="J40" s="222"/>
      <c r="K40" s="222"/>
      <c r="L40" s="222"/>
      <c r="M40" s="222"/>
      <c r="N40" s="222"/>
      <c r="O40" s="222"/>
      <c r="P40" s="222"/>
      <c r="Q40" s="222"/>
      <c r="R40" s="222"/>
      <c r="S40" s="222"/>
      <c r="T40" s="222"/>
      <c r="U40" s="222"/>
      <c r="V40" s="222"/>
      <c r="W40" s="222"/>
      <c r="X40" s="222"/>
      <c r="Y40" s="222"/>
      <c r="Z40" s="222"/>
    </row>
    <row r="41" ht="18.0" customHeight="1">
      <c r="A41" s="488" t="s">
        <v>121</v>
      </c>
      <c r="B41" s="688">
        <f>'YR1994'!B41+'YR1995'!B41+'YR1996'!B41</f>
        <v>16915</v>
      </c>
      <c r="C41" s="688">
        <f>'YR1994'!C41+'YR1995'!C41+'YR1996'!C41</f>
        <v>16915</v>
      </c>
      <c r="D41" s="688">
        <f>'YR1994'!D41+'YR1995'!D41+'YR1996'!D41</f>
        <v>0</v>
      </c>
      <c r="E41" s="688">
        <f>'YR1994'!E41+'YR1995'!E41+'YR1996'!E41</f>
        <v>0</v>
      </c>
      <c r="F41" s="689">
        <f t="shared" si="2"/>
        <v>0</v>
      </c>
      <c r="G41" s="222"/>
      <c r="H41" s="222"/>
      <c r="I41" s="222"/>
      <c r="J41" s="222"/>
      <c r="K41" s="222"/>
      <c r="L41" s="222"/>
      <c r="M41" s="222"/>
      <c r="N41" s="222"/>
      <c r="O41" s="222"/>
      <c r="P41" s="222"/>
      <c r="Q41" s="222"/>
      <c r="R41" s="222"/>
      <c r="S41" s="222"/>
      <c r="T41" s="222"/>
      <c r="U41" s="222"/>
      <c r="V41" s="222"/>
      <c r="W41" s="222"/>
      <c r="X41" s="222"/>
      <c r="Y41" s="222"/>
      <c r="Z41" s="222"/>
    </row>
    <row r="42" ht="18.0" customHeight="1">
      <c r="A42" s="488" t="s">
        <v>122</v>
      </c>
      <c r="B42" s="688">
        <f>'YR1994'!B42+'YR1995'!B42+'YR1996'!B42</f>
        <v>1606</v>
      </c>
      <c r="C42" s="688">
        <f>'YR1994'!C42+'YR1995'!C42+'YR1996'!C42</f>
        <v>1606</v>
      </c>
      <c r="D42" s="688">
        <f>'YR1994'!D42+'YR1995'!D42+'YR1996'!D42</f>
        <v>0</v>
      </c>
      <c r="E42" s="688">
        <f>'YR1994'!E42+'YR1995'!E42+'YR1996'!E42</f>
        <v>0</v>
      </c>
      <c r="F42" s="689">
        <f t="shared" si="2"/>
        <v>0</v>
      </c>
      <c r="G42" s="222"/>
      <c r="H42" s="222"/>
      <c r="I42" s="222"/>
      <c r="J42" s="222"/>
      <c r="K42" s="222"/>
      <c r="L42" s="222"/>
      <c r="M42" s="222"/>
      <c r="N42" s="222"/>
      <c r="O42" s="222"/>
      <c r="P42" s="222"/>
      <c r="Q42" s="222"/>
      <c r="R42" s="222"/>
      <c r="S42" s="222"/>
      <c r="T42" s="222"/>
      <c r="U42" s="222"/>
      <c r="V42" s="222"/>
      <c r="W42" s="222"/>
      <c r="X42" s="222"/>
      <c r="Y42" s="222"/>
      <c r="Z42" s="222"/>
    </row>
    <row r="43" ht="18.0" customHeight="1">
      <c r="A43" s="488" t="s">
        <v>123</v>
      </c>
      <c r="B43" s="688">
        <f>'YR1994'!B43+'YR1995'!B43+'YR1996'!B43</f>
        <v>1176693</v>
      </c>
      <c r="C43" s="688">
        <f>'YR1994'!C43+'YR1995'!C43+'YR1996'!C43</f>
        <v>1176693</v>
      </c>
      <c r="D43" s="688">
        <f>'YR1994'!D43+'YR1995'!D43+'YR1996'!D43</f>
        <v>0</v>
      </c>
      <c r="E43" s="688">
        <f>'YR1994'!E43+'YR1995'!E43+'YR1996'!E43</f>
        <v>0</v>
      </c>
      <c r="F43" s="689">
        <f t="shared" si="2"/>
        <v>0</v>
      </c>
      <c r="G43" s="222"/>
      <c r="H43" s="222"/>
      <c r="I43" s="222"/>
      <c r="J43" s="222"/>
      <c r="K43" s="222"/>
      <c r="L43" s="222"/>
      <c r="M43" s="222"/>
      <c r="N43" s="222"/>
      <c r="O43" s="222"/>
      <c r="P43" s="222"/>
      <c r="Q43" s="222"/>
      <c r="R43" s="222"/>
      <c r="S43" s="222"/>
      <c r="T43" s="222"/>
      <c r="U43" s="222"/>
      <c r="V43" s="222"/>
      <c r="W43" s="222"/>
      <c r="X43" s="222"/>
      <c r="Y43" s="222"/>
      <c r="Z43" s="222"/>
    </row>
    <row r="44" ht="18.0" customHeight="1">
      <c r="A44" s="488" t="s">
        <v>125</v>
      </c>
      <c r="B44" s="688">
        <f>'YR1994'!B44+'YR1995'!B44+'YR1996'!B44</f>
        <v>31159609</v>
      </c>
      <c r="C44" s="688">
        <f>'YR1994'!C44+'YR1995'!C44+'YR1996'!C44</f>
        <v>0</v>
      </c>
      <c r="D44" s="688">
        <f>'YR1994'!D44+'YR1995'!D44+'YR1996'!D44</f>
        <v>0</v>
      </c>
      <c r="E44" s="688">
        <f>'YR1994'!E44+'YR1995'!E44+'YR1996'!E44</f>
        <v>0</v>
      </c>
      <c r="F44" s="689">
        <f t="shared" si="2"/>
        <v>31159609</v>
      </c>
      <c r="G44" s="222"/>
      <c r="H44" s="222"/>
      <c r="I44" s="222"/>
      <c r="J44" s="222"/>
      <c r="K44" s="222"/>
      <c r="L44" s="222"/>
      <c r="M44" s="222"/>
      <c r="N44" s="222"/>
      <c r="O44" s="222"/>
      <c r="P44" s="222"/>
      <c r="Q44" s="222"/>
      <c r="R44" s="222"/>
      <c r="S44" s="222"/>
      <c r="T44" s="222"/>
      <c r="U44" s="222"/>
      <c r="V44" s="222"/>
      <c r="W44" s="222"/>
      <c r="X44" s="222"/>
      <c r="Y44" s="222"/>
      <c r="Z44" s="222"/>
    </row>
    <row r="45" ht="18.0" customHeight="1">
      <c r="A45" s="488" t="s">
        <v>127</v>
      </c>
      <c r="B45" s="688">
        <f>'YR1994'!B45+'YR1995'!B45+'YR1996'!B45</f>
        <v>209324</v>
      </c>
      <c r="C45" s="688">
        <f>'YR1994'!C45+'YR1995'!C45+'YR1996'!C45</f>
        <v>169324</v>
      </c>
      <c r="D45" s="688">
        <f>'YR1994'!D45+'YR1995'!D45+'YR1996'!D45</f>
        <v>40000</v>
      </c>
      <c r="E45" s="688">
        <f>'YR1994'!E45+'YR1995'!E45+'YR1996'!E45</f>
        <v>0</v>
      </c>
      <c r="F45" s="689">
        <f t="shared" si="2"/>
        <v>0</v>
      </c>
      <c r="G45" s="222"/>
      <c r="H45" s="222"/>
      <c r="I45" s="222"/>
      <c r="J45" s="222"/>
      <c r="K45" s="222"/>
      <c r="L45" s="222"/>
      <c r="M45" s="222"/>
      <c r="N45" s="222"/>
      <c r="O45" s="222"/>
      <c r="P45" s="222"/>
      <c r="Q45" s="222"/>
      <c r="R45" s="222"/>
      <c r="S45" s="222"/>
      <c r="T45" s="222"/>
      <c r="U45" s="222"/>
      <c r="V45" s="222"/>
      <c r="W45" s="222"/>
      <c r="X45" s="222"/>
      <c r="Y45" s="222"/>
      <c r="Z45" s="222"/>
    </row>
    <row r="46" ht="18.0" customHeight="1">
      <c r="A46" s="495" t="s">
        <v>128</v>
      </c>
      <c r="B46" s="688">
        <f>'YR1994'!B46+'YR1995'!B46+'YR1996'!B46</f>
        <v>597218</v>
      </c>
      <c r="C46" s="688">
        <f>'YR1994'!C46+'YR1995'!C46+'YR1996'!C46</f>
        <v>597218</v>
      </c>
      <c r="D46" s="688">
        <f>'YR1994'!D46+'YR1995'!D46+'YR1996'!D46</f>
        <v>0</v>
      </c>
      <c r="E46" s="688">
        <f>'YR1994'!E46+'YR1995'!E46+'YR1996'!E46</f>
        <v>0</v>
      </c>
      <c r="F46" s="689">
        <f t="shared" si="2"/>
        <v>0</v>
      </c>
      <c r="G46" s="222"/>
      <c r="H46" s="222"/>
      <c r="I46" s="222"/>
      <c r="J46" s="222"/>
      <c r="K46" s="222"/>
      <c r="L46" s="222"/>
      <c r="M46" s="222"/>
      <c r="N46" s="222"/>
      <c r="O46" s="222"/>
      <c r="P46" s="222"/>
      <c r="Q46" s="222"/>
      <c r="R46" s="222"/>
      <c r="S46" s="222"/>
      <c r="T46" s="222"/>
      <c r="U46" s="222"/>
      <c r="V46" s="222"/>
      <c r="W46" s="222"/>
      <c r="X46" s="222"/>
      <c r="Y46" s="222"/>
      <c r="Z46" s="222"/>
    </row>
    <row r="47" ht="18.0" customHeight="1">
      <c r="A47" s="488" t="s">
        <v>129</v>
      </c>
      <c r="B47" s="688">
        <f>'YR1994'!B47+'YR1995'!B47+'YR1996'!B47</f>
        <v>61290</v>
      </c>
      <c r="C47" s="688">
        <f>'YR1994'!C47+'YR1995'!C47+'YR1996'!C47</f>
        <v>61290</v>
      </c>
      <c r="D47" s="688">
        <f>'YR1994'!D47+'YR1995'!D47+'YR1996'!D47</f>
        <v>0</v>
      </c>
      <c r="E47" s="688">
        <f>'YR1994'!E47+'YR1995'!E47+'YR1996'!E47</f>
        <v>0</v>
      </c>
      <c r="F47" s="689">
        <f t="shared" si="2"/>
        <v>0</v>
      </c>
      <c r="G47" s="222"/>
      <c r="H47" s="222"/>
      <c r="I47" s="222"/>
      <c r="J47" s="222"/>
      <c r="K47" s="222"/>
      <c r="L47" s="222"/>
      <c r="M47" s="222"/>
      <c r="N47" s="222"/>
      <c r="O47" s="222"/>
      <c r="P47" s="222"/>
      <c r="Q47" s="222"/>
      <c r="R47" s="222"/>
      <c r="S47" s="222"/>
      <c r="T47" s="222"/>
      <c r="U47" s="222"/>
      <c r="V47" s="222"/>
      <c r="W47" s="222"/>
      <c r="X47" s="222"/>
      <c r="Y47" s="222"/>
      <c r="Z47" s="222"/>
    </row>
    <row r="48" ht="18.0" customHeight="1">
      <c r="A48" s="488" t="s">
        <v>130</v>
      </c>
      <c r="B48" s="688">
        <f>'YR1994'!B48+'YR1995'!B48+'YR1996'!B48</f>
        <v>1992053</v>
      </c>
      <c r="C48" s="688">
        <f>'YR1994'!C48+'YR1995'!C48+'YR1996'!C48</f>
        <v>1962053</v>
      </c>
      <c r="D48" s="688">
        <f>'YR1994'!D48+'YR1995'!D48+'YR1996'!D48</f>
        <v>30000</v>
      </c>
      <c r="E48" s="688">
        <f>'YR1994'!E48+'YR1995'!E48+'YR1996'!E48</f>
        <v>0</v>
      </c>
      <c r="F48" s="689">
        <f t="shared" si="2"/>
        <v>0</v>
      </c>
      <c r="G48" s="222"/>
      <c r="H48" s="222"/>
      <c r="I48" s="222"/>
      <c r="J48" s="222"/>
      <c r="K48" s="222"/>
      <c r="L48" s="222"/>
      <c r="M48" s="222"/>
      <c r="N48" s="222"/>
      <c r="O48" s="222"/>
      <c r="P48" s="222"/>
      <c r="Q48" s="222"/>
      <c r="R48" s="222"/>
      <c r="S48" s="222"/>
      <c r="T48" s="222"/>
      <c r="U48" s="222"/>
      <c r="V48" s="222"/>
      <c r="W48" s="222"/>
      <c r="X48" s="222"/>
      <c r="Y48" s="222"/>
      <c r="Z48" s="222"/>
    </row>
    <row r="49" ht="18.0" customHeight="1">
      <c r="A49" s="488" t="s">
        <v>131</v>
      </c>
      <c r="B49" s="688">
        <f>'YR1994'!B49+'YR1995'!B49+'YR1996'!B49</f>
        <v>11022275</v>
      </c>
      <c r="C49" s="688">
        <f>'YR1994'!C49+'YR1995'!C49+'YR1996'!C49</f>
        <v>11022275</v>
      </c>
      <c r="D49" s="688">
        <f>'YR1994'!D49+'YR1995'!D49+'YR1996'!D49</f>
        <v>0</v>
      </c>
      <c r="E49" s="688">
        <f>'YR1994'!E49+'YR1995'!E49+'YR1996'!E49</f>
        <v>0</v>
      </c>
      <c r="F49" s="689">
        <f t="shared" si="2"/>
        <v>0</v>
      </c>
      <c r="G49" s="222"/>
      <c r="H49" s="222"/>
      <c r="I49" s="222"/>
      <c r="J49" s="222"/>
      <c r="K49" s="222"/>
      <c r="L49" s="222"/>
      <c r="M49" s="222"/>
      <c r="N49" s="222"/>
      <c r="O49" s="222"/>
      <c r="P49" s="222"/>
      <c r="Q49" s="222"/>
      <c r="R49" s="222"/>
      <c r="S49" s="222"/>
      <c r="T49" s="222"/>
      <c r="U49" s="222"/>
      <c r="V49" s="222"/>
      <c r="W49" s="222"/>
      <c r="X49" s="222"/>
      <c r="Y49" s="222"/>
      <c r="Z49" s="222"/>
    </row>
    <row r="50" ht="18.0" customHeight="1">
      <c r="A50" s="488" t="s">
        <v>132</v>
      </c>
      <c r="B50" s="688">
        <f>'YR1994'!B50+'YR1995'!B50+'YR1996'!B50</f>
        <v>6010335</v>
      </c>
      <c r="C50" s="688">
        <f>'YR1994'!C50+'YR1995'!C50+'YR1996'!C50</f>
        <v>6010335</v>
      </c>
      <c r="D50" s="688">
        <f>'YR1994'!D50+'YR1995'!D50+'YR1996'!D50</f>
        <v>0</v>
      </c>
      <c r="E50" s="688">
        <f>'YR1994'!E50+'YR1995'!E50+'YR1996'!E50</f>
        <v>0</v>
      </c>
      <c r="F50" s="689">
        <f t="shared" si="2"/>
        <v>0</v>
      </c>
      <c r="G50" s="222"/>
      <c r="H50" s="222"/>
      <c r="I50" s="222"/>
      <c r="J50" s="222"/>
      <c r="K50" s="222"/>
      <c r="L50" s="222"/>
      <c r="M50" s="222"/>
      <c r="N50" s="222"/>
      <c r="O50" s="222"/>
      <c r="P50" s="222"/>
      <c r="Q50" s="222"/>
      <c r="R50" s="222"/>
      <c r="S50" s="222"/>
      <c r="T50" s="222"/>
      <c r="U50" s="222"/>
      <c r="V50" s="222"/>
      <c r="W50" s="222"/>
      <c r="X50" s="222"/>
      <c r="Y50" s="222"/>
      <c r="Z50" s="222"/>
    </row>
    <row r="51" ht="18.0" customHeight="1">
      <c r="A51" s="488" t="s">
        <v>133</v>
      </c>
      <c r="B51" s="688">
        <f>'YR1994'!B51+'YR1995'!B51+'YR1996'!B51</f>
        <v>5979856</v>
      </c>
      <c r="C51" s="688">
        <f>'YR1994'!C51+'YR1995'!C51+'YR1996'!C51</f>
        <v>5737256</v>
      </c>
      <c r="D51" s="688">
        <f>'YR1994'!D51+'YR1995'!D51+'YR1996'!D51</f>
        <v>242600</v>
      </c>
      <c r="E51" s="688">
        <f>'YR1994'!E51+'YR1995'!E51+'YR1996'!E51</f>
        <v>0</v>
      </c>
      <c r="F51" s="689">
        <f t="shared" si="2"/>
        <v>0</v>
      </c>
      <c r="G51" s="222"/>
      <c r="H51" s="222"/>
      <c r="I51" s="222"/>
      <c r="J51" s="222"/>
      <c r="K51" s="222"/>
      <c r="L51" s="222"/>
      <c r="M51" s="222"/>
      <c r="N51" s="222"/>
      <c r="O51" s="222"/>
      <c r="P51" s="222"/>
      <c r="Q51" s="222"/>
      <c r="R51" s="222"/>
      <c r="S51" s="222"/>
      <c r="T51" s="222"/>
      <c r="U51" s="222"/>
      <c r="V51" s="222"/>
      <c r="W51" s="222"/>
      <c r="X51" s="222"/>
      <c r="Y51" s="222"/>
      <c r="Z51" s="222"/>
    </row>
    <row r="52" ht="18.0" customHeight="1">
      <c r="A52" s="488" t="s">
        <v>134</v>
      </c>
      <c r="B52" s="688">
        <f>'YR1994'!B52+'YR1995'!B52+'YR1996'!B52</f>
        <v>0</v>
      </c>
      <c r="C52" s="688">
        <f>'YR1994'!C52+'YR1995'!C52+'YR1996'!C52</f>
        <v>0</v>
      </c>
      <c r="D52" s="688">
        <f>'YR1994'!D52+'YR1995'!D52+'YR1996'!D52</f>
        <v>0</v>
      </c>
      <c r="E52" s="688">
        <f>'YR1994'!E52+'YR1995'!E52+'YR1996'!E52</f>
        <v>0</v>
      </c>
      <c r="F52" s="689">
        <f t="shared" si="2"/>
        <v>0</v>
      </c>
      <c r="G52" s="222"/>
      <c r="H52" s="222"/>
      <c r="I52" s="222"/>
      <c r="J52" s="222"/>
      <c r="K52" s="222"/>
      <c r="L52" s="222"/>
      <c r="M52" s="222"/>
      <c r="N52" s="222"/>
      <c r="O52" s="222"/>
      <c r="P52" s="222"/>
      <c r="Q52" s="222"/>
      <c r="R52" s="222"/>
      <c r="S52" s="222"/>
      <c r="T52" s="222"/>
      <c r="U52" s="222"/>
      <c r="V52" s="222"/>
      <c r="W52" s="222"/>
      <c r="X52" s="222"/>
      <c r="Y52" s="222"/>
      <c r="Z52" s="222"/>
    </row>
    <row r="53" ht="18.0" customHeight="1">
      <c r="A53" s="488" t="s">
        <v>230</v>
      </c>
      <c r="B53" s="688">
        <f>'YR1994'!B53+'YR1995'!B53+'YR1996'!B53</f>
        <v>56603</v>
      </c>
      <c r="C53" s="688">
        <f>'YR1994'!C53+'YR1995'!C53+'YR1996'!C53</f>
        <v>0</v>
      </c>
      <c r="D53" s="688">
        <f>'YR1994'!D53+'YR1995'!D53+'YR1996'!D53</f>
        <v>0</v>
      </c>
      <c r="E53" s="688">
        <f>'YR1994'!E53+'YR1995'!E53+'YR1996'!E53</f>
        <v>0</v>
      </c>
      <c r="F53" s="689">
        <f t="shared" si="2"/>
        <v>56603</v>
      </c>
      <c r="G53" s="222"/>
      <c r="H53" s="222"/>
      <c r="I53" s="222"/>
      <c r="J53" s="222"/>
      <c r="K53" s="222"/>
      <c r="L53" s="222"/>
      <c r="M53" s="222"/>
      <c r="N53" s="222"/>
      <c r="O53" s="222"/>
      <c r="P53" s="222"/>
      <c r="Q53" s="222"/>
      <c r="R53" s="222"/>
      <c r="S53" s="222"/>
      <c r="T53" s="222"/>
      <c r="U53" s="222"/>
      <c r="V53" s="222"/>
      <c r="W53" s="222"/>
      <c r="X53" s="222"/>
      <c r="Y53" s="222"/>
      <c r="Z53" s="222"/>
    </row>
    <row r="54" ht="18.0" customHeight="1">
      <c r="A54" s="488" t="s">
        <v>136</v>
      </c>
      <c r="B54" s="688">
        <f>'YR1994'!B54+'YR1995'!B54+'YR1996'!B54</f>
        <v>0</v>
      </c>
      <c r="C54" s="688">
        <f>'YR1994'!C54+'YR1995'!C54+'YR1996'!C54</f>
        <v>0</v>
      </c>
      <c r="D54" s="688">
        <f>'YR1994'!D54+'YR1995'!D54+'YR1996'!D54</f>
        <v>0</v>
      </c>
      <c r="E54" s="688">
        <f>'YR1994'!E54+'YR1995'!E54+'YR1996'!E54</f>
        <v>0</v>
      </c>
      <c r="F54" s="689">
        <f t="shared" si="2"/>
        <v>0</v>
      </c>
      <c r="G54" s="222"/>
      <c r="H54" s="222"/>
      <c r="I54" s="222"/>
      <c r="J54" s="222"/>
      <c r="K54" s="222"/>
      <c r="L54" s="222"/>
      <c r="M54" s="222"/>
      <c r="N54" s="222"/>
      <c r="O54" s="222"/>
      <c r="P54" s="222"/>
      <c r="Q54" s="222"/>
      <c r="R54" s="222"/>
      <c r="S54" s="222"/>
      <c r="T54" s="222"/>
      <c r="U54" s="222"/>
      <c r="V54" s="222"/>
      <c r="W54" s="222"/>
      <c r="X54" s="222"/>
      <c r="Y54" s="222"/>
      <c r="Z54" s="222"/>
    </row>
    <row r="55" ht="18.0" customHeight="1">
      <c r="A55" s="663" t="s">
        <v>137</v>
      </c>
      <c r="B55" s="688">
        <f>'YR1994'!B55+'YR1995'!B55+'YR1996'!B55</f>
        <v>0</v>
      </c>
      <c r="C55" s="688">
        <f>'YR1994'!C55+'YR1995'!C55+'YR1996'!C55</f>
        <v>0</v>
      </c>
      <c r="D55" s="688">
        <f>'YR1994'!D55+'YR1995'!D55+'YR1996'!D55</f>
        <v>0</v>
      </c>
      <c r="E55" s="688">
        <f>'YR1994'!E55+'YR1995'!E55+'YR1996'!E55</f>
        <v>0</v>
      </c>
      <c r="F55" s="689">
        <f t="shared" si="2"/>
        <v>0</v>
      </c>
      <c r="G55" s="222"/>
      <c r="H55" s="222"/>
      <c r="I55" s="222"/>
      <c r="J55" s="222"/>
      <c r="K55" s="222"/>
      <c r="L55" s="222"/>
      <c r="M55" s="222"/>
      <c r="N55" s="222"/>
      <c r="O55" s="222"/>
      <c r="P55" s="222"/>
      <c r="Q55" s="222"/>
      <c r="R55" s="222"/>
      <c r="S55" s="222"/>
      <c r="T55" s="222"/>
      <c r="U55" s="222"/>
      <c r="V55" s="222"/>
      <c r="W55" s="222"/>
      <c r="X55" s="222"/>
      <c r="Y55" s="222"/>
      <c r="Z55" s="222"/>
    </row>
    <row r="56" ht="18.0" customHeight="1">
      <c r="A56" s="488" t="s">
        <v>138</v>
      </c>
      <c r="B56" s="688">
        <f>'YR1994'!B56+'YR1995'!B56+'YR1996'!B56-500037</f>
        <v>26270127</v>
      </c>
      <c r="C56" s="688">
        <f>'YR1994'!C56+'YR1995'!C56+'YR1996'!C56</f>
        <v>26270127</v>
      </c>
      <c r="D56" s="688">
        <f>'YR1994'!D56+'YR1995'!D56+'YR1996'!D56</f>
        <v>0</v>
      </c>
      <c r="E56" s="688">
        <f>'YR1994'!E56+'YR1995'!E56+'YR1996'!E56</f>
        <v>0</v>
      </c>
      <c r="F56" s="689">
        <f t="shared" si="2"/>
        <v>0</v>
      </c>
      <c r="G56" s="222"/>
      <c r="H56" s="222"/>
      <c r="I56" s="222"/>
      <c r="J56" s="222"/>
      <c r="K56" s="222"/>
      <c r="L56" s="222"/>
      <c r="M56" s="222"/>
      <c r="N56" s="222"/>
      <c r="O56" s="222"/>
      <c r="P56" s="222"/>
      <c r="Q56" s="222"/>
      <c r="R56" s="222"/>
      <c r="S56" s="222"/>
      <c r="T56" s="222"/>
      <c r="U56" s="222"/>
      <c r="V56" s="222"/>
      <c r="W56" s="222"/>
      <c r="X56" s="222"/>
      <c r="Y56" s="222"/>
      <c r="Z56" s="222"/>
    </row>
    <row r="57" ht="18.0" customHeight="1">
      <c r="A57" s="488" t="s">
        <v>139</v>
      </c>
      <c r="B57" s="688">
        <f>'YR1994'!B57+'YR1995'!B57+'YR1996'!B57</f>
        <v>113750001</v>
      </c>
      <c r="C57" s="688">
        <f>'YR1994'!C57+'YR1995'!C57+'YR1996'!C57</f>
        <v>107201216</v>
      </c>
      <c r="D57" s="688">
        <f>'YR1994'!D57+'YR1995'!D57+'YR1996'!D57</f>
        <v>6548785</v>
      </c>
      <c r="E57" s="688">
        <f>'YR1994'!E57+'YR1995'!E57+'YR1996'!E57</f>
        <v>0</v>
      </c>
      <c r="F57" s="689">
        <f t="shared" si="2"/>
        <v>0</v>
      </c>
      <c r="G57" s="222"/>
      <c r="H57" s="222"/>
      <c r="I57" s="222"/>
      <c r="J57" s="222"/>
      <c r="K57" s="222"/>
      <c r="L57" s="222"/>
      <c r="M57" s="222"/>
      <c r="N57" s="222"/>
      <c r="O57" s="222"/>
      <c r="P57" s="222"/>
      <c r="Q57" s="222"/>
      <c r="R57" s="222"/>
      <c r="S57" s="222"/>
      <c r="T57" s="222"/>
      <c r="U57" s="222"/>
      <c r="V57" s="222"/>
      <c r="W57" s="222"/>
      <c r="X57" s="222"/>
      <c r="Y57" s="222"/>
      <c r="Z57" s="222"/>
    </row>
    <row r="58" ht="18.0" customHeight="1">
      <c r="A58" s="497" t="s">
        <v>140</v>
      </c>
      <c r="B58" s="688">
        <f>'YR1994'!B58+'YR1995'!B58+'YR1996'!B58</f>
        <v>0</v>
      </c>
      <c r="C58" s="688">
        <f>'YR1994'!C58+'YR1995'!C58+'YR1996'!C58</f>
        <v>0</v>
      </c>
      <c r="D58" s="688">
        <f>'YR1994'!D58+'YR1995'!D58+'YR1996'!D58</f>
        <v>0</v>
      </c>
      <c r="E58" s="688">
        <f>'YR1994'!E58+'YR1995'!E58+'YR1996'!E58</f>
        <v>0</v>
      </c>
      <c r="F58" s="690">
        <f t="shared" si="2"/>
        <v>0</v>
      </c>
      <c r="G58" s="222"/>
      <c r="H58" s="222"/>
      <c r="I58" s="222"/>
      <c r="J58" s="222"/>
      <c r="K58" s="222"/>
      <c r="L58" s="222"/>
      <c r="M58" s="222"/>
      <c r="N58" s="222"/>
      <c r="O58" s="222"/>
      <c r="P58" s="222"/>
      <c r="Q58" s="222"/>
      <c r="R58" s="222"/>
      <c r="S58" s="222"/>
      <c r="T58" s="222"/>
      <c r="U58" s="222"/>
      <c r="V58" s="222"/>
      <c r="W58" s="222"/>
      <c r="X58" s="222"/>
      <c r="Y58" s="222"/>
      <c r="Z58" s="222"/>
    </row>
    <row r="59" ht="18.0" customHeight="1">
      <c r="A59" s="531" t="s">
        <v>141</v>
      </c>
      <c r="B59" s="691">
        <f t="shared" ref="B59:F59" si="3">SUM(B8:B58)</f>
        <v>424841347</v>
      </c>
      <c r="C59" s="691">
        <f t="shared" si="3"/>
        <v>381594829</v>
      </c>
      <c r="D59" s="691">
        <f t="shared" si="3"/>
        <v>11870240</v>
      </c>
      <c r="E59" s="691">
        <f t="shared" si="3"/>
        <v>0</v>
      </c>
      <c r="F59" s="691">
        <f t="shared" si="3"/>
        <v>31376278</v>
      </c>
      <c r="G59" s="222"/>
      <c r="H59" s="222"/>
      <c r="I59" s="222"/>
      <c r="J59" s="222"/>
      <c r="K59" s="222"/>
      <c r="L59" s="222"/>
      <c r="M59" s="222"/>
      <c r="N59" s="222"/>
      <c r="O59" s="222"/>
      <c r="P59" s="222"/>
      <c r="Q59" s="222"/>
      <c r="R59" s="222"/>
      <c r="S59" s="222"/>
      <c r="T59" s="222"/>
      <c r="U59" s="222"/>
      <c r="V59" s="222"/>
      <c r="W59" s="222"/>
      <c r="X59" s="222"/>
      <c r="Y59" s="222"/>
      <c r="Z59" s="222"/>
    </row>
    <row r="60" ht="18.0" customHeight="1">
      <c r="A60" s="692" t="s">
        <v>273</v>
      </c>
      <c r="B60" s="693">
        <f>693288+171486+1568782+5164674+500037</f>
        <v>8098267</v>
      </c>
      <c r="C60" s="694">
        <v>0.0</v>
      </c>
      <c r="D60" s="694">
        <v>0.0</v>
      </c>
      <c r="E60" s="695">
        <v>0.0</v>
      </c>
      <c r="F60" s="696">
        <f>B60-C60-D60-E60</f>
        <v>8098267</v>
      </c>
      <c r="G60" s="222"/>
      <c r="H60" s="222"/>
      <c r="I60" s="222"/>
      <c r="J60" s="222"/>
      <c r="K60" s="222"/>
      <c r="L60" s="222"/>
      <c r="M60" s="222"/>
      <c r="N60" s="222"/>
      <c r="O60" s="222"/>
      <c r="P60" s="222"/>
      <c r="Q60" s="222"/>
      <c r="R60" s="222"/>
      <c r="S60" s="222"/>
      <c r="T60" s="222"/>
      <c r="U60" s="222"/>
      <c r="V60" s="222"/>
      <c r="W60" s="222"/>
      <c r="X60" s="222"/>
      <c r="Y60" s="222"/>
      <c r="Z60" s="222"/>
    </row>
    <row r="61" ht="18.0" customHeight="1">
      <c r="A61" s="531" t="s">
        <v>143</v>
      </c>
      <c r="B61" s="691">
        <f t="shared" ref="B61:F61" si="4">SUM(B59:B60)</f>
        <v>432939614</v>
      </c>
      <c r="C61" s="691">
        <f t="shared" si="4"/>
        <v>381594829</v>
      </c>
      <c r="D61" s="691">
        <f t="shared" si="4"/>
        <v>11870240</v>
      </c>
      <c r="E61" s="691">
        <f t="shared" si="4"/>
        <v>0</v>
      </c>
      <c r="F61" s="697">
        <f t="shared" si="4"/>
        <v>39474545</v>
      </c>
      <c r="G61" s="222"/>
      <c r="H61" s="222"/>
      <c r="I61" s="222"/>
      <c r="J61" s="222"/>
      <c r="K61" s="222"/>
      <c r="L61" s="222"/>
      <c r="M61" s="222"/>
      <c r="N61" s="222"/>
      <c r="O61" s="222"/>
      <c r="P61" s="222"/>
      <c r="Q61" s="222"/>
      <c r="R61" s="222"/>
      <c r="S61" s="222"/>
      <c r="T61" s="222"/>
      <c r="U61" s="222"/>
      <c r="V61" s="222"/>
      <c r="W61" s="222"/>
      <c r="X61" s="222"/>
      <c r="Y61" s="222"/>
      <c r="Z61" s="222"/>
    </row>
    <row r="62" ht="18.0" customHeight="1">
      <c r="A62" s="698"/>
      <c r="B62" s="699"/>
      <c r="C62" s="699"/>
      <c r="D62" s="699"/>
      <c r="E62" s="699"/>
      <c r="F62" s="699"/>
      <c r="G62" s="222"/>
      <c r="H62" s="222"/>
      <c r="I62" s="222"/>
      <c r="J62" s="222"/>
      <c r="K62" s="222"/>
      <c r="L62" s="222"/>
      <c r="M62" s="222"/>
      <c r="N62" s="222"/>
      <c r="O62" s="222"/>
      <c r="P62" s="222"/>
      <c r="Q62" s="222"/>
      <c r="R62" s="222"/>
      <c r="S62" s="222"/>
      <c r="T62" s="222"/>
      <c r="U62" s="222"/>
      <c r="V62" s="222"/>
      <c r="W62" s="222"/>
      <c r="X62" s="222"/>
      <c r="Y62" s="222"/>
      <c r="Z62" s="222"/>
    </row>
    <row r="63" ht="18.0" customHeight="1">
      <c r="A63" s="700" t="s">
        <v>274</v>
      </c>
      <c r="B63" s="701"/>
      <c r="C63" s="701"/>
      <c r="D63" s="701"/>
      <c r="E63" s="702"/>
      <c r="F63" s="702"/>
      <c r="G63" s="222"/>
      <c r="H63" s="222"/>
      <c r="I63" s="222"/>
      <c r="J63" s="222"/>
      <c r="K63" s="222"/>
      <c r="L63" s="222"/>
      <c r="M63" s="222"/>
      <c r="N63" s="222"/>
      <c r="O63" s="222"/>
      <c r="P63" s="222"/>
      <c r="Q63" s="222"/>
      <c r="R63" s="222"/>
      <c r="S63" s="222"/>
      <c r="T63" s="222"/>
      <c r="U63" s="222"/>
      <c r="V63" s="222"/>
      <c r="W63" s="222"/>
      <c r="X63" s="222"/>
      <c r="Y63" s="222"/>
      <c r="Z63" s="222"/>
    </row>
    <row r="64">
      <c r="A64" s="628"/>
      <c r="B64" s="139"/>
      <c r="C64" s="139"/>
      <c r="D64" s="139"/>
      <c r="E64" s="139"/>
      <c r="F64" s="139"/>
      <c r="G64" s="222"/>
      <c r="H64" s="222"/>
      <c r="I64" s="222"/>
      <c r="J64" s="222"/>
      <c r="K64" s="222"/>
      <c r="L64" s="222"/>
      <c r="M64" s="222"/>
      <c r="N64" s="222"/>
      <c r="O64" s="222"/>
      <c r="P64" s="222"/>
      <c r="Q64" s="222"/>
      <c r="R64" s="222"/>
      <c r="S64" s="222"/>
      <c r="T64" s="222"/>
      <c r="U64" s="222"/>
      <c r="V64" s="222"/>
      <c r="W64" s="222"/>
      <c r="X64" s="222"/>
      <c r="Y64" s="222"/>
      <c r="Z64" s="222"/>
    </row>
    <row r="65" ht="16.5" customHeight="1">
      <c r="A65" s="639" t="s">
        <v>159</v>
      </c>
      <c r="B65" s="509">
        <f t="shared" ref="B65:E65" si="5">B10+B11+B14+B17+B19+B25+B32+B34+B42+B44+B46+B47+B52+B53+B54+B58</f>
        <v>35418681</v>
      </c>
      <c r="C65" s="509">
        <f t="shared" si="5"/>
        <v>4042403</v>
      </c>
      <c r="D65" s="509">
        <f t="shared" si="5"/>
        <v>0</v>
      </c>
      <c r="E65" s="509">
        <f t="shared" si="5"/>
        <v>0</v>
      </c>
      <c r="F65" s="640">
        <f>B65-C65-D65-E65</f>
        <v>31376278</v>
      </c>
      <c r="G65" s="222"/>
      <c r="H65" s="222"/>
      <c r="I65" s="222"/>
      <c r="J65" s="222"/>
      <c r="K65" s="222"/>
      <c r="L65" s="222"/>
      <c r="M65" s="222"/>
      <c r="N65" s="222"/>
      <c r="O65" s="222"/>
      <c r="P65" s="222"/>
      <c r="Q65" s="222"/>
      <c r="R65" s="222"/>
      <c r="S65" s="222"/>
      <c r="T65" s="222"/>
      <c r="U65" s="222"/>
      <c r="V65" s="222"/>
      <c r="W65" s="222"/>
      <c r="X65" s="222"/>
      <c r="Y65" s="222"/>
      <c r="Z65" s="222"/>
    </row>
    <row r="66">
      <c r="A66" s="139"/>
      <c r="B66" s="139"/>
      <c r="C66" s="139"/>
      <c r="D66" s="139"/>
      <c r="E66" s="139"/>
      <c r="F66" s="139"/>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7" width="15.0"/>
    <col customWidth="1" min="8" max="26" width="9.71"/>
  </cols>
  <sheetData>
    <row r="1" ht="16.5" customHeight="1">
      <c r="A1" s="433" t="str">
        <f>[1]Status!C1</f>
        <v>#ERROR!</v>
      </c>
      <c r="B1" s="433"/>
      <c r="C1" s="222"/>
      <c r="D1" s="222"/>
      <c r="E1" s="222"/>
      <c r="F1" s="222"/>
      <c r="G1" s="632"/>
      <c r="H1" s="222"/>
      <c r="I1" s="222"/>
      <c r="J1" s="222"/>
      <c r="K1" s="222"/>
      <c r="L1" s="222"/>
      <c r="M1" s="222"/>
      <c r="N1" s="222"/>
      <c r="O1" s="222"/>
      <c r="P1" s="222"/>
      <c r="Q1" s="222"/>
      <c r="R1" s="222"/>
      <c r="S1" s="222"/>
      <c r="T1" s="222"/>
      <c r="U1" s="222"/>
      <c r="V1" s="222"/>
      <c r="W1" s="222"/>
      <c r="X1" s="222"/>
      <c r="Y1" s="222"/>
      <c r="Z1" s="222"/>
    </row>
    <row r="2" ht="16.5" customHeight="1">
      <c r="A2" s="433" t="s">
        <v>275</v>
      </c>
      <c r="B2" s="433"/>
      <c r="C2" s="222"/>
      <c r="D2" s="222"/>
      <c r="E2" s="222"/>
      <c r="F2" s="222"/>
      <c r="G2" s="63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222"/>
      <c r="G3" s="632"/>
      <c r="H3" s="222"/>
      <c r="I3" s="222"/>
      <c r="J3" s="222"/>
      <c r="K3" s="222"/>
      <c r="L3" s="222"/>
      <c r="M3" s="222"/>
      <c r="N3" s="222"/>
      <c r="O3" s="222"/>
      <c r="P3" s="222"/>
      <c r="Q3" s="222"/>
      <c r="R3" s="222"/>
      <c r="S3" s="222"/>
      <c r="T3" s="222"/>
      <c r="U3" s="222"/>
      <c r="V3" s="222"/>
      <c r="W3" s="222"/>
      <c r="X3" s="222"/>
      <c r="Y3" s="222"/>
      <c r="Z3" s="222"/>
    </row>
    <row r="4" ht="20.25" customHeight="1">
      <c r="A4" s="223" t="s">
        <v>148</v>
      </c>
      <c r="H4" s="222"/>
      <c r="I4" s="222"/>
      <c r="J4" s="222"/>
      <c r="K4" s="222"/>
      <c r="L4" s="222"/>
      <c r="M4" s="222"/>
      <c r="N4" s="222"/>
      <c r="O4" s="222"/>
      <c r="P4" s="222"/>
      <c r="Q4" s="222"/>
      <c r="R4" s="222"/>
      <c r="S4" s="222"/>
      <c r="T4" s="222"/>
      <c r="U4" s="222"/>
      <c r="V4" s="222"/>
      <c r="W4" s="222"/>
      <c r="X4" s="222"/>
      <c r="Y4" s="222"/>
      <c r="Z4" s="222"/>
    </row>
    <row r="5" ht="20.25" customHeight="1">
      <c r="A5" s="224" t="s">
        <v>276</v>
      </c>
      <c r="H5" s="222"/>
      <c r="I5" s="222"/>
      <c r="J5" s="222"/>
      <c r="K5" s="222"/>
      <c r="L5" s="222"/>
      <c r="M5" s="222"/>
      <c r="N5" s="222"/>
      <c r="O5" s="222"/>
      <c r="P5" s="222"/>
      <c r="Q5" s="222"/>
      <c r="R5" s="222"/>
      <c r="S5" s="222"/>
      <c r="T5" s="222"/>
      <c r="U5" s="222"/>
      <c r="V5" s="222"/>
      <c r="W5" s="222"/>
      <c r="X5" s="222"/>
      <c r="Y5" s="222"/>
      <c r="Z5" s="222"/>
    </row>
    <row r="6" ht="30.0" customHeight="1">
      <c r="A6" s="611" t="str">
        <f>[1]Status!A6</f>
        <v>#ERROR!</v>
      </c>
      <c r="B6" s="298"/>
      <c r="C6" s="298"/>
      <c r="D6" s="298"/>
      <c r="E6" s="298"/>
      <c r="F6" s="298"/>
      <c r="G6" s="298"/>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13" t="s">
        <v>277</v>
      </c>
      <c r="G7" s="634" t="s">
        <v>84</v>
      </c>
      <c r="H7" s="222"/>
      <c r="I7" s="222"/>
      <c r="J7" s="222"/>
      <c r="K7" s="222"/>
      <c r="L7" s="222"/>
      <c r="M7" s="222"/>
      <c r="N7" s="222"/>
      <c r="O7" s="222"/>
      <c r="P7" s="222"/>
      <c r="Q7" s="222"/>
      <c r="R7" s="222"/>
      <c r="S7" s="222"/>
      <c r="T7" s="222"/>
      <c r="U7" s="222"/>
      <c r="V7" s="222"/>
      <c r="W7" s="222"/>
      <c r="X7" s="222"/>
      <c r="Y7" s="222"/>
      <c r="Z7" s="222"/>
    </row>
    <row r="8" ht="18.0" customHeight="1">
      <c r="A8" s="678" t="s">
        <v>150</v>
      </c>
      <c r="B8" s="703">
        <v>2577608.0</v>
      </c>
      <c r="C8" s="703">
        <v>2062087.0</v>
      </c>
      <c r="D8" s="703">
        <v>515521.0</v>
      </c>
      <c r="E8" s="703">
        <v>0.0</v>
      </c>
      <c r="F8" s="703">
        <v>0.0</v>
      </c>
      <c r="G8" s="704">
        <f t="shared" ref="G8:G58" si="1">B8-C8-D8-E8-F8</f>
        <v>0</v>
      </c>
      <c r="H8" s="308"/>
      <c r="I8" s="308"/>
      <c r="J8" s="308"/>
      <c r="K8" s="308"/>
      <c r="L8" s="308"/>
      <c r="M8" s="308"/>
      <c r="N8" s="308"/>
      <c r="O8" s="308"/>
      <c r="P8" s="308"/>
      <c r="Q8" s="308"/>
      <c r="R8" s="308"/>
      <c r="S8" s="308"/>
      <c r="T8" s="308"/>
      <c r="U8" s="308"/>
      <c r="V8" s="308"/>
      <c r="W8" s="308"/>
      <c r="X8" s="308"/>
      <c r="Y8" s="308"/>
      <c r="Z8" s="308"/>
    </row>
    <row r="9" ht="18.0" customHeight="1">
      <c r="A9" s="663" t="s">
        <v>270</v>
      </c>
      <c r="B9" s="680">
        <v>1506507.0</v>
      </c>
      <c r="C9" s="680">
        <v>1389879.0</v>
      </c>
      <c r="D9" s="680">
        <v>116628.0</v>
      </c>
      <c r="E9" s="680">
        <v>0.0</v>
      </c>
      <c r="F9" s="680">
        <v>0.0</v>
      </c>
      <c r="G9" s="705">
        <f t="shared" si="1"/>
        <v>0</v>
      </c>
      <c r="H9" s="308"/>
      <c r="I9" s="308"/>
      <c r="J9" s="308"/>
      <c r="K9" s="308"/>
      <c r="L9" s="308"/>
      <c r="M9" s="308"/>
      <c r="N9" s="308"/>
      <c r="O9" s="308"/>
      <c r="P9" s="308"/>
      <c r="Q9" s="308"/>
      <c r="R9" s="308"/>
      <c r="S9" s="308"/>
      <c r="T9" s="308"/>
      <c r="U9" s="308"/>
      <c r="V9" s="308"/>
      <c r="W9" s="308"/>
      <c r="X9" s="308"/>
      <c r="Y9" s="308"/>
      <c r="Z9" s="308"/>
    </row>
    <row r="10" ht="18.0" customHeight="1">
      <c r="A10" s="665" t="s">
        <v>89</v>
      </c>
      <c r="B10" s="680">
        <v>63182.0</v>
      </c>
      <c r="C10" s="680">
        <v>0.0</v>
      </c>
      <c r="D10" s="680">
        <v>0.0</v>
      </c>
      <c r="E10" s="680">
        <v>0.0</v>
      </c>
      <c r="F10" s="680">
        <v>0.0</v>
      </c>
      <c r="G10" s="705">
        <f t="shared" si="1"/>
        <v>63182</v>
      </c>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160066.0</v>
      </c>
      <c r="C11" s="680">
        <v>0.0</v>
      </c>
      <c r="D11" s="680">
        <v>0.0</v>
      </c>
      <c r="E11" s="680">
        <v>0.0</v>
      </c>
      <c r="F11" s="680">
        <v>0.0</v>
      </c>
      <c r="G11" s="705">
        <f t="shared" si="1"/>
        <v>160066</v>
      </c>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1754689.0</v>
      </c>
      <c r="C12" s="680">
        <v>1754689.0</v>
      </c>
      <c r="D12" s="680">
        <v>0.0</v>
      </c>
      <c r="E12" s="680">
        <v>0.0</v>
      </c>
      <c r="F12" s="680">
        <v>0.0</v>
      </c>
      <c r="G12" s="705">
        <f t="shared" si="1"/>
        <v>0</v>
      </c>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680">
        <v>0.0</v>
      </c>
      <c r="G13" s="705">
        <f t="shared" si="1"/>
        <v>0</v>
      </c>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75684.0</v>
      </c>
      <c r="C14" s="680">
        <v>75684.0</v>
      </c>
      <c r="D14" s="680">
        <v>0.0</v>
      </c>
      <c r="E14" s="680">
        <v>0.0</v>
      </c>
      <c r="F14" s="680">
        <v>0.0</v>
      </c>
      <c r="G14" s="705">
        <f t="shared" si="1"/>
        <v>0</v>
      </c>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5403397.0</v>
      </c>
      <c r="C15" s="680">
        <v>4551817.0</v>
      </c>
      <c r="D15" s="680">
        <v>851580.0</v>
      </c>
      <c r="E15" s="680">
        <v>0.0</v>
      </c>
      <c r="F15" s="680">
        <v>0.0</v>
      </c>
      <c r="G15" s="705">
        <f t="shared" si="1"/>
        <v>0</v>
      </c>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52249.0</v>
      </c>
      <c r="C16" s="680">
        <v>52249.0</v>
      </c>
      <c r="D16" s="680">
        <v>0.0</v>
      </c>
      <c r="E16" s="680">
        <v>0.0</v>
      </c>
      <c r="F16" s="680">
        <v>0.0</v>
      </c>
      <c r="G16" s="705">
        <f t="shared" si="1"/>
        <v>0</v>
      </c>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452823.0</v>
      </c>
      <c r="C17" s="680">
        <v>452823.0</v>
      </c>
      <c r="D17" s="680">
        <v>0.0</v>
      </c>
      <c r="E17" s="680">
        <v>0.0</v>
      </c>
      <c r="F17" s="680">
        <v>0.0</v>
      </c>
      <c r="G17" s="705">
        <f t="shared" si="1"/>
        <v>0</v>
      </c>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1249617.0</v>
      </c>
      <c r="C18" s="680">
        <v>1249617.0</v>
      </c>
      <c r="D18" s="680">
        <v>0.0</v>
      </c>
      <c r="E18" s="680">
        <v>0.0</v>
      </c>
      <c r="F18" s="680">
        <v>0.0</v>
      </c>
      <c r="G18" s="705">
        <f t="shared" si="1"/>
        <v>0</v>
      </c>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680">
        <v>0.0</v>
      </c>
      <c r="G19" s="705">
        <f t="shared" si="1"/>
        <v>0</v>
      </c>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1075455.0</v>
      </c>
      <c r="C20" s="680">
        <v>972015.0</v>
      </c>
      <c r="D20" s="680">
        <v>103440.0</v>
      </c>
      <c r="E20" s="680">
        <v>0.0</v>
      </c>
      <c r="F20" s="680">
        <v>0.0</v>
      </c>
      <c r="G20" s="705">
        <f t="shared" si="1"/>
        <v>0</v>
      </c>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1.1159474E7</v>
      </c>
      <c r="C21" s="680">
        <f>9504614+16910</f>
        <v>9521524</v>
      </c>
      <c r="D21" s="680">
        <f>961572-16910</f>
        <v>944662</v>
      </c>
      <c r="E21" s="680">
        <v>0.0</v>
      </c>
      <c r="F21" s="680">
        <v>693288.0</v>
      </c>
      <c r="G21" s="705">
        <f t="shared" si="1"/>
        <v>0</v>
      </c>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680">
        <v>0.0</v>
      </c>
      <c r="G22" s="705">
        <f t="shared" si="1"/>
        <v>0</v>
      </c>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1.574866E7</v>
      </c>
      <c r="C23" s="680">
        <v>1.5577174E7</v>
      </c>
      <c r="D23" s="680">
        <v>0.0</v>
      </c>
      <c r="E23" s="680">
        <v>0.0</v>
      </c>
      <c r="F23" s="680">
        <v>171486.0</v>
      </c>
      <c r="G23" s="705">
        <f t="shared" si="1"/>
        <v>0</v>
      </c>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661818.0</v>
      </c>
      <c r="C24" s="680">
        <v>661818.0</v>
      </c>
      <c r="D24" s="680">
        <v>0.0</v>
      </c>
      <c r="E24" s="680">
        <v>0.0</v>
      </c>
      <c r="F24" s="680">
        <v>0.0</v>
      </c>
      <c r="G24" s="705">
        <f t="shared" si="1"/>
        <v>0</v>
      </c>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243828.0</v>
      </c>
      <c r="C25" s="680">
        <v>243828.0</v>
      </c>
      <c r="D25" s="680">
        <v>0.0</v>
      </c>
      <c r="E25" s="680">
        <v>0.0</v>
      </c>
      <c r="F25" s="680">
        <v>0.0</v>
      </c>
      <c r="G25" s="705">
        <f t="shared" si="1"/>
        <v>0</v>
      </c>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52249.0</v>
      </c>
      <c r="C26" s="680">
        <v>52249.0</v>
      </c>
      <c r="D26" s="680">
        <v>0.0</v>
      </c>
      <c r="E26" s="680">
        <v>0.0</v>
      </c>
      <c r="F26" s="680">
        <v>0.0</v>
      </c>
      <c r="G26" s="705">
        <f t="shared" si="1"/>
        <v>0</v>
      </c>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365742.0</v>
      </c>
      <c r="C27" s="680">
        <v>365742.0</v>
      </c>
      <c r="D27" s="680">
        <v>0.0</v>
      </c>
      <c r="E27" s="680">
        <v>0.0</v>
      </c>
      <c r="F27" s="680">
        <v>0.0</v>
      </c>
      <c r="G27" s="705">
        <f t="shared" si="1"/>
        <v>0</v>
      </c>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465885.0</v>
      </c>
      <c r="C28" s="680">
        <v>465885.0</v>
      </c>
      <c r="D28" s="680">
        <v>0.0</v>
      </c>
      <c r="E28" s="680">
        <v>0.0</v>
      </c>
      <c r="F28" s="680">
        <v>0.0</v>
      </c>
      <c r="G28" s="705">
        <f t="shared" si="1"/>
        <v>0</v>
      </c>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9052105.0</v>
      </c>
      <c r="C29" s="680">
        <v>7483323.0</v>
      </c>
      <c r="D29" s="680">
        <v>0.0</v>
      </c>
      <c r="E29" s="680">
        <v>0.0</v>
      </c>
      <c r="F29" s="680">
        <v>1568782.0</v>
      </c>
      <c r="G29" s="705">
        <f t="shared" si="1"/>
        <v>0</v>
      </c>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f>26882010</f>
        <v>26882010</v>
      </c>
      <c r="C30" s="680">
        <v>2.1717336E7</v>
      </c>
      <c r="D30" s="680">
        <v>0.0</v>
      </c>
      <c r="E30" s="680">
        <v>0.0</v>
      </c>
      <c r="F30" s="680">
        <v>5164674.0</v>
      </c>
      <c r="G30" s="705">
        <f t="shared" si="1"/>
        <v>0</v>
      </c>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680">
        <v>0.0</v>
      </c>
      <c r="G31" s="705">
        <f t="shared" si="1"/>
        <v>0</v>
      </c>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680">
        <v>0.0</v>
      </c>
      <c r="G32" s="705">
        <f t="shared" si="1"/>
        <v>0</v>
      </c>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17416.0</v>
      </c>
      <c r="C33" s="680">
        <v>17416.0</v>
      </c>
      <c r="D33" s="680">
        <v>0.0</v>
      </c>
      <c r="E33" s="680">
        <v>0.0</v>
      </c>
      <c r="F33" s="680">
        <v>0.0</v>
      </c>
      <c r="G33" s="705">
        <f t="shared" si="1"/>
        <v>0</v>
      </c>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680">
        <v>0.0</v>
      </c>
      <c r="G34" s="705">
        <f t="shared" si="1"/>
        <v>0</v>
      </c>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121914.0</v>
      </c>
      <c r="C35" s="680">
        <v>121914.0</v>
      </c>
      <c r="D35" s="680">
        <v>0.0</v>
      </c>
      <c r="E35" s="680">
        <v>0.0</v>
      </c>
      <c r="F35" s="680">
        <v>0.0</v>
      </c>
      <c r="G35" s="705">
        <f t="shared" si="1"/>
        <v>0</v>
      </c>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0.0</v>
      </c>
      <c r="C36" s="680">
        <v>0.0</v>
      </c>
      <c r="D36" s="680">
        <v>0.0</v>
      </c>
      <c r="E36" s="680">
        <v>0.0</v>
      </c>
      <c r="F36" s="680">
        <v>0.0</v>
      </c>
      <c r="G36" s="705">
        <f t="shared" si="1"/>
        <v>0</v>
      </c>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17416.0</v>
      </c>
      <c r="C37" s="680">
        <v>17416.0</v>
      </c>
      <c r="D37" s="680">
        <v>0.0</v>
      </c>
      <c r="E37" s="680">
        <v>0.0</v>
      </c>
      <c r="F37" s="680">
        <v>0.0</v>
      </c>
      <c r="G37" s="705">
        <f t="shared" si="1"/>
        <v>0</v>
      </c>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2764833.0</v>
      </c>
      <c r="C38" s="680">
        <v>2764833.0</v>
      </c>
      <c r="D38" s="680">
        <v>0.0</v>
      </c>
      <c r="E38" s="680">
        <v>0.0</v>
      </c>
      <c r="F38" s="680">
        <v>0.0</v>
      </c>
      <c r="G38" s="705">
        <f t="shared" si="1"/>
        <v>0</v>
      </c>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417990.0</v>
      </c>
      <c r="C39" s="680">
        <v>417990.0</v>
      </c>
      <c r="D39" s="680">
        <v>0.0</v>
      </c>
      <c r="E39" s="680">
        <v>0.0</v>
      </c>
      <c r="F39" s="680">
        <v>0.0</v>
      </c>
      <c r="G39" s="705">
        <f t="shared" si="1"/>
        <v>0</v>
      </c>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975311.0</v>
      </c>
      <c r="C40" s="680">
        <v>975311.0</v>
      </c>
      <c r="D40" s="680">
        <v>0.0</v>
      </c>
      <c r="E40" s="680">
        <v>0.0</v>
      </c>
      <c r="F40" s="680">
        <v>0.0</v>
      </c>
      <c r="G40" s="705">
        <f t="shared" si="1"/>
        <v>0</v>
      </c>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680">
        <v>0.0</v>
      </c>
      <c r="G41" s="705">
        <f t="shared" si="1"/>
        <v>0</v>
      </c>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1606.0</v>
      </c>
      <c r="C42" s="680">
        <v>1606.0</v>
      </c>
      <c r="D42" s="680">
        <v>0.0</v>
      </c>
      <c r="E42" s="680">
        <v>0.0</v>
      </c>
      <c r="F42" s="680">
        <v>0.0</v>
      </c>
      <c r="G42" s="705">
        <f t="shared" si="1"/>
        <v>0</v>
      </c>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478947.0</v>
      </c>
      <c r="C43" s="680">
        <v>478947.0</v>
      </c>
      <c r="D43" s="680">
        <v>0.0</v>
      </c>
      <c r="E43" s="680">
        <v>0.0</v>
      </c>
      <c r="F43" s="680">
        <v>0.0</v>
      </c>
      <c r="G43" s="705">
        <f t="shared" si="1"/>
        <v>0</v>
      </c>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7750239.0</v>
      </c>
      <c r="C44" s="680">
        <v>0.0</v>
      </c>
      <c r="D44" s="680">
        <v>0.0</v>
      </c>
      <c r="E44" s="680">
        <v>0.0</v>
      </c>
      <c r="F44" s="680">
        <v>0.0</v>
      </c>
      <c r="G44" s="705">
        <f t="shared" si="1"/>
        <v>7750239</v>
      </c>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0.0</v>
      </c>
      <c r="C45" s="680">
        <v>0.0</v>
      </c>
      <c r="D45" s="680">
        <v>0.0</v>
      </c>
      <c r="E45" s="680">
        <v>0.0</v>
      </c>
      <c r="F45" s="680">
        <v>0.0</v>
      </c>
      <c r="G45" s="705">
        <f t="shared" si="1"/>
        <v>0</v>
      </c>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143684.0</v>
      </c>
      <c r="C46" s="680">
        <v>143684.0</v>
      </c>
      <c r="D46" s="680">
        <v>0.0</v>
      </c>
      <c r="E46" s="680">
        <v>0.0</v>
      </c>
      <c r="F46" s="680">
        <v>0.0</v>
      </c>
      <c r="G46" s="705">
        <f t="shared" si="1"/>
        <v>0</v>
      </c>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61290.0</v>
      </c>
      <c r="C47" s="680">
        <v>61290.0</v>
      </c>
      <c r="D47" s="680">
        <v>0.0</v>
      </c>
      <c r="E47" s="680">
        <v>0.0</v>
      </c>
      <c r="F47" s="680">
        <v>0.0</v>
      </c>
      <c r="G47" s="705">
        <f t="shared" si="1"/>
        <v>0</v>
      </c>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561675.0</v>
      </c>
      <c r="C48" s="680">
        <v>561675.0</v>
      </c>
      <c r="D48" s="680">
        <v>0.0</v>
      </c>
      <c r="E48" s="680">
        <v>0.0</v>
      </c>
      <c r="F48" s="680">
        <v>0.0</v>
      </c>
      <c r="G48" s="705">
        <f t="shared" si="1"/>
        <v>0</v>
      </c>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4114593.0</v>
      </c>
      <c r="C49" s="680">
        <v>4114593.0</v>
      </c>
      <c r="D49" s="680">
        <v>0.0</v>
      </c>
      <c r="E49" s="680">
        <v>0.0</v>
      </c>
      <c r="F49" s="680">
        <v>0.0</v>
      </c>
      <c r="G49" s="705">
        <f t="shared" si="1"/>
        <v>0</v>
      </c>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2137847.0</v>
      </c>
      <c r="C50" s="680">
        <v>2137847.0</v>
      </c>
      <c r="D50" s="680">
        <v>0.0</v>
      </c>
      <c r="E50" s="680">
        <v>0.0</v>
      </c>
      <c r="F50" s="680">
        <v>0.0</v>
      </c>
      <c r="G50" s="705">
        <f t="shared" si="1"/>
        <v>0</v>
      </c>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2107368.0</v>
      </c>
      <c r="C51" s="680">
        <v>1864768.0</v>
      </c>
      <c r="D51" s="680">
        <v>242600.0</v>
      </c>
      <c r="E51" s="680">
        <v>0.0</v>
      </c>
      <c r="F51" s="680">
        <v>0.0</v>
      </c>
      <c r="G51" s="705">
        <f t="shared" si="1"/>
        <v>0</v>
      </c>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680">
        <v>0.0</v>
      </c>
      <c r="G52" s="705">
        <f t="shared" si="1"/>
        <v>0</v>
      </c>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56603.0</v>
      </c>
      <c r="C53" s="680">
        <v>0.0</v>
      </c>
      <c r="D53" s="680">
        <v>0.0</v>
      </c>
      <c r="E53" s="680">
        <v>0.0</v>
      </c>
      <c r="F53" s="680">
        <v>0.0</v>
      </c>
      <c r="G53" s="705">
        <f t="shared" si="1"/>
        <v>56603</v>
      </c>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680">
        <v>0.0</v>
      </c>
      <c r="G54" s="705">
        <f t="shared" si="1"/>
        <v>0</v>
      </c>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0.0</v>
      </c>
      <c r="C55" s="680">
        <v>0.0</v>
      </c>
      <c r="D55" s="680">
        <v>0.0</v>
      </c>
      <c r="E55" s="680">
        <v>0.0</v>
      </c>
      <c r="F55" s="680">
        <v>0.0</v>
      </c>
      <c r="G55" s="705">
        <f t="shared" si="1"/>
        <v>0</v>
      </c>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9256746.0</v>
      </c>
      <c r="C56" s="680">
        <v>8756709.0</v>
      </c>
      <c r="D56" s="680">
        <v>0.0</v>
      </c>
      <c r="E56" s="680">
        <v>0.0</v>
      </c>
      <c r="F56" s="680">
        <v>500037.0</v>
      </c>
      <c r="G56" s="705">
        <f t="shared" si="1"/>
        <v>0</v>
      </c>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3.7916667E7</v>
      </c>
      <c r="C57" s="680">
        <v>3.6791667E7</v>
      </c>
      <c r="D57" s="680">
        <v>1125000.0</v>
      </c>
      <c r="E57" s="680">
        <v>0.0</v>
      </c>
      <c r="F57" s="680">
        <v>0.0</v>
      </c>
      <c r="G57" s="705">
        <f t="shared" si="1"/>
        <v>0</v>
      </c>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680">
        <v>0.0</v>
      </c>
      <c r="G58" s="705">
        <f t="shared" si="1"/>
        <v>0</v>
      </c>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G59" si="2">SUM(B8:B58)</f>
        <v>147905193</v>
      </c>
      <c r="C59" s="707">
        <f t="shared" si="2"/>
        <v>127877405</v>
      </c>
      <c r="D59" s="707">
        <f t="shared" si="2"/>
        <v>3899431</v>
      </c>
      <c r="E59" s="707">
        <f t="shared" si="2"/>
        <v>0</v>
      </c>
      <c r="F59" s="707">
        <f t="shared" si="2"/>
        <v>8098267</v>
      </c>
      <c r="G59" s="708">
        <f t="shared" si="2"/>
        <v>8030090</v>
      </c>
      <c r="H59" s="308"/>
      <c r="I59" s="308"/>
      <c r="J59" s="308"/>
      <c r="K59" s="308"/>
      <c r="L59" s="308"/>
      <c r="M59" s="308"/>
      <c r="N59" s="308"/>
      <c r="O59" s="308"/>
      <c r="P59" s="308"/>
      <c r="Q59" s="308"/>
      <c r="R59" s="308"/>
      <c r="S59" s="308"/>
      <c r="T59" s="308"/>
      <c r="U59" s="308"/>
      <c r="V59" s="308"/>
      <c r="W59" s="308"/>
      <c r="X59" s="308"/>
      <c r="Y59" s="308"/>
      <c r="Z59" s="308"/>
    </row>
    <row r="60" ht="15.75" customHeight="1">
      <c r="A60" s="685"/>
      <c r="B60" s="709"/>
      <c r="C60" s="709"/>
      <c r="D60" s="709"/>
      <c r="E60" s="709"/>
      <c r="F60" s="709"/>
      <c r="G60" s="709"/>
      <c r="H60" s="308"/>
      <c r="I60" s="308"/>
      <c r="J60" s="308"/>
      <c r="K60" s="308"/>
      <c r="L60" s="308"/>
      <c r="M60" s="308"/>
      <c r="N60" s="308"/>
      <c r="O60" s="308"/>
      <c r="P60" s="308"/>
      <c r="Q60" s="308"/>
      <c r="R60" s="308"/>
      <c r="S60" s="308"/>
      <c r="T60" s="308"/>
      <c r="U60" s="308"/>
      <c r="V60" s="308"/>
      <c r="W60" s="308"/>
      <c r="X60" s="308"/>
      <c r="Y60" s="308"/>
      <c r="Z60" s="308"/>
    </row>
    <row r="61" ht="15.75" customHeight="1">
      <c r="A61" s="685"/>
      <c r="B61" s="709"/>
      <c r="C61" s="709"/>
      <c r="D61" s="709"/>
      <c r="E61" s="709"/>
      <c r="F61" s="222"/>
      <c r="G61" s="709"/>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222"/>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222"/>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222"/>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222"/>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222"/>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222"/>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222"/>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222"/>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222"/>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222"/>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222"/>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222"/>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222"/>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222"/>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222"/>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222"/>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222"/>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222"/>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222"/>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222"/>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222"/>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222"/>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222"/>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222"/>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222"/>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222"/>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222"/>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222"/>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222"/>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222"/>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222"/>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222"/>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222"/>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222"/>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222"/>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222"/>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222"/>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222"/>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222"/>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222"/>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222"/>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222"/>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222"/>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222"/>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222"/>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222"/>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222"/>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222"/>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222"/>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222"/>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222"/>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222"/>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222"/>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222"/>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222"/>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222"/>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222"/>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222"/>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222"/>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222"/>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222"/>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222"/>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222"/>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222"/>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222"/>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222"/>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222"/>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222"/>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222"/>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222"/>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222"/>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222"/>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222"/>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222"/>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222"/>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222"/>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222"/>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222"/>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222"/>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222"/>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222"/>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222"/>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222"/>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222"/>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222"/>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222"/>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222"/>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222"/>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222"/>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222"/>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222"/>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222"/>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222"/>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222"/>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222"/>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222"/>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222"/>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222"/>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222"/>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222"/>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222"/>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222"/>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222"/>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222"/>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222"/>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222"/>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222"/>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222"/>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222"/>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222"/>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222"/>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222"/>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222"/>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222"/>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222"/>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222"/>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222"/>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222"/>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222"/>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222"/>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222"/>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222"/>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222"/>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222"/>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222"/>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222"/>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222"/>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222"/>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222"/>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222"/>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222"/>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222"/>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222"/>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222"/>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222"/>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222"/>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222"/>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222"/>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222"/>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222"/>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222"/>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222"/>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222"/>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222"/>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222"/>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222"/>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222"/>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222"/>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222"/>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222"/>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222"/>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222"/>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222"/>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222"/>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222"/>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222"/>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222"/>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222"/>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222"/>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222"/>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222"/>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222"/>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222"/>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222"/>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222"/>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222"/>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222"/>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222"/>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222"/>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222"/>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222"/>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222"/>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222"/>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222"/>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222"/>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222"/>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222"/>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222"/>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222"/>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222"/>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222"/>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222"/>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222"/>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222"/>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222"/>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222"/>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222"/>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222"/>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222"/>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222"/>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222"/>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222"/>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222"/>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222"/>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222"/>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222"/>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222"/>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222"/>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222"/>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222"/>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222"/>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222"/>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222"/>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222"/>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222"/>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222"/>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222"/>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222"/>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222"/>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222"/>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222"/>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222"/>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222"/>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222"/>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222"/>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222"/>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222"/>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222"/>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222"/>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222"/>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222"/>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222"/>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222"/>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222"/>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222"/>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222"/>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222"/>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222"/>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222"/>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222"/>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222"/>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222"/>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222"/>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222"/>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222"/>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222"/>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222"/>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222"/>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222"/>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222"/>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222"/>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222"/>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222"/>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222"/>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222"/>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222"/>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222"/>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222"/>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222"/>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222"/>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222"/>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222"/>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222"/>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222"/>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222"/>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222"/>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222"/>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222"/>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222"/>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222"/>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222"/>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222"/>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222"/>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222"/>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222"/>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222"/>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222"/>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222"/>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222"/>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222"/>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222"/>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222"/>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222"/>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222"/>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222"/>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222"/>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222"/>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222"/>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222"/>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222"/>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222"/>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222"/>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222"/>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222"/>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222"/>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222"/>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222"/>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222"/>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222"/>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222"/>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222"/>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222"/>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222"/>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222"/>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222"/>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222"/>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222"/>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222"/>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222"/>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222"/>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222"/>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222"/>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222"/>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222"/>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222"/>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222"/>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222"/>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222"/>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222"/>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222"/>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222"/>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222"/>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222"/>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222"/>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222"/>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222"/>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222"/>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222"/>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222"/>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222"/>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222"/>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222"/>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222"/>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222"/>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222"/>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222"/>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222"/>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222"/>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222"/>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222"/>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222"/>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222"/>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222"/>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222"/>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222"/>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222"/>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222"/>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222"/>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222"/>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222"/>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222"/>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222"/>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222"/>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222"/>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222"/>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222"/>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222"/>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222"/>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222"/>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222"/>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222"/>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222"/>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222"/>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222"/>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222"/>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222"/>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222"/>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222"/>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222"/>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222"/>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222"/>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222"/>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222"/>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222"/>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222"/>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222"/>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222"/>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222"/>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222"/>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222"/>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222"/>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222"/>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222"/>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222"/>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222"/>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222"/>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222"/>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222"/>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222"/>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222"/>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222"/>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222"/>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222"/>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222"/>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222"/>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222"/>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222"/>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222"/>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222"/>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222"/>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222"/>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222"/>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222"/>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222"/>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222"/>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222"/>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222"/>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222"/>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222"/>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222"/>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222"/>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222"/>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222"/>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222"/>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222"/>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222"/>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222"/>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222"/>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222"/>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222"/>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222"/>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222"/>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222"/>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222"/>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222"/>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222"/>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222"/>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222"/>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222"/>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222"/>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222"/>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222"/>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222"/>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222"/>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222"/>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222"/>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222"/>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222"/>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222"/>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222"/>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222"/>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222"/>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222"/>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222"/>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222"/>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222"/>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222"/>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222"/>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222"/>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222"/>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222"/>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222"/>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222"/>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222"/>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222"/>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222"/>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222"/>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222"/>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222"/>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222"/>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222"/>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222"/>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222"/>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222"/>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222"/>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222"/>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222"/>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222"/>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222"/>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222"/>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222"/>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222"/>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222"/>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222"/>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222"/>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222"/>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222"/>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222"/>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222"/>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222"/>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222"/>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222"/>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222"/>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222"/>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222"/>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222"/>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222"/>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222"/>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222"/>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222"/>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222"/>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222"/>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222"/>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222"/>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222"/>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222"/>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222"/>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222"/>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222"/>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222"/>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222"/>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222"/>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222"/>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222"/>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222"/>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222"/>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222"/>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222"/>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222"/>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222"/>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222"/>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222"/>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222"/>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222"/>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222"/>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222"/>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222"/>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222"/>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222"/>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222"/>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222"/>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222"/>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222"/>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222"/>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222"/>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222"/>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222"/>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222"/>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222"/>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222"/>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222"/>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222"/>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222"/>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222"/>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222"/>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222"/>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222"/>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222"/>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222"/>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222"/>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222"/>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222"/>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222"/>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222"/>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222"/>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222"/>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222"/>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222"/>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222"/>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222"/>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222"/>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222"/>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222"/>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222"/>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222"/>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222"/>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222"/>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222"/>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222"/>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222"/>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222"/>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222"/>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222"/>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222"/>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222"/>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222"/>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222"/>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222"/>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222"/>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222"/>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222"/>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222"/>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222"/>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222"/>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222"/>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222"/>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222"/>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222"/>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222"/>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222"/>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222"/>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222"/>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222"/>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222"/>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222"/>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222"/>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222"/>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222"/>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222"/>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222"/>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222"/>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222"/>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222"/>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222"/>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222"/>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222"/>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222"/>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222"/>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222"/>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222"/>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222"/>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222"/>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222"/>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222"/>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222"/>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222"/>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222"/>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222"/>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222"/>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222"/>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222"/>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222"/>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222"/>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222"/>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222"/>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222"/>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222"/>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222"/>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222"/>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222"/>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222"/>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222"/>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222"/>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222"/>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222"/>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222"/>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222"/>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222"/>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222"/>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222"/>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222"/>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222"/>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222"/>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222"/>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222"/>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222"/>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222"/>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222"/>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222"/>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222"/>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222"/>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222"/>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222"/>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222"/>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222"/>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222"/>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222"/>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222"/>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222"/>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222"/>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222"/>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222"/>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222"/>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222"/>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222"/>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222"/>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222"/>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222"/>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222"/>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222"/>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222"/>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222"/>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222"/>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222"/>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222"/>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222"/>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222"/>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222"/>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222"/>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222"/>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222"/>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222"/>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222"/>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222"/>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222"/>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222"/>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222"/>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222"/>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222"/>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222"/>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222"/>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222"/>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222"/>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222"/>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222"/>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222"/>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222"/>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222"/>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222"/>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222"/>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222"/>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222"/>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222"/>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222"/>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222"/>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222"/>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222"/>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222"/>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222"/>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222"/>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222"/>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222"/>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222"/>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222"/>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222"/>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222"/>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222"/>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222"/>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222"/>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222"/>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222"/>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222"/>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222"/>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222"/>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222"/>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222"/>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222"/>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222"/>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222"/>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222"/>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222"/>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222"/>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222"/>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222"/>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222"/>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222"/>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222"/>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222"/>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222"/>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222"/>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222"/>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222"/>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222"/>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222"/>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222"/>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222"/>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222"/>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222"/>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222"/>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222"/>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222"/>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222"/>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222"/>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222"/>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222"/>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222"/>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222"/>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222"/>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222"/>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222"/>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222"/>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222"/>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222"/>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222"/>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222"/>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222"/>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222"/>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222"/>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222"/>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222"/>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222"/>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222"/>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222"/>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222"/>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222"/>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222"/>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222"/>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222"/>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222"/>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222"/>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222"/>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222"/>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222"/>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222"/>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222"/>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222"/>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222"/>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222"/>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222"/>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222"/>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222"/>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222"/>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222"/>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222"/>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222"/>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222"/>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222"/>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222"/>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222"/>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222"/>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222"/>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222"/>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222"/>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222"/>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222"/>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222"/>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222"/>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222"/>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222"/>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222"/>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222"/>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222"/>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222"/>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222"/>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222"/>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222"/>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222"/>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222"/>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222"/>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222"/>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222"/>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222"/>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222"/>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222"/>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222"/>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222"/>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222"/>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222"/>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222"/>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222"/>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222"/>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222"/>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222"/>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222"/>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222"/>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222"/>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222"/>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222"/>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222"/>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222"/>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222"/>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222"/>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222"/>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222"/>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222"/>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222"/>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222"/>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222"/>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222"/>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222"/>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222"/>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222"/>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222"/>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222"/>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222"/>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222"/>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222"/>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222"/>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222"/>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222"/>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222"/>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222"/>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222"/>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222"/>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222"/>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222"/>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222"/>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222"/>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222"/>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222"/>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222"/>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222"/>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222"/>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222"/>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222"/>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222"/>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222"/>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222"/>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222"/>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222"/>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222"/>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222"/>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222"/>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222"/>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222"/>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222"/>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222"/>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222"/>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222"/>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222"/>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222"/>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222"/>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222"/>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222"/>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222"/>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222"/>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222"/>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222"/>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222"/>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222"/>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222"/>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222"/>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222"/>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222"/>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222"/>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222"/>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222"/>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222"/>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222"/>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222"/>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222"/>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222"/>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222"/>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222"/>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222"/>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222"/>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222"/>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222"/>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222"/>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222"/>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222"/>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222"/>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222"/>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222"/>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222"/>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222"/>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222"/>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222"/>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222"/>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222"/>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222"/>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222"/>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222"/>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222"/>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222"/>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222"/>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222"/>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222"/>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222"/>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222"/>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222"/>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222"/>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222"/>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222"/>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222"/>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222"/>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222"/>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222"/>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222"/>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222"/>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222"/>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222"/>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222"/>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222"/>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222"/>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222"/>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222"/>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222"/>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222"/>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G4"/>
    <mergeCell ref="A5:G5"/>
    <mergeCell ref="A6:G6"/>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278</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279</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2633990.0</v>
      </c>
      <c r="C8" s="703">
        <v>2513094.0</v>
      </c>
      <c r="D8" s="703">
        <v>120896.0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1308273.0</v>
      </c>
      <c r="C9" s="680">
        <v>1308273.0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0.0</v>
      </c>
      <c r="C11" s="680">
        <v>0.0</v>
      </c>
      <c r="D11" s="680">
        <v>0.0</v>
      </c>
      <c r="E11" s="680">
        <v>0.0</v>
      </c>
      <c r="F11" s="705">
        <f t="shared" si="1"/>
        <v>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1849026.0</v>
      </c>
      <c r="C12" s="680">
        <v>1849026.0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226767.0</v>
      </c>
      <c r="C14" s="680">
        <v>226767.0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5424973.0</v>
      </c>
      <c r="C15" s="680">
        <v>5374973.0</v>
      </c>
      <c r="D15" s="680">
        <v>50000.0</v>
      </c>
      <c r="E15" s="680">
        <v>0.0</v>
      </c>
      <c r="F15" s="705">
        <f t="shared" si="1"/>
        <v>0</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34887.0</v>
      </c>
      <c r="C16" s="680">
        <v>34887.0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732633.0</v>
      </c>
      <c r="C17" s="680">
        <v>732633.0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1133837.0</v>
      </c>
      <c r="C18" s="680">
        <v>928837.0</v>
      </c>
      <c r="D18" s="680">
        <v>205000.0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994288.0</v>
      </c>
      <c r="C20" s="680">
        <v>994288.0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1.0466186E7</v>
      </c>
      <c r="C21" s="680">
        <v>1.0346186E7</v>
      </c>
      <c r="D21" s="680">
        <v>120000.0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1.5577174E7</v>
      </c>
      <c r="C23" s="680">
        <v>1.5577174E7</v>
      </c>
      <c r="D23" s="680">
        <v>0.0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610528.0</v>
      </c>
      <c r="C24" s="680">
        <v>610528.0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313986.0</v>
      </c>
      <c r="C25" s="680">
        <v>313986.0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52331.0</v>
      </c>
      <c r="C26" s="680">
        <v>52331.0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313986.0</v>
      </c>
      <c r="C27" s="680">
        <v>313986.0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401204.0</v>
      </c>
      <c r="C28" s="680">
        <v>401204.0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7483323.0</v>
      </c>
      <c r="C29" s="680">
        <v>7483323.0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2.1717336E7</v>
      </c>
      <c r="C30" s="680">
        <v>2.1717336E7</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17444.0</v>
      </c>
      <c r="C33" s="680">
        <v>17444.0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104662.0</v>
      </c>
      <c r="C35" s="680">
        <v>104662.0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0.0</v>
      </c>
      <c r="C36" s="680">
        <v>0.0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17444.0</v>
      </c>
      <c r="C37" s="680">
        <v>17444.0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2616547.0</v>
      </c>
      <c r="C38" s="680">
        <v>2616547.0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418647.0</v>
      </c>
      <c r="C39" s="680">
        <v>418647.0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959400.0</v>
      </c>
      <c r="C40" s="680">
        <v>959400.0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348873.0</v>
      </c>
      <c r="C43" s="680">
        <v>348873.0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1.1704685E7</v>
      </c>
      <c r="C44" s="680">
        <v>0.0</v>
      </c>
      <c r="D44" s="680">
        <v>0.0</v>
      </c>
      <c r="E44" s="680">
        <v>0.0</v>
      </c>
      <c r="F44" s="705">
        <f t="shared" si="1"/>
        <v>11704685</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0.0</v>
      </c>
      <c r="C45" s="680">
        <v>0.0</v>
      </c>
      <c r="D45" s="680">
        <v>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226767.0</v>
      </c>
      <c r="C46" s="680">
        <v>226767.0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715189.0</v>
      </c>
      <c r="C48" s="680">
        <v>715189.0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3453841.0</v>
      </c>
      <c r="C49" s="680">
        <v>3453841.0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1936244.0</v>
      </c>
      <c r="C50" s="680">
        <v>1936244.0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1936244.0</v>
      </c>
      <c r="C51" s="680">
        <v>1936244.0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0.0</v>
      </c>
      <c r="C55" s="680">
        <v>0.0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8756709.0</v>
      </c>
      <c r="C56" s="680">
        <v>8756709.0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3.7916667E7</v>
      </c>
      <c r="C57" s="680">
        <v>3.5070365E7</v>
      </c>
      <c r="D57" s="680">
        <v>2846302.0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142404091</v>
      </c>
      <c r="C59" s="707">
        <f t="shared" si="2"/>
        <v>127357208</v>
      </c>
      <c r="D59" s="707">
        <f t="shared" si="2"/>
        <v>3342198</v>
      </c>
      <c r="E59" s="707">
        <f t="shared" si="2"/>
        <v>0</v>
      </c>
      <c r="F59" s="708">
        <f t="shared" si="2"/>
        <v>11704685</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09"/>
      <c r="C60" s="709"/>
      <c r="D60" s="709"/>
      <c r="E60" s="709"/>
      <c r="F60" s="709"/>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711"/>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t="str">
        <f>[1]Status!C1</f>
        <v>#ERROR!</v>
      </c>
      <c r="B1" s="433"/>
      <c r="C1" s="222"/>
      <c r="D1" s="222"/>
      <c r="E1" s="222"/>
      <c r="F1" s="632"/>
      <c r="G1" s="222"/>
      <c r="H1" s="222"/>
      <c r="I1" s="222"/>
      <c r="J1" s="222"/>
      <c r="K1" s="222"/>
      <c r="L1" s="222"/>
      <c r="M1" s="222"/>
      <c r="N1" s="222"/>
      <c r="O1" s="222"/>
      <c r="P1" s="222"/>
      <c r="Q1" s="222"/>
      <c r="R1" s="222"/>
      <c r="S1" s="222"/>
      <c r="T1" s="222"/>
      <c r="U1" s="222"/>
      <c r="V1" s="222"/>
      <c r="W1" s="222"/>
      <c r="X1" s="222"/>
      <c r="Y1" s="222"/>
      <c r="Z1" s="222"/>
    </row>
    <row r="2" ht="16.5" customHeight="1">
      <c r="A2" s="433" t="s">
        <v>280</v>
      </c>
      <c r="B2" s="433"/>
      <c r="C2" s="222"/>
      <c r="D2" s="222"/>
      <c r="E2" s="222"/>
      <c r="F2" s="63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281</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2633990.0</v>
      </c>
      <c r="C8" s="703">
        <v>2567190.0</v>
      </c>
      <c r="D8" s="703">
        <v>66800.0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1308273.0</v>
      </c>
      <c r="C9" s="680">
        <v>1308273.0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0.0</v>
      </c>
      <c r="C11" s="680">
        <v>0.0</v>
      </c>
      <c r="D11" s="680">
        <v>0.0</v>
      </c>
      <c r="E11" s="680">
        <v>0.0</v>
      </c>
      <c r="F11" s="705">
        <f t="shared" si="1"/>
        <v>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1849026.0</v>
      </c>
      <c r="C12" s="680">
        <v>1849026.0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226767.0</v>
      </c>
      <c r="C14" s="680">
        <v>226767.0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5424973.0</v>
      </c>
      <c r="C15" s="680">
        <v>4888703.0</v>
      </c>
      <c r="D15" s="680">
        <v>536270.0</v>
      </c>
      <c r="E15" s="680">
        <v>0.0</v>
      </c>
      <c r="F15" s="705">
        <f t="shared" si="1"/>
        <v>0</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34887.0</v>
      </c>
      <c r="C16" s="680">
        <v>34887.0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732633.0</v>
      </c>
      <c r="C17" s="680">
        <v>732633.0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1133837.0</v>
      </c>
      <c r="C18" s="680">
        <v>1133837.0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994288.0</v>
      </c>
      <c r="C20" s="680">
        <v>994288.0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1.0466186E7</v>
      </c>
      <c r="C21" s="680">
        <f>10222755+22664</f>
        <v>10245419</v>
      </c>
      <c r="D21" s="680">
        <f>243431-22664</f>
        <v>220767</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1.5577174E7</v>
      </c>
      <c r="C23" s="680">
        <v>1.4240256E7</v>
      </c>
      <c r="D23" s="680">
        <v>1336918.0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610528.0</v>
      </c>
      <c r="C24" s="680">
        <v>610528.0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313986.0</v>
      </c>
      <c r="C25" s="680">
        <v>313986.0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52331.0</v>
      </c>
      <c r="C26" s="680">
        <v>52331.0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313986.0</v>
      </c>
      <c r="C27" s="680">
        <v>313986.0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401204.0</v>
      </c>
      <c r="C28" s="680">
        <v>401204.0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7483323.0</v>
      </c>
      <c r="C29" s="680">
        <v>7483323.0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2.1717336E7</v>
      </c>
      <c r="C30" s="680">
        <v>2.1717336E7</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17444.0</v>
      </c>
      <c r="C33" s="680">
        <v>17444.0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104662.0</v>
      </c>
      <c r="C35" s="680">
        <v>104662.0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0.0</v>
      </c>
      <c r="C36" s="680">
        <v>0.0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17444.0</v>
      </c>
      <c r="C37" s="680">
        <v>17444.0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2616547.0</v>
      </c>
      <c r="C38" s="680">
        <v>2616547.0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418647.0</v>
      </c>
      <c r="C39" s="680">
        <v>418647.0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959400.0</v>
      </c>
      <c r="C40" s="680">
        <v>959400.0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16915.0</v>
      </c>
      <c r="C41" s="680">
        <v>16915.0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348873.0</v>
      </c>
      <c r="C43" s="680">
        <v>348873.0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1.1704685E7</v>
      </c>
      <c r="C44" s="680">
        <v>0.0</v>
      </c>
      <c r="D44" s="680">
        <v>0.0</v>
      </c>
      <c r="E44" s="680">
        <v>0.0</v>
      </c>
      <c r="F44" s="705">
        <f t="shared" si="1"/>
        <v>11704685</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209324.0</v>
      </c>
      <c r="C45" s="680">
        <v>169324.0</v>
      </c>
      <c r="D45" s="680">
        <v>40000.0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226767.0</v>
      </c>
      <c r="C46" s="680">
        <v>226767.0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715189.0</v>
      </c>
      <c r="C48" s="680">
        <v>685189.0</v>
      </c>
      <c r="D48" s="680">
        <v>30000.0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3453841.0</v>
      </c>
      <c r="C49" s="680">
        <v>3453841.0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1936244.0</v>
      </c>
      <c r="C50" s="680">
        <v>1936244.0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1936244.0</v>
      </c>
      <c r="C51" s="680">
        <v>1936244.0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0.0</v>
      </c>
      <c r="C55" s="680">
        <v>0.0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8756709.0</v>
      </c>
      <c r="C56" s="680">
        <v>8756709.0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3.7916667E7</v>
      </c>
      <c r="C57" s="680">
        <v>3.5339184E7</v>
      </c>
      <c r="D57" s="680">
        <v>2577483.0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1.0" customHeight="1">
      <c r="A59" s="706" t="s">
        <v>143</v>
      </c>
      <c r="B59" s="707">
        <f t="shared" ref="B59:F59" si="2">SUM(B8:B58)</f>
        <v>142630330</v>
      </c>
      <c r="C59" s="707">
        <f t="shared" si="2"/>
        <v>126117407</v>
      </c>
      <c r="D59" s="707">
        <f t="shared" si="2"/>
        <v>4808238</v>
      </c>
      <c r="E59" s="707">
        <f t="shared" si="2"/>
        <v>0</v>
      </c>
      <c r="F59" s="708">
        <f t="shared" si="2"/>
        <v>11704685</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c r="C60" s="710"/>
      <c r="D60" s="710"/>
      <c r="E60" s="710"/>
      <c r="F60" s="710"/>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711"/>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3" width="17.29"/>
    <col customWidth="1" min="4" max="4" width="13.71"/>
    <col customWidth="1" min="5" max="6" width="17.29"/>
    <col customWidth="1" min="7" max="7" width="3.0"/>
    <col customWidth="1" min="8" max="26" width="9.71"/>
  </cols>
  <sheetData>
    <row r="1" ht="16.5" customHeight="1">
      <c r="A1" s="222" t="str">
        <f>[1]Status!C1</f>
        <v>#ERROR!</v>
      </c>
      <c r="B1" s="433"/>
      <c r="C1" s="222"/>
      <c r="D1" s="222"/>
      <c r="E1" s="222"/>
      <c r="F1" s="222"/>
      <c r="G1" s="222"/>
      <c r="H1" s="222"/>
      <c r="I1" s="222"/>
      <c r="J1" s="222"/>
      <c r="K1" s="222"/>
      <c r="L1" s="222"/>
      <c r="M1" s="222"/>
      <c r="N1" s="222"/>
      <c r="O1" s="222"/>
      <c r="P1" s="222"/>
      <c r="Q1" s="222"/>
      <c r="R1" s="222"/>
      <c r="S1" s="222"/>
      <c r="T1" s="222"/>
      <c r="U1" s="222"/>
      <c r="V1" s="222"/>
      <c r="W1" s="222"/>
      <c r="X1" s="222"/>
      <c r="Y1" s="222"/>
      <c r="Z1" s="222"/>
    </row>
    <row r="2" ht="16.5" customHeight="1">
      <c r="A2" s="222" t="s">
        <v>282</v>
      </c>
      <c r="B2" s="433"/>
      <c r="C2" s="222"/>
      <c r="D2" s="222"/>
      <c r="E2" s="222"/>
      <c r="F2" s="22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283</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523">
        <f>'YR1991'!B8+'YR1992'!B8+'YR1993'!B8</f>
        <v>4324254</v>
      </c>
      <c r="C8" s="523">
        <f>'YR1991'!C8+'YR1992'!C8+'YR1993'!C8</f>
        <v>4284963</v>
      </c>
      <c r="D8" s="523">
        <f>'YR1991'!D8+'YR1992'!D8+'YR1993'!D8</f>
        <v>39291</v>
      </c>
      <c r="E8" s="523">
        <f>'YR1991'!E8+'YR1992'!E8+'YR1993'!E8</f>
        <v>0</v>
      </c>
      <c r="F8" s="635">
        <f t="shared" ref="F8:F12" si="1">B8-C8-D8-E8</f>
        <v>0</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523">
        <f>'YR1991'!B9+'YR1992'!B9+'YR1993'!B9</f>
        <v>2089187</v>
      </c>
      <c r="C9" s="523">
        <f>'YR1991'!C9+'YR1992'!C9+'YR1993'!C9</f>
        <v>2089187</v>
      </c>
      <c r="D9" s="523">
        <f>'YR1991'!D9+'YR1992'!D9+'YR1993'!D9</f>
        <v>0</v>
      </c>
      <c r="E9" s="523">
        <f>'YR1991'!E9+'YR1992'!E9+'YR1993'!E9</f>
        <v>0</v>
      </c>
      <c r="F9" s="636">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523">
        <f>'YR1991'!B10+'YR1992'!B10+'YR1993'!B10</f>
        <v>0</v>
      </c>
      <c r="C10" s="523">
        <f>'YR1991'!C10+'YR1992'!C10+'YR1993'!C10</f>
        <v>0</v>
      </c>
      <c r="D10" s="523">
        <f>'YR1991'!D10+'YR1992'!D10+'YR1993'!D10</f>
        <v>0</v>
      </c>
      <c r="E10" s="523">
        <f>'YR1991'!E10+'YR1992'!E10+'YR1993'!E10</f>
        <v>0</v>
      </c>
      <c r="F10" s="636">
        <f t="shared" si="1"/>
        <v>0</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523">
        <f>'YR1991'!B11+'YR1992'!B11+'YR1993'!B11</f>
        <v>376304</v>
      </c>
      <c r="C11" s="523">
        <f>'YR1991'!C11+'YR1992'!C11+'YR1993'!C11</f>
        <v>100000</v>
      </c>
      <c r="D11" s="523">
        <f>'YR1991'!D11+'YR1992'!D11+'YR1993'!D11</f>
        <v>0</v>
      </c>
      <c r="E11" s="523">
        <f>'YR1991'!E11+'YR1992'!E11+'YR1993'!E11</f>
        <v>0</v>
      </c>
      <c r="F11" s="636">
        <f t="shared" si="1"/>
        <v>276304</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523">
        <f>'YR1991'!B12+'YR1992'!B12+'YR1993'!B12</f>
        <v>3135548</v>
      </c>
      <c r="C12" s="523">
        <f>'YR1991'!C12+'YR1992'!C12+'YR1993'!C12</f>
        <v>3135548</v>
      </c>
      <c r="D12" s="523">
        <f>'YR1991'!D12+'YR1992'!D12+'YR1993'!D12</f>
        <v>0</v>
      </c>
      <c r="E12" s="523">
        <f>'YR1991'!E12+'YR1992'!E12+'YR1993'!E12</f>
        <v>0</v>
      </c>
      <c r="F12" s="636">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663" t="s">
        <v>254</v>
      </c>
      <c r="B13" s="523">
        <f>'YR1991'!B13+'YR1992'!B13+'YR1993'!B13</f>
        <v>0</v>
      </c>
      <c r="C13" s="523">
        <f>'YR1991'!C13+'YR1992'!C13+'YR1993'!C13</f>
        <v>0</v>
      </c>
      <c r="D13" s="523">
        <f>'YR1991'!D13+'YR1992'!D13+'YR1993'!D13</f>
        <v>0</v>
      </c>
      <c r="E13" s="523">
        <f>'YR1991'!E13+'YR1992'!E13+'YR1993'!E13</f>
        <v>0</v>
      </c>
      <c r="F13" s="636"/>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92</v>
      </c>
      <c r="B14" s="523">
        <f>'YR1991'!B14+'YR1992'!B14+'YR1993'!B14</f>
        <v>299989</v>
      </c>
      <c r="C14" s="523">
        <f>'YR1991'!C14+'YR1992'!C14+'YR1993'!C14</f>
        <v>299989</v>
      </c>
      <c r="D14" s="523">
        <f>'YR1991'!D14+'YR1992'!D14+'YR1993'!D14</f>
        <v>0</v>
      </c>
      <c r="E14" s="523">
        <f>'YR1991'!E14+'YR1992'!E14+'YR1993'!E14</f>
        <v>0</v>
      </c>
      <c r="F14" s="636">
        <f t="shared" ref="F14:F21" si="2">B14-C14-D14-E14</f>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151</v>
      </c>
      <c r="B15" s="523">
        <f>'YR1991'!B15+'YR1992'!B15+'YR1993'!B15</f>
        <v>8694777</v>
      </c>
      <c r="C15" s="523">
        <f>'YR1991'!C15+'YR1992'!C15+'YR1993'!C15-33558</f>
        <v>8045277</v>
      </c>
      <c r="D15" s="523">
        <f>'YR1991'!D15+'YR1992'!D15+'YR1993'!D15</f>
        <v>649500</v>
      </c>
      <c r="E15" s="523">
        <f>'YR1991'!E15+'YR1992'!E15+'YR1993'!E15</f>
        <v>0</v>
      </c>
      <c r="F15" s="636">
        <f t="shared" si="2"/>
        <v>0</v>
      </c>
      <c r="G15" s="617"/>
      <c r="H15" s="713" t="s">
        <v>284</v>
      </c>
      <c r="I15" s="222"/>
      <c r="J15" s="222"/>
      <c r="K15" s="222"/>
      <c r="L15" s="222"/>
      <c r="M15" s="222"/>
      <c r="N15" s="222"/>
      <c r="O15" s="222"/>
      <c r="P15" s="222"/>
      <c r="Q15" s="222"/>
      <c r="R15" s="222"/>
      <c r="S15" s="222"/>
      <c r="T15" s="222"/>
      <c r="U15" s="222"/>
      <c r="V15" s="222"/>
      <c r="W15" s="222"/>
      <c r="X15" s="222"/>
      <c r="Y15" s="222"/>
      <c r="Z15" s="222"/>
    </row>
    <row r="16" ht="18.0" customHeight="1">
      <c r="A16" s="488" t="s">
        <v>95</v>
      </c>
      <c r="B16" s="523">
        <f>'YR1991'!B16+'YR1992'!B16+'YR1993'!B16</f>
        <v>26647</v>
      </c>
      <c r="C16" s="523">
        <f>'YR1991'!C16+'YR1992'!C16+'YR1993'!C16</f>
        <v>26647</v>
      </c>
      <c r="D16" s="523">
        <f>'YR1991'!D16+'YR1992'!D16+'YR1993'!D16</f>
        <v>0</v>
      </c>
      <c r="E16" s="523">
        <f>'YR1991'!E16+'YR1992'!E16+'YR1993'!E16</f>
        <v>0</v>
      </c>
      <c r="F16" s="636">
        <f t="shared" si="2"/>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96</v>
      </c>
      <c r="B17" s="523">
        <f>'YR1991'!B17+'YR1992'!B17+'YR1993'!B17</f>
        <v>931484</v>
      </c>
      <c r="C17" s="523">
        <f>'YR1991'!C17+'YR1992'!C17+'YR1993'!C17</f>
        <v>931484</v>
      </c>
      <c r="D17" s="523">
        <f>'YR1991'!D17+'YR1992'!D17+'YR1993'!D17</f>
        <v>0</v>
      </c>
      <c r="E17" s="523">
        <f>'YR1991'!E17+'YR1992'!E17+'YR1993'!E17</f>
        <v>0</v>
      </c>
      <c r="F17" s="636">
        <f t="shared" si="2"/>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97</v>
      </c>
      <c r="B18" s="523">
        <f>'YR1991'!B18+'YR1992'!B18+'YR1993'!B18</f>
        <v>1882307</v>
      </c>
      <c r="C18" s="523">
        <f>'YR1991'!C18+'YR1992'!C18+'YR1993'!C18</f>
        <v>1882307</v>
      </c>
      <c r="D18" s="523">
        <f>'YR1991'!D18+'YR1992'!D18+'YR1993'!D18</f>
        <v>0</v>
      </c>
      <c r="E18" s="523">
        <f>'YR1991'!E18+'YR1992'!E18+'YR1993'!E18</f>
        <v>0</v>
      </c>
      <c r="F18" s="636">
        <f t="shared" si="2"/>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98</v>
      </c>
      <c r="B19" s="523">
        <f>'YR1991'!B19+'YR1992'!B19+'YR1993'!B19</f>
        <v>0</v>
      </c>
      <c r="C19" s="523">
        <f>'YR1991'!C19+'YR1992'!C19+'YR1993'!C19</f>
        <v>0</v>
      </c>
      <c r="D19" s="523">
        <f>'YR1991'!D19+'YR1992'!D19+'YR1993'!D19</f>
        <v>0</v>
      </c>
      <c r="E19" s="523">
        <f>'YR1991'!E19+'YR1992'!E19+'YR1993'!E19</f>
        <v>0</v>
      </c>
      <c r="F19" s="636">
        <f t="shared" si="2"/>
        <v>0</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99</v>
      </c>
      <c r="B20" s="523">
        <f>'YR1991'!B20+'YR1992'!B20+'YR1993'!B20</f>
        <v>1510603</v>
      </c>
      <c r="C20" s="523">
        <f>'YR1991'!C20+'YR1992'!C20+'YR1993'!C20</f>
        <v>1510603</v>
      </c>
      <c r="D20" s="523">
        <f>'YR1991'!D20+'YR1992'!D20+'YR1993'!D20</f>
        <v>0</v>
      </c>
      <c r="E20" s="523">
        <f>'YR1991'!E20+'YR1992'!E20+'YR1993'!E20</f>
        <v>0</v>
      </c>
      <c r="F20" s="636">
        <f t="shared" si="2"/>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100</v>
      </c>
      <c r="B21" s="523">
        <f>'YR1991'!B21+'YR1992'!B21+'YR1993'!B21</f>
        <v>17199536</v>
      </c>
      <c r="C21" s="523">
        <f>'YR1991'!C21+'YR1992'!C21+'YR1993'!C21</f>
        <v>17199536</v>
      </c>
      <c r="D21" s="523">
        <f>'YR1991'!D21+'YR1992'!D21+'YR1993'!D21</f>
        <v>0</v>
      </c>
      <c r="E21" s="523">
        <f>'YR1991'!E21+'YR1992'!E21+'YR1993'!E21</f>
        <v>0</v>
      </c>
      <c r="F21" s="636">
        <f t="shared" si="2"/>
        <v>0</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663" t="s">
        <v>257</v>
      </c>
      <c r="B22" s="523">
        <f>'YR1991'!B22+'YR1992'!B22+'YR1993'!B22</f>
        <v>0</v>
      </c>
      <c r="C22" s="523">
        <f>'YR1991'!C22+'YR1992'!C22+'YR1993'!C22</f>
        <v>0</v>
      </c>
      <c r="D22" s="523">
        <f>'YR1991'!D22+'YR1992'!D22+'YR1993'!D22</f>
        <v>0</v>
      </c>
      <c r="E22" s="523">
        <f>'YR1991'!E22+'YR1992'!E22+'YR1993'!E22</f>
        <v>0</v>
      </c>
      <c r="F22" s="636"/>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101</v>
      </c>
      <c r="B23" s="523">
        <f>'YR1991'!B23+'YR1992'!B23+'YR1993'!B23</f>
        <v>25683945</v>
      </c>
      <c r="C23" s="523">
        <f>'YR1991'!C23+'YR1992'!C23+'YR1993'!C23</f>
        <v>25665567</v>
      </c>
      <c r="D23" s="523">
        <f>'YR1991'!D23+'YR1992'!D23+'YR1993'!D23</f>
        <v>18378</v>
      </c>
      <c r="E23" s="523">
        <f>'YR1991'!E23+'YR1992'!E23+'YR1993'!E23</f>
        <v>0</v>
      </c>
      <c r="F23" s="636">
        <f t="shared" ref="F23:F40" si="3">B23-C23-D23-E23</f>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102</v>
      </c>
      <c r="B24" s="523">
        <f>'YR1991'!B24+'YR1992'!B24+'YR1993'!B24</f>
        <v>1055470</v>
      </c>
      <c r="C24" s="523">
        <f>'YR1991'!C24+'YR1992'!C24+'YR1993'!C24</f>
        <v>1055470</v>
      </c>
      <c r="D24" s="523">
        <f>'YR1991'!D24+'YR1992'!D24+'YR1993'!D24</f>
        <v>0</v>
      </c>
      <c r="E24" s="523">
        <f>'YR1991'!E24+'YR1992'!E24+'YR1993'!E24</f>
        <v>0</v>
      </c>
      <c r="F24" s="636">
        <f t="shared" si="3"/>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104</v>
      </c>
      <c r="B25" s="523">
        <f>'YR1991'!B25+'YR1992'!B25+'YR1993'!B25</f>
        <v>549125</v>
      </c>
      <c r="C25" s="523">
        <f>'YR1991'!C25+'YR1992'!C25+'YR1993'!C25</f>
        <v>549125</v>
      </c>
      <c r="D25" s="523">
        <f>'YR1991'!D25+'YR1992'!D25+'YR1993'!D25</f>
        <v>0</v>
      </c>
      <c r="E25" s="523">
        <f>'YR1991'!E25+'YR1992'!E25+'YR1993'!E25</f>
        <v>0</v>
      </c>
      <c r="F25" s="636">
        <f t="shared" si="3"/>
        <v>0</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105</v>
      </c>
      <c r="B26" s="523">
        <f>'YR1991'!B26+'YR1992'!B26+'YR1993'!B26</f>
        <v>84156</v>
      </c>
      <c r="C26" s="523">
        <f>'YR1991'!C26+'YR1992'!C26+'YR1993'!C26</f>
        <v>84156</v>
      </c>
      <c r="D26" s="523">
        <f>'YR1991'!D26+'YR1992'!D26+'YR1993'!D26</f>
        <v>0</v>
      </c>
      <c r="E26" s="523">
        <f>'YR1991'!E26+'YR1992'!E26+'YR1993'!E26</f>
        <v>0</v>
      </c>
      <c r="F26" s="636">
        <f t="shared" si="3"/>
        <v>0</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106</v>
      </c>
      <c r="B27" s="523">
        <f>'YR1991'!B27+'YR1992'!B27+'YR1993'!B27</f>
        <v>504940</v>
      </c>
      <c r="C27" s="523">
        <f>'YR1991'!C27+'YR1992'!C27+'YR1993'!C27</f>
        <v>504940</v>
      </c>
      <c r="D27" s="523">
        <f>'YR1991'!D27+'YR1992'!D27+'YR1993'!D27</f>
        <v>0</v>
      </c>
      <c r="E27" s="523">
        <f>'YR1991'!E27+'YR1992'!E27+'YR1993'!E27</f>
        <v>0</v>
      </c>
      <c r="F27" s="636">
        <f t="shared" si="3"/>
        <v>0</v>
      </c>
      <c r="G27" s="617"/>
      <c r="H27" s="222"/>
      <c r="I27" s="222"/>
      <c r="J27" s="222"/>
      <c r="K27" s="222"/>
      <c r="L27" s="222"/>
      <c r="M27" s="222"/>
      <c r="N27" s="222"/>
      <c r="O27" s="222"/>
      <c r="P27" s="222"/>
      <c r="Q27" s="222"/>
      <c r="R27" s="222"/>
      <c r="S27" s="222"/>
      <c r="T27" s="222"/>
      <c r="U27" s="222"/>
      <c r="V27" s="222"/>
      <c r="W27" s="222"/>
      <c r="X27" s="222"/>
      <c r="Y27" s="222"/>
      <c r="Z27" s="222"/>
    </row>
    <row r="28" ht="18.0" customHeight="1">
      <c r="A28" s="488" t="s">
        <v>107</v>
      </c>
      <c r="B28" s="523">
        <f>'YR1991'!B28+'YR1992'!B28+'YR1993'!B28</f>
        <v>306443</v>
      </c>
      <c r="C28" s="523">
        <f>'YR1991'!C28+'YR1992'!C28+'YR1993'!C28</f>
        <v>306443</v>
      </c>
      <c r="D28" s="523">
        <f>'YR1991'!D28+'YR1992'!D28+'YR1993'!D28</f>
        <v>0</v>
      </c>
      <c r="E28" s="523">
        <f>'YR1991'!E28+'YR1992'!E28+'YR1993'!E28</f>
        <v>0</v>
      </c>
      <c r="F28" s="636">
        <f t="shared" si="3"/>
        <v>0</v>
      </c>
      <c r="G28" s="617"/>
      <c r="H28" s="222"/>
      <c r="I28" s="222"/>
      <c r="J28" s="222"/>
      <c r="K28" s="222"/>
      <c r="L28" s="222"/>
      <c r="M28" s="222"/>
      <c r="N28" s="222"/>
      <c r="O28" s="222"/>
      <c r="P28" s="222"/>
      <c r="Q28" s="222"/>
      <c r="R28" s="222"/>
      <c r="S28" s="222"/>
      <c r="T28" s="222"/>
      <c r="U28" s="222"/>
      <c r="V28" s="222"/>
      <c r="W28" s="222"/>
      <c r="X28" s="222"/>
      <c r="Y28" s="222"/>
      <c r="Z28" s="222"/>
    </row>
    <row r="29" ht="18.0" customHeight="1">
      <c r="A29" s="488" t="s">
        <v>108</v>
      </c>
      <c r="B29" s="523">
        <f>'YR1991'!B29+'YR1992'!B29+'YR1993'!B29</f>
        <v>11592538</v>
      </c>
      <c r="C29" s="523">
        <f>'YR1991'!C29+'YR1992'!C29+'YR1993'!C29</f>
        <v>11592538</v>
      </c>
      <c r="D29" s="523">
        <f>'YR1991'!D29+'YR1992'!D29+'YR1993'!D29</f>
        <v>0</v>
      </c>
      <c r="E29" s="523">
        <f>'YR1991'!E29+'YR1992'!E29+'YR1993'!E29</f>
        <v>0</v>
      </c>
      <c r="F29" s="636">
        <f t="shared" si="3"/>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109</v>
      </c>
      <c r="B30" s="523">
        <f>'YR1991'!B30+'YR1992'!B30+'YR1993'!B30</f>
        <v>33349034</v>
      </c>
      <c r="C30" s="523">
        <f>'YR1991'!C30+'YR1992'!C30+'YR1993'!C30</f>
        <v>33349034</v>
      </c>
      <c r="D30" s="523">
        <f>'YR1991'!D30+'YR1992'!D30+'YR1993'!D30</f>
        <v>0</v>
      </c>
      <c r="E30" s="523">
        <f>'YR1991'!E30+'YR1992'!E30+'YR1993'!E30</f>
        <v>0</v>
      </c>
      <c r="F30" s="636">
        <f t="shared" si="3"/>
        <v>0</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111</v>
      </c>
      <c r="B31" s="523">
        <f>'YR1991'!B31+'YR1992'!B31+'YR1993'!B31</f>
        <v>286549</v>
      </c>
      <c r="C31" s="523">
        <f>'YR1991'!C31+'YR1992'!C31+'YR1993'!C31</f>
        <v>286549</v>
      </c>
      <c r="D31" s="523">
        <f>'YR1991'!D31+'YR1992'!D31+'YR1993'!D31</f>
        <v>0</v>
      </c>
      <c r="E31" s="523">
        <f>'YR1991'!E31+'YR1992'!E31+'YR1993'!E31</f>
        <v>0</v>
      </c>
      <c r="F31" s="636">
        <f t="shared" si="3"/>
        <v>0</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112</v>
      </c>
      <c r="B32" s="523">
        <f>'YR1991'!B32+'YR1992'!B32+'YR1993'!B32</f>
        <v>0</v>
      </c>
      <c r="C32" s="523">
        <f>'YR1991'!C32+'YR1992'!C32+'YR1993'!C32</f>
        <v>0</v>
      </c>
      <c r="D32" s="523">
        <f>'YR1991'!D32+'YR1992'!D32+'YR1993'!D32</f>
        <v>0</v>
      </c>
      <c r="E32" s="523">
        <f>'YR1991'!E32+'YR1992'!E32+'YR1993'!E32</f>
        <v>0</v>
      </c>
      <c r="F32" s="636">
        <f t="shared" si="3"/>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113</v>
      </c>
      <c r="B33" s="523">
        <f>'YR1991'!B33+'YR1992'!B33+'YR1993'!B33</f>
        <v>28052</v>
      </c>
      <c r="C33" s="523">
        <f>'YR1991'!C33+'YR1992'!C33+'YR1993'!C33</f>
        <v>28052</v>
      </c>
      <c r="D33" s="523">
        <f>'YR1991'!D33+'YR1992'!D33+'YR1993'!D33</f>
        <v>0</v>
      </c>
      <c r="E33" s="523">
        <f>'YR1991'!E33+'YR1992'!E33+'YR1993'!E33</f>
        <v>0</v>
      </c>
      <c r="F33" s="636">
        <f t="shared" si="3"/>
        <v>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114</v>
      </c>
      <c r="B34" s="523">
        <f>'YR1991'!B34+'YR1992'!B34+'YR1993'!B34</f>
        <v>0</v>
      </c>
      <c r="C34" s="523">
        <f>'YR1991'!C34+'YR1992'!C34+'YR1993'!C34</f>
        <v>0</v>
      </c>
      <c r="D34" s="523">
        <f>'YR1991'!D34+'YR1992'!D34+'YR1993'!D34</f>
        <v>0</v>
      </c>
      <c r="E34" s="523">
        <f>'YR1991'!E34+'YR1992'!E34+'YR1993'!E34</f>
        <v>0</v>
      </c>
      <c r="F34" s="636">
        <f t="shared" si="3"/>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115</v>
      </c>
      <c r="B35" s="523">
        <f>'YR1991'!B35+'YR1992'!B35+'YR1993'!B35</f>
        <v>168314</v>
      </c>
      <c r="C35" s="523">
        <f>'YR1991'!C35+'YR1992'!C35+'YR1993'!C35</f>
        <v>168314</v>
      </c>
      <c r="D35" s="523">
        <f>'YR1991'!D35+'YR1992'!D35+'YR1993'!D35</f>
        <v>0</v>
      </c>
      <c r="E35" s="523">
        <f>'YR1991'!E35+'YR1992'!E35+'YR1993'!E35</f>
        <v>0</v>
      </c>
      <c r="F35" s="636">
        <f t="shared" si="3"/>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116</v>
      </c>
      <c r="B36" s="523">
        <f>'YR1991'!B36+'YR1992'!B36+'YR1993'!B36</f>
        <v>28052</v>
      </c>
      <c r="C36" s="523">
        <f>'YR1991'!C36+'YR1992'!C36+'YR1993'!C36</f>
        <v>28052</v>
      </c>
      <c r="D36" s="523">
        <f>'YR1991'!D36+'YR1992'!D36+'YR1993'!D36</f>
        <v>0</v>
      </c>
      <c r="E36" s="523">
        <f>'YR1991'!E36+'YR1992'!E36+'YR1993'!E36</f>
        <v>0</v>
      </c>
      <c r="F36" s="636">
        <f t="shared" si="3"/>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117</v>
      </c>
      <c r="B37" s="523">
        <f>'YR1991'!B37+'YR1992'!B37+'YR1993'!B37</f>
        <v>7483</v>
      </c>
      <c r="C37" s="523">
        <f>'YR1991'!C37+'YR1992'!C37+'YR1993'!C37</f>
        <v>7483</v>
      </c>
      <c r="D37" s="523">
        <f>'YR1991'!D37+'YR1992'!D37+'YR1993'!D37</f>
        <v>0</v>
      </c>
      <c r="E37" s="523">
        <f>'YR1991'!E37+'YR1992'!E37+'YR1993'!E37</f>
        <v>0</v>
      </c>
      <c r="F37" s="636">
        <f t="shared" si="3"/>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118</v>
      </c>
      <c r="B38" s="523">
        <f>'YR1991'!B38+'YR1992'!B38+'YR1993'!B38</f>
        <v>4428759</v>
      </c>
      <c r="C38" s="523">
        <f>'YR1991'!C38+'YR1992'!C38+'YR1993'!C38</f>
        <v>4428759</v>
      </c>
      <c r="D38" s="523">
        <f>'YR1991'!D38+'YR1992'!D38+'YR1993'!D38</f>
        <v>0</v>
      </c>
      <c r="E38" s="523">
        <f>'YR1991'!E38+'YR1992'!E38+'YR1993'!E38</f>
        <v>0</v>
      </c>
      <c r="F38" s="636">
        <f t="shared" si="3"/>
        <v>0</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119</v>
      </c>
      <c r="B39" s="523">
        <f>'YR1991'!B39+'YR1992'!B39+'YR1993'!B39</f>
        <v>673252</v>
      </c>
      <c r="C39" s="523">
        <f>'YR1991'!C39+'YR1992'!C39+'YR1993'!C39</f>
        <v>673252</v>
      </c>
      <c r="D39" s="523">
        <f>'YR1991'!D39+'YR1992'!D39+'YR1993'!D39</f>
        <v>0</v>
      </c>
      <c r="E39" s="523">
        <f>'YR1991'!E39+'YR1992'!E39+'YR1993'!E39</f>
        <v>0</v>
      </c>
      <c r="F39" s="636">
        <f t="shared" si="3"/>
        <v>0</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88" t="s">
        <v>120</v>
      </c>
      <c r="B40" s="523">
        <f>'YR1991'!B40+'YR1992'!B40+'YR1993'!B40</f>
        <v>1542871</v>
      </c>
      <c r="C40" s="523">
        <f>'YR1991'!C40+'YR1992'!C40+'YR1993'!C40</f>
        <v>1542871</v>
      </c>
      <c r="D40" s="523">
        <f>'YR1991'!D40+'YR1992'!D40+'YR1993'!D40</f>
        <v>0</v>
      </c>
      <c r="E40" s="523">
        <f>'YR1991'!E40+'YR1992'!E40+'YR1993'!E40</f>
        <v>0</v>
      </c>
      <c r="F40" s="636">
        <f t="shared" si="3"/>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663" t="s">
        <v>121</v>
      </c>
      <c r="B41" s="523">
        <f>'YR1991'!B41+'YR1992'!B41+'YR1993'!B41</f>
        <v>0</v>
      </c>
      <c r="C41" s="523">
        <f>'YR1991'!C41+'YR1992'!C41+'YR1993'!C41</f>
        <v>0</v>
      </c>
      <c r="D41" s="523">
        <f>'YR1991'!D41+'YR1992'!D41+'YR1993'!D41</f>
        <v>0</v>
      </c>
      <c r="E41" s="523">
        <f>'YR1991'!E41+'YR1992'!E41+'YR1993'!E41</f>
        <v>0</v>
      </c>
      <c r="F41" s="636"/>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122</v>
      </c>
      <c r="B42" s="523">
        <f>'YR1991'!B42+'YR1992'!B42+'YR1993'!B42</f>
        <v>473318</v>
      </c>
      <c r="C42" s="523">
        <f>'YR1991'!C42+'YR1992'!C42+'YR1993'!C42</f>
        <v>473318</v>
      </c>
      <c r="D42" s="523">
        <f>'YR1991'!D42+'YR1992'!D42+'YR1993'!D42</f>
        <v>0</v>
      </c>
      <c r="E42" s="523">
        <f>'YR1991'!E42+'YR1992'!E42+'YR1993'!E42</f>
        <v>0</v>
      </c>
      <c r="F42" s="636">
        <f t="shared" ref="F42:F58" si="4">B42-C42-D42-E42</f>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123</v>
      </c>
      <c r="B43" s="523">
        <f>'YR1991'!B43+'YR1992'!B43+'YR1993'!B43</f>
        <v>531587</v>
      </c>
      <c r="C43" s="523">
        <f>'YR1991'!C43+'YR1992'!C43+'YR1993'!C43</f>
        <v>531587</v>
      </c>
      <c r="D43" s="523">
        <f>'YR1991'!D43+'YR1992'!D43+'YR1993'!D43</f>
        <v>0</v>
      </c>
      <c r="E43" s="523">
        <f>'YR1991'!E43+'YR1992'!E43+'YR1993'!E43</f>
        <v>0</v>
      </c>
      <c r="F43" s="636">
        <f t="shared" si="4"/>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125</v>
      </c>
      <c r="B44" s="523">
        <f>'YR1991'!B44+'YR1992'!B44+'YR1993'!B44</f>
        <v>23654002</v>
      </c>
      <c r="C44" s="523">
        <f>'YR1991'!C44+'YR1992'!C44+'YR1993'!C44</f>
        <v>0</v>
      </c>
      <c r="D44" s="523">
        <f>'YR1991'!D44+'YR1992'!D44+'YR1993'!D44</f>
        <v>0</v>
      </c>
      <c r="E44" s="523">
        <f>'YR1991'!E44+'YR1992'!E44+'YR1993'!E44</f>
        <v>0</v>
      </c>
      <c r="F44" s="636">
        <f t="shared" si="4"/>
        <v>23654002</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127</v>
      </c>
      <c r="B45" s="523">
        <f>'YR1991'!B45+'YR1992'!B45+'YR1993'!B45</f>
        <v>321897</v>
      </c>
      <c r="C45" s="523">
        <f>'YR1991'!C45+'YR1992'!C45+'YR1993'!C45</f>
        <v>289921</v>
      </c>
      <c r="D45" s="523">
        <f>'YR1991'!D45+'YR1992'!D45+'YR1993'!D45</f>
        <v>31976</v>
      </c>
      <c r="E45" s="523">
        <f>'YR1991'!E45+'YR1992'!E45+'YR1993'!E45</f>
        <v>0</v>
      </c>
      <c r="F45" s="636">
        <f t="shared" si="4"/>
        <v>0</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95" t="s">
        <v>128</v>
      </c>
      <c r="B46" s="523">
        <f>'YR1991'!B46+'YR1992'!B46+'YR1993'!B46</f>
        <v>359154</v>
      </c>
      <c r="C46" s="523">
        <f>'YR1991'!C46+'YR1992'!C46+'YR1993'!C46</f>
        <v>359154</v>
      </c>
      <c r="D46" s="523">
        <f>'YR1991'!D46+'YR1992'!D46+'YR1993'!D46</f>
        <v>0</v>
      </c>
      <c r="E46" s="523">
        <f>'YR1991'!E46+'YR1992'!E46+'YR1993'!E46</f>
        <v>0</v>
      </c>
      <c r="F46" s="636">
        <f t="shared" si="4"/>
        <v>0</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129</v>
      </c>
      <c r="B47" s="523">
        <f>'YR1991'!B47+'YR1992'!B47+'YR1993'!B47</f>
        <v>0</v>
      </c>
      <c r="C47" s="523">
        <f>'YR1991'!C47+'YR1992'!C47+'YR1993'!C47</f>
        <v>0</v>
      </c>
      <c r="D47" s="523">
        <f>'YR1991'!D47+'YR1992'!D47+'YR1993'!D47</f>
        <v>0</v>
      </c>
      <c r="E47" s="523">
        <f>'YR1991'!E47+'YR1992'!E47+'YR1993'!E47</f>
        <v>0</v>
      </c>
      <c r="F47" s="636">
        <f t="shared" si="4"/>
        <v>0</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130</v>
      </c>
      <c r="B48" s="523">
        <f>'YR1991'!B48+'YR1992'!B48+'YR1993'!B48</f>
        <v>1209055</v>
      </c>
      <c r="C48" s="523">
        <f>'YR1991'!C48+'YR1992'!C48+'YR1993'!C48</f>
        <v>1209055</v>
      </c>
      <c r="D48" s="523">
        <f>'YR1991'!D48+'YR1992'!D48+'YR1993'!D48</f>
        <v>0</v>
      </c>
      <c r="E48" s="523">
        <f>'YR1991'!E48+'YR1992'!E48+'YR1993'!E48</f>
        <v>0</v>
      </c>
      <c r="F48" s="636">
        <f t="shared" si="4"/>
        <v>0</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131</v>
      </c>
      <c r="B49" s="523">
        <f>'YR1991'!B49+'YR1992'!B49+'YR1993'!B49</f>
        <v>5510150</v>
      </c>
      <c r="C49" s="523">
        <f>'YR1991'!C49+'YR1992'!C49+'YR1993'!C49</f>
        <v>5510150</v>
      </c>
      <c r="D49" s="523">
        <f>'YR1991'!D49+'YR1992'!D49+'YR1993'!D49</f>
        <v>0</v>
      </c>
      <c r="E49" s="523">
        <f>'YR1991'!E49+'YR1992'!E49+'YR1993'!E49</f>
        <v>0</v>
      </c>
      <c r="F49" s="636">
        <f t="shared" si="4"/>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488" t="s">
        <v>132</v>
      </c>
      <c r="B50" s="523">
        <f>'YR1991'!B50+'YR1992'!B50+'YR1993'!B50</f>
        <v>3261080</v>
      </c>
      <c r="C50" s="523">
        <f>'YR1991'!C50+'YR1992'!C50+'YR1993'!C50</f>
        <v>3261080</v>
      </c>
      <c r="D50" s="523">
        <f>'YR1991'!D50+'YR1992'!D50+'YR1993'!D50</f>
        <v>0</v>
      </c>
      <c r="E50" s="523">
        <f>'YR1991'!E50+'YR1992'!E50+'YR1993'!E50</f>
        <v>0</v>
      </c>
      <c r="F50" s="636">
        <f t="shared" si="4"/>
        <v>0</v>
      </c>
      <c r="G50" s="617"/>
      <c r="H50" s="222"/>
      <c r="I50" s="222"/>
      <c r="J50" s="222"/>
      <c r="K50" s="222"/>
      <c r="L50" s="222"/>
      <c r="M50" s="222"/>
      <c r="N50" s="222"/>
      <c r="O50" s="222"/>
      <c r="P50" s="222"/>
      <c r="Q50" s="222"/>
      <c r="R50" s="222"/>
      <c r="S50" s="222"/>
      <c r="T50" s="222"/>
      <c r="U50" s="222"/>
      <c r="V50" s="222"/>
      <c r="W50" s="222"/>
      <c r="X50" s="222"/>
      <c r="Y50" s="222"/>
      <c r="Z50" s="222"/>
    </row>
    <row r="51" ht="18.0" customHeight="1">
      <c r="A51" s="488" t="s">
        <v>133</v>
      </c>
      <c r="B51" s="523">
        <f>'YR1991'!B51+'YR1992'!B51+'YR1993'!B51</f>
        <v>3136227</v>
      </c>
      <c r="C51" s="523">
        <f>'YR1991'!C51+'YR1992'!C51+'YR1993'!C51</f>
        <v>3136227</v>
      </c>
      <c r="D51" s="523">
        <f>'YR1991'!D51+'YR1992'!D51+'YR1993'!D51</f>
        <v>0</v>
      </c>
      <c r="E51" s="523">
        <f>'YR1991'!E51+'YR1992'!E51+'YR1993'!E51</f>
        <v>0</v>
      </c>
      <c r="F51" s="636">
        <f t="shared" si="4"/>
        <v>0</v>
      </c>
      <c r="G51" s="617"/>
      <c r="H51" s="222"/>
      <c r="I51" s="222"/>
      <c r="J51" s="222"/>
      <c r="K51" s="222"/>
      <c r="L51" s="222"/>
      <c r="M51" s="222"/>
      <c r="N51" s="222"/>
      <c r="O51" s="222"/>
      <c r="P51" s="222"/>
      <c r="Q51" s="222"/>
      <c r="R51" s="222"/>
      <c r="S51" s="222"/>
      <c r="T51" s="222"/>
      <c r="U51" s="222"/>
      <c r="V51" s="222"/>
      <c r="W51" s="222"/>
      <c r="X51" s="222"/>
      <c r="Y51" s="222"/>
      <c r="Z51" s="222"/>
    </row>
    <row r="52" ht="18.0" customHeight="1">
      <c r="A52" s="488" t="s">
        <v>134</v>
      </c>
      <c r="B52" s="523">
        <f>'YR1991'!B52+'YR1992'!B52+'YR1993'!B52</f>
        <v>0</v>
      </c>
      <c r="C52" s="523">
        <f>'YR1991'!C52+'YR1992'!C52+'YR1993'!C52</f>
        <v>0</v>
      </c>
      <c r="D52" s="523">
        <f>'YR1991'!D52+'YR1992'!D52+'YR1993'!D52</f>
        <v>0</v>
      </c>
      <c r="E52" s="523">
        <f>'YR1991'!E52+'YR1992'!E52+'YR1993'!E52</f>
        <v>0</v>
      </c>
      <c r="F52" s="636">
        <f t="shared" si="4"/>
        <v>0</v>
      </c>
      <c r="G52" s="617"/>
      <c r="H52" s="222"/>
      <c r="I52" s="222"/>
      <c r="J52" s="222"/>
      <c r="K52" s="222"/>
      <c r="L52" s="222"/>
      <c r="M52" s="222"/>
      <c r="N52" s="222"/>
      <c r="O52" s="222"/>
      <c r="P52" s="222"/>
      <c r="Q52" s="222"/>
      <c r="R52" s="222"/>
      <c r="S52" s="222"/>
      <c r="T52" s="222"/>
      <c r="U52" s="222"/>
      <c r="V52" s="222"/>
      <c r="W52" s="222"/>
      <c r="X52" s="222"/>
      <c r="Y52" s="222"/>
      <c r="Z52" s="222"/>
    </row>
    <row r="53" ht="18.0" customHeight="1">
      <c r="A53" s="488" t="s">
        <v>230</v>
      </c>
      <c r="B53" s="523">
        <f>'YR1991'!B53+'YR1992'!B53+'YR1993'!B53</f>
        <v>0</v>
      </c>
      <c r="C53" s="523">
        <f>'YR1991'!C53+'YR1992'!C53+'YR1993'!C53</f>
        <v>0</v>
      </c>
      <c r="D53" s="523">
        <f>'YR1991'!D53+'YR1992'!D53+'YR1993'!D53</f>
        <v>0</v>
      </c>
      <c r="E53" s="523">
        <f>'YR1991'!E53+'YR1992'!E53+'YR1993'!E53</f>
        <v>0</v>
      </c>
      <c r="F53" s="636">
        <f t="shared" si="4"/>
        <v>0</v>
      </c>
      <c r="G53" s="617"/>
      <c r="H53" s="222"/>
      <c r="I53" s="222"/>
      <c r="J53" s="222"/>
      <c r="K53" s="222"/>
      <c r="L53" s="222"/>
      <c r="M53" s="222"/>
      <c r="N53" s="222"/>
      <c r="O53" s="222"/>
      <c r="P53" s="222"/>
      <c r="Q53" s="222"/>
      <c r="R53" s="222"/>
      <c r="S53" s="222"/>
      <c r="T53" s="222"/>
      <c r="U53" s="222"/>
      <c r="V53" s="222"/>
      <c r="W53" s="222"/>
      <c r="X53" s="222"/>
      <c r="Y53" s="222"/>
      <c r="Z53" s="222"/>
    </row>
    <row r="54" ht="18.0" customHeight="1">
      <c r="A54" s="488" t="s">
        <v>136</v>
      </c>
      <c r="B54" s="523">
        <f>'YR1991'!B54+'YR1992'!B54+'YR1993'!B54</f>
        <v>1425396</v>
      </c>
      <c r="C54" s="523">
        <f>'YR1991'!C54+'YR1992'!C54+'YR1993'!C54+130333.64+166991.63+72843.87+147980.96</f>
        <v>1303750.1</v>
      </c>
      <c r="D54" s="523">
        <f>'YR1991'!D54+'YR1992'!D54+'YR1993'!D54</f>
        <v>0</v>
      </c>
      <c r="E54" s="523">
        <f>'YR1991'!E54+'YR1992'!E54+'YR1993'!E54</f>
        <v>0</v>
      </c>
      <c r="F54" s="636">
        <f t="shared" si="4"/>
        <v>121645.9</v>
      </c>
      <c r="G54" s="617"/>
      <c r="H54" s="713" t="s">
        <v>285</v>
      </c>
      <c r="I54" s="222"/>
      <c r="J54" s="222"/>
      <c r="K54" s="222"/>
      <c r="L54" s="222"/>
      <c r="M54" s="222"/>
      <c r="N54" s="222"/>
      <c r="O54" s="222"/>
      <c r="P54" s="222"/>
      <c r="Q54" s="222"/>
      <c r="R54" s="222"/>
      <c r="S54" s="222"/>
      <c r="T54" s="222"/>
      <c r="U54" s="222"/>
      <c r="V54" s="222"/>
      <c r="W54" s="222"/>
      <c r="X54" s="222"/>
      <c r="Y54" s="222"/>
      <c r="Z54" s="222"/>
    </row>
    <row r="55" ht="18.0" customHeight="1">
      <c r="A55" s="488" t="s">
        <v>137</v>
      </c>
      <c r="B55" s="523">
        <f>'YR1991'!B55+'YR1992'!B55+'YR1993'!B55</f>
        <v>559639</v>
      </c>
      <c r="C55" s="523">
        <f>'YR1991'!C55+'YR1992'!C55+'YR1993'!C55</f>
        <v>559639</v>
      </c>
      <c r="D55" s="523">
        <f>'YR1991'!D55+'YR1992'!D55+'YR1993'!D55</f>
        <v>0</v>
      </c>
      <c r="E55" s="523">
        <f>'YR1991'!E55+'YR1992'!E55+'YR1993'!E55</f>
        <v>0</v>
      </c>
      <c r="F55" s="636">
        <f t="shared" si="4"/>
        <v>0</v>
      </c>
      <c r="G55" s="617"/>
      <c r="H55" s="222"/>
      <c r="I55" s="222"/>
      <c r="J55" s="222"/>
      <c r="K55" s="222"/>
      <c r="L55" s="222"/>
      <c r="M55" s="222"/>
      <c r="N55" s="222"/>
      <c r="O55" s="222"/>
      <c r="P55" s="222"/>
      <c r="Q55" s="222"/>
      <c r="R55" s="222"/>
      <c r="S55" s="222"/>
      <c r="T55" s="222"/>
      <c r="U55" s="222"/>
      <c r="V55" s="222"/>
      <c r="W55" s="222"/>
      <c r="X55" s="222"/>
      <c r="Y55" s="222"/>
      <c r="Z55" s="222"/>
    </row>
    <row r="56" ht="18.0" customHeight="1">
      <c r="A56" s="488" t="s">
        <v>138</v>
      </c>
      <c r="B56" s="523">
        <f>'YR1991'!B56+'YR1992'!B56+'YR1993'!B56</f>
        <v>13826548</v>
      </c>
      <c r="C56" s="523">
        <f>'YR1991'!C56+'YR1992'!C56+'YR1993'!C56</f>
        <v>13826548</v>
      </c>
      <c r="D56" s="523">
        <f>'YR1991'!D56+'YR1992'!D56+'YR1993'!D56</f>
        <v>0</v>
      </c>
      <c r="E56" s="523">
        <f>'YR1991'!E56+'YR1992'!E56+'YR1993'!E56</f>
        <v>0</v>
      </c>
      <c r="F56" s="636">
        <f t="shared" si="4"/>
        <v>0</v>
      </c>
      <c r="G56" s="617"/>
      <c r="H56" s="222"/>
      <c r="I56" s="222"/>
      <c r="J56" s="222"/>
      <c r="K56" s="222"/>
      <c r="L56" s="222"/>
      <c r="M56" s="222"/>
      <c r="N56" s="222"/>
      <c r="O56" s="222"/>
      <c r="P56" s="222"/>
      <c r="Q56" s="222"/>
      <c r="R56" s="222"/>
      <c r="S56" s="222"/>
      <c r="T56" s="222"/>
      <c r="U56" s="222"/>
      <c r="V56" s="222"/>
      <c r="W56" s="222"/>
      <c r="X56" s="222"/>
      <c r="Y56" s="222"/>
      <c r="Z56" s="222"/>
    </row>
    <row r="57" ht="18.0" customHeight="1">
      <c r="A57" s="488" t="s">
        <v>139</v>
      </c>
      <c r="B57" s="523">
        <f>'YR1991'!B57+'YR1992'!B57+'YR1993'!B57</f>
        <v>60001569</v>
      </c>
      <c r="C57" s="523">
        <f>'YR1991'!C57+'YR1992'!C57+'YR1993'!C57</f>
        <v>56374459</v>
      </c>
      <c r="D57" s="523">
        <f>'YR1991'!D57+'YR1992'!D57+'YR1993'!D57</f>
        <v>3627110</v>
      </c>
      <c r="E57" s="523">
        <f>'YR1991'!E57+'YR1992'!E57+'YR1993'!E57</f>
        <v>0</v>
      </c>
      <c r="F57" s="636">
        <f t="shared" si="4"/>
        <v>0</v>
      </c>
      <c r="G57" s="617"/>
      <c r="H57" s="222"/>
      <c r="I57" s="222"/>
      <c r="J57" s="222"/>
      <c r="K57" s="222"/>
      <c r="L57" s="222"/>
      <c r="M57" s="222"/>
      <c r="N57" s="222"/>
      <c r="O57" s="222"/>
      <c r="P57" s="222"/>
      <c r="Q57" s="222"/>
      <c r="R57" s="222"/>
      <c r="S57" s="222"/>
      <c r="T57" s="222"/>
      <c r="U57" s="222"/>
      <c r="V57" s="222"/>
      <c r="W57" s="222"/>
      <c r="X57" s="222"/>
      <c r="Y57" s="222"/>
      <c r="Z57" s="222"/>
    </row>
    <row r="58" ht="18.0" customHeight="1">
      <c r="A58" s="497" t="s">
        <v>140</v>
      </c>
      <c r="B58" s="523">
        <f>'YR1991'!B58+'YR1992'!B58+'YR1993'!B58</f>
        <v>0</v>
      </c>
      <c r="C58" s="523">
        <f>'YR1991'!C58+'YR1992'!C58+'YR1993'!C58</f>
        <v>0</v>
      </c>
      <c r="D58" s="523">
        <f>'YR1991'!D58+'YR1992'!D58+'YR1993'!D58</f>
        <v>0</v>
      </c>
      <c r="E58" s="523">
        <f>'YR1991'!E58+'YR1992'!E58+'YR1993'!E58</f>
        <v>0</v>
      </c>
      <c r="F58" s="714">
        <f t="shared" si="4"/>
        <v>0</v>
      </c>
      <c r="G58" s="617"/>
      <c r="H58" s="222"/>
      <c r="I58" s="222"/>
      <c r="J58" s="222"/>
      <c r="K58" s="222"/>
      <c r="L58" s="222"/>
      <c r="M58" s="222"/>
      <c r="N58" s="222"/>
      <c r="O58" s="222"/>
      <c r="P58" s="222"/>
      <c r="Q58" s="222"/>
      <c r="R58" s="222"/>
      <c r="S58" s="222"/>
      <c r="T58" s="222"/>
      <c r="U58" s="222"/>
      <c r="V58" s="222"/>
      <c r="W58" s="222"/>
      <c r="X58" s="222"/>
      <c r="Y58" s="222"/>
      <c r="Z58" s="222"/>
    </row>
    <row r="59" ht="20.25" customHeight="1">
      <c r="A59" s="531" t="s">
        <v>143</v>
      </c>
      <c r="B59" s="624">
        <f t="shared" ref="B59:F59" si="5">SUM(B8:B58)</f>
        <v>235029241</v>
      </c>
      <c r="C59" s="624">
        <f t="shared" si="5"/>
        <v>206611034.1</v>
      </c>
      <c r="D59" s="624">
        <f t="shared" si="5"/>
        <v>4366255</v>
      </c>
      <c r="E59" s="624">
        <f t="shared" si="5"/>
        <v>0</v>
      </c>
      <c r="F59" s="624">
        <f t="shared" si="5"/>
        <v>24051951.9</v>
      </c>
      <c r="G59" s="617"/>
      <c r="H59" s="222"/>
      <c r="I59" s="222"/>
      <c r="J59" s="222"/>
      <c r="K59" s="222"/>
      <c r="L59" s="222"/>
      <c r="M59" s="222"/>
      <c r="N59" s="222"/>
      <c r="O59" s="222"/>
      <c r="P59" s="222"/>
      <c r="Q59" s="222"/>
      <c r="R59" s="222"/>
      <c r="S59" s="222"/>
      <c r="T59" s="222"/>
      <c r="U59" s="222"/>
      <c r="V59" s="222"/>
      <c r="W59" s="222"/>
      <c r="X59" s="222"/>
      <c r="Y59" s="222"/>
      <c r="Z59" s="222"/>
    </row>
    <row r="60">
      <c r="A60" s="139"/>
      <c r="B60" s="139"/>
      <c r="C60" s="139"/>
      <c r="D60" s="139"/>
      <c r="E60" s="140"/>
      <c r="F60" s="140"/>
      <c r="G60" s="617"/>
      <c r="H60" s="222"/>
      <c r="I60" s="222"/>
      <c r="J60" s="222"/>
      <c r="K60" s="222"/>
      <c r="L60" s="222"/>
      <c r="M60" s="222"/>
      <c r="N60" s="222"/>
      <c r="O60" s="222"/>
      <c r="P60" s="222"/>
      <c r="Q60" s="222"/>
      <c r="R60" s="222"/>
      <c r="S60" s="222"/>
      <c r="T60" s="222"/>
      <c r="U60" s="222"/>
      <c r="V60" s="222"/>
      <c r="W60" s="222"/>
      <c r="X60" s="222"/>
      <c r="Y60" s="222"/>
      <c r="Z60" s="222"/>
    </row>
    <row r="61">
      <c r="A61" s="628"/>
      <c r="B61" s="139"/>
      <c r="C61" s="139"/>
      <c r="D61" s="139"/>
      <c r="E61" s="139"/>
      <c r="F61" s="139"/>
      <c r="G61" s="617"/>
      <c r="H61" s="222"/>
      <c r="I61" s="222"/>
      <c r="J61" s="222"/>
      <c r="K61" s="222"/>
      <c r="L61" s="222"/>
      <c r="M61" s="222"/>
      <c r="N61" s="222"/>
      <c r="O61" s="222"/>
      <c r="P61" s="222"/>
      <c r="Q61" s="222"/>
      <c r="R61" s="222"/>
      <c r="S61" s="222"/>
      <c r="T61" s="222"/>
      <c r="U61" s="222"/>
      <c r="V61" s="222"/>
      <c r="W61" s="222"/>
      <c r="X61" s="222"/>
      <c r="Y61" s="222"/>
      <c r="Z61" s="222"/>
    </row>
    <row r="62">
      <c r="A62" s="628"/>
      <c r="B62" s="139"/>
      <c r="C62" s="139"/>
      <c r="D62" s="139"/>
      <c r="E62" s="139"/>
      <c r="F62" s="139"/>
      <c r="G62" s="617"/>
      <c r="H62" s="222"/>
      <c r="I62" s="222"/>
      <c r="J62" s="222"/>
      <c r="K62" s="222"/>
      <c r="L62" s="222"/>
      <c r="M62" s="222"/>
      <c r="N62" s="222"/>
      <c r="O62" s="222"/>
      <c r="P62" s="222"/>
      <c r="Q62" s="222"/>
      <c r="R62" s="222"/>
      <c r="S62" s="222"/>
      <c r="T62" s="222"/>
      <c r="U62" s="222"/>
      <c r="V62" s="222"/>
      <c r="W62" s="222"/>
      <c r="X62" s="222"/>
      <c r="Y62" s="222"/>
      <c r="Z62" s="222"/>
    </row>
    <row r="63">
      <c r="A63" s="139"/>
      <c r="B63" s="139"/>
      <c r="C63" s="139"/>
      <c r="D63" s="139"/>
      <c r="E63" s="139"/>
      <c r="F63" s="139"/>
      <c r="G63" s="617"/>
      <c r="H63" s="222"/>
      <c r="I63" s="222"/>
      <c r="J63" s="222"/>
      <c r="K63" s="222"/>
      <c r="L63" s="222"/>
      <c r="M63" s="222"/>
      <c r="N63" s="222"/>
      <c r="O63" s="222"/>
      <c r="P63" s="222"/>
      <c r="Q63" s="222"/>
      <c r="R63" s="222"/>
      <c r="S63" s="222"/>
      <c r="T63" s="222"/>
      <c r="U63" s="222"/>
      <c r="V63" s="222"/>
      <c r="W63" s="222"/>
      <c r="X63" s="222"/>
      <c r="Y63" s="222"/>
      <c r="Z63" s="222"/>
    </row>
    <row r="64">
      <c r="A64" s="139"/>
      <c r="B64" s="139"/>
      <c r="C64" s="139"/>
      <c r="D64" s="139"/>
      <c r="E64" s="139"/>
      <c r="F64" s="139"/>
      <c r="G64" s="617"/>
      <c r="H64" s="222"/>
      <c r="I64" s="222"/>
      <c r="J64" s="222"/>
      <c r="K64" s="222"/>
      <c r="L64" s="222"/>
      <c r="M64" s="222"/>
      <c r="N64" s="222"/>
      <c r="O64" s="222"/>
      <c r="P64" s="222"/>
      <c r="Q64" s="222"/>
      <c r="R64" s="222"/>
      <c r="S64" s="222"/>
      <c r="T64" s="222"/>
      <c r="U64" s="222"/>
      <c r="V64" s="222"/>
      <c r="W64" s="222"/>
      <c r="X64" s="222"/>
      <c r="Y64" s="222"/>
      <c r="Z64" s="222"/>
    </row>
    <row r="65" ht="16.5" customHeight="1">
      <c r="A65" s="629" t="s">
        <v>159</v>
      </c>
      <c r="B65" s="509">
        <f t="shared" ref="B65:E65" si="6">B10+B11+B14+B17+B19+B25+B32+B34+B42+B44+B46+B47+B52+B53+B54+B58</f>
        <v>28068772</v>
      </c>
      <c r="C65" s="509">
        <f t="shared" si="6"/>
        <v>4016820.1</v>
      </c>
      <c r="D65" s="509">
        <f t="shared" si="6"/>
        <v>0</v>
      </c>
      <c r="E65" s="509">
        <f t="shared" si="6"/>
        <v>0</v>
      </c>
      <c r="F65" s="640">
        <f>B65-C65-D65-E65</f>
        <v>24051951.9</v>
      </c>
      <c r="G65" s="617"/>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617"/>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286</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287</v>
      </c>
      <c r="G5" s="222"/>
      <c r="H5" s="222"/>
      <c r="I5" s="222"/>
      <c r="J5" s="222"/>
      <c r="K5" s="222"/>
      <c r="L5" s="222"/>
      <c r="M5" s="222"/>
      <c r="N5" s="222"/>
      <c r="O5" s="222"/>
      <c r="P5" s="222"/>
      <c r="Q5" s="222"/>
      <c r="R5" s="222"/>
      <c r="S5" s="222"/>
      <c r="T5" s="222"/>
      <c r="U5" s="222"/>
      <c r="V5" s="222"/>
      <c r="W5" s="222"/>
      <c r="X5" s="222"/>
      <c r="Y5" s="222"/>
      <c r="Z5" s="222"/>
    </row>
    <row r="6" ht="30.0" customHeight="1">
      <c r="A6" s="633" t="s">
        <v>288</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2011867.0</v>
      </c>
      <c r="C8" s="703">
        <v>2011867.0</v>
      </c>
      <c r="D8" s="703">
        <v>0.0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999272.0</v>
      </c>
      <c r="C9" s="680">
        <v>999272.0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0.0</v>
      </c>
      <c r="C11" s="680">
        <v>0.0</v>
      </c>
      <c r="D11" s="680">
        <v>0.0</v>
      </c>
      <c r="E11" s="680">
        <v>0.0</v>
      </c>
      <c r="F11" s="705">
        <f t="shared" si="1"/>
        <v>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1412304.0</v>
      </c>
      <c r="C12" s="680">
        <v>1412304.0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173207.0</v>
      </c>
      <c r="C14" s="680">
        <v>173207.0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4143646.0</v>
      </c>
      <c r="C15" s="680">
        <v>3527704.0</v>
      </c>
      <c r="D15" s="680">
        <f>615942+33558</f>
        <v>649500</v>
      </c>
      <c r="E15" s="680">
        <v>0.0</v>
      </c>
      <c r="F15" s="705">
        <f t="shared" si="1"/>
        <v>-33558</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26647.0</v>
      </c>
      <c r="C16" s="680">
        <v>26647.0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559592.0</v>
      </c>
      <c r="C17" s="680">
        <v>559592.0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866035.0</v>
      </c>
      <c r="C18" s="680">
        <v>866035.0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759446.0</v>
      </c>
      <c r="C20" s="680">
        <v>759446.0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7994173.0</v>
      </c>
      <c r="C21" s="680">
        <v>7994173.0</v>
      </c>
      <c r="D21" s="680">
        <v>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1.1897994E7</v>
      </c>
      <c r="C23" s="680">
        <v>1.1897994E7</v>
      </c>
      <c r="D23" s="680">
        <v>0.0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466327.0</v>
      </c>
      <c r="C24" s="680">
        <v>466327.0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239825.0</v>
      </c>
      <c r="C25" s="680">
        <v>239825.0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39971.0</v>
      </c>
      <c r="C26" s="680">
        <v>39971.0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239825.0</v>
      </c>
      <c r="C27" s="680">
        <v>239825.0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306443.0</v>
      </c>
      <c r="C28" s="680">
        <v>306443.0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5715834.0</v>
      </c>
      <c r="C29" s="680">
        <v>5715834.0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1.6587909E7</v>
      </c>
      <c r="C30" s="680">
        <v>1.6587909E7</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286549.0</v>
      </c>
      <c r="C31" s="680">
        <v>286549.0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13324.0</v>
      </c>
      <c r="C33" s="680">
        <v>13324.0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79942.0</v>
      </c>
      <c r="C35" s="680">
        <v>79942.0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13324.0</v>
      </c>
      <c r="C36" s="680">
        <v>13324.0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7483.0</v>
      </c>
      <c r="C37" s="680">
        <v>7483.0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1998543.0</v>
      </c>
      <c r="C38" s="680">
        <v>1998543.0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319767.0</v>
      </c>
      <c r="C39" s="680">
        <v>319767.0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732799.0</v>
      </c>
      <c r="C40" s="680">
        <v>732799.0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266472.0</v>
      </c>
      <c r="C43" s="680">
        <v>266472.0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8940150.0</v>
      </c>
      <c r="C44" s="680">
        <v>0.0</v>
      </c>
      <c r="D44" s="680">
        <v>0.0</v>
      </c>
      <c r="E44" s="680">
        <v>0.0</v>
      </c>
      <c r="F44" s="705">
        <f t="shared" si="1"/>
        <v>8940150</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159883.0</v>
      </c>
      <c r="C45" s="680">
        <v>127907.0</v>
      </c>
      <c r="D45" s="680">
        <v>31976.0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173207.0</v>
      </c>
      <c r="C46" s="680">
        <v>173207.0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546268.0</v>
      </c>
      <c r="C48" s="680">
        <v>546268.0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2638077.0</v>
      </c>
      <c r="C49" s="680">
        <v>2638077.0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1478922.0</v>
      </c>
      <c r="C50" s="680">
        <v>1478922.0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1545540.0</v>
      </c>
      <c r="C51" s="680">
        <v>1545540.0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279796.0</v>
      </c>
      <c r="C55" s="680">
        <v>279796.0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6668458.0</v>
      </c>
      <c r="C56" s="680">
        <v>6668458.0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2.8334903E7</v>
      </c>
      <c r="C57" s="680">
        <v>2.7600793E7</v>
      </c>
      <c r="D57" s="680">
        <v>734110.0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108923724</v>
      </c>
      <c r="C59" s="707">
        <f t="shared" si="2"/>
        <v>98601546</v>
      </c>
      <c r="D59" s="707">
        <f t="shared" si="2"/>
        <v>1415586</v>
      </c>
      <c r="E59" s="707">
        <f t="shared" si="2"/>
        <v>0</v>
      </c>
      <c r="F59" s="708">
        <f t="shared" si="2"/>
        <v>8906592</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c r="C60" s="710"/>
      <c r="D60" s="710"/>
      <c r="E60" s="710"/>
      <c r="F60" s="710"/>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711"/>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t="str">
        <f>[1]Status!C1</f>
        <v>#ERROR!</v>
      </c>
      <c r="B1" s="433"/>
      <c r="C1" s="222"/>
      <c r="D1" s="222"/>
      <c r="E1" s="222"/>
      <c r="F1" s="632"/>
      <c r="G1" s="222"/>
      <c r="H1" s="222"/>
      <c r="I1" s="222"/>
      <c r="J1" s="222"/>
      <c r="K1" s="222"/>
      <c r="L1" s="222"/>
      <c r="M1" s="222"/>
      <c r="N1" s="222"/>
      <c r="O1" s="222"/>
      <c r="P1" s="222"/>
      <c r="Q1" s="222"/>
      <c r="R1" s="222"/>
      <c r="S1" s="222"/>
      <c r="T1" s="222"/>
      <c r="U1" s="222"/>
      <c r="V1" s="222"/>
      <c r="W1" s="222"/>
      <c r="X1" s="222"/>
      <c r="Y1" s="222"/>
      <c r="Z1" s="222"/>
    </row>
    <row r="2" ht="16.5" customHeight="1">
      <c r="A2" s="433" t="s">
        <v>289</v>
      </c>
      <c r="B2" s="433"/>
      <c r="C2" s="222"/>
      <c r="D2" s="222"/>
      <c r="E2" s="222"/>
      <c r="F2" s="63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290</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1326980.0</v>
      </c>
      <c r="C8" s="703">
        <v>1287689.0</v>
      </c>
      <c r="D8" s="703">
        <v>39291.0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625456.0</v>
      </c>
      <c r="C9" s="680">
        <v>625456.0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169180.0</v>
      </c>
      <c r="C11" s="680">
        <v>0.0</v>
      </c>
      <c r="D11" s="680">
        <v>0.0</v>
      </c>
      <c r="E11" s="680">
        <v>0.0</v>
      </c>
      <c r="F11" s="705">
        <f t="shared" si="1"/>
        <v>169180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988896.0</v>
      </c>
      <c r="C12" s="680">
        <v>988896.0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126782.0</v>
      </c>
      <c r="C14" s="680">
        <v>126782.0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2611699.0</v>
      </c>
      <c r="C15" s="680">
        <v>2611699.0</v>
      </c>
      <c r="D15" s="680">
        <v>0.0</v>
      </c>
      <c r="E15" s="680">
        <v>0.0</v>
      </c>
      <c r="F15" s="705">
        <f t="shared" si="1"/>
        <v>0</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0.0</v>
      </c>
      <c r="C16" s="680">
        <v>0.0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371892.0</v>
      </c>
      <c r="C17" s="680">
        <v>371892.0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583195.0</v>
      </c>
      <c r="C18" s="680">
        <v>583195.0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431057.0</v>
      </c>
      <c r="C20" s="680">
        <v>431057.0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5282564.0</v>
      </c>
      <c r="C21" s="680">
        <v>5282564.0</v>
      </c>
      <c r="D21" s="680">
        <v>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7911167.0</v>
      </c>
      <c r="C23" s="680">
        <v>7892789.0</v>
      </c>
      <c r="D23" s="680">
        <v>18378.0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338084.0</v>
      </c>
      <c r="C24" s="680">
        <v>338084.0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177494.0</v>
      </c>
      <c r="C25" s="680">
        <v>177494.0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25356.0</v>
      </c>
      <c r="C26" s="680">
        <v>25356.0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152138.0</v>
      </c>
      <c r="C27" s="680">
        <v>152138.0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0.0</v>
      </c>
      <c r="C28" s="680">
        <v>0.0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3372389.0</v>
      </c>
      <c r="C29" s="680">
        <v>3372389.0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9618492.0</v>
      </c>
      <c r="C30" s="680">
        <v>9618492.0</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8452.0</v>
      </c>
      <c r="C33" s="680">
        <v>8452.0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50713.0</v>
      </c>
      <c r="C35" s="680">
        <v>50713.0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8452.0</v>
      </c>
      <c r="C36" s="680">
        <v>8452.0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0.0</v>
      </c>
      <c r="C37" s="680">
        <v>0.0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1394597.0</v>
      </c>
      <c r="C38" s="680">
        <v>1394597.0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202850.0</v>
      </c>
      <c r="C39" s="680">
        <v>202850.0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464866.0</v>
      </c>
      <c r="C40" s="680">
        <v>464866.0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473318.0</v>
      </c>
      <c r="C42" s="680">
        <v>473318.0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152138.0</v>
      </c>
      <c r="C43" s="680">
        <v>152138.0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8443650.0</v>
      </c>
      <c r="C44" s="680">
        <v>0.0</v>
      </c>
      <c r="D44" s="680">
        <v>0.0</v>
      </c>
      <c r="E44" s="680">
        <v>0.0</v>
      </c>
      <c r="F44" s="705">
        <f t="shared" si="1"/>
        <v>8443650</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92973.0</v>
      </c>
      <c r="C45" s="680">
        <v>92973.0</v>
      </c>
      <c r="D45" s="680">
        <v>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185947.0</v>
      </c>
      <c r="C46" s="680">
        <v>185947.0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380345.0</v>
      </c>
      <c r="C48" s="680">
        <v>380345.0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1648160.0</v>
      </c>
      <c r="C49" s="680">
        <v>1648160.0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1022704.0</v>
      </c>
      <c r="C50" s="680">
        <v>1022704.0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912827.0</v>
      </c>
      <c r="C51" s="680">
        <v>912827.0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640836.0</v>
      </c>
      <c r="C54" s="680">
        <v>1040.0</v>
      </c>
      <c r="D54" s="680">
        <v>0.0</v>
      </c>
      <c r="E54" s="680">
        <v>0.0</v>
      </c>
      <c r="F54" s="705">
        <f t="shared" si="1"/>
        <v>639796</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160590.0</v>
      </c>
      <c r="C55" s="680">
        <v>160590.0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4107721.0</v>
      </c>
      <c r="C56" s="680">
        <v>4107721.0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1.8333333E7</v>
      </c>
      <c r="C57" s="680">
        <v>1.5440333E7</v>
      </c>
      <c r="D57" s="680">
        <v>2893000.0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72797293</v>
      </c>
      <c r="C59" s="707">
        <f t="shared" si="2"/>
        <v>60593998</v>
      </c>
      <c r="D59" s="707">
        <f t="shared" si="2"/>
        <v>2950669</v>
      </c>
      <c r="E59" s="707">
        <f t="shared" si="2"/>
        <v>0</v>
      </c>
      <c r="F59" s="708">
        <f t="shared" si="2"/>
        <v>9252626</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t="s">
        <v>291</v>
      </c>
      <c r="C60" s="710" t="s">
        <v>291</v>
      </c>
      <c r="D60" s="710" t="s">
        <v>291</v>
      </c>
      <c r="E60" s="710" t="s">
        <v>291</v>
      </c>
      <c r="F60" s="710" t="s">
        <v>291</v>
      </c>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222"/>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292</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293</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985407.0</v>
      </c>
      <c r="C8" s="703">
        <v>985407.0</v>
      </c>
      <c r="D8" s="703">
        <v>0.0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464459.0</v>
      </c>
      <c r="C9" s="680">
        <v>464459.0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207124.0</v>
      </c>
      <c r="C11" s="680">
        <v>100000.0</v>
      </c>
      <c r="D11" s="680">
        <v>0.0</v>
      </c>
      <c r="E11" s="680">
        <v>0.0</v>
      </c>
      <c r="F11" s="705">
        <f t="shared" si="1"/>
        <v>107124</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734348.0</v>
      </c>
      <c r="C12" s="680">
        <v>734348.0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0.0</v>
      </c>
      <c r="C14" s="680">
        <v>0.0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1939432.0</v>
      </c>
      <c r="C15" s="680">
        <v>1939432.0</v>
      </c>
      <c r="D15" s="680">
        <v>0.0</v>
      </c>
      <c r="E15" s="680">
        <v>0.0</v>
      </c>
      <c r="F15" s="705">
        <f t="shared" si="1"/>
        <v>0</v>
      </c>
      <c r="G15" s="308"/>
      <c r="H15" s="680">
        <f>1939432+'YR1992'!C15+'YR1993'!C15</f>
        <v>8078835</v>
      </c>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0.0</v>
      </c>
      <c r="C16" s="680">
        <v>0.0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0.0</v>
      </c>
      <c r="C17" s="680">
        <v>0.0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433077.0</v>
      </c>
      <c r="C18" s="680">
        <v>433077.0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320100.0</v>
      </c>
      <c r="C20" s="680">
        <v>320100.0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3922799.0</v>
      </c>
      <c r="C21" s="680">
        <v>3922799.0</v>
      </c>
      <c r="D21" s="680">
        <v>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5874784.0</v>
      </c>
      <c r="C23" s="680">
        <v>5874784.0</v>
      </c>
      <c r="D23" s="680">
        <v>0.0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251059.0</v>
      </c>
      <c r="C24" s="680">
        <v>251059.0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131806.0</v>
      </c>
      <c r="C25" s="680">
        <v>131806.0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18829.0</v>
      </c>
      <c r="C26" s="680">
        <v>18829.0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112977.0</v>
      </c>
      <c r="C27" s="680">
        <v>112977.0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0.0</v>
      </c>
      <c r="C28" s="680">
        <v>0.0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2504315.0</v>
      </c>
      <c r="C29" s="680">
        <v>2504315.0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7142633.0</v>
      </c>
      <c r="C30" s="680">
        <v>7142633.0</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6276.0</v>
      </c>
      <c r="C33" s="680">
        <v>6276.0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37659.0</v>
      </c>
      <c r="C35" s="680">
        <v>37659.0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6276.0</v>
      </c>
      <c r="C36" s="680">
        <v>6276.0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0.0</v>
      </c>
      <c r="C37" s="680">
        <v>0.0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1035619.0</v>
      </c>
      <c r="C38" s="680">
        <v>1035619.0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150635.0</v>
      </c>
      <c r="C39" s="680">
        <v>150635.0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345206.0</v>
      </c>
      <c r="C40" s="680">
        <v>345206.0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112977.0</v>
      </c>
      <c r="C43" s="680">
        <v>112977.0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6270202.0</v>
      </c>
      <c r="C44" s="680">
        <v>0.0</v>
      </c>
      <c r="D44" s="680">
        <v>0.0</v>
      </c>
      <c r="E44" s="680">
        <v>0.0</v>
      </c>
      <c r="F44" s="705">
        <f t="shared" si="1"/>
        <v>6270202</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69041.0</v>
      </c>
      <c r="C45" s="680">
        <v>69041.0</v>
      </c>
      <c r="D45" s="680">
        <v>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0.0</v>
      </c>
      <c r="C46" s="680">
        <v>0.0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282442.0</v>
      </c>
      <c r="C48" s="680">
        <v>282442.0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1223913.0</v>
      </c>
      <c r="C49" s="680">
        <v>1223913.0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759454.0</v>
      </c>
      <c r="C50" s="680">
        <v>759454.0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677860.0</v>
      </c>
      <c r="C51" s="680">
        <v>677860.0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784560.0</v>
      </c>
      <c r="C54" s="680">
        <v>784560.0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119253.0</v>
      </c>
      <c r="C55" s="680">
        <v>119253.0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3050369.0</v>
      </c>
      <c r="C56" s="680">
        <v>3050369.0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1.3333333E7</v>
      </c>
      <c r="C57" s="680">
        <v>1.3333333E7</v>
      </c>
      <c r="D57" s="680">
        <v>0.0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53308224</v>
      </c>
      <c r="C59" s="707">
        <f t="shared" si="2"/>
        <v>46930898</v>
      </c>
      <c r="D59" s="707">
        <f t="shared" si="2"/>
        <v>0</v>
      </c>
      <c r="E59" s="707">
        <f t="shared" si="2"/>
        <v>0</v>
      </c>
      <c r="F59" s="708">
        <f t="shared" si="2"/>
        <v>6377326</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t="s">
        <v>291</v>
      </c>
      <c r="C60" s="710" t="s">
        <v>291</v>
      </c>
      <c r="D60" s="710" t="s">
        <v>291</v>
      </c>
      <c r="E60" s="710" t="s">
        <v>291</v>
      </c>
      <c r="F60" s="710" t="s">
        <v>291</v>
      </c>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222"/>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715" t="s">
        <v>294</v>
      </c>
      <c r="B63" s="715"/>
      <c r="C63" s="715"/>
      <c r="D63" s="715"/>
      <c r="E63" s="715"/>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2021-04-06T08:18:36Z</dcterms:created>
  <dc:creator>Girma Gina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0x010100C5F60F8E60516143877F7AC30EFBB2F3</vt:lpwstr>
  </property>
  <property fmtid="{D5CDD505-2E9C-101B-9397-08002B2CF9AE}" pid="3" name="MediaServiceImageTags">
    <vt:lpwstr/>
  </property>
</Properties>
</file>