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13.xml" ContentType="application/vnd.ms-excel.threadedcomments+xml"/>
  <Override PartName="/xl/comments19.xml" ContentType="application/vnd.openxmlformats-officedocument.spreadsheetml.comments+xml"/>
  <Override PartName="/xl/threadedComments/threadedComment14.xml" ContentType="application/vnd.ms-excel.threadedcomments+xml"/>
  <Override PartName="/xl/comments20.xml" ContentType="application/vnd.openxmlformats-officedocument.spreadsheetml.comments+xml"/>
  <Override PartName="/xl/threadedComments/threadedComment15.xml" ContentType="application/vnd.ms-excel.threadedcomments+xml"/>
  <Override PartName="/xl/comments21.xml" ContentType="application/vnd.openxmlformats-officedocument.spreadsheetml.comments+xml"/>
  <Override PartName="/xl/threadedComments/threadedComment16.xml" ContentType="application/vnd.ms-excel.threadedcomments+xml"/>
  <Override PartName="/xl/comments22.xml" ContentType="application/vnd.openxmlformats-officedocument.spreadsheetml.comments+xml"/>
  <Override PartName="/xl/threadedComments/threadedComment17.xml" ContentType="application/vnd.ms-excel.threadedcomments+xml"/>
  <Override PartName="/xl/comments23.xml" ContentType="application/vnd.openxmlformats-officedocument.spreadsheetml.comments+xml"/>
  <Override PartName="/xl/threadedComments/threadedComment18.xml" ContentType="application/vnd.ms-excel.threadedcomments+xml"/>
  <Override PartName="/xl/comments24.xml" ContentType="application/vnd.openxmlformats-officedocument.spreadsheetml.comments+xml"/>
  <Override PartName="/xl/threadedComments/threadedComment19.xml" ContentType="application/vnd.ms-excel.threadedcomments+xml"/>
  <Override PartName="/xl/comments25.xml" ContentType="application/vnd.openxmlformats-officedocument.spreadsheetml.comments+xml"/>
  <Override PartName="/xl/threadedComments/threadedComment20.xml" ContentType="application/vnd.ms-excel.threadedcomments+xml"/>
  <Override PartName="/xl/comments26.xml" ContentType="application/vnd.openxmlformats-officedocument.spreadsheetml.comments+xml"/>
  <Override PartName="/xl/threadedComments/threadedComment2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unitednations-my.sharepoint.com/personal/owen_miller_un_org/Documents/Documents/"/>
    </mc:Choice>
  </mc:AlternateContent>
  <xr:revisionPtr revIDLastSave="27" documentId="8_{A2834B22-9FE2-4039-8EDC-96FE02CE0247}" xr6:coauthVersionLast="47" xr6:coauthVersionMax="47" xr10:uidLastSave="{BDC1B309-67D0-4AA7-A25C-B7AB224DA8C6}"/>
  <bookViews>
    <workbookView xWindow="-28920" yWindow="-120" windowWidth="29040" windowHeight="15720" tabRatio="717" xr2:uid="{45561860-0812-446B-89FD-0802B860E200}"/>
  </bookViews>
  <sheets>
    <sheet name="Status of the Fund" sheetId="53" r:id="rId1"/>
    <sheet name="Statistics" sheetId="2" r:id="rId2"/>
    <sheet name="Summary Status of Contributions" sheetId="3" r:id="rId3"/>
    <sheet name="2024-26 Contributions" sheetId="52" r:id="rId4"/>
    <sheet name="YR2024" sheetId="51" state="hidden" r:id="rId5"/>
    <sheet name="YR2021_23" sheetId="6" state="hidden" r:id="rId6"/>
    <sheet name="YR2023" sheetId="50" state="hidden" r:id="rId7"/>
    <sheet name="YR2022" sheetId="49" state="hidden" r:id="rId8"/>
    <sheet name="YR2021" sheetId="8" state="hidden" r:id="rId9"/>
    <sheet name="YR2018_20" sheetId="4" state="hidden" r:id="rId10"/>
    <sheet name="YR2020" sheetId="7" state="hidden" r:id="rId11"/>
    <sheet name="YR2019" sheetId="9" state="hidden" r:id="rId12"/>
    <sheet name="YR2018" sheetId="10" state="hidden" r:id="rId13"/>
    <sheet name="YR2015_17" sheetId="11" state="hidden" r:id="rId14"/>
    <sheet name="YR2017" sheetId="12" state="hidden" r:id="rId15"/>
    <sheet name="YR2016" sheetId="13" state="hidden" r:id="rId16"/>
    <sheet name="YR2015" sheetId="14" state="hidden" r:id="rId17"/>
    <sheet name="YR2012_14" sheetId="15" state="hidden" r:id="rId18"/>
    <sheet name="YR2014" sheetId="16" state="hidden" r:id="rId19"/>
    <sheet name="YR2013" sheetId="17" state="hidden" r:id="rId20"/>
    <sheet name="YR2012" sheetId="18" state="hidden" r:id="rId21"/>
    <sheet name="YR2009_11" sheetId="19" state="hidden" r:id="rId22"/>
    <sheet name="YR2011" sheetId="20" state="hidden" r:id="rId23"/>
    <sheet name="YR2010" sheetId="21" state="hidden" r:id="rId24"/>
    <sheet name="YR2009" sheetId="22" state="hidden" r:id="rId25"/>
    <sheet name="YR2006_08" sheetId="23" state="hidden" r:id="rId26"/>
    <sheet name="YR2008" sheetId="24" state="hidden" r:id="rId27"/>
    <sheet name="YR2007" sheetId="25" state="hidden" r:id="rId28"/>
    <sheet name="YR2006" sheetId="26" state="hidden" r:id="rId29"/>
    <sheet name="YR2003_05" sheetId="27" state="hidden" r:id="rId30"/>
    <sheet name="YR2005" sheetId="28" state="hidden" r:id="rId31"/>
    <sheet name="YR2004" sheetId="29" state="hidden" r:id="rId32"/>
    <sheet name="YR2003" sheetId="30" state="hidden" r:id="rId33"/>
    <sheet name="YR2000_02" sheetId="31" state="hidden" r:id="rId34"/>
    <sheet name="YR2002" sheetId="32" state="hidden" r:id="rId35"/>
    <sheet name="YR2001" sheetId="33" state="hidden" r:id="rId36"/>
    <sheet name="YR2000" sheetId="34" state="hidden" r:id="rId37"/>
    <sheet name="YR1997_99" sheetId="35" state="hidden" r:id="rId38"/>
    <sheet name="YR1999" sheetId="36" state="hidden" r:id="rId39"/>
    <sheet name="YR1998" sheetId="37" state="hidden" r:id="rId40"/>
    <sheet name="YR1997" sheetId="38" state="hidden" r:id="rId41"/>
    <sheet name="YR1994_96" sheetId="39" state="hidden" r:id="rId42"/>
    <sheet name="YR1996" sheetId="40" state="hidden" r:id="rId43"/>
    <sheet name="YR1995" sheetId="41" state="hidden" r:id="rId44"/>
    <sheet name="YR1994" sheetId="42" state="hidden" r:id="rId45"/>
    <sheet name="YR1991_93" sheetId="43" state="hidden" r:id="rId46"/>
    <sheet name="YR1993" sheetId="44" state="hidden" r:id="rId47"/>
    <sheet name="YR1992" sheetId="45" state="hidden" r:id="rId48"/>
    <sheet name="YR1991" sheetId="46" state="hidden" r:id="rId49"/>
  </sheets>
  <externalReferences>
    <externalReference r:id="rId50"/>
    <externalReference r:id="rId51"/>
    <externalReference r:id="rId52"/>
    <externalReference r:id="rId53"/>
  </externalReferences>
  <definedNames>
    <definedName name="_xlnm._FilterDatabase" localSheetId="3" hidden="1">'2024-26 Contributions'!$B$10:$G$64</definedName>
    <definedName name="_xlnm._FilterDatabase" localSheetId="2" hidden="1">'Summary Status of Contributions'!$C$10:$H$65</definedName>
    <definedName name="_xlnm._FilterDatabase" localSheetId="8" hidden="1">'YR2021'!$A$8:$F$61</definedName>
    <definedName name="_xlnm._FilterDatabase" localSheetId="5" hidden="1">YR2021_23!$A$8:$F$61</definedName>
    <definedName name="_xlnm._FilterDatabase" localSheetId="7" hidden="1">'YR2022'!$A$8:$F$63</definedName>
    <definedName name="_xlnm._FilterDatabase" localSheetId="6" hidden="1">'YR2023'!$A$8:$F$61</definedName>
    <definedName name="_xlnm._FilterDatabase" localSheetId="4" hidden="1">'YR2024'!$B$9:$G$62</definedName>
    <definedName name="_xlnm.Print_Area" localSheetId="3">'2024-26 Contributions'!$B$1:$G$64</definedName>
    <definedName name="_xlnm.Print_Area" localSheetId="1">Statistics!$B$1:$O$36</definedName>
    <definedName name="_xlnm.Print_Area" localSheetId="0">'Status of the Fund'!$B$1:$D$55</definedName>
    <definedName name="_xlnm.Print_Area" localSheetId="2">'Summary Status of Contributions'!$B$1:$H$71</definedName>
    <definedName name="_xlnm.Print_Area" localSheetId="14">'YR2017'!$A$1:$F$62</definedName>
    <definedName name="_xlnm.Print_Area" localSheetId="8">'YR2021'!$A$1:$F$63</definedName>
    <definedName name="_xlnm.Print_Area" localSheetId="5">YR2021_23!$A$1:$F$63</definedName>
    <definedName name="_xlnm.Print_Area" localSheetId="7">'YR2022'!$A$1:$F$63</definedName>
    <definedName name="_xlnm.Print_Area" localSheetId="6">'YR2023'!$A$1:$F$63</definedName>
    <definedName name="_xlnm.Print_Area" localSheetId="4">'YR2024'!$B$1:$G$64</definedName>
    <definedName name="_xlnm.Print_Titles" localSheetId="7">'YR2022'!$8:$8</definedName>
    <definedName name="_xlnm.Print_Titles" localSheetId="6">'YR2023'!$8:$8</definedName>
    <definedName name="_xlnm.Print_Titles" localSheetId="4">'YR2024'!$9:$9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3" l="1"/>
  <c r="F64" i="52"/>
  <c r="F62" i="52"/>
  <c r="F60" i="52"/>
  <c r="F59" i="52"/>
  <c r="F58" i="52"/>
  <c r="F57" i="52"/>
  <c r="F56" i="52"/>
  <c r="F55" i="52"/>
  <c r="F54" i="52"/>
  <c r="F53" i="52"/>
  <c r="F52" i="52"/>
  <c r="F51" i="52"/>
  <c r="F50" i="52"/>
  <c r="F49" i="52"/>
  <c r="F48" i="52"/>
  <c r="F47" i="52"/>
  <c r="F46" i="52"/>
  <c r="F45" i="52"/>
  <c r="F44" i="52"/>
  <c r="F43" i="52"/>
  <c r="F42" i="52"/>
  <c r="F41" i="52"/>
  <c r="F40" i="52"/>
  <c r="F39" i="52"/>
  <c r="F38" i="52"/>
  <c r="F37" i="52"/>
  <c r="F36" i="52"/>
  <c r="F35" i="52"/>
  <c r="F34" i="52"/>
  <c r="F33" i="52"/>
  <c r="F32" i="52"/>
  <c r="F31" i="52"/>
  <c r="F30" i="52"/>
  <c r="F29" i="52"/>
  <c r="F28" i="52"/>
  <c r="F27" i="52"/>
  <c r="F26" i="52"/>
  <c r="F25" i="52"/>
  <c r="F24" i="52"/>
  <c r="F23" i="52"/>
  <c r="F22" i="52"/>
  <c r="F21" i="52"/>
  <c r="F20" i="52"/>
  <c r="F19" i="52"/>
  <c r="F18" i="52"/>
  <c r="F17" i="52"/>
  <c r="F16" i="52"/>
  <c r="F15" i="52"/>
  <c r="F14" i="52"/>
  <c r="F13" i="52"/>
  <c r="F12" i="52"/>
  <c r="F11" i="52"/>
  <c r="E59" i="52"/>
  <c r="E58" i="52"/>
  <c r="E57" i="52"/>
  <c r="E56" i="52"/>
  <c r="E55" i="52"/>
  <c r="E54" i="52"/>
  <c r="E53" i="52"/>
  <c r="E52" i="52"/>
  <c r="E51" i="52"/>
  <c r="E50" i="52"/>
  <c r="E49" i="52"/>
  <c r="E48" i="52"/>
  <c r="E47" i="52"/>
  <c r="E46" i="52"/>
  <c r="E45" i="52"/>
  <c r="E44" i="52"/>
  <c r="E43" i="52"/>
  <c r="E42" i="52"/>
  <c r="E41" i="52"/>
  <c r="E40" i="52"/>
  <c r="E39" i="52"/>
  <c r="E38" i="52"/>
  <c r="E37" i="52"/>
  <c r="E36" i="52"/>
  <c r="E35" i="52"/>
  <c r="E34" i="52"/>
  <c r="E33" i="52"/>
  <c r="E32" i="52"/>
  <c r="E31" i="52"/>
  <c r="E30" i="52"/>
  <c r="E29" i="52"/>
  <c r="E28" i="52"/>
  <c r="E27" i="52"/>
  <c r="E26" i="52"/>
  <c r="E25" i="52"/>
  <c r="E24" i="52"/>
  <c r="E23" i="52"/>
  <c r="E22" i="52"/>
  <c r="E21" i="52"/>
  <c r="E20" i="52"/>
  <c r="E19" i="52"/>
  <c r="E18" i="52"/>
  <c r="E17" i="52"/>
  <c r="E16" i="52"/>
  <c r="E15" i="52"/>
  <c r="E14" i="52"/>
  <c r="E13" i="52"/>
  <c r="E12" i="52"/>
  <c r="D35" i="53"/>
  <c r="D33" i="53"/>
  <c r="D32" i="53"/>
  <c r="D31" i="53"/>
  <c r="D30" i="53"/>
  <c r="C24" i="53"/>
  <c r="C23" i="53"/>
  <c r="C22" i="53"/>
  <c r="C21" i="53"/>
  <c r="F59" i="8"/>
  <c r="D27" i="53" l="1"/>
  <c r="D64" i="51"/>
  <c r="C59" i="51"/>
  <c r="H56" i="3" l="1"/>
  <c r="H27" i="3"/>
  <c r="H16" i="3" l="1"/>
  <c r="H26" i="3"/>
  <c r="C24" i="50"/>
  <c r="D11" i="51" l="1"/>
  <c r="M23" i="2" l="1"/>
  <c r="L23" i="2"/>
  <c r="H48" i="3" l="1"/>
  <c r="H23" i="3"/>
  <c r="D12" i="52"/>
  <c r="C32" i="50" l="1"/>
  <c r="D10" i="51" l="1"/>
  <c r="C16" i="50" l="1"/>
  <c r="D57" i="51" l="1"/>
  <c r="C56" i="50"/>
  <c r="C56" i="49"/>
  <c r="C56" i="8"/>
  <c r="D59" i="51" l="1"/>
  <c r="B56" i="50"/>
  <c r="B59" i="50"/>
  <c r="M21" i="2"/>
  <c r="H63" i="3" l="1"/>
  <c r="H54" i="3"/>
  <c r="H53" i="3"/>
  <c r="H51" i="3"/>
  <c r="H50" i="3"/>
  <c r="H49" i="3"/>
  <c r="H47" i="3"/>
  <c r="H45" i="3"/>
  <c r="H44" i="3"/>
  <c r="H43" i="3"/>
  <c r="H42" i="3"/>
  <c r="H41" i="3"/>
  <c r="H39" i="3"/>
  <c r="H33" i="3"/>
  <c r="H31" i="3"/>
  <c r="H30" i="3"/>
  <c r="H29" i="3"/>
  <c r="H25" i="3"/>
  <c r="H24" i="3"/>
  <c r="H22" i="3"/>
  <c r="H21" i="3"/>
  <c r="H20" i="3"/>
  <c r="H19" i="3"/>
  <c r="H18" i="3"/>
  <c r="H13" i="3"/>
  <c r="H12" i="3"/>
  <c r="C10" i="50"/>
  <c r="D24" i="50"/>
  <c r="D61" i="3"/>
  <c r="F61" i="3"/>
  <c r="N17" i="2"/>
  <c r="D11" i="52"/>
  <c r="D11" i="3" s="1"/>
  <c r="E11" i="52"/>
  <c r="E60" i="52" s="1"/>
  <c r="N14" i="2" s="1"/>
  <c r="F11" i="3"/>
  <c r="C10" i="6"/>
  <c r="D12" i="3" s="1"/>
  <c r="D65" i="3"/>
  <c r="E65" i="3"/>
  <c r="F65" i="3"/>
  <c r="E64" i="3"/>
  <c r="F64" i="3"/>
  <c r="F63" i="3"/>
  <c r="D59" i="3"/>
  <c r="F59" i="3"/>
  <c r="D58" i="3"/>
  <c r="F58" i="3"/>
  <c r="F57" i="3"/>
  <c r="F56" i="3"/>
  <c r="E54" i="3"/>
  <c r="F54" i="3"/>
  <c r="E53" i="3"/>
  <c r="F53" i="3"/>
  <c r="F51" i="3"/>
  <c r="F50" i="3"/>
  <c r="F49" i="3"/>
  <c r="F48" i="3"/>
  <c r="F47" i="3"/>
  <c r="E45" i="3"/>
  <c r="F45" i="3"/>
  <c r="E44" i="3"/>
  <c r="F44" i="3"/>
  <c r="F43" i="3"/>
  <c r="F42" i="3"/>
  <c r="D41" i="3"/>
  <c r="E41" i="3"/>
  <c r="F41" i="3"/>
  <c r="D40" i="3"/>
  <c r="F40" i="3"/>
  <c r="F39" i="3"/>
  <c r="D38" i="3"/>
  <c r="F38" i="3"/>
  <c r="D37" i="3"/>
  <c r="E35" i="3"/>
  <c r="F35" i="3"/>
  <c r="F34" i="3"/>
  <c r="D33" i="3"/>
  <c r="E33" i="3"/>
  <c r="F33" i="3"/>
  <c r="D32" i="3"/>
  <c r="E32" i="3"/>
  <c r="F32" i="3"/>
  <c r="F31" i="3"/>
  <c r="E30" i="3"/>
  <c r="F30" i="3"/>
  <c r="E29" i="3"/>
  <c r="F29" i="3"/>
  <c r="F28" i="3"/>
  <c r="F27" i="3"/>
  <c r="D26" i="3"/>
  <c r="F26" i="3"/>
  <c r="D25" i="3"/>
  <c r="E25" i="3"/>
  <c r="F25" i="3"/>
  <c r="D24" i="3"/>
  <c r="F24" i="3"/>
  <c r="D23" i="3"/>
  <c r="F23" i="3"/>
  <c r="D22" i="3"/>
  <c r="F22" i="3"/>
  <c r="D21" i="3"/>
  <c r="E21" i="3"/>
  <c r="F21" i="3"/>
  <c r="F20" i="3"/>
  <c r="E19" i="3"/>
  <c r="F19" i="3"/>
  <c r="E18" i="3"/>
  <c r="F18" i="3"/>
  <c r="D17" i="3"/>
  <c r="E17" i="3"/>
  <c r="F17" i="3"/>
  <c r="E16" i="3"/>
  <c r="F16" i="3"/>
  <c r="F15" i="3"/>
  <c r="D14" i="3"/>
  <c r="E14" i="3"/>
  <c r="F14" i="3"/>
  <c r="D13" i="3"/>
  <c r="E13" i="3"/>
  <c r="F13" i="3"/>
  <c r="F12" i="3"/>
  <c r="C12" i="52"/>
  <c r="G12" i="52" s="1"/>
  <c r="C13" i="52"/>
  <c r="G13" i="52" s="1"/>
  <c r="C14" i="52"/>
  <c r="C14" i="3" s="1"/>
  <c r="C15" i="52"/>
  <c r="C15" i="3" s="1"/>
  <c r="C16" i="52"/>
  <c r="G16" i="52" s="1"/>
  <c r="C17" i="52"/>
  <c r="C18" i="52"/>
  <c r="C19" i="52"/>
  <c r="G19" i="52" s="1"/>
  <c r="C20" i="52"/>
  <c r="G20" i="52" s="1"/>
  <c r="C21" i="52"/>
  <c r="G21" i="52" s="1"/>
  <c r="C22" i="52"/>
  <c r="C22" i="3" s="1"/>
  <c r="C23" i="52"/>
  <c r="G23" i="52" s="1"/>
  <c r="C24" i="52"/>
  <c r="G24" i="52" s="1"/>
  <c r="C25" i="52"/>
  <c r="C26" i="52"/>
  <c r="G26" i="52" s="1"/>
  <c r="C27" i="52"/>
  <c r="G27" i="52" s="1"/>
  <c r="C28" i="52"/>
  <c r="G28" i="52" s="1"/>
  <c r="C29" i="52"/>
  <c r="C29" i="3" s="1"/>
  <c r="C30" i="52"/>
  <c r="C30" i="3" s="1"/>
  <c r="C31" i="52"/>
  <c r="C31" i="3" s="1"/>
  <c r="C32" i="52"/>
  <c r="G32" i="52" s="1"/>
  <c r="C33" i="52"/>
  <c r="G33" i="52" s="1"/>
  <c r="G33" i="3" s="1"/>
  <c r="C34" i="52"/>
  <c r="G34" i="52" s="1"/>
  <c r="C35" i="52"/>
  <c r="G35" i="52" s="1"/>
  <c r="C36" i="52"/>
  <c r="C37" i="52"/>
  <c r="G37" i="52" s="1"/>
  <c r="C38" i="52"/>
  <c r="G38" i="52" s="1"/>
  <c r="C39" i="52"/>
  <c r="G39" i="52" s="1"/>
  <c r="C40" i="52"/>
  <c r="G40" i="52" s="1"/>
  <c r="C41" i="52"/>
  <c r="C42" i="3" s="1"/>
  <c r="C42" i="52"/>
  <c r="G42" i="52" s="1"/>
  <c r="C43" i="52"/>
  <c r="C44" i="3" s="1"/>
  <c r="C44" i="52"/>
  <c r="G44" i="52" s="1"/>
  <c r="G45" i="3" s="1"/>
  <c r="C45" i="52"/>
  <c r="C46" i="52"/>
  <c r="G46" i="52" s="1"/>
  <c r="C47" i="52"/>
  <c r="C49" i="3" s="1"/>
  <c r="C48" i="52"/>
  <c r="G48" i="52" s="1"/>
  <c r="C49" i="52"/>
  <c r="G49" i="52" s="1"/>
  <c r="G51" i="3" s="1"/>
  <c r="C50" i="52"/>
  <c r="G50" i="52" s="1"/>
  <c r="C51" i="52"/>
  <c r="C54" i="3" s="1"/>
  <c r="C52" i="52"/>
  <c r="C56" i="3" s="1"/>
  <c r="C53" i="52"/>
  <c r="G53" i="52" s="1"/>
  <c r="C54" i="52"/>
  <c r="G54" i="52" s="1"/>
  <c r="C55" i="52"/>
  <c r="G55" i="52" s="1"/>
  <c r="C56" i="52"/>
  <c r="G56" i="52" s="1"/>
  <c r="C57" i="52"/>
  <c r="G57" i="52" s="1"/>
  <c r="C58" i="52"/>
  <c r="G58" i="52" s="1"/>
  <c r="C59" i="52"/>
  <c r="G59" i="52" s="1"/>
  <c r="C11" i="52"/>
  <c r="C11" i="3" s="1"/>
  <c r="G61" i="52"/>
  <c r="N15" i="2"/>
  <c r="E64" i="52"/>
  <c r="D64" i="52"/>
  <c r="B8" i="52"/>
  <c r="F64" i="51"/>
  <c r="E64" i="51"/>
  <c r="C64" i="51"/>
  <c r="G64" i="51" s="1"/>
  <c r="G60" i="51"/>
  <c r="F59" i="51"/>
  <c r="F61" i="51"/>
  <c r="E59" i="51"/>
  <c r="E61" i="51" s="1"/>
  <c r="G58" i="51"/>
  <c r="C61" i="51"/>
  <c r="G56" i="51"/>
  <c r="G55" i="51"/>
  <c r="G54" i="51"/>
  <c r="G53" i="51"/>
  <c r="G52" i="51"/>
  <c r="G51" i="51"/>
  <c r="G50" i="51"/>
  <c r="G49" i="51"/>
  <c r="G48" i="51"/>
  <c r="G47" i="51"/>
  <c r="G46" i="51"/>
  <c r="G45" i="51"/>
  <c r="G44" i="51"/>
  <c r="G43" i="51"/>
  <c r="G42" i="51"/>
  <c r="G41" i="51"/>
  <c r="G40" i="51"/>
  <c r="G39" i="51"/>
  <c r="G38" i="51"/>
  <c r="G36" i="51"/>
  <c r="G35" i="51"/>
  <c r="G34" i="51"/>
  <c r="G33" i="51"/>
  <c r="G32" i="51"/>
  <c r="G31" i="51"/>
  <c r="G30" i="51"/>
  <c r="G29" i="51"/>
  <c r="J28" i="51"/>
  <c r="G28" i="51"/>
  <c r="G27" i="51"/>
  <c r="G26" i="51"/>
  <c r="M25" i="51"/>
  <c r="G25" i="51"/>
  <c r="G24" i="51"/>
  <c r="G23" i="51"/>
  <c r="G22" i="51"/>
  <c r="G21" i="51"/>
  <c r="G20" i="51"/>
  <c r="G19" i="51"/>
  <c r="G18" i="51"/>
  <c r="G17" i="51"/>
  <c r="G16" i="51"/>
  <c r="G15" i="51"/>
  <c r="G14" i="51"/>
  <c r="G13" i="51"/>
  <c r="G12" i="51"/>
  <c r="G11" i="51"/>
  <c r="G10" i="51"/>
  <c r="B7" i="51"/>
  <c r="G1" i="51"/>
  <c r="B64" i="4"/>
  <c r="B63" i="11"/>
  <c r="B64" i="15"/>
  <c r="B62" i="19"/>
  <c r="B62" i="23"/>
  <c r="B57" i="27"/>
  <c r="B57" i="31"/>
  <c r="B65" i="35"/>
  <c r="B65" i="39"/>
  <c r="B65" i="43"/>
  <c r="C22" i="50"/>
  <c r="C25" i="50"/>
  <c r="D24" i="6"/>
  <c r="I27" i="50"/>
  <c r="A1" i="9"/>
  <c r="A1" i="4"/>
  <c r="A1" i="49"/>
  <c r="E26" i="3"/>
  <c r="G37" i="51"/>
  <c r="G57" i="51"/>
  <c r="I59" i="51"/>
  <c r="C36" i="50"/>
  <c r="B59" i="6"/>
  <c r="F59" i="6" s="1"/>
  <c r="B56" i="49"/>
  <c r="B59" i="49"/>
  <c r="B56" i="8"/>
  <c r="D32" i="6"/>
  <c r="E34" i="3" s="1"/>
  <c r="D31" i="6"/>
  <c r="D23" i="6"/>
  <c r="D11" i="6"/>
  <c r="D10" i="6"/>
  <c r="E12" i="3" s="1"/>
  <c r="B43" i="15"/>
  <c r="C43" i="15"/>
  <c r="D43" i="15"/>
  <c r="E43" i="15"/>
  <c r="F43" i="15"/>
  <c r="B44" i="15"/>
  <c r="C44" i="15"/>
  <c r="D44" i="15"/>
  <c r="F44" i="15"/>
  <c r="E44" i="15"/>
  <c r="B45" i="15"/>
  <c r="C45" i="15"/>
  <c r="F45" i="15"/>
  <c r="D45" i="15"/>
  <c r="E45" i="15"/>
  <c r="B46" i="15"/>
  <c r="C46" i="15"/>
  <c r="D46" i="15"/>
  <c r="E46" i="15"/>
  <c r="F46" i="15"/>
  <c r="B47" i="15"/>
  <c r="C47" i="15"/>
  <c r="D47" i="15"/>
  <c r="E47" i="15"/>
  <c r="F47" i="15"/>
  <c r="F43" i="14"/>
  <c r="F44" i="14"/>
  <c r="F45" i="14"/>
  <c r="C46" i="14"/>
  <c r="F46" i="14"/>
  <c r="F47" i="14"/>
  <c r="F43" i="13"/>
  <c r="F44" i="13"/>
  <c r="C45" i="13"/>
  <c r="F45" i="13"/>
  <c r="C46" i="13"/>
  <c r="F46" i="13"/>
  <c r="F47" i="13"/>
  <c r="F43" i="12"/>
  <c r="F44" i="12"/>
  <c r="F45" i="12"/>
  <c r="F46" i="12"/>
  <c r="F47" i="12"/>
  <c r="B43" i="11"/>
  <c r="C43" i="11"/>
  <c r="D43" i="11"/>
  <c r="E43" i="11"/>
  <c r="B44" i="11"/>
  <c r="C44" i="11"/>
  <c r="D44" i="11"/>
  <c r="E44" i="11"/>
  <c r="B45" i="11"/>
  <c r="D45" i="11"/>
  <c r="E45" i="11"/>
  <c r="B46" i="11"/>
  <c r="C46" i="11"/>
  <c r="D46" i="11"/>
  <c r="E46" i="11"/>
  <c r="B47" i="11"/>
  <c r="C47" i="11"/>
  <c r="D47" i="11"/>
  <c r="E47" i="11"/>
  <c r="F43" i="10"/>
  <c r="F44" i="10"/>
  <c r="F45" i="10"/>
  <c r="C46" i="10"/>
  <c r="F46" i="10"/>
  <c r="F47" i="10"/>
  <c r="F43" i="9"/>
  <c r="F44" i="9"/>
  <c r="C45" i="9"/>
  <c r="F45" i="9"/>
  <c r="C46" i="9"/>
  <c r="F46" i="9"/>
  <c r="F47" i="9"/>
  <c r="F43" i="7"/>
  <c r="F44" i="7"/>
  <c r="F45" i="7"/>
  <c r="F46" i="7"/>
  <c r="F47" i="7"/>
  <c r="B43" i="4"/>
  <c r="C43" i="4"/>
  <c r="D43" i="4"/>
  <c r="E43" i="4"/>
  <c r="B44" i="4"/>
  <c r="C44" i="4"/>
  <c r="D44" i="4"/>
  <c r="E44" i="4"/>
  <c r="B45" i="4"/>
  <c r="C45" i="4"/>
  <c r="D45" i="4"/>
  <c r="E45" i="4"/>
  <c r="B46" i="4"/>
  <c r="C46" i="4"/>
  <c r="F46" i="4"/>
  <c r="D46" i="4"/>
  <c r="E46" i="4"/>
  <c r="B47" i="4"/>
  <c r="C47" i="4"/>
  <c r="D47" i="4"/>
  <c r="E47" i="4"/>
  <c r="F43" i="8"/>
  <c r="F44" i="8"/>
  <c r="F45" i="8"/>
  <c r="F46" i="8"/>
  <c r="F47" i="8"/>
  <c r="F43" i="49"/>
  <c r="F44" i="49"/>
  <c r="F45" i="49"/>
  <c r="F46" i="49"/>
  <c r="F47" i="49"/>
  <c r="F43" i="50"/>
  <c r="F44" i="50"/>
  <c r="F45" i="50"/>
  <c r="F46" i="50"/>
  <c r="F47" i="50"/>
  <c r="B43" i="6"/>
  <c r="C43" i="6"/>
  <c r="D47" i="3" s="1"/>
  <c r="D43" i="6"/>
  <c r="E47" i="3" s="1"/>
  <c r="B44" i="6"/>
  <c r="F44" i="6" s="1"/>
  <c r="C44" i="6"/>
  <c r="D48" i="3" s="1"/>
  <c r="D44" i="6"/>
  <c r="E48" i="3" s="1"/>
  <c r="B45" i="6"/>
  <c r="F45" i="6" s="1"/>
  <c r="C45" i="6"/>
  <c r="D49" i="3" s="1"/>
  <c r="D45" i="6"/>
  <c r="E49" i="3" s="1"/>
  <c r="B46" i="6"/>
  <c r="F46" i="6" s="1"/>
  <c r="C46" i="6"/>
  <c r="D50" i="3" s="1"/>
  <c r="D46" i="6"/>
  <c r="E50" i="3" s="1"/>
  <c r="B47" i="6"/>
  <c r="C47" i="6"/>
  <c r="D51" i="3" s="1"/>
  <c r="D47" i="6"/>
  <c r="E51" i="3" s="1"/>
  <c r="C46" i="3"/>
  <c r="D46" i="3"/>
  <c r="E46" i="3"/>
  <c r="F46" i="3"/>
  <c r="G46" i="3"/>
  <c r="A7" i="11"/>
  <c r="E58" i="49"/>
  <c r="L24" i="50"/>
  <c r="F47" i="4"/>
  <c r="F46" i="11"/>
  <c r="F43" i="11"/>
  <c r="F47" i="6"/>
  <c r="F43" i="6"/>
  <c r="F44" i="4"/>
  <c r="F47" i="11"/>
  <c r="F44" i="11"/>
  <c r="C45" i="11"/>
  <c r="F43" i="4"/>
  <c r="F45" i="4"/>
  <c r="F45" i="11"/>
  <c r="D23" i="8"/>
  <c r="C23" i="8"/>
  <c r="F59" i="50"/>
  <c r="C56" i="7"/>
  <c r="C56" i="9"/>
  <c r="B56" i="9"/>
  <c r="B56" i="7"/>
  <c r="C16" i="49"/>
  <c r="B58" i="49"/>
  <c r="F59" i="49"/>
  <c r="D24" i="49"/>
  <c r="C32" i="49"/>
  <c r="B57" i="6"/>
  <c r="F57" i="6" s="1"/>
  <c r="B55" i="6"/>
  <c r="F55" i="6" s="1"/>
  <c r="B54" i="6"/>
  <c r="F54" i="6" s="1"/>
  <c r="B53" i="6"/>
  <c r="F53" i="6" s="1"/>
  <c r="B52" i="6"/>
  <c r="F52" i="6" s="1"/>
  <c r="B51" i="6"/>
  <c r="F51" i="6" s="1"/>
  <c r="B50" i="6"/>
  <c r="B49" i="6"/>
  <c r="B48" i="6"/>
  <c r="B42" i="6"/>
  <c r="B41" i="6"/>
  <c r="B40" i="6"/>
  <c r="F40" i="6" s="1"/>
  <c r="B39" i="6"/>
  <c r="F39" i="6" s="1"/>
  <c r="B38" i="6"/>
  <c r="F38" i="6" s="1"/>
  <c r="B37" i="6"/>
  <c r="B36" i="6"/>
  <c r="B35" i="6"/>
  <c r="F35" i="6" s="1"/>
  <c r="B34" i="6"/>
  <c r="F34" i="6" s="1"/>
  <c r="B33" i="6"/>
  <c r="B32" i="6"/>
  <c r="B31" i="6"/>
  <c r="B30" i="6"/>
  <c r="B29" i="6"/>
  <c r="B28" i="6"/>
  <c r="B27" i="6"/>
  <c r="F27" i="6" s="1"/>
  <c r="B26" i="6"/>
  <c r="F26" i="6" s="1"/>
  <c r="B25" i="6"/>
  <c r="F25" i="6" s="1"/>
  <c r="B24" i="6"/>
  <c r="F24" i="6" s="1"/>
  <c r="B23" i="6"/>
  <c r="F23" i="6" s="1"/>
  <c r="B22" i="6"/>
  <c r="F22" i="6" s="1"/>
  <c r="B21" i="6"/>
  <c r="B20" i="6"/>
  <c r="B19" i="6"/>
  <c r="B18" i="6"/>
  <c r="B17" i="6"/>
  <c r="B16" i="6"/>
  <c r="B15" i="6"/>
  <c r="F15" i="6" s="1"/>
  <c r="B14" i="6"/>
  <c r="F14" i="6" s="1"/>
  <c r="B13" i="6"/>
  <c r="F13" i="6" s="1"/>
  <c r="B12" i="6"/>
  <c r="B63" i="6" s="1"/>
  <c r="B11" i="6"/>
  <c r="F11" i="6" s="1"/>
  <c r="B10" i="6"/>
  <c r="F10" i="6" s="1"/>
  <c r="B9" i="6"/>
  <c r="C57" i="6"/>
  <c r="C55" i="6"/>
  <c r="D63" i="3" s="1"/>
  <c r="C54" i="6"/>
  <c r="C53" i="6"/>
  <c r="C52" i="6"/>
  <c r="C51" i="6"/>
  <c r="D57" i="3" s="1"/>
  <c r="C50" i="6"/>
  <c r="D56" i="3" s="1"/>
  <c r="C49" i="6"/>
  <c r="D54" i="3" s="1"/>
  <c r="C48" i="6"/>
  <c r="D53" i="3" s="1"/>
  <c r="C42" i="6"/>
  <c r="D45" i="3" s="1"/>
  <c r="C41" i="6"/>
  <c r="D44" i="3" s="1"/>
  <c r="C40" i="6"/>
  <c r="D43" i="3" s="1"/>
  <c r="C39" i="6"/>
  <c r="D42" i="3" s="1"/>
  <c r="C38" i="6"/>
  <c r="C37" i="6"/>
  <c r="C36" i="6"/>
  <c r="D39" i="3" s="1"/>
  <c r="C35" i="6"/>
  <c r="C34" i="6"/>
  <c r="C33" i="6"/>
  <c r="C30" i="6"/>
  <c r="C28" i="6"/>
  <c r="D30" i="3" s="1"/>
  <c r="C27" i="6"/>
  <c r="D29" i="3" s="1"/>
  <c r="C26" i="6"/>
  <c r="D28" i="3" s="1"/>
  <c r="C25" i="6"/>
  <c r="D27" i="3" s="1"/>
  <c r="C24" i="6"/>
  <c r="C23" i="6"/>
  <c r="C22" i="6"/>
  <c r="C21" i="6"/>
  <c r="C20" i="6"/>
  <c r="C19" i="6"/>
  <c r="C18" i="6"/>
  <c r="D20" i="3" s="1"/>
  <c r="C17" i="6"/>
  <c r="D19" i="3" s="1"/>
  <c r="C15" i="6"/>
  <c r="C14" i="6"/>
  <c r="D16" i="3" s="1"/>
  <c r="C13" i="6"/>
  <c r="D15" i="3" s="1"/>
  <c r="C12" i="6"/>
  <c r="C9" i="6"/>
  <c r="F56" i="50"/>
  <c r="E63" i="50"/>
  <c r="D63" i="50"/>
  <c r="C63" i="50"/>
  <c r="B63" i="50"/>
  <c r="E58" i="50"/>
  <c r="E60" i="50"/>
  <c r="B58" i="50"/>
  <c r="B60" i="50"/>
  <c r="F57" i="50"/>
  <c r="F55" i="50"/>
  <c r="F54" i="50"/>
  <c r="F53" i="50"/>
  <c r="F52" i="50"/>
  <c r="F51" i="50"/>
  <c r="F50" i="50"/>
  <c r="F49" i="50"/>
  <c r="F48" i="50"/>
  <c r="F42" i="50"/>
  <c r="F41" i="50"/>
  <c r="F40" i="50"/>
  <c r="F39" i="50"/>
  <c r="F38" i="50"/>
  <c r="F37" i="50"/>
  <c r="F36" i="50"/>
  <c r="F35" i="50"/>
  <c r="F34" i="50"/>
  <c r="F33" i="50"/>
  <c r="F32" i="50"/>
  <c r="F31" i="50"/>
  <c r="F30" i="50"/>
  <c r="C58" i="50"/>
  <c r="C60" i="50" s="1"/>
  <c r="F28" i="50"/>
  <c r="F27" i="50"/>
  <c r="F26" i="50"/>
  <c r="F25" i="50"/>
  <c r="F24" i="50"/>
  <c r="F23" i="50"/>
  <c r="F22" i="50"/>
  <c r="F21" i="50"/>
  <c r="F20" i="50"/>
  <c r="F19" i="50"/>
  <c r="F18" i="50"/>
  <c r="F17" i="50"/>
  <c r="F16" i="50"/>
  <c r="F15" i="50"/>
  <c r="F14" i="50"/>
  <c r="F13" i="50"/>
  <c r="F12" i="50"/>
  <c r="D58" i="50"/>
  <c r="D60" i="50" s="1"/>
  <c r="F10" i="50"/>
  <c r="F9" i="50"/>
  <c r="A7" i="50"/>
  <c r="F1" i="50"/>
  <c r="F63" i="50"/>
  <c r="F29" i="50"/>
  <c r="F11" i="50"/>
  <c r="C11" i="8"/>
  <c r="C11" i="6"/>
  <c r="D11" i="49"/>
  <c r="D58" i="49"/>
  <c r="D11" i="8"/>
  <c r="C23" i="7"/>
  <c r="D23" i="7"/>
  <c r="C31" i="49"/>
  <c r="H24" i="49"/>
  <c r="L24" i="49"/>
  <c r="C56" i="6"/>
  <c r="D64" i="3" s="1"/>
  <c r="E24" i="12"/>
  <c r="E1" i="12"/>
  <c r="A1" i="11"/>
  <c r="E1" i="10"/>
  <c r="E1" i="7"/>
  <c r="B59" i="7"/>
  <c r="F59" i="7"/>
  <c r="B56" i="6"/>
  <c r="F56" i="8"/>
  <c r="F58" i="8" s="1"/>
  <c r="F60" i="8" s="1"/>
  <c r="C29" i="49"/>
  <c r="C58" i="49"/>
  <c r="C60" i="49" s="1"/>
  <c r="C29" i="6"/>
  <c r="D31" i="3" s="1"/>
  <c r="C16" i="8"/>
  <c r="C16" i="6"/>
  <c r="D18" i="3" s="1"/>
  <c r="C31" i="8"/>
  <c r="C31" i="6"/>
  <c r="C32" i="8"/>
  <c r="C32" i="6"/>
  <c r="D34" i="3" s="1"/>
  <c r="A7" i="49"/>
  <c r="D57" i="6"/>
  <c r="D56" i="6"/>
  <c r="D55" i="6"/>
  <c r="E63" i="3" s="1"/>
  <c r="D54" i="6"/>
  <c r="E61" i="3" s="1"/>
  <c r="D53" i="6"/>
  <c r="E59" i="3" s="1"/>
  <c r="D52" i="6"/>
  <c r="E58" i="3" s="1"/>
  <c r="D51" i="6"/>
  <c r="E57" i="3" s="1"/>
  <c r="D50" i="6"/>
  <c r="E56" i="3" s="1"/>
  <c r="D49" i="6"/>
  <c r="D48" i="6"/>
  <c r="D42" i="6"/>
  <c r="D41" i="6"/>
  <c r="D40" i="6"/>
  <c r="E43" i="3" s="1"/>
  <c r="D39" i="6"/>
  <c r="E42" i="3" s="1"/>
  <c r="D38" i="6"/>
  <c r="D37" i="6"/>
  <c r="E40" i="3" s="1"/>
  <c r="D36" i="6"/>
  <c r="E39" i="3" s="1"/>
  <c r="D35" i="6"/>
  <c r="E38" i="3" s="1"/>
  <c r="D34" i="6"/>
  <c r="E37" i="3" s="1"/>
  <c r="D33" i="6"/>
  <c r="D30" i="6"/>
  <c r="D29" i="6"/>
  <c r="E31" i="3" s="1"/>
  <c r="D28" i="6"/>
  <c r="D27" i="6"/>
  <c r="D26" i="6"/>
  <c r="E28" i="3" s="1"/>
  <c r="D25" i="6"/>
  <c r="E27" i="3" s="1"/>
  <c r="D22" i="6"/>
  <c r="E24" i="3" s="1"/>
  <c r="D20" i="6"/>
  <c r="E22" i="3" s="1"/>
  <c r="D19" i="6"/>
  <c r="F19" i="6" s="1"/>
  <c r="D21" i="6"/>
  <c r="E23" i="3" s="1"/>
  <c r="D18" i="6"/>
  <c r="F18" i="6" s="1"/>
  <c r="D17" i="6"/>
  <c r="D16" i="6"/>
  <c r="D15" i="6"/>
  <c r="D14" i="6"/>
  <c r="D13" i="6"/>
  <c r="E15" i="3" s="1"/>
  <c r="D12" i="6"/>
  <c r="D63" i="6" s="1"/>
  <c r="D9" i="6"/>
  <c r="F9" i="6" s="1"/>
  <c r="D32" i="8"/>
  <c r="D24" i="8"/>
  <c r="C20" i="37"/>
  <c r="D20" i="37"/>
  <c r="E63" i="49"/>
  <c r="D63" i="49"/>
  <c r="C63" i="49"/>
  <c r="B63" i="49"/>
  <c r="E60" i="49"/>
  <c r="D60" i="49"/>
  <c r="B60" i="49"/>
  <c r="F57" i="49"/>
  <c r="F56" i="49"/>
  <c r="F58" i="49" s="1"/>
  <c r="F60" i="49" s="1"/>
  <c r="F55" i="49"/>
  <c r="F54" i="49"/>
  <c r="F53" i="49"/>
  <c r="F52" i="49"/>
  <c r="F51" i="49"/>
  <c r="F50" i="49"/>
  <c r="F49" i="49"/>
  <c r="F48" i="49"/>
  <c r="F42" i="49"/>
  <c r="F41" i="49"/>
  <c r="F40" i="49"/>
  <c r="F39" i="49"/>
  <c r="F38" i="49"/>
  <c r="F37" i="49"/>
  <c r="F36" i="49"/>
  <c r="F35" i="49"/>
  <c r="F34" i="49"/>
  <c r="F33" i="49"/>
  <c r="F32" i="49"/>
  <c r="F31" i="49"/>
  <c r="F30" i="49"/>
  <c r="F29" i="49"/>
  <c r="F28" i="49"/>
  <c r="F27" i="49"/>
  <c r="F26" i="49"/>
  <c r="F25" i="49"/>
  <c r="F24" i="49"/>
  <c r="F23" i="49"/>
  <c r="F22" i="49"/>
  <c r="F21" i="49"/>
  <c r="F20" i="49"/>
  <c r="F19" i="49"/>
  <c r="F18" i="49"/>
  <c r="F17" i="49"/>
  <c r="F16" i="49"/>
  <c r="F15" i="49"/>
  <c r="F14" i="49"/>
  <c r="F13" i="49"/>
  <c r="F12" i="49"/>
  <c r="F11" i="49"/>
  <c r="F10" i="49"/>
  <c r="F9" i="49"/>
  <c r="F63" i="49"/>
  <c r="D20" i="35"/>
  <c r="C63" i="8"/>
  <c r="D23" i="13"/>
  <c r="C23" i="13"/>
  <c r="B59" i="11"/>
  <c r="B59" i="15"/>
  <c r="C10" i="7"/>
  <c r="D10" i="7"/>
  <c r="D16" i="22"/>
  <c r="C16" i="22"/>
  <c r="D15" i="24"/>
  <c r="C15" i="24"/>
  <c r="D14" i="32"/>
  <c r="C14" i="32"/>
  <c r="D23" i="12"/>
  <c r="C23" i="12"/>
  <c r="D23" i="16"/>
  <c r="C23" i="16"/>
  <c r="D21" i="24"/>
  <c r="C21" i="24"/>
  <c r="D19" i="28"/>
  <c r="C19" i="28"/>
  <c r="D21" i="35"/>
  <c r="C21" i="35"/>
  <c r="D21" i="40"/>
  <c r="C21" i="40"/>
  <c r="D21" i="42"/>
  <c r="C21" i="42"/>
  <c r="D50" i="13"/>
  <c r="C50" i="13"/>
  <c r="D38" i="28"/>
  <c r="C38" i="28"/>
  <c r="A7" i="8"/>
  <c r="B8" i="3"/>
  <c r="D23" i="39"/>
  <c r="C23" i="39"/>
  <c r="C10" i="4"/>
  <c r="G62" i="3"/>
  <c r="F62" i="3"/>
  <c r="E62" i="3"/>
  <c r="D62" i="3"/>
  <c r="C62" i="3"/>
  <c r="G60" i="3"/>
  <c r="F60" i="3"/>
  <c r="E60" i="3"/>
  <c r="D60" i="3"/>
  <c r="C60" i="3"/>
  <c r="G55" i="3"/>
  <c r="F55" i="3"/>
  <c r="E55" i="3"/>
  <c r="D55" i="3"/>
  <c r="C55" i="3"/>
  <c r="G52" i="3"/>
  <c r="F52" i="3"/>
  <c r="E52" i="3"/>
  <c r="D52" i="3"/>
  <c r="C52" i="3"/>
  <c r="G36" i="3"/>
  <c r="F36" i="3"/>
  <c r="E36" i="3"/>
  <c r="D36" i="3"/>
  <c r="C36" i="3"/>
  <c r="E57" i="4"/>
  <c r="D57" i="4"/>
  <c r="C57" i="4"/>
  <c r="B57" i="4"/>
  <c r="E56" i="4"/>
  <c r="D56" i="4"/>
  <c r="E55" i="4"/>
  <c r="D55" i="4"/>
  <c r="B55" i="4"/>
  <c r="E54" i="4"/>
  <c r="D54" i="4"/>
  <c r="C54" i="4"/>
  <c r="B54" i="4"/>
  <c r="E53" i="4"/>
  <c r="D53" i="4"/>
  <c r="C53" i="4"/>
  <c r="B53" i="4"/>
  <c r="E52" i="4"/>
  <c r="D52" i="4"/>
  <c r="C52" i="4"/>
  <c r="B52" i="4"/>
  <c r="E51" i="4"/>
  <c r="D51" i="4"/>
  <c r="C51" i="4"/>
  <c r="B51" i="4"/>
  <c r="E50" i="4"/>
  <c r="D50" i="4"/>
  <c r="B50" i="4"/>
  <c r="E49" i="4"/>
  <c r="D49" i="4"/>
  <c r="C49" i="4"/>
  <c r="B49" i="4"/>
  <c r="E48" i="4"/>
  <c r="D48" i="4"/>
  <c r="C48" i="4"/>
  <c r="B48" i="4"/>
  <c r="E42" i="4"/>
  <c r="D42" i="4"/>
  <c r="C42" i="4"/>
  <c r="B42" i="4"/>
  <c r="E41" i="4"/>
  <c r="D41" i="4"/>
  <c r="B41" i="4"/>
  <c r="E40" i="4"/>
  <c r="D40" i="4"/>
  <c r="C40" i="4"/>
  <c r="B40" i="4"/>
  <c r="E39" i="4"/>
  <c r="D39" i="4"/>
  <c r="C39" i="4"/>
  <c r="B39" i="4"/>
  <c r="E38" i="4"/>
  <c r="D38" i="4"/>
  <c r="C38" i="4"/>
  <c r="B38" i="4"/>
  <c r="E37" i="4"/>
  <c r="D37" i="4"/>
  <c r="C37" i="4"/>
  <c r="B37" i="4"/>
  <c r="E36" i="4"/>
  <c r="D36" i="4"/>
  <c r="B36" i="4"/>
  <c r="E35" i="4"/>
  <c r="D35" i="4"/>
  <c r="C35" i="4"/>
  <c r="B35" i="4"/>
  <c r="E34" i="4"/>
  <c r="D34" i="4"/>
  <c r="C34" i="4"/>
  <c r="B34" i="4"/>
  <c r="E33" i="4"/>
  <c r="D33" i="4"/>
  <c r="C33" i="4"/>
  <c r="B33" i="4"/>
  <c r="E32" i="4"/>
  <c r="D32" i="4"/>
  <c r="E31" i="4"/>
  <c r="D31" i="4"/>
  <c r="B31" i="4"/>
  <c r="E30" i="4"/>
  <c r="D30" i="4"/>
  <c r="C30" i="4"/>
  <c r="B30" i="4"/>
  <c r="E29" i="4"/>
  <c r="D29" i="4"/>
  <c r="C29" i="4"/>
  <c r="B29" i="4"/>
  <c r="E28" i="4"/>
  <c r="D28" i="4"/>
  <c r="C28" i="4"/>
  <c r="B28" i="4"/>
  <c r="E27" i="4"/>
  <c r="D27" i="4"/>
  <c r="C27" i="4"/>
  <c r="B27" i="4"/>
  <c r="E26" i="4"/>
  <c r="D26" i="4"/>
  <c r="C26" i="4"/>
  <c r="B26" i="4"/>
  <c r="E25" i="4"/>
  <c r="D25" i="4"/>
  <c r="C25" i="4"/>
  <c r="B25" i="4"/>
  <c r="E24" i="4"/>
  <c r="B24" i="4"/>
  <c r="E23" i="4"/>
  <c r="B23" i="4"/>
  <c r="E22" i="4"/>
  <c r="D22" i="4"/>
  <c r="C22" i="4"/>
  <c r="B22" i="4"/>
  <c r="E21" i="4"/>
  <c r="D21" i="4"/>
  <c r="C21" i="4"/>
  <c r="B21" i="4"/>
  <c r="E20" i="4"/>
  <c r="D20" i="4"/>
  <c r="C20" i="4"/>
  <c r="B20" i="4"/>
  <c r="E19" i="4"/>
  <c r="D19" i="4"/>
  <c r="C19" i="4"/>
  <c r="B19" i="4"/>
  <c r="E18" i="4"/>
  <c r="D18" i="4"/>
  <c r="C18" i="4"/>
  <c r="B18" i="4"/>
  <c r="E17" i="4"/>
  <c r="D17" i="4"/>
  <c r="C17" i="4"/>
  <c r="B17" i="4"/>
  <c r="E16" i="4"/>
  <c r="B16" i="4"/>
  <c r="E15" i="4"/>
  <c r="D15" i="4"/>
  <c r="C15" i="4"/>
  <c r="B15" i="4"/>
  <c r="E14" i="4"/>
  <c r="D14" i="4"/>
  <c r="C14" i="4"/>
  <c r="B14" i="4"/>
  <c r="E13" i="4"/>
  <c r="D13" i="4"/>
  <c r="C13" i="4"/>
  <c r="B13" i="4"/>
  <c r="E12" i="4"/>
  <c r="D12" i="4"/>
  <c r="C12" i="4"/>
  <c r="B12" i="4"/>
  <c r="E11" i="4"/>
  <c r="D11" i="4"/>
  <c r="B11" i="4"/>
  <c r="E10" i="4"/>
  <c r="D10" i="4"/>
  <c r="B10" i="4"/>
  <c r="E9" i="4"/>
  <c r="D9" i="4"/>
  <c r="C9" i="4"/>
  <c r="B9" i="4"/>
  <c r="E57" i="11"/>
  <c r="D57" i="11"/>
  <c r="C57" i="11"/>
  <c r="B57" i="11"/>
  <c r="E56" i="11"/>
  <c r="D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B49" i="11"/>
  <c r="E48" i="11"/>
  <c r="D48" i="11"/>
  <c r="B48" i="11"/>
  <c r="E42" i="11"/>
  <c r="D42" i="11"/>
  <c r="C42" i="11"/>
  <c r="B42" i="11"/>
  <c r="E41" i="11"/>
  <c r="D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B34" i="11"/>
  <c r="E33" i="11"/>
  <c r="D33" i="11"/>
  <c r="B33" i="11"/>
  <c r="E32" i="11"/>
  <c r="B32" i="11"/>
  <c r="E31" i="11"/>
  <c r="B31" i="11"/>
  <c r="E30" i="11"/>
  <c r="D30" i="11"/>
  <c r="C30" i="11"/>
  <c r="B30" i="11"/>
  <c r="E29" i="11"/>
  <c r="D29" i="11"/>
  <c r="C29" i="11"/>
  <c r="B29" i="11"/>
  <c r="E28" i="11"/>
  <c r="D28" i="11"/>
  <c r="B28" i="11"/>
  <c r="E27" i="11"/>
  <c r="D27" i="11"/>
  <c r="C27" i="11"/>
  <c r="B27" i="11"/>
  <c r="E26" i="11"/>
  <c r="D26" i="11"/>
  <c r="C26" i="11"/>
  <c r="B26" i="11"/>
  <c r="E25" i="11"/>
  <c r="D25" i="11"/>
  <c r="C25" i="11"/>
  <c r="B25" i="11"/>
  <c r="B24" i="11"/>
  <c r="E23" i="11"/>
  <c r="B23" i="11"/>
  <c r="E22" i="11"/>
  <c r="D22" i="11"/>
  <c r="C22" i="11"/>
  <c r="B22" i="11"/>
  <c r="E21" i="11"/>
  <c r="D21" i="11"/>
  <c r="C21" i="11"/>
  <c r="B21" i="11"/>
  <c r="E20" i="11"/>
  <c r="D20" i="11"/>
  <c r="C20" i="11"/>
  <c r="B20" i="11"/>
  <c r="E19" i="11"/>
  <c r="D19" i="11"/>
  <c r="B19" i="11"/>
  <c r="E18" i="11"/>
  <c r="D18" i="11"/>
  <c r="C18" i="11"/>
  <c r="B18" i="11"/>
  <c r="E17" i="11"/>
  <c r="D17" i="11"/>
  <c r="B17" i="11"/>
  <c r="E16" i="11"/>
  <c r="D16" i="11"/>
  <c r="B16" i="11"/>
  <c r="E15" i="11"/>
  <c r="D15" i="11"/>
  <c r="C15" i="11"/>
  <c r="B15" i="11"/>
  <c r="E14" i="11"/>
  <c r="D14" i="11"/>
  <c r="C14" i="11"/>
  <c r="B14" i="11"/>
  <c r="E13" i="11"/>
  <c r="D13" i="11"/>
  <c r="C13" i="11"/>
  <c r="B13" i="11"/>
  <c r="E12" i="11"/>
  <c r="D12" i="11"/>
  <c r="C12" i="11"/>
  <c r="B12" i="11"/>
  <c r="E11" i="11"/>
  <c r="D11" i="11"/>
  <c r="C11" i="11"/>
  <c r="B11" i="11"/>
  <c r="E10" i="11"/>
  <c r="D10" i="11"/>
  <c r="C10" i="11"/>
  <c r="B10" i="11"/>
  <c r="E9" i="11"/>
  <c r="D9" i="11"/>
  <c r="C9" i="11"/>
  <c r="B9" i="11"/>
  <c r="C56" i="15"/>
  <c r="E57" i="15"/>
  <c r="D57" i="15"/>
  <c r="C57" i="15"/>
  <c r="B57" i="15"/>
  <c r="E56" i="15"/>
  <c r="D56" i="15"/>
  <c r="B56" i="15"/>
  <c r="E55" i="15"/>
  <c r="D55" i="15"/>
  <c r="C55" i="15"/>
  <c r="B55" i="15"/>
  <c r="E54" i="15"/>
  <c r="D54" i="15"/>
  <c r="C54" i="15"/>
  <c r="B54" i="15"/>
  <c r="E53" i="15"/>
  <c r="D53" i="15"/>
  <c r="C53" i="15"/>
  <c r="B53" i="15"/>
  <c r="E52" i="15"/>
  <c r="D52" i="15"/>
  <c r="C52" i="15"/>
  <c r="B52" i="15"/>
  <c r="E51" i="15"/>
  <c r="D51" i="15"/>
  <c r="C51" i="15"/>
  <c r="B51" i="15"/>
  <c r="E50" i="15"/>
  <c r="D50" i="15"/>
  <c r="C50" i="15"/>
  <c r="B50" i="15"/>
  <c r="E49" i="15"/>
  <c r="D49" i="15"/>
  <c r="C49" i="15"/>
  <c r="B49" i="15"/>
  <c r="E48" i="15"/>
  <c r="D48" i="15"/>
  <c r="C48" i="15"/>
  <c r="B48" i="15"/>
  <c r="E42" i="15"/>
  <c r="D42" i="15"/>
  <c r="C42" i="15"/>
  <c r="B42" i="15"/>
  <c r="E41" i="15"/>
  <c r="D41" i="15"/>
  <c r="C41" i="15"/>
  <c r="B41" i="15"/>
  <c r="E40" i="15"/>
  <c r="D40" i="15"/>
  <c r="C40" i="15"/>
  <c r="B40" i="15"/>
  <c r="E39" i="15"/>
  <c r="D39" i="15"/>
  <c r="C39" i="15"/>
  <c r="B39" i="15"/>
  <c r="E38" i="15"/>
  <c r="D38" i="15"/>
  <c r="C38" i="15"/>
  <c r="B38" i="15"/>
  <c r="E37" i="15"/>
  <c r="D37" i="15"/>
  <c r="C37" i="15"/>
  <c r="B37" i="15"/>
  <c r="E36" i="15"/>
  <c r="D36" i="15"/>
  <c r="C36" i="15"/>
  <c r="B36" i="15"/>
  <c r="E35" i="15"/>
  <c r="D35" i="15"/>
  <c r="C35" i="15"/>
  <c r="B35" i="15"/>
  <c r="E34" i="15"/>
  <c r="D34" i="15"/>
  <c r="C34" i="15"/>
  <c r="B34" i="15"/>
  <c r="E33" i="15"/>
  <c r="D33" i="15"/>
  <c r="C33" i="15"/>
  <c r="B33" i="15"/>
  <c r="E32" i="15"/>
  <c r="D32" i="15"/>
  <c r="C32" i="15"/>
  <c r="B32" i="15"/>
  <c r="E31" i="15"/>
  <c r="D31" i="15"/>
  <c r="C31" i="15"/>
  <c r="B31" i="15"/>
  <c r="E30" i="15"/>
  <c r="D30" i="15"/>
  <c r="C30" i="15"/>
  <c r="B30" i="15"/>
  <c r="E29" i="15"/>
  <c r="D29" i="15"/>
  <c r="C29" i="15"/>
  <c r="B29" i="15"/>
  <c r="E28" i="15"/>
  <c r="D28" i="15"/>
  <c r="C28" i="15"/>
  <c r="B28" i="15"/>
  <c r="E27" i="15"/>
  <c r="D27" i="15"/>
  <c r="C27" i="15"/>
  <c r="B27" i="15"/>
  <c r="E26" i="15"/>
  <c r="D26" i="15"/>
  <c r="C26" i="15"/>
  <c r="B26" i="15"/>
  <c r="E25" i="15"/>
  <c r="D25" i="15"/>
  <c r="C25" i="15"/>
  <c r="B25" i="15"/>
  <c r="E24" i="15"/>
  <c r="D24" i="15"/>
  <c r="C24" i="15"/>
  <c r="B24" i="15"/>
  <c r="E23" i="15"/>
  <c r="D23" i="15"/>
  <c r="C23" i="15"/>
  <c r="B23" i="15"/>
  <c r="E22" i="15"/>
  <c r="D22" i="15"/>
  <c r="C22" i="15"/>
  <c r="B22" i="15"/>
  <c r="E21" i="15"/>
  <c r="D21" i="15"/>
  <c r="C21" i="15"/>
  <c r="B21" i="15"/>
  <c r="E20" i="15"/>
  <c r="D20" i="15"/>
  <c r="C20" i="15"/>
  <c r="B20" i="15"/>
  <c r="E19" i="15"/>
  <c r="D19" i="15"/>
  <c r="C19" i="15"/>
  <c r="B19" i="15"/>
  <c r="E18" i="15"/>
  <c r="D18" i="15"/>
  <c r="C18" i="15"/>
  <c r="B18" i="15"/>
  <c r="E17" i="15"/>
  <c r="D17" i="15"/>
  <c r="C17" i="15"/>
  <c r="B17" i="15"/>
  <c r="E16" i="15"/>
  <c r="D16" i="15"/>
  <c r="C16" i="15"/>
  <c r="B16" i="15"/>
  <c r="E15" i="15"/>
  <c r="D15" i="15"/>
  <c r="C15" i="15"/>
  <c r="B15" i="15"/>
  <c r="E14" i="15"/>
  <c r="D14" i="15"/>
  <c r="C14" i="15"/>
  <c r="B14" i="15"/>
  <c r="E13" i="15"/>
  <c r="D13" i="15"/>
  <c r="C13" i="15"/>
  <c r="B13" i="15"/>
  <c r="E12" i="15"/>
  <c r="D12" i="15"/>
  <c r="C12" i="15"/>
  <c r="B12" i="15"/>
  <c r="E11" i="15"/>
  <c r="D11" i="15"/>
  <c r="C11" i="15"/>
  <c r="B11" i="15"/>
  <c r="E10" i="15"/>
  <c r="D10" i="15"/>
  <c r="C10" i="15"/>
  <c r="B10" i="15"/>
  <c r="E9" i="15"/>
  <c r="D9" i="15"/>
  <c r="C9" i="15"/>
  <c r="B9" i="15"/>
  <c r="I34" i="2"/>
  <c r="I17" i="2"/>
  <c r="I12" i="2"/>
  <c r="C54" i="19"/>
  <c r="E55" i="19"/>
  <c r="D55" i="19"/>
  <c r="C55" i="19"/>
  <c r="B55" i="19"/>
  <c r="E54" i="19"/>
  <c r="D54" i="19"/>
  <c r="B54" i="19"/>
  <c r="E53" i="19"/>
  <c r="D53" i="19"/>
  <c r="C53" i="19"/>
  <c r="B53" i="19"/>
  <c r="E52" i="19"/>
  <c r="D52" i="19"/>
  <c r="C52" i="19"/>
  <c r="B52" i="19"/>
  <c r="E51" i="19"/>
  <c r="D51" i="19"/>
  <c r="C51" i="19"/>
  <c r="B51" i="19"/>
  <c r="E50" i="19"/>
  <c r="D50" i="19"/>
  <c r="C50" i="19"/>
  <c r="B50" i="19"/>
  <c r="E49" i="19"/>
  <c r="D49" i="19"/>
  <c r="C49" i="19"/>
  <c r="B49" i="19"/>
  <c r="E48" i="19"/>
  <c r="D48" i="19"/>
  <c r="C48" i="19"/>
  <c r="B48" i="19"/>
  <c r="E47" i="19"/>
  <c r="D47" i="19"/>
  <c r="C47" i="19"/>
  <c r="B47" i="19"/>
  <c r="E46" i="19"/>
  <c r="D46" i="19"/>
  <c r="C46" i="19"/>
  <c r="B46" i="19"/>
  <c r="E45" i="19"/>
  <c r="D45" i="19"/>
  <c r="C45" i="19"/>
  <c r="B45" i="19"/>
  <c r="E44" i="19"/>
  <c r="D44" i="19"/>
  <c r="C44" i="19"/>
  <c r="B44" i="19"/>
  <c r="E43" i="19"/>
  <c r="D43" i="19"/>
  <c r="C43" i="19"/>
  <c r="B43" i="19"/>
  <c r="E42" i="19"/>
  <c r="D42" i="19"/>
  <c r="C42" i="19"/>
  <c r="B42" i="19"/>
  <c r="E41" i="19"/>
  <c r="D41" i="19"/>
  <c r="C41" i="19"/>
  <c r="B41" i="19"/>
  <c r="E40" i="19"/>
  <c r="D40" i="19"/>
  <c r="C40" i="19"/>
  <c r="B40" i="19"/>
  <c r="E39" i="19"/>
  <c r="D39" i="19"/>
  <c r="C39" i="19"/>
  <c r="B39" i="19"/>
  <c r="E38" i="19"/>
  <c r="D38" i="19"/>
  <c r="C38" i="19"/>
  <c r="B38" i="19"/>
  <c r="E37" i="19"/>
  <c r="D37" i="19"/>
  <c r="C37" i="19"/>
  <c r="B37" i="19"/>
  <c r="E36" i="19"/>
  <c r="D36" i="19"/>
  <c r="C36" i="19"/>
  <c r="B36" i="19"/>
  <c r="E35" i="19"/>
  <c r="D35" i="19"/>
  <c r="C35" i="19"/>
  <c r="B35" i="19"/>
  <c r="E34" i="19"/>
  <c r="D34" i="19"/>
  <c r="C34" i="19"/>
  <c r="B34" i="19"/>
  <c r="E33" i="19"/>
  <c r="D33" i="19"/>
  <c r="C33" i="19"/>
  <c r="B33" i="19"/>
  <c r="E32" i="19"/>
  <c r="D32" i="19"/>
  <c r="C32" i="19"/>
  <c r="B32" i="19"/>
  <c r="E31" i="19"/>
  <c r="D31" i="19"/>
  <c r="C31" i="19"/>
  <c r="B31" i="19"/>
  <c r="E30" i="19"/>
  <c r="D30" i="19"/>
  <c r="C30" i="19"/>
  <c r="B30" i="19"/>
  <c r="E29" i="19"/>
  <c r="D29" i="19"/>
  <c r="C29" i="19"/>
  <c r="B29" i="19"/>
  <c r="E28" i="19"/>
  <c r="D28" i="19"/>
  <c r="C28" i="19"/>
  <c r="B28" i="19"/>
  <c r="E27" i="19"/>
  <c r="D27" i="19"/>
  <c r="C27" i="19"/>
  <c r="B27" i="19"/>
  <c r="E26" i="19"/>
  <c r="D26" i="19"/>
  <c r="C26" i="19"/>
  <c r="B26" i="19"/>
  <c r="E25" i="19"/>
  <c r="D25" i="19"/>
  <c r="C25" i="19"/>
  <c r="B25" i="19"/>
  <c r="E24" i="19"/>
  <c r="D24" i="19"/>
  <c r="C24" i="19"/>
  <c r="B24" i="19"/>
  <c r="E23" i="19"/>
  <c r="D23" i="19"/>
  <c r="C23" i="19"/>
  <c r="B23" i="19"/>
  <c r="E22" i="19"/>
  <c r="D22" i="19"/>
  <c r="C22" i="19"/>
  <c r="B22" i="19"/>
  <c r="E21" i="19"/>
  <c r="D21" i="19"/>
  <c r="C21" i="19"/>
  <c r="B21" i="19"/>
  <c r="E20" i="19"/>
  <c r="D20" i="19"/>
  <c r="C20" i="19"/>
  <c r="B20" i="19"/>
  <c r="E19" i="19"/>
  <c r="D19" i="19"/>
  <c r="C19" i="19"/>
  <c r="B19" i="19"/>
  <c r="E18" i="19"/>
  <c r="D18" i="19"/>
  <c r="C18" i="19"/>
  <c r="B18" i="19"/>
  <c r="E17" i="19"/>
  <c r="D17" i="19"/>
  <c r="C17" i="19"/>
  <c r="B17" i="19"/>
  <c r="E16" i="19"/>
  <c r="D16" i="19"/>
  <c r="C16" i="19"/>
  <c r="B16" i="19"/>
  <c r="E15" i="19"/>
  <c r="D15" i="19"/>
  <c r="C15" i="19"/>
  <c r="B15" i="19"/>
  <c r="E14" i="19"/>
  <c r="D14" i="19"/>
  <c r="C14" i="19"/>
  <c r="B14" i="19"/>
  <c r="E13" i="19"/>
  <c r="D13" i="19"/>
  <c r="C13" i="19"/>
  <c r="B13" i="19"/>
  <c r="E12" i="19"/>
  <c r="D12" i="19"/>
  <c r="C12" i="19"/>
  <c r="B12" i="19"/>
  <c r="E11" i="19"/>
  <c r="D11" i="19"/>
  <c r="C11" i="19"/>
  <c r="B11" i="19"/>
  <c r="E10" i="19"/>
  <c r="D10" i="19"/>
  <c r="C10" i="19"/>
  <c r="B10" i="19"/>
  <c r="C9" i="19"/>
  <c r="E9" i="19"/>
  <c r="D9" i="19"/>
  <c r="B9" i="19"/>
  <c r="H34" i="2"/>
  <c r="H17" i="2"/>
  <c r="H12" i="2"/>
  <c r="B55" i="23"/>
  <c r="E53" i="23"/>
  <c r="D53" i="23"/>
  <c r="C53" i="23"/>
  <c r="B53" i="23"/>
  <c r="E52" i="23"/>
  <c r="D52" i="23"/>
  <c r="C52" i="23"/>
  <c r="B52" i="23"/>
  <c r="E51" i="23"/>
  <c r="D51" i="23"/>
  <c r="C51" i="23"/>
  <c r="B51" i="23"/>
  <c r="E50" i="23"/>
  <c r="D50" i="23"/>
  <c r="C50" i="23"/>
  <c r="B50" i="23"/>
  <c r="E49" i="23"/>
  <c r="D49" i="23"/>
  <c r="C49" i="23"/>
  <c r="B49" i="23"/>
  <c r="E48" i="23"/>
  <c r="D48" i="23"/>
  <c r="C48" i="23"/>
  <c r="B48" i="23"/>
  <c r="E47" i="23"/>
  <c r="D47" i="23"/>
  <c r="C47" i="23"/>
  <c r="B47" i="23"/>
  <c r="E46" i="23"/>
  <c r="D46" i="23"/>
  <c r="C46" i="23"/>
  <c r="B46" i="23"/>
  <c r="E45" i="23"/>
  <c r="D45" i="23"/>
  <c r="C45" i="23"/>
  <c r="B45" i="23"/>
  <c r="E44" i="23"/>
  <c r="D44" i="23"/>
  <c r="C44" i="23"/>
  <c r="B44" i="23"/>
  <c r="E43" i="23"/>
  <c r="D43" i="23"/>
  <c r="C43" i="23"/>
  <c r="B43" i="23"/>
  <c r="E42" i="23"/>
  <c r="D42" i="23"/>
  <c r="C42" i="23"/>
  <c r="B42" i="23"/>
  <c r="E41" i="23"/>
  <c r="D41" i="23"/>
  <c r="C41" i="23"/>
  <c r="B41" i="23"/>
  <c r="E40" i="23"/>
  <c r="D40" i="23"/>
  <c r="C40" i="23"/>
  <c r="B40" i="23"/>
  <c r="E39" i="23"/>
  <c r="D39" i="23"/>
  <c r="C39" i="23"/>
  <c r="B39" i="23"/>
  <c r="E38" i="23"/>
  <c r="D38" i="23"/>
  <c r="C38" i="23"/>
  <c r="B38" i="23"/>
  <c r="E37" i="23"/>
  <c r="D37" i="23"/>
  <c r="C37" i="23"/>
  <c r="B37" i="23"/>
  <c r="E36" i="23"/>
  <c r="D36" i="23"/>
  <c r="C36" i="23"/>
  <c r="B36" i="23"/>
  <c r="E35" i="23"/>
  <c r="D35" i="23"/>
  <c r="C35" i="23"/>
  <c r="B35" i="23"/>
  <c r="E34" i="23"/>
  <c r="D34" i="23"/>
  <c r="C34" i="23"/>
  <c r="B34" i="23"/>
  <c r="E33" i="23"/>
  <c r="D33" i="23"/>
  <c r="C33" i="23"/>
  <c r="B33" i="23"/>
  <c r="E32" i="23"/>
  <c r="D32" i="23"/>
  <c r="C32" i="23"/>
  <c r="B32" i="23"/>
  <c r="E31" i="23"/>
  <c r="D31" i="23"/>
  <c r="C31" i="23"/>
  <c r="B31" i="23"/>
  <c r="E30" i="23"/>
  <c r="D30" i="23"/>
  <c r="C30" i="23"/>
  <c r="B30" i="23"/>
  <c r="E29" i="23"/>
  <c r="D29" i="23"/>
  <c r="C29" i="23"/>
  <c r="B29" i="23"/>
  <c r="E28" i="23"/>
  <c r="D28" i="23"/>
  <c r="C28" i="23"/>
  <c r="B28" i="23"/>
  <c r="C27" i="23"/>
  <c r="B27" i="23"/>
  <c r="E26" i="23"/>
  <c r="D26" i="23"/>
  <c r="C26" i="23"/>
  <c r="B26" i="23"/>
  <c r="E25" i="23"/>
  <c r="D25" i="23"/>
  <c r="C25" i="23"/>
  <c r="B25" i="23"/>
  <c r="E24" i="23"/>
  <c r="D24" i="23"/>
  <c r="C24" i="23"/>
  <c r="B24" i="23"/>
  <c r="E23" i="23"/>
  <c r="D23" i="23"/>
  <c r="C23" i="23"/>
  <c r="B23" i="23"/>
  <c r="E22" i="23"/>
  <c r="D22" i="23"/>
  <c r="C22" i="23"/>
  <c r="B22" i="23"/>
  <c r="E21" i="23"/>
  <c r="D21" i="23"/>
  <c r="C21" i="23"/>
  <c r="B21" i="23"/>
  <c r="E20" i="23"/>
  <c r="D20" i="23"/>
  <c r="C20" i="23"/>
  <c r="B20" i="23"/>
  <c r="E19" i="23"/>
  <c r="D19" i="23"/>
  <c r="C19" i="23"/>
  <c r="B19" i="23"/>
  <c r="E18" i="23"/>
  <c r="D18" i="23"/>
  <c r="C18" i="23"/>
  <c r="B18" i="23"/>
  <c r="E17" i="23"/>
  <c r="D17" i="23"/>
  <c r="C17" i="23"/>
  <c r="B17" i="23"/>
  <c r="E16" i="23"/>
  <c r="D16" i="23"/>
  <c r="C16" i="23"/>
  <c r="B16" i="23"/>
  <c r="E15" i="23"/>
  <c r="D15" i="23"/>
  <c r="C15" i="23"/>
  <c r="B15" i="23"/>
  <c r="E14" i="23"/>
  <c r="D14" i="23"/>
  <c r="C14" i="23"/>
  <c r="B14" i="23"/>
  <c r="E13" i="23"/>
  <c r="D13" i="23"/>
  <c r="C13" i="23"/>
  <c r="B13" i="23"/>
  <c r="E12" i="23"/>
  <c r="D12" i="23"/>
  <c r="C12" i="23"/>
  <c r="B12" i="23"/>
  <c r="E11" i="23"/>
  <c r="D11" i="23"/>
  <c r="C11" i="23"/>
  <c r="B11" i="23"/>
  <c r="E10" i="23"/>
  <c r="D10" i="23"/>
  <c r="C10" i="23"/>
  <c r="B10" i="23"/>
  <c r="E9" i="23"/>
  <c r="D9" i="23"/>
  <c r="C9" i="23"/>
  <c r="B9" i="23"/>
  <c r="F41" i="26"/>
  <c r="F41" i="25"/>
  <c r="G34" i="2"/>
  <c r="G15" i="2"/>
  <c r="G12" i="2"/>
  <c r="E50" i="27"/>
  <c r="D50" i="27"/>
  <c r="C50" i="27"/>
  <c r="B50" i="27"/>
  <c r="E49" i="27"/>
  <c r="D49" i="27"/>
  <c r="C49" i="27"/>
  <c r="B49" i="27"/>
  <c r="E48" i="27"/>
  <c r="D48" i="27"/>
  <c r="C48" i="27"/>
  <c r="B48" i="27"/>
  <c r="E47" i="27"/>
  <c r="D47" i="27"/>
  <c r="C47" i="27"/>
  <c r="B47" i="27"/>
  <c r="E46" i="27"/>
  <c r="D46" i="27"/>
  <c r="C46" i="27"/>
  <c r="B46" i="27"/>
  <c r="E45" i="27"/>
  <c r="D45" i="27"/>
  <c r="C45" i="27"/>
  <c r="B45" i="27"/>
  <c r="E44" i="27"/>
  <c r="D44" i="27"/>
  <c r="C44" i="27"/>
  <c r="B44" i="27"/>
  <c r="E43" i="27"/>
  <c r="D43" i="27"/>
  <c r="C43" i="27"/>
  <c r="B43" i="27"/>
  <c r="E42" i="27"/>
  <c r="D42" i="27"/>
  <c r="C42" i="27"/>
  <c r="B42" i="27"/>
  <c r="E41" i="27"/>
  <c r="D41" i="27"/>
  <c r="C41" i="27"/>
  <c r="B41" i="27"/>
  <c r="E40" i="27"/>
  <c r="D40" i="27"/>
  <c r="C40" i="27"/>
  <c r="B40" i="27"/>
  <c r="E39" i="27"/>
  <c r="D39" i="27"/>
  <c r="C39" i="27"/>
  <c r="B39" i="27"/>
  <c r="E38" i="27"/>
  <c r="D38" i="27"/>
  <c r="C38" i="27"/>
  <c r="B38" i="27"/>
  <c r="E37" i="27"/>
  <c r="D37" i="27"/>
  <c r="C37" i="27"/>
  <c r="B37" i="27"/>
  <c r="E36" i="27"/>
  <c r="D36" i="27"/>
  <c r="C36" i="27"/>
  <c r="B36" i="27"/>
  <c r="E35" i="27"/>
  <c r="D35" i="27"/>
  <c r="C35" i="27"/>
  <c r="B35" i="27"/>
  <c r="E34" i="27"/>
  <c r="D34" i="27"/>
  <c r="C34" i="27"/>
  <c r="B34" i="27"/>
  <c r="E33" i="27"/>
  <c r="D33" i="27"/>
  <c r="C33" i="27"/>
  <c r="B33" i="27"/>
  <c r="E32" i="27"/>
  <c r="D32" i="27"/>
  <c r="C32" i="27"/>
  <c r="B32" i="27"/>
  <c r="E31" i="27"/>
  <c r="D31" i="27"/>
  <c r="C31" i="27"/>
  <c r="B31" i="27"/>
  <c r="E30" i="27"/>
  <c r="D30" i="27"/>
  <c r="C30" i="27"/>
  <c r="B30" i="27"/>
  <c r="E29" i="27"/>
  <c r="D29" i="27"/>
  <c r="C29" i="27"/>
  <c r="B29" i="27"/>
  <c r="E28" i="27"/>
  <c r="D28" i="27"/>
  <c r="C28" i="27"/>
  <c r="B28" i="27"/>
  <c r="E27" i="27"/>
  <c r="D27" i="27"/>
  <c r="C27" i="27"/>
  <c r="B27" i="27"/>
  <c r="E26" i="27"/>
  <c r="D26" i="27"/>
  <c r="C26" i="27"/>
  <c r="B26" i="27"/>
  <c r="E25" i="27"/>
  <c r="D25" i="27"/>
  <c r="C25" i="27"/>
  <c r="B25" i="27"/>
  <c r="E24" i="27"/>
  <c r="D24" i="27"/>
  <c r="C24" i="27"/>
  <c r="B24" i="27"/>
  <c r="E23" i="27"/>
  <c r="D23" i="27"/>
  <c r="C23" i="27"/>
  <c r="B23" i="27"/>
  <c r="E22" i="27"/>
  <c r="D22" i="27"/>
  <c r="C22" i="27"/>
  <c r="B22" i="27"/>
  <c r="E21" i="27"/>
  <c r="D21" i="27"/>
  <c r="C21" i="27"/>
  <c r="B21" i="27"/>
  <c r="E20" i="27"/>
  <c r="D20" i="27"/>
  <c r="C20" i="27"/>
  <c r="B20" i="27"/>
  <c r="E19" i="27"/>
  <c r="D19" i="27"/>
  <c r="C19" i="27"/>
  <c r="B19" i="27"/>
  <c r="E18" i="27"/>
  <c r="D18" i="27"/>
  <c r="C18" i="27"/>
  <c r="B18" i="27"/>
  <c r="E17" i="27"/>
  <c r="D17" i="27"/>
  <c r="C17" i="27"/>
  <c r="B17" i="27"/>
  <c r="E16" i="27"/>
  <c r="D16" i="27"/>
  <c r="C16" i="27"/>
  <c r="B16" i="27"/>
  <c r="E15" i="27"/>
  <c r="D15" i="27"/>
  <c r="C15" i="27"/>
  <c r="B15" i="27"/>
  <c r="E14" i="27"/>
  <c r="D14" i="27"/>
  <c r="C14" i="27"/>
  <c r="B14" i="27"/>
  <c r="E13" i="27"/>
  <c r="D13" i="27"/>
  <c r="C13" i="27"/>
  <c r="B13" i="27"/>
  <c r="E12" i="27"/>
  <c r="D12" i="27"/>
  <c r="C12" i="27"/>
  <c r="B12" i="27"/>
  <c r="E11" i="27"/>
  <c r="D11" i="27"/>
  <c r="C11" i="27"/>
  <c r="B11" i="27"/>
  <c r="E10" i="27"/>
  <c r="D10" i="27"/>
  <c r="C10" i="27"/>
  <c r="B10" i="27"/>
  <c r="E9" i="27"/>
  <c r="D9" i="27"/>
  <c r="C9" i="27"/>
  <c r="B9" i="27"/>
  <c r="B8" i="27"/>
  <c r="C8" i="27"/>
  <c r="E8" i="27"/>
  <c r="D8" i="27"/>
  <c r="F34" i="2"/>
  <c r="F15" i="2"/>
  <c r="F12" i="2"/>
  <c r="F28" i="2" s="1"/>
  <c r="E50" i="31"/>
  <c r="D50" i="31"/>
  <c r="C50" i="31"/>
  <c r="B50" i="31"/>
  <c r="E49" i="31"/>
  <c r="D49" i="31"/>
  <c r="C49" i="31"/>
  <c r="B49" i="31"/>
  <c r="E48" i="31"/>
  <c r="D48" i="31"/>
  <c r="C48" i="31"/>
  <c r="B48" i="31"/>
  <c r="E47" i="31"/>
  <c r="D47" i="31"/>
  <c r="C47" i="31"/>
  <c r="B47" i="31"/>
  <c r="E46" i="31"/>
  <c r="D46" i="31"/>
  <c r="C46" i="31"/>
  <c r="B46" i="31"/>
  <c r="E45" i="31"/>
  <c r="D45" i="31"/>
  <c r="C45" i="31"/>
  <c r="B45" i="31"/>
  <c r="E44" i="31"/>
  <c r="D44" i="31"/>
  <c r="C44" i="31"/>
  <c r="B44" i="31"/>
  <c r="E43" i="31"/>
  <c r="D43" i="31"/>
  <c r="C43" i="31"/>
  <c r="B43" i="31"/>
  <c r="E42" i="31"/>
  <c r="D42" i="31"/>
  <c r="C42" i="31"/>
  <c r="B42" i="31"/>
  <c r="E41" i="31"/>
  <c r="D41" i="31"/>
  <c r="C41" i="31"/>
  <c r="B41" i="31"/>
  <c r="E40" i="31"/>
  <c r="D40" i="31"/>
  <c r="C40" i="31"/>
  <c r="B40" i="31"/>
  <c r="E39" i="31"/>
  <c r="D39" i="31"/>
  <c r="C39" i="31"/>
  <c r="B39" i="31"/>
  <c r="E38" i="31"/>
  <c r="D38" i="31"/>
  <c r="C38" i="31"/>
  <c r="B38" i="31"/>
  <c r="E37" i="31"/>
  <c r="D37" i="31"/>
  <c r="C37" i="31"/>
  <c r="B37" i="31"/>
  <c r="E36" i="31"/>
  <c r="D36" i="31"/>
  <c r="C36" i="31"/>
  <c r="B36" i="31"/>
  <c r="E35" i="31"/>
  <c r="D35" i="31"/>
  <c r="C35" i="31"/>
  <c r="B35" i="31"/>
  <c r="E34" i="31"/>
  <c r="D34" i="31"/>
  <c r="C34" i="31"/>
  <c r="B34" i="31"/>
  <c r="E33" i="31"/>
  <c r="D33" i="31"/>
  <c r="C33" i="31"/>
  <c r="B33" i="31"/>
  <c r="E32" i="31"/>
  <c r="D32" i="31"/>
  <c r="C32" i="31"/>
  <c r="B32" i="31"/>
  <c r="E31" i="31"/>
  <c r="D31" i="31"/>
  <c r="C31" i="31"/>
  <c r="B31" i="31"/>
  <c r="E30" i="31"/>
  <c r="D30" i="31"/>
  <c r="C30" i="31"/>
  <c r="B30" i="31"/>
  <c r="E29" i="31"/>
  <c r="D29" i="31"/>
  <c r="C29" i="31"/>
  <c r="B29" i="31"/>
  <c r="E28" i="31"/>
  <c r="D28" i="31"/>
  <c r="C28" i="31"/>
  <c r="B28" i="31"/>
  <c r="E27" i="31"/>
  <c r="D27" i="31"/>
  <c r="C27" i="31"/>
  <c r="B27" i="31"/>
  <c r="E26" i="31"/>
  <c r="D26" i="31"/>
  <c r="C26" i="31"/>
  <c r="B26" i="31"/>
  <c r="E25" i="31"/>
  <c r="D25" i="31"/>
  <c r="C25" i="31"/>
  <c r="B25" i="31"/>
  <c r="E24" i="31"/>
  <c r="D24" i="31"/>
  <c r="C24" i="31"/>
  <c r="B24" i="31"/>
  <c r="E23" i="31"/>
  <c r="D23" i="31"/>
  <c r="C23" i="31"/>
  <c r="B23" i="31"/>
  <c r="E22" i="31"/>
  <c r="D22" i="31"/>
  <c r="C22" i="31"/>
  <c r="B22" i="31"/>
  <c r="E21" i="31"/>
  <c r="D21" i="31"/>
  <c r="C21" i="31"/>
  <c r="B21" i="31"/>
  <c r="E20" i="31"/>
  <c r="D20" i="31"/>
  <c r="C20" i="31"/>
  <c r="B20" i="31"/>
  <c r="E19" i="31"/>
  <c r="D19" i="31"/>
  <c r="C19" i="31"/>
  <c r="B19" i="31"/>
  <c r="E18" i="31"/>
  <c r="D18" i="31"/>
  <c r="C18" i="31"/>
  <c r="B18" i="31"/>
  <c r="E17" i="31"/>
  <c r="D17" i="31"/>
  <c r="C17" i="31"/>
  <c r="B17" i="31"/>
  <c r="E16" i="31"/>
  <c r="D16" i="31"/>
  <c r="C16" i="31"/>
  <c r="B16" i="31"/>
  <c r="E15" i="31"/>
  <c r="D15" i="31"/>
  <c r="C15" i="31"/>
  <c r="B15" i="31"/>
  <c r="E14" i="31"/>
  <c r="D14" i="31"/>
  <c r="C14" i="31"/>
  <c r="B14" i="31"/>
  <c r="E13" i="31"/>
  <c r="D13" i="31"/>
  <c r="C13" i="31"/>
  <c r="B13" i="31"/>
  <c r="E12" i="31"/>
  <c r="D12" i="31"/>
  <c r="C12" i="31"/>
  <c r="B12" i="31"/>
  <c r="E11" i="31"/>
  <c r="D11" i="31"/>
  <c r="C11" i="31"/>
  <c r="B11" i="31"/>
  <c r="E10" i="31"/>
  <c r="D10" i="31"/>
  <c r="C10" i="31"/>
  <c r="B10" i="31"/>
  <c r="E9" i="31"/>
  <c r="D9" i="31"/>
  <c r="C9" i="31"/>
  <c r="B9" i="31"/>
  <c r="C8" i="31"/>
  <c r="E8" i="31"/>
  <c r="D8" i="31"/>
  <c r="B8" i="31"/>
  <c r="B58" i="35"/>
  <c r="B57" i="35"/>
  <c r="B56" i="35"/>
  <c r="B54" i="35"/>
  <c r="B53" i="35"/>
  <c r="B52" i="35"/>
  <c r="B51" i="35"/>
  <c r="B50" i="35"/>
  <c r="B49" i="35"/>
  <c r="B48" i="35"/>
  <c r="E55" i="35"/>
  <c r="D55" i="35"/>
  <c r="F55" i="35"/>
  <c r="C55" i="35"/>
  <c r="B55" i="35"/>
  <c r="E47" i="35"/>
  <c r="F47" i="35"/>
  <c r="D47" i="35"/>
  <c r="C47" i="35"/>
  <c r="B47" i="35"/>
  <c r="B44" i="35"/>
  <c r="B43" i="35"/>
  <c r="B42" i="35"/>
  <c r="E45" i="35"/>
  <c r="D45" i="35"/>
  <c r="F45" i="35"/>
  <c r="C45" i="35"/>
  <c r="B45" i="35"/>
  <c r="E41" i="35"/>
  <c r="D41" i="35"/>
  <c r="C41" i="35"/>
  <c r="B41" i="35"/>
  <c r="F41" i="35"/>
  <c r="B40" i="35"/>
  <c r="B39" i="35"/>
  <c r="B38" i="35"/>
  <c r="B37" i="35"/>
  <c r="E35" i="35"/>
  <c r="D35" i="35"/>
  <c r="C35" i="35"/>
  <c r="B35" i="35"/>
  <c r="E34" i="35"/>
  <c r="D34" i="35"/>
  <c r="C34" i="35"/>
  <c r="B34" i="35"/>
  <c r="E33" i="35"/>
  <c r="D33" i="35"/>
  <c r="C33" i="35"/>
  <c r="B33" i="35"/>
  <c r="E32" i="35"/>
  <c r="D32" i="35"/>
  <c r="C32" i="35"/>
  <c r="B32" i="35"/>
  <c r="E36" i="35"/>
  <c r="D36" i="35"/>
  <c r="C36" i="35"/>
  <c r="F36" i="35"/>
  <c r="B36" i="35"/>
  <c r="E31" i="35"/>
  <c r="D31" i="35"/>
  <c r="C31" i="35"/>
  <c r="F31" i="35"/>
  <c r="B31" i="35"/>
  <c r="D30" i="35"/>
  <c r="C30" i="35"/>
  <c r="E30" i="35"/>
  <c r="B30" i="35"/>
  <c r="E29" i="35"/>
  <c r="D29" i="35"/>
  <c r="C29" i="35"/>
  <c r="B29" i="35"/>
  <c r="E28" i="35"/>
  <c r="D28" i="35"/>
  <c r="C28" i="35"/>
  <c r="B28" i="35"/>
  <c r="E27" i="35"/>
  <c r="D27" i="35"/>
  <c r="C27" i="35"/>
  <c r="B27" i="35"/>
  <c r="E26" i="35"/>
  <c r="D26" i="35"/>
  <c r="C26" i="35"/>
  <c r="B26" i="35"/>
  <c r="E25" i="35"/>
  <c r="D25" i="35"/>
  <c r="C25" i="35"/>
  <c r="B25" i="35"/>
  <c r="E24" i="35"/>
  <c r="D24" i="35"/>
  <c r="C24" i="35"/>
  <c r="B24" i="35"/>
  <c r="E23" i="35"/>
  <c r="C23" i="35"/>
  <c r="D23" i="35"/>
  <c r="B23" i="35"/>
  <c r="E22" i="35"/>
  <c r="D22" i="35"/>
  <c r="C22" i="35"/>
  <c r="B22" i="35"/>
  <c r="F22" i="35"/>
  <c r="B21" i="35"/>
  <c r="C20" i="35"/>
  <c r="E20" i="35"/>
  <c r="B20" i="35"/>
  <c r="E19" i="35"/>
  <c r="D19" i="35"/>
  <c r="C19" i="35"/>
  <c r="B19" i="35"/>
  <c r="E18" i="35"/>
  <c r="D18" i="35"/>
  <c r="C18" i="35"/>
  <c r="B18" i="35"/>
  <c r="E17" i="35"/>
  <c r="D17" i="35"/>
  <c r="C17" i="35"/>
  <c r="B17" i="35"/>
  <c r="F16" i="35"/>
  <c r="E16" i="35"/>
  <c r="D16" i="35"/>
  <c r="C16" i="35"/>
  <c r="B16" i="35"/>
  <c r="E15" i="35"/>
  <c r="D15" i="35"/>
  <c r="C15" i="35"/>
  <c r="B15" i="35"/>
  <c r="D12" i="35"/>
  <c r="C12" i="35"/>
  <c r="E14" i="35"/>
  <c r="D14" i="35"/>
  <c r="C14" i="35"/>
  <c r="B14" i="35"/>
  <c r="E13" i="35"/>
  <c r="D13" i="35"/>
  <c r="C13" i="35"/>
  <c r="B13" i="35"/>
  <c r="E12" i="35"/>
  <c r="B12" i="35"/>
  <c r="E11" i="35"/>
  <c r="D11" i="35"/>
  <c r="C11" i="35"/>
  <c r="B11" i="35"/>
  <c r="B10" i="35"/>
  <c r="E9" i="35"/>
  <c r="D9" i="35"/>
  <c r="C9" i="35"/>
  <c r="B9" i="35"/>
  <c r="E8" i="35"/>
  <c r="D8" i="35"/>
  <c r="C8" i="35"/>
  <c r="B8" i="35"/>
  <c r="D17" i="2"/>
  <c r="D12" i="2"/>
  <c r="D28" i="2" s="1"/>
  <c r="B56" i="39"/>
  <c r="E58" i="39"/>
  <c r="D58" i="39"/>
  <c r="C58" i="39"/>
  <c r="B58" i="39"/>
  <c r="E57" i="39"/>
  <c r="D57" i="39"/>
  <c r="C57" i="39"/>
  <c r="B57" i="39"/>
  <c r="E56" i="39"/>
  <c r="D56" i="39"/>
  <c r="C56" i="39"/>
  <c r="E55" i="39"/>
  <c r="D55" i="39"/>
  <c r="C55" i="39"/>
  <c r="B55" i="39"/>
  <c r="F55" i="39"/>
  <c r="E54" i="39"/>
  <c r="D54" i="39"/>
  <c r="C54" i="39"/>
  <c r="B54" i="39"/>
  <c r="E53" i="39"/>
  <c r="D53" i="39"/>
  <c r="C53" i="39"/>
  <c r="B53" i="39"/>
  <c r="E52" i="39"/>
  <c r="D52" i="39"/>
  <c r="C52" i="39"/>
  <c r="B52" i="39"/>
  <c r="E51" i="39"/>
  <c r="D51" i="39"/>
  <c r="C51" i="39"/>
  <c r="B51" i="39"/>
  <c r="E50" i="39"/>
  <c r="D50" i="39"/>
  <c r="C50" i="39"/>
  <c r="B50" i="39"/>
  <c r="E49" i="39"/>
  <c r="D49" i="39"/>
  <c r="C49" i="39"/>
  <c r="B49" i="39"/>
  <c r="E48" i="39"/>
  <c r="D48" i="39"/>
  <c r="C48" i="39"/>
  <c r="B48" i="39"/>
  <c r="E47" i="39"/>
  <c r="D47" i="39"/>
  <c r="C47" i="39"/>
  <c r="B47" i="39"/>
  <c r="E46" i="39"/>
  <c r="D46" i="39"/>
  <c r="C46" i="39"/>
  <c r="B46" i="39"/>
  <c r="E45" i="39"/>
  <c r="D45" i="39"/>
  <c r="C45" i="39"/>
  <c r="B45" i="39"/>
  <c r="E44" i="39"/>
  <c r="D44" i="39"/>
  <c r="C44" i="39"/>
  <c r="B44" i="39"/>
  <c r="E43" i="39"/>
  <c r="D43" i="39"/>
  <c r="C43" i="39"/>
  <c r="B43" i="39"/>
  <c r="E42" i="39"/>
  <c r="D42" i="39"/>
  <c r="C42" i="39"/>
  <c r="B42" i="39"/>
  <c r="E41" i="39"/>
  <c r="D41" i="39"/>
  <c r="C41" i="39"/>
  <c r="B41" i="39"/>
  <c r="E40" i="39"/>
  <c r="D40" i="39"/>
  <c r="C40" i="39"/>
  <c r="B40" i="39"/>
  <c r="E39" i="39"/>
  <c r="D39" i="39"/>
  <c r="C39" i="39"/>
  <c r="B39" i="39"/>
  <c r="E38" i="39"/>
  <c r="D38" i="39"/>
  <c r="C38" i="39"/>
  <c r="B38" i="39"/>
  <c r="E37" i="39"/>
  <c r="D37" i="39"/>
  <c r="C37" i="39"/>
  <c r="B37" i="39"/>
  <c r="E36" i="39"/>
  <c r="D36" i="39"/>
  <c r="C36" i="39"/>
  <c r="B36" i="39"/>
  <c r="E35" i="39"/>
  <c r="D35" i="39"/>
  <c r="C35" i="39"/>
  <c r="B35" i="39"/>
  <c r="E34" i="39"/>
  <c r="D34" i="39"/>
  <c r="C34" i="39"/>
  <c r="B34" i="39"/>
  <c r="E33" i="39"/>
  <c r="D33" i="39"/>
  <c r="C33" i="39"/>
  <c r="B33" i="39"/>
  <c r="E32" i="39"/>
  <c r="D32" i="39"/>
  <c r="C32" i="39"/>
  <c r="B32" i="39"/>
  <c r="E31" i="39"/>
  <c r="D31" i="39"/>
  <c r="C31" i="39"/>
  <c r="B31" i="39"/>
  <c r="B30" i="39"/>
  <c r="E30" i="39"/>
  <c r="D30" i="39"/>
  <c r="C30" i="39"/>
  <c r="B29" i="39"/>
  <c r="E29" i="39"/>
  <c r="D29" i="39"/>
  <c r="C29" i="39"/>
  <c r="E28" i="39"/>
  <c r="D28" i="39"/>
  <c r="C28" i="39"/>
  <c r="B28" i="39"/>
  <c r="E27" i="39"/>
  <c r="D27" i="39"/>
  <c r="C27" i="39"/>
  <c r="B27" i="39"/>
  <c r="E26" i="39"/>
  <c r="D26" i="39"/>
  <c r="C26" i="39"/>
  <c r="B26" i="39"/>
  <c r="E25" i="39"/>
  <c r="D25" i="39"/>
  <c r="C25" i="39"/>
  <c r="B25" i="39"/>
  <c r="E24" i="39"/>
  <c r="D24" i="39"/>
  <c r="C24" i="39"/>
  <c r="B24" i="39"/>
  <c r="E22" i="39"/>
  <c r="D22" i="39"/>
  <c r="C22" i="39"/>
  <c r="B22" i="39"/>
  <c r="B23" i="39"/>
  <c r="D21" i="39"/>
  <c r="C21" i="39"/>
  <c r="B21" i="39"/>
  <c r="E21" i="39"/>
  <c r="E20" i="39"/>
  <c r="D20" i="39"/>
  <c r="C20" i="39"/>
  <c r="B20" i="39"/>
  <c r="E19" i="39"/>
  <c r="D19" i="39"/>
  <c r="C19" i="39"/>
  <c r="B19" i="39"/>
  <c r="D18" i="39"/>
  <c r="C18" i="39"/>
  <c r="E18" i="39"/>
  <c r="B18" i="39"/>
  <c r="E17" i="39"/>
  <c r="D17" i="39"/>
  <c r="C17" i="39"/>
  <c r="B17" i="39"/>
  <c r="E16" i="39"/>
  <c r="D16" i="39"/>
  <c r="C16" i="39"/>
  <c r="B16" i="39"/>
  <c r="E15" i="39"/>
  <c r="D15" i="39"/>
  <c r="C15" i="39"/>
  <c r="B15" i="39"/>
  <c r="E14" i="39"/>
  <c r="D14" i="39"/>
  <c r="C14" i="39"/>
  <c r="B14" i="39"/>
  <c r="E13" i="39"/>
  <c r="D13" i="39"/>
  <c r="C13" i="39"/>
  <c r="B13" i="39"/>
  <c r="E12" i="39"/>
  <c r="D12" i="39"/>
  <c r="C12" i="39"/>
  <c r="B12" i="39"/>
  <c r="E11" i="39"/>
  <c r="D11" i="39"/>
  <c r="C11" i="39"/>
  <c r="B11" i="39"/>
  <c r="D10" i="39"/>
  <c r="B10" i="39"/>
  <c r="E9" i="39"/>
  <c r="D9" i="39"/>
  <c r="C9" i="39"/>
  <c r="B9" i="39"/>
  <c r="D8" i="39"/>
  <c r="C8" i="39"/>
  <c r="E8" i="39"/>
  <c r="B8" i="39"/>
  <c r="C34" i="2"/>
  <c r="C15" i="2"/>
  <c r="C14" i="2"/>
  <c r="C13" i="2"/>
  <c r="C12" i="2"/>
  <c r="C28" i="2" s="1"/>
  <c r="F36" i="39"/>
  <c r="F22" i="39"/>
  <c r="F31" i="39"/>
  <c r="E58" i="43"/>
  <c r="D58" i="43"/>
  <c r="C58" i="43"/>
  <c r="B58" i="43"/>
  <c r="E57" i="43"/>
  <c r="D57" i="43"/>
  <c r="C57" i="43"/>
  <c r="B57" i="43"/>
  <c r="E56" i="43"/>
  <c r="D56" i="43"/>
  <c r="C56" i="43"/>
  <c r="B56" i="43"/>
  <c r="E55" i="43"/>
  <c r="D55" i="43"/>
  <c r="F55" i="43"/>
  <c r="C55" i="43"/>
  <c r="B55" i="43"/>
  <c r="B54" i="43"/>
  <c r="C54" i="43"/>
  <c r="D54" i="43"/>
  <c r="E54" i="43"/>
  <c r="E53" i="43"/>
  <c r="D53" i="43"/>
  <c r="C53" i="43"/>
  <c r="B53" i="43"/>
  <c r="E52" i="43"/>
  <c r="D52" i="43"/>
  <c r="C52" i="43"/>
  <c r="B52" i="43"/>
  <c r="E51" i="43"/>
  <c r="D51" i="43"/>
  <c r="C51" i="43"/>
  <c r="B51" i="43"/>
  <c r="E50" i="43"/>
  <c r="D50" i="43"/>
  <c r="C50" i="43"/>
  <c r="B50" i="43"/>
  <c r="E49" i="43"/>
  <c r="D49" i="43"/>
  <c r="C49" i="43"/>
  <c r="B49" i="43"/>
  <c r="E48" i="43"/>
  <c r="D48" i="43"/>
  <c r="C48" i="43"/>
  <c r="B48" i="43"/>
  <c r="E47" i="43"/>
  <c r="D47" i="43"/>
  <c r="C47" i="43"/>
  <c r="B47" i="43"/>
  <c r="E46" i="43"/>
  <c r="D46" i="43"/>
  <c r="C46" i="43"/>
  <c r="B46" i="43"/>
  <c r="E45" i="43"/>
  <c r="D45" i="43"/>
  <c r="C45" i="43"/>
  <c r="B45" i="43"/>
  <c r="E44" i="43"/>
  <c r="D44" i="43"/>
  <c r="C44" i="43"/>
  <c r="B44" i="43"/>
  <c r="E43" i="43"/>
  <c r="D43" i="43"/>
  <c r="C43" i="43"/>
  <c r="B43" i="43"/>
  <c r="E42" i="43"/>
  <c r="D42" i="43"/>
  <c r="C42" i="43"/>
  <c r="B42" i="43"/>
  <c r="E41" i="43"/>
  <c r="D41" i="43"/>
  <c r="C41" i="43"/>
  <c r="B41" i="43"/>
  <c r="E40" i="43"/>
  <c r="D40" i="43"/>
  <c r="C40" i="43"/>
  <c r="B40" i="43"/>
  <c r="E39" i="43"/>
  <c r="D39" i="43"/>
  <c r="C39" i="43"/>
  <c r="B39" i="43"/>
  <c r="E38" i="43"/>
  <c r="D38" i="43"/>
  <c r="C38" i="43"/>
  <c r="B38" i="43"/>
  <c r="E37" i="43"/>
  <c r="D37" i="43"/>
  <c r="C37" i="43"/>
  <c r="B37" i="43"/>
  <c r="E36" i="43"/>
  <c r="D36" i="43"/>
  <c r="C36" i="43"/>
  <c r="B36" i="43"/>
  <c r="E35" i="43"/>
  <c r="D35" i="43"/>
  <c r="C35" i="43"/>
  <c r="B35" i="43"/>
  <c r="E34" i="43"/>
  <c r="D34" i="43"/>
  <c r="C34" i="43"/>
  <c r="B34" i="43"/>
  <c r="E33" i="43"/>
  <c r="D33" i="43"/>
  <c r="C33" i="43"/>
  <c r="B33" i="43"/>
  <c r="E32" i="43"/>
  <c r="D32" i="43"/>
  <c r="C32" i="43"/>
  <c r="B32" i="43"/>
  <c r="E31" i="43"/>
  <c r="D31" i="43"/>
  <c r="C31" i="43"/>
  <c r="B31" i="43"/>
  <c r="E30" i="43"/>
  <c r="D30" i="43"/>
  <c r="C30" i="43"/>
  <c r="B30" i="43"/>
  <c r="E29" i="43"/>
  <c r="D29" i="43"/>
  <c r="C29" i="43"/>
  <c r="B29" i="43"/>
  <c r="E28" i="43"/>
  <c r="D28" i="43"/>
  <c r="C28" i="43"/>
  <c r="B28" i="43"/>
  <c r="E27" i="43"/>
  <c r="D27" i="43"/>
  <c r="C27" i="43"/>
  <c r="B27" i="43"/>
  <c r="E26" i="43"/>
  <c r="D26" i="43"/>
  <c r="C26" i="43"/>
  <c r="B26" i="43"/>
  <c r="F26" i="43"/>
  <c r="E25" i="43"/>
  <c r="D25" i="43"/>
  <c r="C25" i="43"/>
  <c r="B25" i="43"/>
  <c r="E24" i="43"/>
  <c r="D24" i="43"/>
  <c r="C24" i="43"/>
  <c r="B24" i="43"/>
  <c r="E23" i="43"/>
  <c r="D23" i="43"/>
  <c r="C23" i="43"/>
  <c r="B23" i="43"/>
  <c r="E22" i="43"/>
  <c r="D22" i="43"/>
  <c r="C22" i="43"/>
  <c r="B22" i="43"/>
  <c r="E21" i="43"/>
  <c r="D21" i="43"/>
  <c r="C21" i="43"/>
  <c r="B21" i="43"/>
  <c r="E20" i="43"/>
  <c r="D20" i="43"/>
  <c r="C20" i="43"/>
  <c r="B20" i="43"/>
  <c r="E19" i="43"/>
  <c r="D19" i="43"/>
  <c r="C19" i="43"/>
  <c r="F19" i="43"/>
  <c r="B19" i="43"/>
  <c r="E18" i="43"/>
  <c r="D18" i="43"/>
  <c r="C18" i="43"/>
  <c r="B18" i="43"/>
  <c r="E17" i="43"/>
  <c r="D17" i="43"/>
  <c r="C17" i="43"/>
  <c r="F17" i="43"/>
  <c r="B17" i="43"/>
  <c r="E16" i="43"/>
  <c r="D16" i="43"/>
  <c r="C16" i="43"/>
  <c r="B16" i="43"/>
  <c r="C15" i="43"/>
  <c r="E15" i="43"/>
  <c r="D15" i="43"/>
  <c r="B15" i="43"/>
  <c r="H15" i="46"/>
  <c r="E14" i="43"/>
  <c r="D14" i="43"/>
  <c r="C14" i="43"/>
  <c r="B14" i="43"/>
  <c r="E13" i="43"/>
  <c r="D13" i="43"/>
  <c r="C13" i="43"/>
  <c r="B13" i="43"/>
  <c r="E12" i="43"/>
  <c r="D12" i="43"/>
  <c r="C12" i="43"/>
  <c r="B12" i="43"/>
  <c r="E11" i="43"/>
  <c r="D11" i="43"/>
  <c r="C11" i="43"/>
  <c r="B11" i="43"/>
  <c r="E10" i="43"/>
  <c r="D10" i="43"/>
  <c r="C10" i="43"/>
  <c r="B10" i="43"/>
  <c r="F21" i="43"/>
  <c r="E9" i="43"/>
  <c r="D9" i="43"/>
  <c r="C9" i="43"/>
  <c r="B9" i="43"/>
  <c r="E8" i="43"/>
  <c r="D8" i="43"/>
  <c r="C8" i="43"/>
  <c r="B8" i="43"/>
  <c r="A6" i="46"/>
  <c r="F1" i="46"/>
  <c r="E59" i="46"/>
  <c r="D59" i="46"/>
  <c r="C59" i="46"/>
  <c r="B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59" i="46"/>
  <c r="A6" i="45"/>
  <c r="A1" i="45"/>
  <c r="E59" i="45"/>
  <c r="D59" i="45"/>
  <c r="C59" i="45"/>
  <c r="B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59" i="45"/>
  <c r="F1" i="44"/>
  <c r="E59" i="44"/>
  <c r="D59" i="44"/>
  <c r="C59" i="44"/>
  <c r="B59" i="44"/>
  <c r="F58" i="44"/>
  <c r="F57" i="44"/>
  <c r="F56" i="44"/>
  <c r="F55" i="44"/>
  <c r="F54" i="44"/>
  <c r="F53" i="44"/>
  <c r="F52" i="44"/>
  <c r="F51" i="44"/>
  <c r="F50" i="44"/>
  <c r="F49" i="44"/>
  <c r="F48" i="44"/>
  <c r="F47" i="44"/>
  <c r="F46" i="44"/>
  <c r="F45" i="44"/>
  <c r="F44" i="44"/>
  <c r="F43" i="44"/>
  <c r="F42" i="44"/>
  <c r="F41" i="44"/>
  <c r="F40" i="44"/>
  <c r="F39" i="44"/>
  <c r="F38" i="44"/>
  <c r="F37" i="44"/>
  <c r="F36" i="44"/>
  <c r="F35" i="44"/>
  <c r="F34" i="44"/>
  <c r="F33" i="44"/>
  <c r="F32" i="44"/>
  <c r="F31" i="44"/>
  <c r="F30" i="44"/>
  <c r="F29" i="44"/>
  <c r="F28" i="44"/>
  <c r="F27" i="44"/>
  <c r="F26" i="44"/>
  <c r="F25" i="44"/>
  <c r="F24" i="44"/>
  <c r="F23" i="44"/>
  <c r="F22" i="44"/>
  <c r="F21" i="44"/>
  <c r="F20" i="44"/>
  <c r="F19" i="44"/>
  <c r="F18" i="44"/>
  <c r="F17" i="44"/>
  <c r="F16" i="44"/>
  <c r="F15" i="44"/>
  <c r="D15" i="44"/>
  <c r="F14" i="44"/>
  <c r="F13" i="44"/>
  <c r="F12" i="44"/>
  <c r="F11" i="44"/>
  <c r="F10" i="44"/>
  <c r="F9" i="44"/>
  <c r="F8" i="44"/>
  <c r="F59" i="44"/>
  <c r="A6" i="43"/>
  <c r="A1" i="43"/>
  <c r="F9" i="43"/>
  <c r="A6" i="42"/>
  <c r="A1" i="42"/>
  <c r="E59" i="42"/>
  <c r="D59" i="42"/>
  <c r="C59" i="42"/>
  <c r="B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A6" i="41"/>
  <c r="F1" i="41"/>
  <c r="E59" i="41"/>
  <c r="D59" i="41"/>
  <c r="C59" i="41"/>
  <c r="B59" i="41"/>
  <c r="F58" i="41"/>
  <c r="F57" i="41"/>
  <c r="F56" i="41"/>
  <c r="F55" i="41"/>
  <c r="F54" i="41"/>
  <c r="F53" i="41"/>
  <c r="F52" i="41"/>
  <c r="F51" i="41"/>
  <c r="F50"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F10" i="41"/>
  <c r="F59" i="41"/>
  <c r="F9" i="41"/>
  <c r="F8" i="41"/>
  <c r="A6" i="40"/>
  <c r="A1" i="40"/>
  <c r="F59" i="40"/>
  <c r="E59" i="40"/>
  <c r="D59" i="40"/>
  <c r="C59" i="40"/>
  <c r="G58" i="40"/>
  <c r="G57" i="40"/>
  <c r="G56" i="40"/>
  <c r="G55" i="40"/>
  <c r="G54" i="40"/>
  <c r="G53" i="40"/>
  <c r="G52" i="40"/>
  <c r="G51" i="40"/>
  <c r="G50" i="40"/>
  <c r="G49" i="40"/>
  <c r="G48" i="40"/>
  <c r="G47" i="40"/>
  <c r="G46" i="40"/>
  <c r="G45" i="40"/>
  <c r="G44" i="40"/>
  <c r="G43" i="40"/>
  <c r="G42" i="40"/>
  <c r="G41" i="40"/>
  <c r="G40" i="40"/>
  <c r="G39" i="40"/>
  <c r="G38" i="40"/>
  <c r="G37" i="40"/>
  <c r="G36" i="40"/>
  <c r="G35" i="40"/>
  <c r="G34" i="40"/>
  <c r="G33" i="40"/>
  <c r="G32" i="40"/>
  <c r="G31" i="40"/>
  <c r="G30" i="40"/>
  <c r="B30" i="40"/>
  <c r="B59" i="40"/>
  <c r="G29" i="40"/>
  <c r="G28" i="40"/>
  <c r="G27" i="40"/>
  <c r="G26" i="40"/>
  <c r="G25" i="40"/>
  <c r="G24" i="40"/>
  <c r="G23" i="40"/>
  <c r="G22" i="40"/>
  <c r="G21" i="40"/>
  <c r="G20" i="40"/>
  <c r="G19" i="40"/>
  <c r="G18" i="40"/>
  <c r="G17" i="40"/>
  <c r="G16" i="40"/>
  <c r="G15" i="40"/>
  <c r="G14" i="40"/>
  <c r="G13" i="40"/>
  <c r="G12" i="40"/>
  <c r="G11" i="40"/>
  <c r="G10" i="40"/>
  <c r="G9" i="40"/>
  <c r="G59" i="40"/>
  <c r="G8" i="40"/>
  <c r="A6" i="39"/>
  <c r="F1" i="39"/>
  <c r="B60" i="39"/>
  <c r="F60" i="39"/>
  <c r="C10" i="39"/>
  <c r="D59" i="39"/>
  <c r="A6" i="38"/>
  <c r="F1" i="38"/>
  <c r="E59" i="38"/>
  <c r="B59" i="38"/>
  <c r="F58" i="38"/>
  <c r="F57" i="38"/>
  <c r="F56" i="38"/>
  <c r="F55" i="38"/>
  <c r="F54" i="38"/>
  <c r="F53" i="38"/>
  <c r="F52" i="38"/>
  <c r="F51" i="38"/>
  <c r="F50" i="38"/>
  <c r="F49" i="38"/>
  <c r="F48" i="38"/>
  <c r="F47" i="38"/>
  <c r="F46" i="38"/>
  <c r="F45" i="38"/>
  <c r="F44" i="38"/>
  <c r="F43" i="38"/>
  <c r="F42" i="38"/>
  <c r="F41" i="38"/>
  <c r="F40" i="38"/>
  <c r="F39" i="38"/>
  <c r="F38" i="38"/>
  <c r="F37" i="38"/>
  <c r="F36" i="38"/>
  <c r="F35" i="38"/>
  <c r="F34" i="38"/>
  <c r="F33" i="38"/>
  <c r="F32" i="38"/>
  <c r="F31" i="38"/>
  <c r="F30" i="38"/>
  <c r="F29" i="38"/>
  <c r="F28" i="38"/>
  <c r="F27" i="38"/>
  <c r="F26" i="38"/>
  <c r="F25" i="38"/>
  <c r="F24" i="38"/>
  <c r="D23" i="38"/>
  <c r="D59" i="38"/>
  <c r="C23" i="38"/>
  <c r="C59" i="38"/>
  <c r="F22" i="38"/>
  <c r="F21" i="38"/>
  <c r="F20" i="38"/>
  <c r="F19" i="38"/>
  <c r="F18" i="38"/>
  <c r="F17" i="38"/>
  <c r="F16" i="38"/>
  <c r="F15" i="38"/>
  <c r="F14" i="38"/>
  <c r="F13" i="38"/>
  <c r="F12" i="38"/>
  <c r="F11" i="38"/>
  <c r="F10" i="38"/>
  <c r="F9" i="38"/>
  <c r="F8" i="38"/>
  <c r="A6" i="37"/>
  <c r="A1" i="37"/>
  <c r="E59" i="37"/>
  <c r="B59" i="37"/>
  <c r="F58" i="37"/>
  <c r="F57" i="37"/>
  <c r="F56" i="37"/>
  <c r="F55" i="37"/>
  <c r="F54" i="37"/>
  <c r="F53" i="37"/>
  <c r="F52" i="37"/>
  <c r="F51" i="37"/>
  <c r="F50" i="37"/>
  <c r="F49" i="37"/>
  <c r="F48" i="37"/>
  <c r="F47" i="37"/>
  <c r="F46" i="37"/>
  <c r="F45" i="37"/>
  <c r="F44" i="37"/>
  <c r="F43" i="37"/>
  <c r="F42" i="37"/>
  <c r="F41" i="37"/>
  <c r="F40" i="37"/>
  <c r="F39" i="37"/>
  <c r="F38" i="37"/>
  <c r="F37" i="37"/>
  <c r="F36" i="37"/>
  <c r="F35" i="37"/>
  <c r="F34" i="37"/>
  <c r="F33" i="37"/>
  <c r="F32" i="37"/>
  <c r="F31" i="37"/>
  <c r="C30" i="37"/>
  <c r="F30" i="37"/>
  <c r="F29" i="37"/>
  <c r="F28" i="37"/>
  <c r="F27" i="37"/>
  <c r="F26" i="37"/>
  <c r="F25" i="37"/>
  <c r="F24" i="37"/>
  <c r="D23" i="37"/>
  <c r="F23" i="37"/>
  <c r="C23" i="37"/>
  <c r="C59" i="37"/>
  <c r="F22" i="37"/>
  <c r="F21" i="37"/>
  <c r="F20" i="37"/>
  <c r="F19" i="37"/>
  <c r="F18" i="37"/>
  <c r="F17" i="37"/>
  <c r="F16" i="37"/>
  <c r="F15" i="37"/>
  <c r="F14" i="37"/>
  <c r="F13" i="37"/>
  <c r="F12" i="37"/>
  <c r="F11" i="37"/>
  <c r="F10" i="37"/>
  <c r="F9" i="37"/>
  <c r="F8" i="37"/>
  <c r="A6" i="36"/>
  <c r="F1" i="36"/>
  <c r="E59" i="36"/>
  <c r="B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D23" i="36"/>
  <c r="F23" i="36"/>
  <c r="C23" i="36"/>
  <c r="C59" i="36"/>
  <c r="F22" i="36"/>
  <c r="F21" i="36"/>
  <c r="F20" i="36"/>
  <c r="F19" i="36"/>
  <c r="F18" i="36"/>
  <c r="F17" i="36"/>
  <c r="F16" i="36"/>
  <c r="F15" i="36"/>
  <c r="F14" i="36"/>
  <c r="F13" i="36"/>
  <c r="F12" i="36"/>
  <c r="F11" i="36"/>
  <c r="F10" i="36"/>
  <c r="F9" i="36"/>
  <c r="F8" i="36"/>
  <c r="F59" i="36"/>
  <c r="A6" i="34"/>
  <c r="A6" i="35"/>
  <c r="A1" i="35"/>
  <c r="I64" i="35"/>
  <c r="H64" i="35"/>
  <c r="I63" i="35"/>
  <c r="H63" i="35"/>
  <c r="I62" i="35"/>
  <c r="H62" i="35"/>
  <c r="I61" i="35"/>
  <c r="H61" i="35"/>
  <c r="I60" i="35"/>
  <c r="H60" i="35"/>
  <c r="I58" i="35"/>
  <c r="H58" i="35"/>
  <c r="F58" i="35"/>
  <c r="I57" i="35"/>
  <c r="E57" i="35"/>
  <c r="C57" i="35"/>
  <c r="H57" i="35"/>
  <c r="F57" i="35"/>
  <c r="I56" i="35"/>
  <c r="C56" i="35"/>
  <c r="H56" i="35"/>
  <c r="F56" i="35"/>
  <c r="I54" i="35"/>
  <c r="H54" i="35"/>
  <c r="F54" i="35"/>
  <c r="I53" i="35"/>
  <c r="H53" i="35"/>
  <c r="F53" i="35"/>
  <c r="I52" i="35"/>
  <c r="C52" i="35"/>
  <c r="H52" i="35"/>
  <c r="I51" i="35"/>
  <c r="H51" i="35"/>
  <c r="F51" i="35"/>
  <c r="I50" i="35"/>
  <c r="H50" i="35"/>
  <c r="F50" i="35"/>
  <c r="I49" i="35"/>
  <c r="H49" i="35"/>
  <c r="F49" i="35"/>
  <c r="I48" i="35"/>
  <c r="H48" i="35"/>
  <c r="F48" i="35"/>
  <c r="I47" i="35"/>
  <c r="H47" i="35"/>
  <c r="I46" i="35"/>
  <c r="H46" i="35"/>
  <c r="I44" i="35"/>
  <c r="H44" i="35"/>
  <c r="F44" i="35"/>
  <c r="I43" i="35"/>
  <c r="H43" i="35"/>
  <c r="F43" i="35"/>
  <c r="I42" i="35"/>
  <c r="H42" i="35"/>
  <c r="F42" i="35"/>
  <c r="I40" i="35"/>
  <c r="H40" i="35"/>
  <c r="F40" i="35"/>
  <c r="I39" i="35"/>
  <c r="H39" i="35"/>
  <c r="F39" i="35"/>
  <c r="I38" i="35"/>
  <c r="H38" i="35"/>
  <c r="F38" i="35"/>
  <c r="I37" i="35"/>
  <c r="H37" i="35"/>
  <c r="F37" i="35"/>
  <c r="I35" i="35"/>
  <c r="H35" i="35"/>
  <c r="I34" i="35"/>
  <c r="H34" i="35"/>
  <c r="I33" i="35"/>
  <c r="H33" i="35"/>
  <c r="I32" i="35"/>
  <c r="H32" i="35"/>
  <c r="I30" i="35"/>
  <c r="H30" i="35"/>
  <c r="I29" i="35"/>
  <c r="H29" i="35"/>
  <c r="I28" i="35"/>
  <c r="H28" i="35"/>
  <c r="I27" i="35"/>
  <c r="H27" i="35"/>
  <c r="I26" i="35"/>
  <c r="H26" i="35"/>
  <c r="I25" i="35"/>
  <c r="H25" i="35"/>
  <c r="I24" i="35"/>
  <c r="H24" i="35"/>
  <c r="I23" i="35"/>
  <c r="H23" i="35"/>
  <c r="I21" i="35"/>
  <c r="H21" i="35"/>
  <c r="I20" i="35"/>
  <c r="H20" i="35"/>
  <c r="I19" i="35"/>
  <c r="H19" i="35"/>
  <c r="I18" i="35"/>
  <c r="H18" i="35"/>
  <c r="I17" i="35"/>
  <c r="H17" i="35"/>
  <c r="I15" i="35"/>
  <c r="H15" i="35"/>
  <c r="I14" i="35"/>
  <c r="H14" i="35"/>
  <c r="I12" i="35"/>
  <c r="H12" i="35"/>
  <c r="I11" i="35"/>
  <c r="H11" i="35"/>
  <c r="H10" i="35"/>
  <c r="I9" i="35"/>
  <c r="H9" i="35"/>
  <c r="I8" i="35"/>
  <c r="H8" i="35"/>
  <c r="A1" i="34"/>
  <c r="E56" i="34"/>
  <c r="D56" i="34"/>
  <c r="B56" i="34"/>
  <c r="B50" i="34"/>
  <c r="F49" i="34"/>
  <c r="K48" i="34"/>
  <c r="F48" i="34"/>
  <c r="E48" i="34"/>
  <c r="C48" i="34"/>
  <c r="C47" i="34"/>
  <c r="F47" i="34"/>
  <c r="F46" i="34"/>
  <c r="F45" i="34"/>
  <c r="F44" i="34"/>
  <c r="F43" i="34"/>
  <c r="D43" i="34"/>
  <c r="C43" i="34"/>
  <c r="C42" i="34"/>
  <c r="F42" i="34"/>
  <c r="F41" i="34"/>
  <c r="F40" i="34"/>
  <c r="F39" i="34"/>
  <c r="F38" i="34"/>
  <c r="C37" i="34"/>
  <c r="F37" i="34"/>
  <c r="F36" i="34"/>
  <c r="F35" i="34"/>
  <c r="C35" i="34"/>
  <c r="C34" i="34"/>
  <c r="F34" i="34"/>
  <c r="F33" i="34"/>
  <c r="C33" i="34"/>
  <c r="C32" i="34"/>
  <c r="F32" i="34"/>
  <c r="C31" i="34"/>
  <c r="F31" i="34"/>
  <c r="F30" i="34"/>
  <c r="C29" i="34"/>
  <c r="F29" i="34"/>
  <c r="C28" i="34"/>
  <c r="F28" i="34"/>
  <c r="D27" i="34"/>
  <c r="D50" i="34"/>
  <c r="C27" i="34"/>
  <c r="F27" i="34"/>
  <c r="D26" i="34"/>
  <c r="C26" i="34"/>
  <c r="F26" i="34"/>
  <c r="C25" i="34"/>
  <c r="F25" i="34"/>
  <c r="C24" i="34"/>
  <c r="F24" i="34"/>
  <c r="F23" i="34"/>
  <c r="F22" i="34"/>
  <c r="C21" i="34"/>
  <c r="F21" i="34"/>
  <c r="C20" i="34"/>
  <c r="F20" i="34"/>
  <c r="E19" i="34"/>
  <c r="E50" i="34"/>
  <c r="C19" i="34"/>
  <c r="F19" i="34"/>
  <c r="F18" i="34"/>
  <c r="C18" i="34"/>
  <c r="F17" i="34"/>
  <c r="C16" i="34"/>
  <c r="F16" i="34"/>
  <c r="C15" i="34"/>
  <c r="C56" i="34"/>
  <c r="F14" i="34"/>
  <c r="C14" i="34"/>
  <c r="F13" i="34"/>
  <c r="F12" i="34"/>
  <c r="C12" i="34"/>
  <c r="F11" i="34"/>
  <c r="F10" i="34"/>
  <c r="C9" i="34"/>
  <c r="F9" i="34"/>
  <c r="D8" i="34"/>
  <c r="C8" i="34"/>
  <c r="F8" i="34"/>
  <c r="A6" i="33"/>
  <c r="F1" i="33"/>
  <c r="E57" i="33"/>
  <c r="B57" i="33"/>
  <c r="D51" i="33"/>
  <c r="B51" i="33"/>
  <c r="F50" i="33"/>
  <c r="F49" i="33"/>
  <c r="E49" i="33"/>
  <c r="C49" i="33"/>
  <c r="E48" i="33"/>
  <c r="C48" i="33"/>
  <c r="F48" i="33"/>
  <c r="F47" i="33"/>
  <c r="F46" i="33"/>
  <c r="F45" i="33"/>
  <c r="D44" i="33"/>
  <c r="F44" i="33"/>
  <c r="C44" i="33"/>
  <c r="F43" i="33"/>
  <c r="D43" i="33"/>
  <c r="C43" i="33"/>
  <c r="C42" i="33"/>
  <c r="F42" i="33"/>
  <c r="F41" i="33"/>
  <c r="F40" i="33"/>
  <c r="C40" i="33"/>
  <c r="F39" i="33"/>
  <c r="F38" i="33"/>
  <c r="C38" i="33"/>
  <c r="D37" i="33"/>
  <c r="D57" i="33"/>
  <c r="C37" i="33"/>
  <c r="F37" i="33"/>
  <c r="F36" i="33"/>
  <c r="C36" i="33"/>
  <c r="F35" i="33"/>
  <c r="C35" i="33"/>
  <c r="F34" i="33"/>
  <c r="C34" i="33"/>
  <c r="F33" i="33"/>
  <c r="C33" i="33"/>
  <c r="F32" i="33"/>
  <c r="C32" i="33"/>
  <c r="F31" i="33"/>
  <c r="F30" i="33"/>
  <c r="C30" i="33"/>
  <c r="C29" i="33"/>
  <c r="F29" i="33"/>
  <c r="F28" i="33"/>
  <c r="D27" i="33"/>
  <c r="C27" i="33"/>
  <c r="F27" i="33"/>
  <c r="F26" i="33"/>
  <c r="D26" i="33"/>
  <c r="C26" i="33"/>
  <c r="F25" i="33"/>
  <c r="C25" i="33"/>
  <c r="F24" i="33"/>
  <c r="C24" i="33"/>
  <c r="F23" i="33"/>
  <c r="C23" i="33"/>
  <c r="F22" i="33"/>
  <c r="C21" i="33"/>
  <c r="F21" i="33"/>
  <c r="E20" i="33"/>
  <c r="F20" i="33"/>
  <c r="C20" i="33"/>
  <c r="F19" i="33"/>
  <c r="E19" i="33"/>
  <c r="E51" i="33"/>
  <c r="D19" i="33"/>
  <c r="C19" i="33"/>
  <c r="F18" i="33"/>
  <c r="C18" i="33"/>
  <c r="F17" i="33"/>
  <c r="C17" i="33"/>
  <c r="F16" i="33"/>
  <c r="C16" i="33"/>
  <c r="F15" i="33"/>
  <c r="C15" i="33"/>
  <c r="F14" i="33"/>
  <c r="C13" i="33"/>
  <c r="F13" i="33"/>
  <c r="C12" i="33"/>
  <c r="F12" i="33"/>
  <c r="F11" i="33"/>
  <c r="F57" i="33"/>
  <c r="F10" i="33"/>
  <c r="C9" i="33"/>
  <c r="C51" i="33"/>
  <c r="D8" i="33"/>
  <c r="F8" i="33"/>
  <c r="C8" i="33"/>
  <c r="A6" i="32"/>
  <c r="E57" i="32"/>
  <c r="D57" i="32"/>
  <c r="B57" i="32"/>
  <c r="B51" i="32"/>
  <c r="F50" i="32"/>
  <c r="E49" i="32"/>
  <c r="C49" i="32"/>
  <c r="F49" i="32"/>
  <c r="E48" i="32"/>
  <c r="F48" i="32"/>
  <c r="C48" i="32"/>
  <c r="F47" i="32"/>
  <c r="F46" i="32"/>
  <c r="F45" i="32"/>
  <c r="C44" i="32"/>
  <c r="F44" i="32"/>
  <c r="D43" i="32"/>
  <c r="F43" i="32"/>
  <c r="C43" i="32"/>
  <c r="C42" i="32"/>
  <c r="F42" i="32"/>
  <c r="F41" i="32"/>
  <c r="F40" i="32"/>
  <c r="F39" i="32"/>
  <c r="C38" i="32"/>
  <c r="F38" i="32"/>
  <c r="F37" i="32"/>
  <c r="C36" i="32"/>
  <c r="F36" i="32"/>
  <c r="C35" i="32"/>
  <c r="F35" i="32"/>
  <c r="E34" i="32"/>
  <c r="C34" i="32"/>
  <c r="F34" i="32"/>
  <c r="F33" i="32"/>
  <c r="C32" i="32"/>
  <c r="F32" i="32"/>
  <c r="F31" i="32"/>
  <c r="C30" i="32"/>
  <c r="F30" i="32"/>
  <c r="C29" i="32"/>
  <c r="F29" i="32"/>
  <c r="F28" i="32"/>
  <c r="D27" i="32"/>
  <c r="F27" i="32"/>
  <c r="C27" i="32"/>
  <c r="D26" i="32"/>
  <c r="C26" i="32"/>
  <c r="F26" i="32"/>
  <c r="F25" i="32"/>
  <c r="D25" i="32"/>
  <c r="C24" i="32"/>
  <c r="F24" i="32"/>
  <c r="F23" i="32"/>
  <c r="C23" i="32"/>
  <c r="F22" i="32"/>
  <c r="C21" i="32"/>
  <c r="F21" i="32"/>
  <c r="E20" i="32"/>
  <c r="D20" i="32"/>
  <c r="C20" i="32"/>
  <c r="F20" i="32"/>
  <c r="E19" i="32"/>
  <c r="D19" i="32"/>
  <c r="C19" i="32"/>
  <c r="F19" i="32"/>
  <c r="C18" i="32"/>
  <c r="F18" i="32"/>
  <c r="F17" i="32"/>
  <c r="C17" i="32"/>
  <c r="C16" i="32"/>
  <c r="F16" i="32"/>
  <c r="C15" i="32"/>
  <c r="F15" i="32"/>
  <c r="E14" i="32"/>
  <c r="E51" i="32"/>
  <c r="F14" i="32"/>
  <c r="F13" i="32"/>
  <c r="C13" i="32"/>
  <c r="C57" i="32"/>
  <c r="F12" i="32"/>
  <c r="C12" i="32"/>
  <c r="F11" i="32"/>
  <c r="F10" i="32"/>
  <c r="C9" i="32"/>
  <c r="F9" i="32"/>
  <c r="F8" i="32"/>
  <c r="C8" i="32"/>
  <c r="C51" i="32"/>
  <c r="A6" i="31"/>
  <c r="F1" i="31"/>
  <c r="F49" i="31"/>
  <c r="F48" i="31"/>
  <c r="F47" i="31"/>
  <c r="F42" i="31"/>
  <c r="F41" i="31"/>
  <c r="F37" i="31"/>
  <c r="F35" i="31"/>
  <c r="F33" i="31"/>
  <c r="F29" i="31"/>
  <c r="F28" i="31"/>
  <c r="F26" i="31"/>
  <c r="F18" i="31"/>
  <c r="F10" i="31"/>
  <c r="A6" i="30"/>
  <c r="A1" i="30"/>
  <c r="E57" i="30"/>
  <c r="D57" i="30"/>
  <c r="B57" i="30"/>
  <c r="D51" i="30"/>
  <c r="B51" i="30"/>
  <c r="I50" i="30"/>
  <c r="F50" i="30"/>
  <c r="F49" i="30"/>
  <c r="C49" i="30"/>
  <c r="E48" i="30"/>
  <c r="C48" i="30"/>
  <c r="F48" i="30"/>
  <c r="F47" i="30"/>
  <c r="F46" i="30"/>
  <c r="F45" i="30"/>
  <c r="F44" i="30"/>
  <c r="C44" i="30"/>
  <c r="D43" i="30"/>
  <c r="C43" i="30"/>
  <c r="F43" i="30"/>
  <c r="C42" i="30"/>
  <c r="F42" i="30"/>
  <c r="F41" i="30"/>
  <c r="F40" i="30"/>
  <c r="C40" i="30"/>
  <c r="F39" i="30"/>
  <c r="F38" i="30"/>
  <c r="C38" i="30"/>
  <c r="C37" i="30"/>
  <c r="F37" i="30"/>
  <c r="F36" i="30"/>
  <c r="F35" i="30"/>
  <c r="E34" i="30"/>
  <c r="F34" i="30"/>
  <c r="F33" i="30"/>
  <c r="F32" i="30"/>
  <c r="F31" i="30"/>
  <c r="F30" i="30"/>
  <c r="F29" i="30"/>
  <c r="F28" i="30"/>
  <c r="F27" i="30"/>
  <c r="F26" i="30"/>
  <c r="F25" i="30"/>
  <c r="F24" i="30"/>
  <c r="F23" i="30"/>
  <c r="F22" i="30"/>
  <c r="C22" i="30"/>
  <c r="F21" i="30"/>
  <c r="C21" i="30"/>
  <c r="E20" i="30"/>
  <c r="E51" i="30"/>
  <c r="D20" i="30"/>
  <c r="F20" i="30"/>
  <c r="C20" i="30"/>
  <c r="F19" i="30"/>
  <c r="F18" i="30"/>
  <c r="F17" i="30"/>
  <c r="F16" i="30"/>
  <c r="C15" i="30"/>
  <c r="C57" i="30"/>
  <c r="F57" i="30"/>
  <c r="D14" i="30"/>
  <c r="C14" i="30"/>
  <c r="F14" i="30"/>
  <c r="F13" i="30"/>
  <c r="F12" i="30"/>
  <c r="C12" i="30"/>
  <c r="F11" i="30"/>
  <c r="F10" i="30"/>
  <c r="F9" i="30"/>
  <c r="C8" i="30"/>
  <c r="C51" i="30"/>
  <c r="A6" i="29"/>
  <c r="F1" i="29"/>
  <c r="E57" i="29"/>
  <c r="D57" i="29"/>
  <c r="B57" i="29"/>
  <c r="B51" i="29"/>
  <c r="F50" i="29"/>
  <c r="E49" i="29"/>
  <c r="D49" i="29"/>
  <c r="D51" i="29"/>
  <c r="C49" i="29"/>
  <c r="F49" i="29"/>
  <c r="F48" i="29"/>
  <c r="E48" i="29"/>
  <c r="F47" i="29"/>
  <c r="F46" i="29"/>
  <c r="C46" i="29"/>
  <c r="F45" i="29"/>
  <c r="F44" i="29"/>
  <c r="D44" i="29"/>
  <c r="C44" i="29"/>
  <c r="F43" i="29"/>
  <c r="D43" i="29"/>
  <c r="C43" i="29"/>
  <c r="D42" i="29"/>
  <c r="C42" i="29"/>
  <c r="F42" i="29"/>
  <c r="F41" i="29"/>
  <c r="F40" i="29"/>
  <c r="F39" i="29"/>
  <c r="F38" i="29"/>
  <c r="F37" i="29"/>
  <c r="F36" i="29"/>
  <c r="F35" i="29"/>
  <c r="F34" i="29"/>
  <c r="E34" i="29"/>
  <c r="F33" i="29"/>
  <c r="F32" i="29"/>
  <c r="F31" i="29"/>
  <c r="F30" i="29"/>
  <c r="F29" i="29"/>
  <c r="F28" i="29"/>
  <c r="F27" i="29"/>
  <c r="F26" i="29"/>
  <c r="F25" i="29"/>
  <c r="F24" i="29"/>
  <c r="F23" i="29"/>
  <c r="F22" i="29"/>
  <c r="F21" i="29"/>
  <c r="E20" i="29"/>
  <c r="D20" i="29"/>
  <c r="C20" i="29"/>
  <c r="F20" i="29"/>
  <c r="F19" i="29"/>
  <c r="D19" i="29"/>
  <c r="C19" i="29"/>
  <c r="F18" i="29"/>
  <c r="F17" i="29"/>
  <c r="F16" i="29"/>
  <c r="C15" i="29"/>
  <c r="C51" i="29"/>
  <c r="F14" i="29"/>
  <c r="E14" i="29"/>
  <c r="E51" i="29"/>
  <c r="D14" i="29"/>
  <c r="C14" i="29"/>
  <c r="F13" i="29"/>
  <c r="F12" i="29"/>
  <c r="F11" i="29"/>
  <c r="F10" i="29"/>
  <c r="F9" i="29"/>
  <c r="F8" i="29"/>
  <c r="C8" i="29"/>
  <c r="A6" i="28"/>
  <c r="A1" i="28"/>
  <c r="E57" i="28"/>
  <c r="D57" i="28"/>
  <c r="B57" i="28"/>
  <c r="B51" i="28"/>
  <c r="F50" i="28"/>
  <c r="E49" i="28"/>
  <c r="C49" i="28"/>
  <c r="F49" i="28"/>
  <c r="F48" i="28"/>
  <c r="F47" i="28"/>
  <c r="F46" i="28"/>
  <c r="F45" i="28"/>
  <c r="F44" i="28"/>
  <c r="C44" i="28"/>
  <c r="F43" i="28"/>
  <c r="D43" i="28"/>
  <c r="C43" i="28"/>
  <c r="D42" i="28"/>
  <c r="C42" i="28"/>
  <c r="F42" i="28"/>
  <c r="F41" i="28"/>
  <c r="F40" i="28"/>
  <c r="F39" i="28"/>
  <c r="F38" i="28"/>
  <c r="F37" i="28"/>
  <c r="F36" i="28"/>
  <c r="F35" i="28"/>
  <c r="E34" i="28"/>
  <c r="F34" i="28"/>
  <c r="F33" i="28"/>
  <c r="F32" i="28"/>
  <c r="F31" i="28"/>
  <c r="F30" i="28"/>
  <c r="F29" i="28"/>
  <c r="F28" i="28"/>
  <c r="D27" i="28"/>
  <c r="C27" i="28"/>
  <c r="F27" i="28"/>
  <c r="C26" i="28"/>
  <c r="F26" i="28"/>
  <c r="F25" i="28"/>
  <c r="F24" i="28"/>
  <c r="F23" i="28"/>
  <c r="F22" i="28"/>
  <c r="F21" i="28"/>
  <c r="E20" i="28"/>
  <c r="D20" i="28"/>
  <c r="C20" i="28"/>
  <c r="C51" i="28"/>
  <c r="F19" i="28"/>
  <c r="F18" i="28"/>
  <c r="F17" i="28"/>
  <c r="F16" i="28"/>
  <c r="F15" i="28"/>
  <c r="F14" i="28"/>
  <c r="E14" i="28"/>
  <c r="E51" i="28"/>
  <c r="D14" i="28"/>
  <c r="D51" i="28"/>
  <c r="C14" i="28"/>
  <c r="F13" i="28"/>
  <c r="C13" i="28"/>
  <c r="C57" i="28"/>
  <c r="F57" i="28"/>
  <c r="F12" i="28"/>
  <c r="F11" i="28"/>
  <c r="F10" i="28"/>
  <c r="F9" i="28"/>
  <c r="F8" i="28"/>
  <c r="A6" i="27"/>
  <c r="F1" i="27"/>
  <c r="F48" i="27"/>
  <c r="F43" i="27"/>
  <c r="F42" i="27"/>
  <c r="F38" i="27"/>
  <c r="F36" i="27"/>
  <c r="F34" i="27"/>
  <c r="F33" i="27"/>
  <c r="F30" i="27"/>
  <c r="F28" i="27"/>
  <c r="F26" i="27"/>
  <c r="F24" i="27"/>
  <c r="F23" i="27"/>
  <c r="F21" i="27"/>
  <c r="F19" i="27"/>
  <c r="F15" i="27"/>
  <c r="F10" i="27"/>
  <c r="A6" i="26"/>
  <c r="E1" i="26"/>
  <c r="E55" i="26"/>
  <c r="D55" i="26"/>
  <c r="B55" i="26"/>
  <c r="B53" i="26"/>
  <c r="F52" i="26"/>
  <c r="E51" i="26"/>
  <c r="E53" i="26"/>
  <c r="C51" i="26"/>
  <c r="F51" i="26"/>
  <c r="F50" i="26"/>
  <c r="F49" i="26"/>
  <c r="F48" i="26"/>
  <c r="F47" i="26"/>
  <c r="F46" i="26"/>
  <c r="C45" i="26"/>
  <c r="F45" i="26"/>
  <c r="F44" i="26"/>
  <c r="F43" i="26"/>
  <c r="F42" i="26"/>
  <c r="F40" i="26"/>
  <c r="F39" i="26"/>
  <c r="C39" i="26"/>
  <c r="C55" i="26"/>
  <c r="F38" i="26"/>
  <c r="F37" i="26"/>
  <c r="F36" i="26"/>
  <c r="F35" i="26"/>
  <c r="F34" i="26"/>
  <c r="F33" i="26"/>
  <c r="F32" i="26"/>
  <c r="F31" i="26"/>
  <c r="F30" i="26"/>
  <c r="F29" i="26"/>
  <c r="F28" i="26"/>
  <c r="C28" i="26"/>
  <c r="C27" i="26"/>
  <c r="F27" i="26"/>
  <c r="F26" i="26"/>
  <c r="F25" i="26"/>
  <c r="F24" i="26"/>
  <c r="F23" i="26"/>
  <c r="F22" i="26"/>
  <c r="D21" i="26"/>
  <c r="D53" i="26"/>
  <c r="C21" i="26"/>
  <c r="C53" i="26"/>
  <c r="F20" i="26"/>
  <c r="D20" i="26"/>
  <c r="C20" i="26"/>
  <c r="F19" i="26"/>
  <c r="F18" i="26"/>
  <c r="F17" i="26"/>
  <c r="F16" i="26"/>
  <c r="F15" i="26"/>
  <c r="C15" i="26"/>
  <c r="D14" i="26"/>
  <c r="C14" i="26"/>
  <c r="F14" i="26"/>
  <c r="F13" i="26"/>
  <c r="F12" i="26"/>
  <c r="F11" i="26"/>
  <c r="F10" i="26"/>
  <c r="F55" i="26"/>
  <c r="F9" i="26"/>
  <c r="F8" i="26"/>
  <c r="A6" i="25"/>
  <c r="A1" i="25"/>
  <c r="E58" i="25"/>
  <c r="D58" i="25"/>
  <c r="B58" i="25"/>
  <c r="F54" i="25"/>
  <c r="F52" i="25"/>
  <c r="C51" i="25"/>
  <c r="B51" i="25"/>
  <c r="B53" i="25"/>
  <c r="B55" i="25"/>
  <c r="F50" i="25"/>
  <c r="F49" i="25"/>
  <c r="F48" i="25"/>
  <c r="F47" i="25"/>
  <c r="F46" i="25"/>
  <c r="F45" i="25"/>
  <c r="F44" i="25"/>
  <c r="F43" i="25"/>
  <c r="F42" i="25"/>
  <c r="C40" i="25"/>
  <c r="F40" i="25"/>
  <c r="C39" i="25"/>
  <c r="F39" i="25"/>
  <c r="F38" i="25"/>
  <c r="F37" i="25"/>
  <c r="C36" i="25"/>
  <c r="F36" i="25"/>
  <c r="F35" i="25"/>
  <c r="F34" i="25"/>
  <c r="F33" i="25"/>
  <c r="F32" i="25"/>
  <c r="F31" i="25"/>
  <c r="F30" i="25"/>
  <c r="F29" i="25"/>
  <c r="C28" i="25"/>
  <c r="F28" i="25"/>
  <c r="D27" i="25"/>
  <c r="C27" i="25"/>
  <c r="F26" i="25"/>
  <c r="F25" i="25"/>
  <c r="F24" i="25"/>
  <c r="F23" i="25"/>
  <c r="F22" i="25"/>
  <c r="E21" i="25"/>
  <c r="E53" i="25"/>
  <c r="E55" i="25"/>
  <c r="D21" i="25"/>
  <c r="C21" i="25"/>
  <c r="D20" i="25"/>
  <c r="F20" i="25"/>
  <c r="F19" i="25"/>
  <c r="F18" i="25"/>
  <c r="F17" i="25"/>
  <c r="C16" i="25"/>
  <c r="C58" i="25"/>
  <c r="F15" i="25"/>
  <c r="F14" i="25"/>
  <c r="D14" i="25"/>
  <c r="C14" i="25"/>
  <c r="F13" i="25"/>
  <c r="F12" i="25"/>
  <c r="F11" i="25"/>
  <c r="F10" i="25"/>
  <c r="F9" i="25"/>
  <c r="C8" i="25"/>
  <c r="F8" i="25"/>
  <c r="A7" i="24"/>
  <c r="F1" i="24"/>
  <c r="E61" i="24"/>
  <c r="D61" i="24"/>
  <c r="B61" i="24"/>
  <c r="F55" i="24"/>
  <c r="E54" i="24"/>
  <c r="E56" i="24"/>
  <c r="F53" i="24"/>
  <c r="C52" i="24"/>
  <c r="B52" i="24"/>
  <c r="B54" i="24"/>
  <c r="B56" i="24"/>
  <c r="F51" i="24"/>
  <c r="F50" i="24"/>
  <c r="F49" i="24"/>
  <c r="F48" i="24"/>
  <c r="F47" i="24"/>
  <c r="D46" i="24"/>
  <c r="C46" i="24"/>
  <c r="F46" i="24"/>
  <c r="F45" i="24"/>
  <c r="F44" i="24"/>
  <c r="F43" i="24"/>
  <c r="F42" i="24"/>
  <c r="F41" i="24"/>
  <c r="C40" i="24"/>
  <c r="F40" i="24"/>
  <c r="F39" i="24"/>
  <c r="F38" i="24"/>
  <c r="F37" i="24"/>
  <c r="C37" i="24"/>
  <c r="F36" i="24"/>
  <c r="F35" i="24"/>
  <c r="F34" i="24"/>
  <c r="F33" i="24"/>
  <c r="F32" i="24"/>
  <c r="F31" i="24"/>
  <c r="F30" i="24"/>
  <c r="C29" i="24"/>
  <c r="F29" i="24"/>
  <c r="D28" i="24"/>
  <c r="F28" i="24"/>
  <c r="C28" i="24"/>
  <c r="F27" i="24"/>
  <c r="F26" i="24"/>
  <c r="F25" i="24"/>
  <c r="C24" i="24"/>
  <c r="F24" i="24"/>
  <c r="F23" i="24"/>
  <c r="F22" i="24"/>
  <c r="E22" i="24"/>
  <c r="D22" i="24"/>
  <c r="C22" i="24"/>
  <c r="F21" i="24"/>
  <c r="F20" i="24"/>
  <c r="F19" i="24"/>
  <c r="F18" i="24"/>
  <c r="C17" i="24"/>
  <c r="F16" i="24"/>
  <c r="D54" i="24"/>
  <c r="D56" i="24"/>
  <c r="C54" i="24"/>
  <c r="C56" i="24"/>
  <c r="F14" i="24"/>
  <c r="F13" i="24"/>
  <c r="F12" i="24"/>
  <c r="F11" i="24"/>
  <c r="F10" i="24"/>
  <c r="F9" i="24"/>
  <c r="A7" i="23"/>
  <c r="A1" i="23"/>
  <c r="F55" i="23"/>
  <c r="F53" i="23"/>
  <c r="F50" i="23"/>
  <c r="F48" i="23"/>
  <c r="F34" i="23"/>
  <c r="F32" i="23"/>
  <c r="F31" i="23"/>
  <c r="F30" i="23"/>
  <c r="F28" i="23"/>
  <c r="F26" i="23"/>
  <c r="F24" i="23"/>
  <c r="F22" i="23"/>
  <c r="F20" i="23"/>
  <c r="F19" i="23"/>
  <c r="F17" i="23"/>
  <c r="F15" i="23"/>
  <c r="C62" i="23"/>
  <c r="F11" i="23"/>
  <c r="A7" i="22"/>
  <c r="A1" i="22"/>
  <c r="E62" i="22"/>
  <c r="D62" i="22"/>
  <c r="B62" i="22"/>
  <c r="D56" i="22"/>
  <c r="B56" i="22"/>
  <c r="F55" i="22"/>
  <c r="C54" i="22"/>
  <c r="F54" i="22"/>
  <c r="F53" i="22"/>
  <c r="F52" i="22"/>
  <c r="F51" i="22"/>
  <c r="F50" i="22"/>
  <c r="F49" i="22"/>
  <c r="F48" i="22"/>
  <c r="C48" i="22"/>
  <c r="F47" i="22"/>
  <c r="F46" i="22"/>
  <c r="F45" i="22"/>
  <c r="F44" i="22"/>
  <c r="F43" i="22"/>
  <c r="F42" i="22"/>
  <c r="C42" i="22"/>
  <c r="C41" i="22"/>
  <c r="F41" i="22"/>
  <c r="F40" i="22"/>
  <c r="F39" i="22"/>
  <c r="F38" i="22"/>
  <c r="F37" i="22"/>
  <c r="F36" i="22"/>
  <c r="F35" i="22"/>
  <c r="F34" i="22"/>
  <c r="F33" i="22"/>
  <c r="F32" i="22"/>
  <c r="C32" i="22"/>
  <c r="F31" i="22"/>
  <c r="D30" i="22"/>
  <c r="C30" i="22"/>
  <c r="F30" i="22"/>
  <c r="C29" i="22"/>
  <c r="F29" i="22"/>
  <c r="F28" i="22"/>
  <c r="F27" i="22"/>
  <c r="F26" i="22"/>
  <c r="C25" i="22"/>
  <c r="F25" i="22"/>
  <c r="F24" i="22"/>
  <c r="C24" i="22"/>
  <c r="E23" i="22"/>
  <c r="E56" i="22"/>
  <c r="D23" i="22"/>
  <c r="C23" i="22"/>
  <c r="F23" i="22"/>
  <c r="D22" i="22"/>
  <c r="C22" i="22"/>
  <c r="F22" i="22"/>
  <c r="F21" i="22"/>
  <c r="F20" i="22"/>
  <c r="F19" i="22"/>
  <c r="C18" i="22"/>
  <c r="C62" i="22"/>
  <c r="F17" i="22"/>
  <c r="F16" i="22"/>
  <c r="C56" i="22"/>
  <c r="F15" i="22"/>
  <c r="F14" i="22"/>
  <c r="F13" i="22"/>
  <c r="F12" i="22"/>
  <c r="F11" i="22"/>
  <c r="F10" i="22"/>
  <c r="F9" i="22"/>
  <c r="A7" i="21"/>
  <c r="F1" i="21"/>
  <c r="E62" i="21"/>
  <c r="B62" i="21"/>
  <c r="F57" i="21"/>
  <c r="B57" i="21"/>
  <c r="B56" i="21"/>
  <c r="B58" i="21"/>
  <c r="F55" i="21"/>
  <c r="F54" i="21"/>
  <c r="C54" i="21"/>
  <c r="B54" i="21"/>
  <c r="F53" i="21"/>
  <c r="F52" i="21"/>
  <c r="F51" i="21"/>
  <c r="F50" i="21"/>
  <c r="F49" i="21"/>
  <c r="F48" i="21"/>
  <c r="D48" i="21"/>
  <c r="C48" i="21"/>
  <c r="F47" i="21"/>
  <c r="F46" i="21"/>
  <c r="F45" i="21"/>
  <c r="F44" i="21"/>
  <c r="F43" i="21"/>
  <c r="F42" i="21"/>
  <c r="C42" i="21"/>
  <c r="C41" i="21"/>
  <c r="F41" i="21"/>
  <c r="F40" i="21"/>
  <c r="F39" i="21"/>
  <c r="F38" i="21"/>
  <c r="C38" i="21"/>
  <c r="F37" i="21"/>
  <c r="F36" i="21"/>
  <c r="F35" i="21"/>
  <c r="F34" i="21"/>
  <c r="F33" i="21"/>
  <c r="F32" i="21"/>
  <c r="C32" i="21"/>
  <c r="F31" i="21"/>
  <c r="D30" i="21"/>
  <c r="C30" i="21"/>
  <c r="F30" i="21"/>
  <c r="D29" i="21"/>
  <c r="D56" i="21"/>
  <c r="D58" i="21"/>
  <c r="C29" i="21"/>
  <c r="C56" i="21"/>
  <c r="C58" i="21"/>
  <c r="F28" i="21"/>
  <c r="F27" i="21"/>
  <c r="F26" i="21"/>
  <c r="C25" i="21"/>
  <c r="F25" i="21"/>
  <c r="C24" i="21"/>
  <c r="F24" i="21"/>
  <c r="F23" i="21"/>
  <c r="E23" i="21"/>
  <c r="E56" i="21"/>
  <c r="E58" i="21"/>
  <c r="D23" i="21"/>
  <c r="C23" i="21"/>
  <c r="F22" i="21"/>
  <c r="F21" i="21"/>
  <c r="F20" i="21"/>
  <c r="F19" i="21"/>
  <c r="F18" i="21"/>
  <c r="D18" i="21"/>
  <c r="D62" i="21"/>
  <c r="C18" i="21"/>
  <c r="C62" i="21"/>
  <c r="F17" i="21"/>
  <c r="D16" i="21"/>
  <c r="C16" i="21"/>
  <c r="F16" i="21"/>
  <c r="F15" i="21"/>
  <c r="F14" i="21"/>
  <c r="F13" i="21"/>
  <c r="F12" i="21"/>
  <c r="F11" i="21"/>
  <c r="F10" i="21"/>
  <c r="C9" i="21"/>
  <c r="F9" i="21"/>
  <c r="A7" i="20"/>
  <c r="A1" i="20"/>
  <c r="E59" i="20"/>
  <c r="B59" i="20"/>
  <c r="B56" i="20"/>
  <c r="F55" i="20"/>
  <c r="C54" i="20"/>
  <c r="B54" i="20"/>
  <c r="F54" i="20"/>
  <c r="F53" i="20"/>
  <c r="F52" i="20"/>
  <c r="F51" i="20"/>
  <c r="F50" i="20"/>
  <c r="F49" i="20"/>
  <c r="C48" i="20"/>
  <c r="F48" i="20"/>
  <c r="F47" i="20"/>
  <c r="F46" i="20"/>
  <c r="F45" i="20"/>
  <c r="F44" i="20"/>
  <c r="F43" i="20"/>
  <c r="F42" i="20"/>
  <c r="F41" i="20"/>
  <c r="F40" i="20"/>
  <c r="F39" i="20"/>
  <c r="C38" i="20"/>
  <c r="F38" i="20"/>
  <c r="F37" i="20"/>
  <c r="F36" i="20"/>
  <c r="F35" i="20"/>
  <c r="F34" i="20"/>
  <c r="F33" i="20"/>
  <c r="F32" i="20"/>
  <c r="F31" i="20"/>
  <c r="D30" i="20"/>
  <c r="D56" i="20"/>
  <c r="C30" i="20"/>
  <c r="F29" i="20"/>
  <c r="C29" i="20"/>
  <c r="H28" i="20"/>
  <c r="H29" i="20"/>
  <c r="F28" i="20"/>
  <c r="F27" i="20"/>
  <c r="I26" i="20"/>
  <c r="F26" i="20"/>
  <c r="C25" i="20"/>
  <c r="C56" i="20"/>
  <c r="H24" i="20"/>
  <c r="H25" i="20"/>
  <c r="H26" i="20"/>
  <c r="F24" i="20"/>
  <c r="H23" i="20"/>
  <c r="E23" i="20"/>
  <c r="E56" i="20"/>
  <c r="D23" i="20"/>
  <c r="C23" i="20"/>
  <c r="F23" i="20"/>
  <c r="F22" i="20"/>
  <c r="F21" i="20"/>
  <c r="F20" i="20"/>
  <c r="F19" i="20"/>
  <c r="F18" i="20"/>
  <c r="D18" i="20"/>
  <c r="D59" i="20"/>
  <c r="C18" i="20"/>
  <c r="C59" i="20"/>
  <c r="F17" i="20"/>
  <c r="F16" i="20"/>
  <c r="C16" i="20"/>
  <c r="F15" i="20"/>
  <c r="F14" i="20"/>
  <c r="F13" i="20"/>
  <c r="F12" i="20"/>
  <c r="C11" i="20"/>
  <c r="F11" i="20"/>
  <c r="F10" i="20"/>
  <c r="C10" i="20"/>
  <c r="F9" i="20"/>
  <c r="A7" i="19"/>
  <c r="E1" i="19"/>
  <c r="F57" i="19"/>
  <c r="B57" i="19"/>
  <c r="F50" i="19"/>
  <c r="F44" i="19"/>
  <c r="F42" i="19"/>
  <c r="F41" i="19"/>
  <c r="F40" i="19"/>
  <c r="F38" i="19"/>
  <c r="F36" i="19"/>
  <c r="F34" i="19"/>
  <c r="F32" i="19"/>
  <c r="A7" i="18"/>
  <c r="A1" i="18"/>
  <c r="E64" i="18"/>
  <c r="D64" i="18"/>
  <c r="B64" i="18"/>
  <c r="F59" i="18"/>
  <c r="B58" i="18"/>
  <c r="B60" i="18"/>
  <c r="F57" i="18"/>
  <c r="F56" i="18"/>
  <c r="C56" i="18"/>
  <c r="B56" i="18"/>
  <c r="F55" i="18"/>
  <c r="F54" i="18"/>
  <c r="F53" i="18"/>
  <c r="F52" i="18"/>
  <c r="F51" i="18"/>
  <c r="F50" i="18"/>
  <c r="D50" i="18"/>
  <c r="C50" i="18"/>
  <c r="F49" i="18"/>
  <c r="F48" i="18"/>
  <c r="F47" i="18"/>
  <c r="F46" i="18"/>
  <c r="F45" i="18"/>
  <c r="F44" i="18"/>
  <c r="F43" i="18"/>
  <c r="F42" i="18"/>
  <c r="F41" i="18"/>
  <c r="F40" i="18"/>
  <c r="F39" i="18"/>
  <c r="F38" i="18"/>
  <c r="F37" i="18"/>
  <c r="F36" i="18"/>
  <c r="F35" i="18"/>
  <c r="F34" i="18"/>
  <c r="F33" i="18"/>
  <c r="D32" i="18"/>
  <c r="C32" i="18"/>
  <c r="F32" i="18"/>
  <c r="C31" i="18"/>
  <c r="F31" i="18"/>
  <c r="F30" i="18"/>
  <c r="F29" i="18"/>
  <c r="C28" i="18"/>
  <c r="F28" i="18"/>
  <c r="F27" i="18"/>
  <c r="F26" i="18"/>
  <c r="C25" i="18"/>
  <c r="F25" i="18"/>
  <c r="G24" i="18"/>
  <c r="F24" i="18"/>
  <c r="D24" i="18"/>
  <c r="C24" i="18"/>
  <c r="D23" i="18"/>
  <c r="D58" i="18"/>
  <c r="D60" i="18"/>
  <c r="C23" i="18"/>
  <c r="F22" i="18"/>
  <c r="F21" i="18"/>
  <c r="F20" i="18"/>
  <c r="C19" i="18"/>
  <c r="F19" i="18"/>
  <c r="F18" i="18"/>
  <c r="F16" i="18"/>
  <c r="C16" i="18"/>
  <c r="F15" i="18"/>
  <c r="F14" i="18"/>
  <c r="F13" i="18"/>
  <c r="F12" i="18"/>
  <c r="C11" i="18"/>
  <c r="C58" i="18"/>
  <c r="C60" i="18"/>
  <c r="F10" i="18"/>
  <c r="C10" i="18"/>
  <c r="F9" i="18"/>
  <c r="A7" i="17"/>
  <c r="F1" i="17"/>
  <c r="E64" i="17"/>
  <c r="D64" i="17"/>
  <c r="C64" i="17"/>
  <c r="B64" i="17"/>
  <c r="F64" i="17"/>
  <c r="D60" i="17"/>
  <c r="G59" i="17"/>
  <c r="G61" i="17"/>
  <c r="F59" i="17"/>
  <c r="B59" i="17"/>
  <c r="D58" i="17"/>
  <c r="H57" i="17"/>
  <c r="F57" i="17"/>
  <c r="F56" i="17"/>
  <c r="C56" i="17"/>
  <c r="B56" i="17"/>
  <c r="B58" i="17"/>
  <c r="B60" i="17"/>
  <c r="F55" i="17"/>
  <c r="F54" i="17"/>
  <c r="F53" i="17"/>
  <c r="F52" i="17"/>
  <c r="F51" i="17"/>
  <c r="F50" i="17"/>
  <c r="F49" i="17"/>
  <c r="F48" i="17"/>
  <c r="F47" i="17"/>
  <c r="F46" i="17"/>
  <c r="F45" i="17"/>
  <c r="F44" i="17"/>
  <c r="F43" i="17"/>
  <c r="F42" i="17"/>
  <c r="F41" i="17"/>
  <c r="F40" i="17"/>
  <c r="F39" i="17"/>
  <c r="F38" i="17"/>
  <c r="F37" i="17"/>
  <c r="F36" i="17"/>
  <c r="F35" i="17"/>
  <c r="F34" i="17"/>
  <c r="F33" i="17"/>
  <c r="C32" i="17"/>
  <c r="F32" i="17"/>
  <c r="F31" i="17"/>
  <c r="C31" i="17"/>
  <c r="F30" i="17"/>
  <c r="F29" i="17"/>
  <c r="F28" i="17"/>
  <c r="F27" i="17"/>
  <c r="F26" i="17"/>
  <c r="F25" i="17"/>
  <c r="D24" i="17"/>
  <c r="C24" i="17"/>
  <c r="F24" i="17"/>
  <c r="G24" i="17"/>
  <c r="F23" i="17"/>
  <c r="F22" i="17"/>
  <c r="F21" i="17"/>
  <c r="F20" i="17"/>
  <c r="F19" i="17"/>
  <c r="F18" i="17"/>
  <c r="C16" i="17"/>
  <c r="F16" i="17"/>
  <c r="F15" i="17"/>
  <c r="F14" i="17"/>
  <c r="F13" i="17"/>
  <c r="F12" i="17"/>
  <c r="F11" i="17"/>
  <c r="F10" i="17"/>
  <c r="F9" i="17"/>
  <c r="A7" i="16"/>
  <c r="A1" i="16"/>
  <c r="E64" i="16"/>
  <c r="D64" i="16"/>
  <c r="B64" i="16"/>
  <c r="F59" i="16"/>
  <c r="B58" i="16"/>
  <c r="B60" i="16"/>
  <c r="F57" i="16"/>
  <c r="C56" i="16"/>
  <c r="B56" i="16"/>
  <c r="F56" i="16"/>
  <c r="F55" i="16"/>
  <c r="F54" i="16"/>
  <c r="F53" i="16"/>
  <c r="F52" i="16"/>
  <c r="F51" i="16"/>
  <c r="F50" i="16"/>
  <c r="F49" i="16"/>
  <c r="F48" i="16"/>
  <c r="F47" i="16"/>
  <c r="C46" i="16"/>
  <c r="C64" i="16"/>
  <c r="F45" i="16"/>
  <c r="F44" i="16"/>
  <c r="F43" i="16"/>
  <c r="F42" i="16"/>
  <c r="F41" i="16"/>
  <c r="F40" i="16"/>
  <c r="F39" i="16"/>
  <c r="F38" i="16"/>
  <c r="F37" i="16"/>
  <c r="F36" i="16"/>
  <c r="F35" i="16"/>
  <c r="F34" i="16"/>
  <c r="F33" i="16"/>
  <c r="D32" i="16"/>
  <c r="C32" i="16"/>
  <c r="F32" i="16"/>
  <c r="F31" i="16"/>
  <c r="D31" i="16"/>
  <c r="C31" i="16"/>
  <c r="F30" i="16"/>
  <c r="F29" i="16"/>
  <c r="F28" i="16"/>
  <c r="F27" i="16"/>
  <c r="F26" i="16"/>
  <c r="F25" i="16"/>
  <c r="G24" i="16"/>
  <c r="E24" i="16"/>
  <c r="E58" i="16"/>
  <c r="E60" i="16"/>
  <c r="D24" i="16"/>
  <c r="C24" i="16"/>
  <c r="F24" i="16"/>
  <c r="D58" i="16"/>
  <c r="D60" i="16"/>
  <c r="F23" i="16"/>
  <c r="F22" i="16"/>
  <c r="F21" i="16"/>
  <c r="F20" i="16"/>
  <c r="F19" i="16"/>
  <c r="F18" i="16"/>
  <c r="F17" i="16"/>
  <c r="C16" i="16"/>
  <c r="F16" i="16"/>
  <c r="F15" i="16"/>
  <c r="F14" i="16"/>
  <c r="F13" i="16"/>
  <c r="F12" i="16"/>
  <c r="F11" i="16"/>
  <c r="F10" i="16"/>
  <c r="F9" i="16"/>
  <c r="A7" i="15"/>
  <c r="A7" i="14"/>
  <c r="F1" i="15"/>
  <c r="F48" i="15"/>
  <c r="F42" i="15"/>
  <c r="F38" i="15"/>
  <c r="A1" i="14"/>
  <c r="E64" i="14"/>
  <c r="D64" i="14"/>
  <c r="B64" i="14"/>
  <c r="F59" i="14"/>
  <c r="F57" i="14"/>
  <c r="C56" i="14"/>
  <c r="B56" i="14"/>
  <c r="F55" i="14"/>
  <c r="F54" i="14"/>
  <c r="F53" i="14"/>
  <c r="F52" i="14"/>
  <c r="F51" i="14"/>
  <c r="F50" i="14"/>
  <c r="C49" i="14"/>
  <c r="C49" i="11"/>
  <c r="C48" i="14"/>
  <c r="F42" i="14"/>
  <c r="F41" i="14"/>
  <c r="F40" i="14"/>
  <c r="F39" i="14"/>
  <c r="F38" i="14"/>
  <c r="F37" i="14"/>
  <c r="F36" i="14"/>
  <c r="F35" i="14"/>
  <c r="F34" i="14"/>
  <c r="C33" i="14"/>
  <c r="D32" i="14"/>
  <c r="C32" i="14"/>
  <c r="D31" i="14"/>
  <c r="C31" i="14"/>
  <c r="F30" i="14"/>
  <c r="F29" i="14"/>
  <c r="F28" i="14"/>
  <c r="F27" i="14"/>
  <c r="F26" i="14"/>
  <c r="F25" i="14"/>
  <c r="D24" i="14"/>
  <c r="C24" i="14"/>
  <c r="D23" i="14"/>
  <c r="D23" i="11"/>
  <c r="C23" i="14"/>
  <c r="C23" i="11"/>
  <c r="F22" i="14"/>
  <c r="F21" i="14"/>
  <c r="F20" i="14"/>
  <c r="F19" i="14"/>
  <c r="F18" i="14"/>
  <c r="C17" i="14"/>
  <c r="C17" i="11"/>
  <c r="C16" i="14"/>
  <c r="F15" i="14"/>
  <c r="F14" i="14"/>
  <c r="F13" i="14"/>
  <c r="F12" i="14"/>
  <c r="F11" i="14"/>
  <c r="F10" i="14"/>
  <c r="F9" i="14"/>
  <c r="A7" i="13"/>
  <c r="F1" i="13"/>
  <c r="E62" i="13"/>
  <c r="D62" i="13"/>
  <c r="B62" i="13"/>
  <c r="F59" i="13"/>
  <c r="B58" i="13"/>
  <c r="B60" i="13"/>
  <c r="F57" i="13"/>
  <c r="C56" i="13"/>
  <c r="B56" i="13"/>
  <c r="F55" i="13"/>
  <c r="F54" i="13"/>
  <c r="F53" i="13"/>
  <c r="F52" i="13"/>
  <c r="F51" i="13"/>
  <c r="F50" i="13"/>
  <c r="F49" i="13"/>
  <c r="C48" i="13"/>
  <c r="F48" i="13"/>
  <c r="F42" i="13"/>
  <c r="F41" i="13"/>
  <c r="F40" i="13"/>
  <c r="F39" i="13"/>
  <c r="F38" i="13"/>
  <c r="F37" i="13"/>
  <c r="F36" i="13"/>
  <c r="F35" i="13"/>
  <c r="C34" i="13"/>
  <c r="F33" i="13"/>
  <c r="D32" i="13"/>
  <c r="C32" i="13"/>
  <c r="F32" i="13"/>
  <c r="D31" i="13"/>
  <c r="C31" i="13"/>
  <c r="F30" i="13"/>
  <c r="F29" i="13"/>
  <c r="C28" i="13"/>
  <c r="C28" i="11"/>
  <c r="F27" i="13"/>
  <c r="F26" i="13"/>
  <c r="F25" i="13"/>
  <c r="E24" i="13"/>
  <c r="D24" i="13"/>
  <c r="C24" i="13"/>
  <c r="F23" i="13"/>
  <c r="F22" i="13"/>
  <c r="F21" i="13"/>
  <c r="F20" i="13"/>
  <c r="C19" i="13"/>
  <c r="F18" i="13"/>
  <c r="F17" i="13"/>
  <c r="C16" i="13"/>
  <c r="F16" i="13"/>
  <c r="F15" i="13"/>
  <c r="F14" i="13"/>
  <c r="F13" i="13"/>
  <c r="F12" i="13"/>
  <c r="F11" i="13"/>
  <c r="F10" i="13"/>
  <c r="F9" i="13"/>
  <c r="A7" i="12"/>
  <c r="E62" i="12"/>
  <c r="D62" i="12"/>
  <c r="C62" i="12"/>
  <c r="B62" i="12"/>
  <c r="B58" i="12"/>
  <c r="B60" i="12"/>
  <c r="F57" i="12"/>
  <c r="C56" i="12"/>
  <c r="F56" i="12"/>
  <c r="F55" i="12"/>
  <c r="F54" i="12"/>
  <c r="F53" i="12"/>
  <c r="F52" i="12"/>
  <c r="F51" i="12"/>
  <c r="F50" i="12"/>
  <c r="F49" i="12"/>
  <c r="F48" i="12"/>
  <c r="F42" i="12"/>
  <c r="C41" i="12"/>
  <c r="F40" i="12"/>
  <c r="F39" i="12"/>
  <c r="F38" i="12"/>
  <c r="F37" i="12"/>
  <c r="F36" i="12"/>
  <c r="F35" i="12"/>
  <c r="F34" i="12"/>
  <c r="F33" i="12"/>
  <c r="F32" i="12"/>
  <c r="C32" i="12"/>
  <c r="D31" i="12"/>
  <c r="C31" i="12"/>
  <c r="F30" i="12"/>
  <c r="F29" i="12"/>
  <c r="F28" i="12"/>
  <c r="F27" i="12"/>
  <c r="F26" i="12"/>
  <c r="F25" i="12"/>
  <c r="E58" i="12"/>
  <c r="E60" i="12"/>
  <c r="D24" i="12"/>
  <c r="C24" i="12"/>
  <c r="F22" i="12"/>
  <c r="F21" i="12"/>
  <c r="F20" i="12"/>
  <c r="F19" i="12"/>
  <c r="F18" i="12"/>
  <c r="F17" i="12"/>
  <c r="C16" i="12"/>
  <c r="F16" i="12"/>
  <c r="F15" i="12"/>
  <c r="F14" i="12"/>
  <c r="F13" i="12"/>
  <c r="F12" i="12"/>
  <c r="F11" i="12"/>
  <c r="F10" i="12"/>
  <c r="F9" i="12"/>
  <c r="K17" i="2"/>
  <c r="F42" i="11"/>
  <c r="F36" i="11"/>
  <c r="A7" i="10"/>
  <c r="E63" i="10"/>
  <c r="D63" i="10"/>
  <c r="B63" i="10"/>
  <c r="B59" i="10"/>
  <c r="F59" i="10"/>
  <c r="E58" i="10"/>
  <c r="E60" i="10"/>
  <c r="F57" i="10"/>
  <c r="C56" i="10"/>
  <c r="B56" i="10"/>
  <c r="F55" i="10"/>
  <c r="F54" i="10"/>
  <c r="F53" i="10"/>
  <c r="F52" i="10"/>
  <c r="F51" i="10"/>
  <c r="C50" i="10"/>
  <c r="C50" i="4"/>
  <c r="F49" i="10"/>
  <c r="F48" i="10"/>
  <c r="C63" i="10"/>
  <c r="F42" i="10"/>
  <c r="C41" i="10"/>
  <c r="F40" i="10"/>
  <c r="F39" i="10"/>
  <c r="F38" i="10"/>
  <c r="F37" i="10"/>
  <c r="F36" i="10"/>
  <c r="F35" i="10"/>
  <c r="F34" i="10"/>
  <c r="F33" i="10"/>
  <c r="C32" i="10"/>
  <c r="B32" i="10"/>
  <c r="C31" i="10"/>
  <c r="F31" i="10"/>
  <c r="F30" i="10"/>
  <c r="F29" i="10"/>
  <c r="F28" i="10"/>
  <c r="F27" i="10"/>
  <c r="F26" i="10"/>
  <c r="F25" i="10"/>
  <c r="D24" i="10"/>
  <c r="C24" i="10"/>
  <c r="D23" i="10"/>
  <c r="C23" i="10"/>
  <c r="F22" i="10"/>
  <c r="F21" i="10"/>
  <c r="F20" i="10"/>
  <c r="F19" i="10"/>
  <c r="F18" i="10"/>
  <c r="F17" i="10"/>
  <c r="C16" i="10"/>
  <c r="F15" i="10"/>
  <c r="F14" i="10"/>
  <c r="F13" i="10"/>
  <c r="F12" i="10"/>
  <c r="C11" i="10"/>
  <c r="C11" i="4"/>
  <c r="F10" i="10"/>
  <c r="F9" i="10"/>
  <c r="A7" i="9"/>
  <c r="E63" i="9"/>
  <c r="D63" i="9"/>
  <c r="B63" i="9"/>
  <c r="B59" i="9"/>
  <c r="E58" i="9"/>
  <c r="E60" i="9"/>
  <c r="F57" i="9"/>
  <c r="C56" i="4"/>
  <c r="B56" i="4"/>
  <c r="C55" i="9"/>
  <c r="C55" i="4"/>
  <c r="F54" i="9"/>
  <c r="F53" i="9"/>
  <c r="F52" i="9"/>
  <c r="F51" i="9"/>
  <c r="F50" i="9"/>
  <c r="F49" i="9"/>
  <c r="F48" i="9"/>
  <c r="F42" i="9"/>
  <c r="F41" i="9"/>
  <c r="F40" i="9"/>
  <c r="F39" i="9"/>
  <c r="F38" i="9"/>
  <c r="F37" i="9"/>
  <c r="C36" i="9"/>
  <c r="F35" i="9"/>
  <c r="F34" i="9"/>
  <c r="F33" i="9"/>
  <c r="C32" i="9"/>
  <c r="B32" i="9"/>
  <c r="C31" i="9"/>
  <c r="F31" i="9"/>
  <c r="F30" i="9"/>
  <c r="F29" i="9"/>
  <c r="F28" i="9"/>
  <c r="F27" i="9"/>
  <c r="F26" i="9"/>
  <c r="F25" i="9"/>
  <c r="D24" i="9"/>
  <c r="C24" i="9"/>
  <c r="C23" i="9"/>
  <c r="F22" i="9"/>
  <c r="F21" i="9"/>
  <c r="F20" i="9"/>
  <c r="F19" i="9"/>
  <c r="F18" i="9"/>
  <c r="F17" i="9"/>
  <c r="D16" i="9"/>
  <c r="C16" i="9"/>
  <c r="F15" i="9"/>
  <c r="F14" i="9"/>
  <c r="F13" i="9"/>
  <c r="F12" i="9"/>
  <c r="F11" i="9"/>
  <c r="F10" i="9"/>
  <c r="F9" i="9"/>
  <c r="F24" i="9"/>
  <c r="D58" i="12"/>
  <c r="D60" i="12"/>
  <c r="F17" i="14"/>
  <c r="F23" i="14"/>
  <c r="D32" i="11"/>
  <c r="D58" i="13"/>
  <c r="D60" i="13"/>
  <c r="F56" i="13"/>
  <c r="F62" i="12"/>
  <c r="B59" i="4"/>
  <c r="F59" i="9"/>
  <c r="E58" i="13"/>
  <c r="E60" i="13"/>
  <c r="E24" i="11"/>
  <c r="F56" i="14"/>
  <c r="B56" i="11"/>
  <c r="F56" i="10"/>
  <c r="F31" i="12"/>
  <c r="F41" i="12"/>
  <c r="C41" i="11"/>
  <c r="F41" i="11"/>
  <c r="C62" i="13"/>
  <c r="F62" i="13"/>
  <c r="C19" i="11"/>
  <c r="F28" i="13"/>
  <c r="F31" i="13"/>
  <c r="C58" i="14"/>
  <c r="C60" i="14"/>
  <c r="C24" i="11"/>
  <c r="F24" i="11"/>
  <c r="F31" i="14"/>
  <c r="C31" i="11"/>
  <c r="F33" i="14"/>
  <c r="C33" i="11"/>
  <c r="F49" i="14"/>
  <c r="C56" i="11"/>
  <c r="F24" i="13"/>
  <c r="F34" i="13"/>
  <c r="C34" i="11"/>
  <c r="F16" i="14"/>
  <c r="C16" i="11"/>
  <c r="D58" i="14"/>
  <c r="D60" i="14"/>
  <c r="D24" i="11"/>
  <c r="D31" i="11"/>
  <c r="F24" i="10"/>
  <c r="F50" i="10"/>
  <c r="F32" i="14"/>
  <c r="C32" i="11"/>
  <c r="F32" i="11"/>
  <c r="F48" i="14"/>
  <c r="C48" i="11"/>
  <c r="B58" i="14"/>
  <c r="B60" i="14"/>
  <c r="F11" i="10"/>
  <c r="F23" i="10"/>
  <c r="F63" i="10"/>
  <c r="C58" i="10"/>
  <c r="C60" i="10"/>
  <c r="D58" i="10"/>
  <c r="D60" i="10"/>
  <c r="D23" i="4"/>
  <c r="B58" i="10"/>
  <c r="B60" i="10"/>
  <c r="F41" i="10"/>
  <c r="C41" i="4"/>
  <c r="F16" i="9"/>
  <c r="F23" i="9"/>
  <c r="C23" i="4"/>
  <c r="B58" i="9"/>
  <c r="B60" i="9"/>
  <c r="D58" i="9"/>
  <c r="D60" i="9"/>
  <c r="C63" i="9"/>
  <c r="F56" i="9"/>
  <c r="F36" i="9"/>
  <c r="F55" i="9"/>
  <c r="F59" i="37"/>
  <c r="F59" i="42"/>
  <c r="F46" i="35"/>
  <c r="I10" i="35"/>
  <c r="F59" i="15"/>
  <c r="J17" i="2"/>
  <c r="F23" i="19"/>
  <c r="F35" i="11"/>
  <c r="F37" i="11"/>
  <c r="F39" i="11"/>
  <c r="F51" i="11"/>
  <c r="F10" i="15"/>
  <c r="F22" i="15"/>
  <c r="F24" i="15"/>
  <c r="F26" i="15"/>
  <c r="F28" i="15"/>
  <c r="F30" i="15"/>
  <c r="F32" i="15"/>
  <c r="F34" i="15"/>
  <c r="F36" i="15"/>
  <c r="D61" i="39"/>
  <c r="D14" i="2"/>
  <c r="F14" i="23"/>
  <c r="F26" i="11"/>
  <c r="F23" i="35"/>
  <c r="F15" i="35"/>
  <c r="F8" i="35"/>
  <c r="F12" i="35"/>
  <c r="F20" i="35"/>
  <c r="F53" i="39"/>
  <c r="F52" i="39"/>
  <c r="F27" i="39"/>
  <c r="C65" i="39"/>
  <c r="F9" i="39"/>
  <c r="F16" i="39"/>
  <c r="F18" i="39"/>
  <c r="F34" i="39"/>
  <c r="F37" i="39"/>
  <c r="F43" i="39"/>
  <c r="F45" i="39"/>
  <c r="F51" i="39"/>
  <c r="F39" i="15"/>
  <c r="F49" i="15"/>
  <c r="F51" i="15"/>
  <c r="F53" i="15"/>
  <c r="F55" i="15"/>
  <c r="F57" i="15"/>
  <c r="F43" i="19"/>
  <c r="F45" i="19"/>
  <c r="F47" i="19"/>
  <c r="E51" i="27"/>
  <c r="F10" i="35"/>
  <c r="F25" i="39"/>
  <c r="F21" i="11"/>
  <c r="F23" i="11"/>
  <c r="F25" i="11"/>
  <c r="F31" i="15"/>
  <c r="F25" i="19"/>
  <c r="F27" i="19"/>
  <c r="F29" i="19"/>
  <c r="F31" i="19"/>
  <c r="F29" i="23"/>
  <c r="F41" i="27"/>
  <c r="F27" i="23"/>
  <c r="F25" i="27"/>
  <c r="F44" i="27"/>
  <c r="F46" i="27"/>
  <c r="F49" i="11"/>
  <c r="F57" i="11"/>
  <c r="F20" i="15"/>
  <c r="D56" i="19"/>
  <c r="F44" i="23"/>
  <c r="F24" i="31"/>
  <c r="F42" i="23"/>
  <c r="F52" i="35"/>
  <c r="F10" i="11"/>
  <c r="F14" i="11"/>
  <c r="F16" i="11"/>
  <c r="F18" i="11"/>
  <c r="F22" i="11"/>
  <c r="E64" i="15"/>
  <c r="F54" i="15"/>
  <c r="F10" i="19"/>
  <c r="F14" i="19"/>
  <c r="F16" i="19"/>
  <c r="F18" i="19"/>
  <c r="F20" i="19"/>
  <c r="F22" i="19"/>
  <c r="F24" i="19"/>
  <c r="F26" i="19"/>
  <c r="F39" i="23"/>
  <c r="F43" i="23"/>
  <c r="F45" i="23"/>
  <c r="F47" i="23"/>
  <c r="F29" i="27"/>
  <c r="F50" i="11"/>
  <c r="F54" i="11"/>
  <c r="F59" i="11"/>
  <c r="F9" i="15"/>
  <c r="F11" i="15"/>
  <c r="F13" i="15"/>
  <c r="F17" i="15"/>
  <c r="F19" i="15"/>
  <c r="F21" i="15"/>
  <c r="F23" i="15"/>
  <c r="F25" i="15"/>
  <c r="F27" i="15"/>
  <c r="F29" i="15"/>
  <c r="F41" i="15"/>
  <c r="F37" i="23"/>
  <c r="F18" i="27"/>
  <c r="F49" i="27"/>
  <c r="C51" i="31"/>
  <c r="F13" i="2"/>
  <c r="F11" i="31"/>
  <c r="F13" i="31"/>
  <c r="F19" i="31"/>
  <c r="F21" i="31"/>
  <c r="F25" i="31"/>
  <c r="D63" i="11"/>
  <c r="F30" i="11"/>
  <c r="C58" i="15"/>
  <c r="E62" i="19"/>
  <c r="D62" i="19"/>
  <c r="F54" i="19"/>
  <c r="F10" i="23"/>
  <c r="F23" i="23"/>
  <c r="F36" i="23"/>
  <c r="F40" i="23"/>
  <c r="F51" i="23"/>
  <c r="C51" i="27"/>
  <c r="G13" i="2"/>
  <c r="C57" i="27"/>
  <c r="F14" i="27"/>
  <c r="F27" i="27"/>
  <c r="F39" i="27"/>
  <c r="F14" i="31"/>
  <c r="F11" i="35"/>
  <c r="F35" i="35"/>
  <c r="F20" i="39"/>
  <c r="F23" i="39"/>
  <c r="F38" i="39"/>
  <c r="F40" i="39"/>
  <c r="F42" i="39"/>
  <c r="F56" i="39"/>
  <c r="F58" i="39"/>
  <c r="E63" i="11"/>
  <c r="F20" i="11"/>
  <c r="F38" i="11"/>
  <c r="F40" i="11"/>
  <c r="F14" i="15"/>
  <c r="F16" i="15"/>
  <c r="F18" i="15"/>
  <c r="F33" i="15"/>
  <c r="F35" i="15"/>
  <c r="F37" i="15"/>
  <c r="F40" i="15"/>
  <c r="F50" i="15"/>
  <c r="F52" i="15"/>
  <c r="B56" i="19"/>
  <c r="B58" i="19"/>
  <c r="F11" i="19"/>
  <c r="F13" i="19"/>
  <c r="C54" i="23"/>
  <c r="F12" i="23"/>
  <c r="F21" i="23"/>
  <c r="F25" i="23"/>
  <c r="F33" i="23"/>
  <c r="D51" i="27"/>
  <c r="G14" i="2"/>
  <c r="D57" i="27"/>
  <c r="F16" i="27"/>
  <c r="F35" i="27"/>
  <c r="F45" i="27"/>
  <c r="E57" i="31"/>
  <c r="D51" i="31"/>
  <c r="F14" i="2"/>
  <c r="F16" i="31"/>
  <c r="F20" i="31"/>
  <c r="F23" i="31"/>
  <c r="F32" i="31"/>
  <c r="F39" i="31"/>
  <c r="E59" i="35"/>
  <c r="E15" i="2"/>
  <c r="C65" i="35"/>
  <c r="H65" i="35"/>
  <c r="B59" i="39"/>
  <c r="B61" i="39"/>
  <c r="F44" i="39"/>
  <c r="F11" i="11"/>
  <c r="F13" i="11"/>
  <c r="F15" i="11"/>
  <c r="F17" i="11"/>
  <c r="F28" i="11"/>
  <c r="F48" i="11"/>
  <c r="D64" i="15"/>
  <c r="C56" i="19"/>
  <c r="F15" i="19"/>
  <c r="F17" i="19"/>
  <c r="F19" i="19"/>
  <c r="F21" i="19"/>
  <c r="F33" i="19"/>
  <c r="F35" i="19"/>
  <c r="F37" i="19"/>
  <c r="F39" i="19"/>
  <c r="F52" i="19"/>
  <c r="D54" i="23"/>
  <c r="F18" i="23"/>
  <c r="F35" i="23"/>
  <c r="F46" i="23"/>
  <c r="E57" i="27"/>
  <c r="F12" i="27"/>
  <c r="F22" i="27"/>
  <c r="F47" i="27"/>
  <c r="F9" i="31"/>
  <c r="E51" i="31"/>
  <c r="F22" i="31"/>
  <c r="F34" i="31"/>
  <c r="F40" i="31"/>
  <c r="D59" i="35"/>
  <c r="F14" i="35"/>
  <c r="F18" i="35"/>
  <c r="F21" i="35"/>
  <c r="C59" i="39"/>
  <c r="F10" i="39"/>
  <c r="F12" i="39"/>
  <c r="F15" i="39"/>
  <c r="F29" i="39"/>
  <c r="F32" i="39"/>
  <c r="F46" i="39"/>
  <c r="F48" i="39"/>
  <c r="F50" i="39"/>
  <c r="E58" i="11"/>
  <c r="F27" i="11"/>
  <c r="F29" i="11"/>
  <c r="F12" i="15"/>
  <c r="E56" i="19"/>
  <c r="E58" i="19"/>
  <c r="F49" i="19"/>
  <c r="F51" i="19"/>
  <c r="F53" i="19"/>
  <c r="F55" i="19"/>
  <c r="B54" i="23"/>
  <c r="B56" i="23"/>
  <c r="F41" i="23"/>
  <c r="F11" i="27"/>
  <c r="F13" i="27"/>
  <c r="F20" i="27"/>
  <c r="F32" i="27"/>
  <c r="F17" i="31"/>
  <c r="F30" i="31"/>
  <c r="F36" i="31"/>
  <c r="F50" i="31"/>
  <c r="F24" i="35"/>
  <c r="F27" i="35"/>
  <c r="F30" i="35"/>
  <c r="D65" i="39"/>
  <c r="F17" i="39"/>
  <c r="F19" i="39"/>
  <c r="F21" i="39"/>
  <c r="F24" i="39"/>
  <c r="F39" i="39"/>
  <c r="F41" i="39"/>
  <c r="F54" i="39"/>
  <c r="F57" i="39"/>
  <c r="F52" i="11"/>
  <c r="D58" i="15"/>
  <c r="B58" i="15"/>
  <c r="F56" i="15"/>
  <c r="F16" i="23"/>
  <c r="F9" i="27"/>
  <c r="D57" i="31"/>
  <c r="F38" i="31"/>
  <c r="F44" i="31"/>
  <c r="E65" i="35"/>
  <c r="F25" i="35"/>
  <c r="F32" i="35"/>
  <c r="E65" i="39"/>
  <c r="E59" i="39"/>
  <c r="E58" i="15"/>
  <c r="C64" i="15"/>
  <c r="C62" i="19"/>
  <c r="D62" i="23"/>
  <c r="F52" i="23"/>
  <c r="F31" i="27"/>
  <c r="F40" i="27"/>
  <c r="B51" i="31"/>
  <c r="F31" i="31"/>
  <c r="F46" i="31"/>
  <c r="F33" i="35"/>
  <c r="F11" i="39"/>
  <c r="F14" i="39"/>
  <c r="F26" i="39"/>
  <c r="F28" i="39"/>
  <c r="F30" i="39"/>
  <c r="F33" i="39"/>
  <c r="F47" i="39"/>
  <c r="F49" i="39"/>
  <c r="C63" i="11"/>
  <c r="F53" i="11"/>
  <c r="F55" i="11"/>
  <c r="F28" i="19"/>
  <c r="F30" i="19"/>
  <c r="F46" i="19"/>
  <c r="F48" i="19"/>
  <c r="E54" i="23"/>
  <c r="E62" i="23"/>
  <c r="F13" i="23"/>
  <c r="F38" i="23"/>
  <c r="F49" i="23"/>
  <c r="B51" i="27"/>
  <c r="F17" i="27"/>
  <c r="F37" i="27"/>
  <c r="F50" i="27"/>
  <c r="C57" i="31"/>
  <c r="F12" i="31"/>
  <c r="F15" i="31"/>
  <c r="F27" i="31"/>
  <c r="F43" i="31"/>
  <c r="F45" i="31"/>
  <c r="F26" i="35"/>
  <c r="F29" i="35"/>
  <c r="F35" i="39"/>
  <c r="F12" i="43"/>
  <c r="F57" i="43"/>
  <c r="F53" i="43"/>
  <c r="F51" i="43"/>
  <c r="F49" i="43"/>
  <c r="F47" i="43"/>
  <c r="F43" i="43"/>
  <c r="F40" i="43"/>
  <c r="F38" i="43"/>
  <c r="F36" i="43"/>
  <c r="F34" i="43"/>
  <c r="F32" i="43"/>
  <c r="F30" i="43"/>
  <c r="F28" i="43"/>
  <c r="F24" i="43"/>
  <c r="F58" i="43"/>
  <c r="F56" i="43"/>
  <c r="F54" i="43"/>
  <c r="F52" i="43"/>
  <c r="F50" i="43"/>
  <c r="F48" i="43"/>
  <c r="F46" i="43"/>
  <c r="F44" i="43"/>
  <c r="F42" i="43"/>
  <c r="F39" i="43"/>
  <c r="F37" i="43"/>
  <c r="F35" i="43"/>
  <c r="F33" i="43"/>
  <c r="F31" i="43"/>
  <c r="F29" i="43"/>
  <c r="F15" i="43"/>
  <c r="C59" i="43"/>
  <c r="B59" i="43"/>
  <c r="F27" i="43"/>
  <c r="F25" i="43"/>
  <c r="F23" i="43"/>
  <c r="F20" i="43"/>
  <c r="F18" i="43"/>
  <c r="F16" i="43"/>
  <c r="F14" i="43"/>
  <c r="F11" i="43"/>
  <c r="D65" i="43"/>
  <c r="F45" i="43"/>
  <c r="E65" i="43"/>
  <c r="E59" i="43"/>
  <c r="C65" i="43"/>
  <c r="F10" i="43"/>
  <c r="D59" i="43"/>
  <c r="F8" i="43"/>
  <c r="F8" i="39"/>
  <c r="F23" i="38"/>
  <c r="F59" i="38"/>
  <c r="D59" i="37"/>
  <c r="D59" i="36"/>
  <c r="C59" i="35"/>
  <c r="B59" i="35"/>
  <c r="E12" i="2"/>
  <c r="F19" i="35"/>
  <c r="F28" i="35"/>
  <c r="D65" i="35"/>
  <c r="I65" i="35"/>
  <c r="F9" i="35"/>
  <c r="F17" i="35"/>
  <c r="F34" i="35"/>
  <c r="F15" i="34"/>
  <c r="F56" i="34"/>
  <c r="C50" i="34"/>
  <c r="C57" i="33"/>
  <c r="F9" i="33"/>
  <c r="F51" i="33"/>
  <c r="F51" i="32"/>
  <c r="F57" i="32"/>
  <c r="D51" i="32"/>
  <c r="F8" i="31"/>
  <c r="F15" i="30"/>
  <c r="F8" i="30"/>
  <c r="F51" i="30"/>
  <c r="F15" i="29"/>
  <c r="F51" i="29"/>
  <c r="C57" i="29"/>
  <c r="F57" i="29"/>
  <c r="F20" i="28"/>
  <c r="F51" i="28"/>
  <c r="F8" i="27"/>
  <c r="D53" i="25"/>
  <c r="D55" i="25"/>
  <c r="F21" i="25"/>
  <c r="F16" i="25"/>
  <c r="F53" i="25"/>
  <c r="F55" i="25"/>
  <c r="F58" i="25"/>
  <c r="F51" i="25"/>
  <c r="C53" i="25"/>
  <c r="C55" i="25"/>
  <c r="F21" i="26"/>
  <c r="F53" i="26"/>
  <c r="F27" i="25"/>
  <c r="F52" i="24"/>
  <c r="C61" i="24"/>
  <c r="F15" i="24"/>
  <c r="F17" i="24"/>
  <c r="F61" i="24"/>
  <c r="F9" i="23"/>
  <c r="F62" i="22"/>
  <c r="F18" i="22"/>
  <c r="F56" i="22"/>
  <c r="F56" i="21"/>
  <c r="F58" i="21"/>
  <c r="F62" i="21"/>
  <c r="F29" i="21"/>
  <c r="F59" i="20"/>
  <c r="F25" i="20"/>
  <c r="F56" i="20"/>
  <c r="F30" i="20"/>
  <c r="F12" i="19"/>
  <c r="F9" i="19"/>
  <c r="F58" i="18"/>
  <c r="F60" i="18"/>
  <c r="F23" i="18"/>
  <c r="F11" i="18"/>
  <c r="C64" i="18"/>
  <c r="F64" i="18"/>
  <c r="F58" i="17"/>
  <c r="F60" i="17"/>
  <c r="C58" i="17"/>
  <c r="C60" i="17"/>
  <c r="F58" i="16"/>
  <c r="F60" i="16"/>
  <c r="F64" i="16"/>
  <c r="F46" i="16"/>
  <c r="C58" i="16"/>
  <c r="C60" i="16"/>
  <c r="G24" i="15"/>
  <c r="F15" i="15"/>
  <c r="C64" i="14"/>
  <c r="F64" i="14"/>
  <c r="F24" i="14"/>
  <c r="F19" i="13"/>
  <c r="C58" i="13"/>
  <c r="C60" i="13"/>
  <c r="F23" i="12"/>
  <c r="F58" i="12"/>
  <c r="F60" i="12"/>
  <c r="F24" i="12"/>
  <c r="C58" i="12"/>
  <c r="C60" i="12"/>
  <c r="F12" i="11"/>
  <c r="F9" i="11"/>
  <c r="F16" i="10"/>
  <c r="F32" i="10"/>
  <c r="F63" i="9"/>
  <c r="F32" i="9"/>
  <c r="C58" i="9"/>
  <c r="C60" i="9"/>
  <c r="F34" i="11"/>
  <c r="B58" i="11"/>
  <c r="K12" i="2"/>
  <c r="K28" i="2" s="1"/>
  <c r="D58" i="11"/>
  <c r="K14" i="2"/>
  <c r="F31" i="11"/>
  <c r="F56" i="11"/>
  <c r="F19" i="11"/>
  <c r="F33" i="11"/>
  <c r="F58" i="13"/>
  <c r="F60" i="13"/>
  <c r="F58" i="14"/>
  <c r="F60" i="14"/>
  <c r="F58" i="10"/>
  <c r="F60" i="10"/>
  <c r="E60" i="15"/>
  <c r="J15" i="2"/>
  <c r="B60" i="15"/>
  <c r="J12" i="2"/>
  <c r="J28" i="2" s="1"/>
  <c r="E60" i="11"/>
  <c r="K15" i="2"/>
  <c r="B60" i="11"/>
  <c r="F58" i="9"/>
  <c r="F60" i="9"/>
  <c r="C58" i="11"/>
  <c r="C60" i="11"/>
  <c r="D58" i="19"/>
  <c r="I14" i="2"/>
  <c r="C58" i="19"/>
  <c r="I13" i="2"/>
  <c r="D60" i="15"/>
  <c r="J14" i="2"/>
  <c r="C60" i="15"/>
  <c r="J13" i="2"/>
  <c r="D56" i="23"/>
  <c r="H14" i="2"/>
  <c r="C56" i="23"/>
  <c r="H13" i="2"/>
  <c r="H59" i="35"/>
  <c r="E13" i="2"/>
  <c r="D60" i="11"/>
  <c r="E56" i="23"/>
  <c r="H15" i="2"/>
  <c r="F58" i="15"/>
  <c r="F60" i="15"/>
  <c r="F62" i="19"/>
  <c r="I59" i="35"/>
  <c r="E14" i="2"/>
  <c r="E61" i="39"/>
  <c r="D15" i="2"/>
  <c r="C61" i="39"/>
  <c r="D13" i="2"/>
  <c r="F65" i="39"/>
  <c r="D34" i="2"/>
  <c r="F64" i="15"/>
  <c r="J34" i="2"/>
  <c r="F63" i="11"/>
  <c r="K34" i="2"/>
  <c r="F62" i="23"/>
  <c r="F51" i="27"/>
  <c r="F59" i="35"/>
  <c r="F56" i="19"/>
  <c r="F58" i="19"/>
  <c r="F57" i="27"/>
  <c r="F51" i="31"/>
  <c r="F54" i="23"/>
  <c r="F56" i="23"/>
  <c r="F59" i="39"/>
  <c r="F61" i="39"/>
  <c r="F57" i="31"/>
  <c r="F65" i="35"/>
  <c r="E34" i="2"/>
  <c r="F65" i="43"/>
  <c r="F59" i="43"/>
  <c r="F50" i="34"/>
  <c r="F54" i="24"/>
  <c r="F56" i="24"/>
  <c r="K13" i="2"/>
  <c r="F58" i="11"/>
  <c r="F60" i="11"/>
  <c r="A7" i="7"/>
  <c r="A7" i="4"/>
  <c r="A7" i="6"/>
  <c r="A1" i="6"/>
  <c r="B9" i="2"/>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8" i="8"/>
  <c r="F49" i="8"/>
  <c r="F50" i="8"/>
  <c r="F51" i="8"/>
  <c r="F52" i="8"/>
  <c r="F53" i="8"/>
  <c r="F54" i="8"/>
  <c r="F55" i="8"/>
  <c r="B58" i="8"/>
  <c r="B60" i="8"/>
  <c r="F57" i="8"/>
  <c r="E63" i="8"/>
  <c r="D63" i="8"/>
  <c r="B63" i="8"/>
  <c r="E58" i="8"/>
  <c r="E60" i="8"/>
  <c r="E63" i="7"/>
  <c r="D63" i="7"/>
  <c r="B63" i="7"/>
  <c r="E58" i="7"/>
  <c r="E60" i="7"/>
  <c r="B58" i="7"/>
  <c r="B60" i="7"/>
  <c r="F57" i="7"/>
  <c r="F56" i="7"/>
  <c r="F55" i="7"/>
  <c r="F54" i="7"/>
  <c r="F53" i="7"/>
  <c r="F52" i="7"/>
  <c r="F51" i="7"/>
  <c r="F50" i="7"/>
  <c r="F49" i="7"/>
  <c r="F48" i="7"/>
  <c r="F42" i="7"/>
  <c r="F41" i="7"/>
  <c r="F40" i="7"/>
  <c r="F39" i="7"/>
  <c r="F38" i="7"/>
  <c r="F37" i="7"/>
  <c r="C36" i="7"/>
  <c r="F35" i="7"/>
  <c r="F34" i="7"/>
  <c r="F33" i="7"/>
  <c r="C32" i="7"/>
  <c r="B32" i="7"/>
  <c r="B32" i="4"/>
  <c r="F31" i="7"/>
  <c r="C31" i="7"/>
  <c r="C31" i="4"/>
  <c r="F30" i="7"/>
  <c r="F29" i="7"/>
  <c r="F28" i="7"/>
  <c r="F27" i="7"/>
  <c r="F26" i="7"/>
  <c r="F25" i="7"/>
  <c r="D24" i="7"/>
  <c r="D24" i="4"/>
  <c r="C24" i="7"/>
  <c r="F23" i="7"/>
  <c r="F22" i="7"/>
  <c r="F21" i="7"/>
  <c r="F20" i="7"/>
  <c r="F19" i="7"/>
  <c r="F18" i="7"/>
  <c r="F17" i="7"/>
  <c r="D16" i="7"/>
  <c r="C16" i="7"/>
  <c r="F15" i="7"/>
  <c r="F14" i="7"/>
  <c r="F13" i="7"/>
  <c r="F12" i="7"/>
  <c r="F11" i="7"/>
  <c r="F10" i="7"/>
  <c r="F9" i="7"/>
  <c r="F50" i="6"/>
  <c r="F49" i="6"/>
  <c r="F48" i="6"/>
  <c r="F42" i="6"/>
  <c r="F41" i="6"/>
  <c r="F33" i="6"/>
  <c r="F31" i="6"/>
  <c r="F30" i="6"/>
  <c r="F29" i="6"/>
  <c r="F28" i="6"/>
  <c r="F17" i="6"/>
  <c r="F16" i="6"/>
  <c r="E63" i="6"/>
  <c r="E58" i="6"/>
  <c r="E60" i="6" s="1"/>
  <c r="M15" i="2"/>
  <c r="L17" i="2"/>
  <c r="K23" i="2"/>
  <c r="J23" i="2"/>
  <c r="I23" i="2"/>
  <c r="H23" i="2"/>
  <c r="G23" i="2"/>
  <c r="F23" i="2"/>
  <c r="E23" i="2"/>
  <c r="D23" i="2"/>
  <c r="C23" i="2"/>
  <c r="J21" i="2"/>
  <c r="I21" i="2"/>
  <c r="H21" i="2"/>
  <c r="G21" i="2"/>
  <c r="F21" i="2"/>
  <c r="E21" i="2"/>
  <c r="D21" i="2"/>
  <c r="C21" i="2"/>
  <c r="F16" i="7"/>
  <c r="C16" i="4"/>
  <c r="F32" i="7"/>
  <c r="C32" i="4"/>
  <c r="C63" i="7"/>
  <c r="F63" i="7"/>
  <c r="C36" i="4"/>
  <c r="F36" i="4"/>
  <c r="D58" i="7"/>
  <c r="D60" i="7"/>
  <c r="D16" i="4"/>
  <c r="F24" i="7"/>
  <c r="C24" i="4"/>
  <c r="F36" i="7"/>
  <c r="F11" i="4"/>
  <c r="F15" i="4"/>
  <c r="D64" i="4"/>
  <c r="F21" i="4"/>
  <c r="F39" i="4"/>
  <c r="F49" i="4"/>
  <c r="F51" i="4"/>
  <c r="F55" i="4"/>
  <c r="F57" i="4"/>
  <c r="F33" i="4"/>
  <c r="F14" i="4"/>
  <c r="F16" i="4"/>
  <c r="F18" i="4"/>
  <c r="F22" i="4"/>
  <c r="F26" i="4"/>
  <c r="F28" i="4"/>
  <c r="F40" i="4"/>
  <c r="F42" i="4"/>
  <c r="F54" i="4"/>
  <c r="F56" i="4"/>
  <c r="F59" i="4"/>
  <c r="C58" i="8"/>
  <c r="C60" i="8" s="1"/>
  <c r="F63" i="8"/>
  <c r="D58" i="8"/>
  <c r="D60" i="8"/>
  <c r="F58" i="7"/>
  <c r="F60" i="7"/>
  <c r="C58" i="7"/>
  <c r="C60" i="7"/>
  <c r="B58" i="4"/>
  <c r="D58" i="4"/>
  <c r="F20" i="4"/>
  <c r="F38" i="4"/>
  <c r="F53" i="4"/>
  <c r="F13" i="4"/>
  <c r="F34" i="4"/>
  <c r="F9" i="4"/>
  <c r="F30" i="4"/>
  <c r="F48" i="4"/>
  <c r="F50" i="4"/>
  <c r="E58" i="4"/>
  <c r="F17" i="4"/>
  <c r="F23" i="4"/>
  <c r="F25" i="4"/>
  <c r="F27" i="4"/>
  <c r="F29" i="4"/>
  <c r="F31" i="4"/>
  <c r="F10" i="4"/>
  <c r="F35" i="4"/>
  <c r="F37" i="4"/>
  <c r="E64" i="4"/>
  <c r="F41" i="4"/>
  <c r="F52" i="4"/>
  <c r="F19" i="4"/>
  <c r="F12" i="4"/>
  <c r="G28" i="2"/>
  <c r="H28" i="2"/>
  <c r="F24" i="4"/>
  <c r="F32" i="4"/>
  <c r="C58" i="4"/>
  <c r="C64" i="4"/>
  <c r="E60" i="4"/>
  <c r="L15" i="2"/>
  <c r="B60" i="4"/>
  <c r="L12" i="2"/>
  <c r="L28" i="2" s="1"/>
  <c r="D60" i="4"/>
  <c r="L14" i="2"/>
  <c r="C60" i="4"/>
  <c r="L13" i="2"/>
  <c r="F64" i="4"/>
  <c r="L34" i="2"/>
  <c r="F58" i="4"/>
  <c r="F60" i="4"/>
  <c r="L18" i="2"/>
  <c r="C53" i="3" l="1"/>
  <c r="G29" i="52"/>
  <c r="G43" i="52"/>
  <c r="G44" i="3" s="1"/>
  <c r="E62" i="52"/>
  <c r="C64" i="3"/>
  <c r="G31" i="52"/>
  <c r="G31" i="3" s="1"/>
  <c r="C39" i="3"/>
  <c r="G14" i="52"/>
  <c r="G14" i="3" s="1"/>
  <c r="C40" i="3"/>
  <c r="C32" i="3"/>
  <c r="G47" i="52"/>
  <c r="G49" i="3" s="1"/>
  <c r="C58" i="3"/>
  <c r="C64" i="52"/>
  <c r="G64" i="52" s="1"/>
  <c r="N34" i="2" s="1"/>
  <c r="C23" i="3"/>
  <c r="C20" i="3"/>
  <c r="C50" i="3"/>
  <c r="C21" i="3"/>
  <c r="D16" i="2"/>
  <c r="D18" i="2" s="1"/>
  <c r="J16" i="2"/>
  <c r="J19" i="2" s="1"/>
  <c r="C35" i="2"/>
  <c r="C16" i="2"/>
  <c r="C25" i="2" s="1"/>
  <c r="C31" i="2" s="1"/>
  <c r="F16" i="2"/>
  <c r="F25" i="2" s="1"/>
  <c r="F31" i="2" s="1"/>
  <c r="G16" i="2"/>
  <c r="G18" i="2" s="1"/>
  <c r="K16" i="2"/>
  <c r="K19" i="2" s="1"/>
  <c r="I16" i="2"/>
  <c r="I25" i="2" s="1"/>
  <c r="I31" i="2" s="1"/>
  <c r="E16" i="2"/>
  <c r="E25" i="2" s="1"/>
  <c r="E31" i="2" s="1"/>
  <c r="H35" i="2"/>
  <c r="G35" i="2"/>
  <c r="H16" i="2"/>
  <c r="H29" i="2" s="1"/>
  <c r="F35" i="2"/>
  <c r="G41" i="52"/>
  <c r="G42" i="3" s="1"/>
  <c r="G52" i="52"/>
  <c r="G56" i="3" s="1"/>
  <c r="G22" i="52"/>
  <c r="G30" i="52"/>
  <c r="G30" i="3" s="1"/>
  <c r="G51" i="52"/>
  <c r="G54" i="3" s="1"/>
  <c r="D35" i="2"/>
  <c r="L35" i="2"/>
  <c r="O21" i="2"/>
  <c r="D15" i="53" s="1"/>
  <c r="O23" i="2"/>
  <c r="D16" i="53" s="1"/>
  <c r="L16" i="2"/>
  <c r="L25" i="2" s="1"/>
  <c r="L31" i="2" s="1"/>
  <c r="D19" i="2"/>
  <c r="E28" i="2"/>
  <c r="K35" i="2"/>
  <c r="J35" i="2"/>
  <c r="I28" i="2"/>
  <c r="G38" i="3"/>
  <c r="C24" i="3"/>
  <c r="G43" i="3"/>
  <c r="G23" i="3"/>
  <c r="C13" i="3"/>
  <c r="G12" i="3"/>
  <c r="F20" i="6"/>
  <c r="C63" i="6"/>
  <c r="F63" i="6" s="1"/>
  <c r="M34" i="2" s="1"/>
  <c r="G59" i="3"/>
  <c r="G58" i="3"/>
  <c r="F21" i="6"/>
  <c r="G53" i="3"/>
  <c r="C12" i="3"/>
  <c r="F12" i="6"/>
  <c r="F36" i="6"/>
  <c r="G39" i="3" s="1"/>
  <c r="G19" i="3"/>
  <c r="G64" i="3"/>
  <c r="C51" i="3"/>
  <c r="G28" i="3"/>
  <c r="C19" i="3"/>
  <c r="C63" i="3"/>
  <c r="G24" i="3"/>
  <c r="G57" i="3"/>
  <c r="G61" i="3"/>
  <c r="C41" i="3"/>
  <c r="O15" i="2"/>
  <c r="D13" i="53" s="1"/>
  <c r="G65" i="3"/>
  <c r="F37" i="6"/>
  <c r="G40" i="3" s="1"/>
  <c r="G20" i="3"/>
  <c r="G50" i="3"/>
  <c r="G27" i="3"/>
  <c r="C18" i="3"/>
  <c r="C43" i="3"/>
  <c r="F66" i="3"/>
  <c r="F68" i="3" s="1"/>
  <c r="G29" i="3"/>
  <c r="G63" i="3"/>
  <c r="E20" i="3"/>
  <c r="G32" i="3"/>
  <c r="G21" i="3"/>
  <c r="C61" i="3"/>
  <c r="G48" i="3"/>
  <c r="C37" i="3"/>
  <c r="C26" i="3"/>
  <c r="G16" i="3"/>
  <c r="D35" i="3"/>
  <c r="D66" i="3" s="1"/>
  <c r="G41" i="3"/>
  <c r="G13" i="3"/>
  <c r="C38" i="3"/>
  <c r="G35" i="3"/>
  <c r="C59" i="3"/>
  <c r="C47" i="3"/>
  <c r="C35" i="3"/>
  <c r="C25" i="3"/>
  <c r="C16" i="3"/>
  <c r="G45" i="52"/>
  <c r="G47" i="3" s="1"/>
  <c r="G36" i="52"/>
  <c r="G37" i="3" s="1"/>
  <c r="G18" i="52"/>
  <c r="G18" i="3" s="1"/>
  <c r="C45" i="3"/>
  <c r="C57" i="3"/>
  <c r="E11" i="3"/>
  <c r="G15" i="52"/>
  <c r="G15" i="3" s="1"/>
  <c r="G17" i="52"/>
  <c r="G17" i="3" s="1"/>
  <c r="G25" i="52"/>
  <c r="G25" i="3" s="1"/>
  <c r="C65" i="3"/>
  <c r="G11" i="52"/>
  <c r="G11" i="3" s="1"/>
  <c r="D62" i="52"/>
  <c r="C33" i="3"/>
  <c r="C28" i="3"/>
  <c r="C34" i="3"/>
  <c r="C48" i="3"/>
  <c r="C17" i="3"/>
  <c r="C27" i="3"/>
  <c r="C60" i="52"/>
  <c r="G26" i="3"/>
  <c r="D58" i="6"/>
  <c r="F32" i="6"/>
  <c r="G34" i="3" s="1"/>
  <c r="I60" i="49"/>
  <c r="H60" i="49"/>
  <c r="I58" i="49"/>
  <c r="H58" i="49"/>
  <c r="H58" i="50"/>
  <c r="F58" i="50"/>
  <c r="F60" i="50" s="1"/>
  <c r="C58" i="6"/>
  <c r="C60" i="6" s="1"/>
  <c r="F56" i="6"/>
  <c r="B58" i="6"/>
  <c r="M12" i="2" s="1"/>
  <c r="M17" i="2"/>
  <c r="O17" i="2" s="1"/>
  <c r="C67" i="3"/>
  <c r="G59" i="51"/>
  <c r="G61" i="51" s="1"/>
  <c r="D61" i="51"/>
  <c r="D29" i="2" l="1"/>
  <c r="D30" i="2" s="1"/>
  <c r="G22" i="3"/>
  <c r="G66" i="3" s="1"/>
  <c r="E66" i="3"/>
  <c r="E68" i="3" s="1"/>
  <c r="J29" i="2"/>
  <c r="J30" i="2" s="1"/>
  <c r="J18" i="2"/>
  <c r="D25" i="2"/>
  <c r="D31" i="2" s="1"/>
  <c r="C29" i="2"/>
  <c r="C30" i="2" s="1"/>
  <c r="I18" i="2"/>
  <c r="C19" i="2"/>
  <c r="J25" i="2"/>
  <c r="J31" i="2" s="1"/>
  <c r="K29" i="2"/>
  <c r="K30" i="2" s="1"/>
  <c r="F19" i="2"/>
  <c r="E29" i="2"/>
  <c r="E32" i="2" s="1"/>
  <c r="E33" i="2" s="1"/>
  <c r="H19" i="2"/>
  <c r="K25" i="2"/>
  <c r="K31" i="2" s="1"/>
  <c r="K18" i="2"/>
  <c r="D32" i="2"/>
  <c r="D33" i="2" s="1"/>
  <c r="G29" i="2"/>
  <c r="G30" i="2" s="1"/>
  <c r="H25" i="2"/>
  <c r="H31" i="2" s="1"/>
  <c r="G19" i="2"/>
  <c r="F29" i="2"/>
  <c r="F30" i="2" s="1"/>
  <c r="H18" i="2"/>
  <c r="F18" i="2"/>
  <c r="C18" i="2"/>
  <c r="I19" i="2"/>
  <c r="E19" i="2"/>
  <c r="I29" i="2"/>
  <c r="I30" i="2" s="1"/>
  <c r="G25" i="2"/>
  <c r="G31" i="2" s="1"/>
  <c r="E18" i="2"/>
  <c r="O34" i="2"/>
  <c r="C66" i="3"/>
  <c r="E35" i="2"/>
  <c r="L29" i="2"/>
  <c r="L30" i="2" s="1"/>
  <c r="L19" i="2"/>
  <c r="H32" i="2"/>
  <c r="H33" i="2" s="1"/>
  <c r="H30" i="2"/>
  <c r="J32" i="2"/>
  <c r="J33" i="2" s="1"/>
  <c r="I35" i="2"/>
  <c r="G60" i="52"/>
  <c r="G62" i="52" s="1"/>
  <c r="C62" i="52"/>
  <c r="N12" i="2"/>
  <c r="N28" i="2" s="1"/>
  <c r="N35" i="2" s="1"/>
  <c r="N13" i="2"/>
  <c r="N16" i="2" s="1"/>
  <c r="M14" i="2"/>
  <c r="O14" i="2" s="1"/>
  <c r="D14" i="53" s="1"/>
  <c r="D36" i="53" s="1"/>
  <c r="D60" i="6"/>
  <c r="M13" i="2"/>
  <c r="D68" i="3"/>
  <c r="M28" i="2"/>
  <c r="F58" i="6"/>
  <c r="B60" i="6"/>
  <c r="G67" i="3"/>
  <c r="C32" i="2" l="1"/>
  <c r="C33" i="2" s="1"/>
  <c r="N18" i="2"/>
  <c r="E30" i="2"/>
  <c r="I32" i="2"/>
  <c r="I33" i="2" s="1"/>
  <c r="K32" i="2"/>
  <c r="K33" i="2" s="1"/>
  <c r="G32" i="2"/>
  <c r="G33" i="2" s="1"/>
  <c r="F32" i="2"/>
  <c r="F33" i="2" s="1"/>
  <c r="C68" i="3"/>
  <c r="L32" i="2"/>
  <c r="L33" i="2" s="1"/>
  <c r="O12" i="2"/>
  <c r="O28" i="2" s="1"/>
  <c r="O35" i="2" s="1"/>
  <c r="M16" i="2"/>
  <c r="M25" i="2" s="1"/>
  <c r="M31" i="2" s="1"/>
  <c r="O13" i="2"/>
  <c r="D12" i="53" s="1"/>
  <c r="D18" i="53" s="1"/>
  <c r="H58" i="6"/>
  <c r="M18" i="2"/>
  <c r="F60" i="6"/>
  <c r="G68" i="3"/>
  <c r="M35" i="2"/>
  <c r="N29" i="2"/>
  <c r="N25" i="2"/>
  <c r="N31" i="2" s="1"/>
  <c r="N19" i="2"/>
  <c r="O18" i="2" l="1"/>
  <c r="M29" i="2"/>
  <c r="M32" i="2" s="1"/>
  <c r="M33" i="2" s="1"/>
  <c r="M19" i="2"/>
  <c r="O16" i="2"/>
  <c r="O29" i="2" s="1"/>
  <c r="N32" i="2"/>
  <c r="N33" i="2" s="1"/>
  <c r="N30" i="2"/>
  <c r="O19" i="2" l="1"/>
  <c r="O25" i="2"/>
  <c r="O31" i="2" s="1"/>
  <c r="M30" i="2"/>
  <c r="O32" i="2"/>
  <c r="O33" i="2" s="1"/>
  <c r="O30" i="2"/>
  <c r="H57" i="3" l="1"/>
  <c r="H37" i="3" l="1"/>
  <c r="H40" i="3" l="1"/>
  <c r="H58" i="3" l="1"/>
  <c r="H66" i="3" s="1"/>
  <c r="D38" i="53" s="1"/>
  <c r="D40" i="53" l="1"/>
  <c r="D52" i="53" s="1"/>
  <c r="D42" i="5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tc={6F455D61-9E54-4BDD-85D3-A67482821E16}</author>
  </authors>
  <commentList>
    <comment ref="G11" authorId="0" shapeId="0" xr:uid="{6F455D61-9E54-4BDD-85D3-A67482821E16}">
      <text>
        <t>[Threaded comment]
Your version of Excel allows you to read this threaded comment; however, any edits to it will get removed if the file is opened in a newer version of Excel. Learn more: https://go.microsoft.com/fwlink/?linkid=870924
Comment:
    Deferred contribution from Australia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Girma Gina</author>
    <author>tc={AE3B594F-503D-416D-97DF-A84410AC32AA}</author>
  </authors>
  <commentList>
    <comment ref="D23" authorId="0" shapeId="0" xr:uid="{0C31CAE7-4BB9-43F6-BEAD-6058B1EAFD27}">
      <text>
        <r>
          <rPr>
            <b/>
            <sz val="9"/>
            <color indexed="81"/>
            <rFont val="Tahoma"/>
            <family val="2"/>
          </rPr>
          <t>Girma Gina:</t>
        </r>
        <r>
          <rPr>
            <sz val="9"/>
            <color indexed="81"/>
            <rFont val="Tahoma"/>
            <family val="2"/>
          </rPr>
          <t xml:space="preserve">
From 74th ExCom</t>
        </r>
      </text>
    </comment>
    <comment ref="D24" authorId="0" shapeId="0" xr:uid="{1477D614-383E-4DFB-83CC-DEBF5F7C39B8}">
      <text>
        <r>
          <rPr>
            <b/>
            <sz val="9"/>
            <color indexed="81"/>
            <rFont val="Tahoma"/>
            <family val="2"/>
          </rPr>
          <t>Girma Gina:</t>
        </r>
        <r>
          <rPr>
            <sz val="9"/>
            <color indexed="81"/>
            <rFont val="Tahoma"/>
            <family val="2"/>
          </rPr>
          <t xml:space="preserve">
US$1,903,869 from 75th,</t>
        </r>
      </text>
    </comment>
    <comment ref="C25" authorId="1" shapeId="0" xr:uid="{AE3B594F-503D-416D-97DF-A84410AC32AA}">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0" shapeId="0" xr:uid="{8B5BE375-4479-4B08-AF61-1B25E6FCFAA4}">
      <text>
        <r>
          <rPr>
            <b/>
            <sz val="9"/>
            <color indexed="81"/>
            <rFont val="Tahoma"/>
            <family val="2"/>
          </rPr>
          <t>Girma Gina:</t>
        </r>
        <r>
          <rPr>
            <sz val="9"/>
            <color indexed="81"/>
            <rFont val="Tahoma"/>
            <family val="2"/>
          </rPr>
          <t xml:space="preserve">
From receipt amount US$179,586.74 dd12/01/2017</t>
        </r>
      </text>
    </comment>
    <comment ref="C33" authorId="0" shapeId="0" xr:uid="{CB89AC71-BF77-42F5-BDEF-A24A5D5EABF4}">
      <text>
        <r>
          <rPr>
            <b/>
            <sz val="9"/>
            <color indexed="81"/>
            <rFont val="Tahoma"/>
            <family val="2"/>
          </rPr>
          <t>Girma Gina:</t>
        </r>
        <r>
          <rPr>
            <sz val="9"/>
            <color indexed="81"/>
            <rFont val="Tahoma"/>
            <family val="2"/>
          </rPr>
          <t xml:space="preserve">
From receipts of US$128,906  dd 12/02/2015 &amp; US$115,631 dd 27/11/2015</t>
        </r>
      </text>
    </comment>
    <comment ref="C44" authorId="0" shapeId="0" xr:uid="{03CECD38-0C0E-4F59-A432-97818CB87D6C}">
      <text>
        <r>
          <rPr>
            <b/>
            <sz val="9"/>
            <color indexed="81"/>
            <rFont val="Tahoma"/>
            <family val="2"/>
          </rPr>
          <t>Girma Gina:</t>
        </r>
        <r>
          <rPr>
            <sz val="9"/>
            <color indexed="81"/>
            <rFont val="Tahoma"/>
            <family val="2"/>
          </rPr>
          <t xml:space="preserve">
From payment dd 29/12/2017 US$6,204,194, unspent bilateral US$957,937</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tc={1BCD0D7E-C405-43C4-80F2-514A9DFDB238}</author>
    <author>Girma Gina</author>
  </authors>
  <commentList>
    <comment ref="C25" authorId="0" shapeId="0" xr:uid="{1BCD0D7E-C405-43C4-80F2-514A9DFDB238}">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1" shapeId="0" xr:uid="{6EA60BA2-1067-4889-9BFC-25EE2F2D0A72}">
      <text>
        <r>
          <rPr>
            <b/>
            <sz val="9"/>
            <color indexed="81"/>
            <rFont val="Tahoma"/>
            <family val="2"/>
          </rPr>
          <t>Girma Gina:</t>
        </r>
        <r>
          <rPr>
            <sz val="9"/>
            <color indexed="81"/>
            <rFont val="Tahoma"/>
            <family val="2"/>
          </rPr>
          <t xml:space="preserve">
From receipt amount US$179,586.74 dd 12/01/2017</t>
        </r>
      </text>
    </comment>
    <comment ref="C33" authorId="1" shapeId="0" xr:uid="{50818176-A446-4CFC-B2ED-CE70A8122408}">
      <text>
        <r>
          <rPr>
            <b/>
            <sz val="9"/>
            <color indexed="81"/>
            <rFont val="Tahoma"/>
            <family val="2"/>
          </rPr>
          <t>Girma Gina:</t>
        </r>
        <r>
          <rPr>
            <sz val="9"/>
            <color indexed="81"/>
            <rFont val="Tahoma"/>
            <family val="2"/>
          </rPr>
          <t xml:space="preserve">
Receipt amount of US$128,906 dd 15/12/2014</t>
        </r>
      </text>
    </comment>
    <comment ref="C44" authorId="1" shapeId="0" xr:uid="{3E69FAD4-B089-48A0-8889-1A58DD600053}">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Sandeep Bhambra</author>
    <author>tc={097DFE4D-3CF7-494D-B432-8D50651065AB}</author>
    <author>Girma Gina</author>
  </authors>
  <commentList>
    <comment ref="D23" authorId="0" shapeId="0" xr:uid="{8ED648E8-D6E3-4A6D-84F1-7F305C35DCF0}">
      <text>
        <r>
          <rPr>
            <b/>
            <sz val="9"/>
            <color indexed="81"/>
            <rFont val="Tahoma"/>
            <family val="2"/>
          </rPr>
          <t xml:space="preserve">Sandeep : Changed during Excom; 13May14 - in discussion with France. Moved from YR2012 sheet to YR2013 sheet
</t>
        </r>
        <r>
          <rPr>
            <sz val="9"/>
            <color indexed="81"/>
            <rFont val="Tahoma"/>
            <family val="2"/>
          </rPr>
          <t xml:space="preserve">
</t>
        </r>
      </text>
    </comment>
    <comment ref="C25" authorId="1" shapeId="0" xr:uid="{097DFE4D-3CF7-494D-B432-8D50651065AB}">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44" authorId="2" shapeId="0" xr:uid="{C24E2D07-13ED-458D-8369-82EF310E2836}">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C25" authorId="0" shapeId="0" xr:uid="{E8864198-25C5-4CE1-8DE9-A5A7C0FFA9AD}">
      <text>
        <r>
          <rPr>
            <b/>
            <sz val="9"/>
            <color indexed="81"/>
            <rFont val="Tahoma"/>
            <family val="2"/>
          </rPr>
          <t>Girma Gina:</t>
        </r>
        <r>
          <rPr>
            <sz val="9"/>
            <color indexed="81"/>
            <rFont val="Tahoma"/>
            <family val="2"/>
          </rPr>
          <t xml:space="preserve">
US$200,000 paid on 31/10/2017 and paid on 15/01/2019</t>
        </r>
      </text>
    </comment>
    <comment ref="C44" authorId="0" shapeId="0" xr:uid="{76AB3C34-CB2A-474A-9E64-8909F2C74D8F}">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C42" authorId="0" shapeId="0" xr:uid="{C82C7452-C7F3-47C7-9A10-6C9349207999}">
      <text>
        <r>
          <rPr>
            <b/>
            <sz val="9"/>
            <color indexed="81"/>
            <rFont val="Tahoma"/>
            <family val="2"/>
          </rPr>
          <t>Girma Gina:</t>
        </r>
        <r>
          <rPr>
            <sz val="9"/>
            <color indexed="81"/>
            <rFont val="Tahoma"/>
            <family val="2"/>
          </rPr>
          <t xml:space="preserve">
From payment dd 29/12/2017 US$6,204,194, unspent bilateral US$853,083</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29" authorId="0" shapeId="0" xr:uid="{D93D5C5E-05B4-421B-BB42-3EBFBDC10D8B}">
      <text>
        <r>
          <rPr>
            <b/>
            <sz val="9"/>
            <color indexed="81"/>
            <rFont val="Tahoma"/>
            <family val="2"/>
          </rPr>
          <t>Girma Gina:</t>
        </r>
        <r>
          <rPr>
            <sz val="9"/>
            <color indexed="81"/>
            <rFont val="Tahoma"/>
            <family val="2"/>
          </rPr>
          <t xml:space="preserve">
US$201,131.40 deposited by UNIDO on 27/09/17 for return of BA to 79th Italy 2010.</t>
        </r>
      </text>
    </comment>
    <comment ref="D30" authorId="0" shapeId="0" xr:uid="{51A40BF3-F493-4F37-8A23-717A4E4C5314}">
      <text>
        <r>
          <rPr>
            <b/>
            <sz val="9"/>
            <color indexed="81"/>
            <rFont val="Tahoma"/>
            <family val="2"/>
          </rPr>
          <t>Girma Gina:</t>
        </r>
        <r>
          <rPr>
            <sz val="9"/>
            <color indexed="81"/>
            <rFont val="Tahoma"/>
            <family val="2"/>
          </rPr>
          <t xml:space="preserve">
Returned by UNIDO US$1,453.58 and US$5,589.87 on 27/04/18 and 05/08/18 respectively. UNDP returned 236.22 on 11/01/18</t>
        </r>
      </text>
    </comment>
    <comment ref="C42" authorId="0" shapeId="0" xr:uid="{766205E6-E58C-4FFC-9D4E-72114C4B155C}">
      <text>
        <r>
          <rPr>
            <b/>
            <sz val="9"/>
            <color indexed="81"/>
            <rFont val="Tahoma"/>
            <family val="2"/>
          </rPr>
          <t>Girma Gina:</t>
        </r>
        <r>
          <rPr>
            <sz val="9"/>
            <color indexed="81"/>
            <rFont val="Tahoma"/>
            <family val="2"/>
          </rPr>
          <t xml:space="preserve">
From payment dd 29/12/2017 US$6,204,194, unspent bilateral US$773,946</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15" authorId="0" shapeId="0" xr:uid="{D15F6D46-2E12-4503-9EEF-2DAE898AF4B1}">
      <text>
        <r>
          <rPr>
            <b/>
            <sz val="9"/>
            <color indexed="81"/>
            <rFont val="Tahoma"/>
            <family val="2"/>
          </rPr>
          <t>Girma Gina:</t>
        </r>
        <r>
          <rPr>
            <sz val="9"/>
            <color indexed="81"/>
            <rFont val="Tahoma"/>
            <family val="2"/>
          </rPr>
          <t xml:space="preserve">
UNIDO returned USD3,165.44 from bilateral project.</t>
        </r>
      </text>
    </comment>
    <comment ref="D28" authorId="0" shapeId="0" xr:uid="{AF63EF99-B07B-4129-8813-D1E857F03983}">
      <text>
        <r>
          <rPr>
            <b/>
            <sz val="9"/>
            <color indexed="81"/>
            <rFont val="Tahoma"/>
            <family val="2"/>
          </rPr>
          <t>Girma Gina:</t>
        </r>
        <r>
          <rPr>
            <sz val="9"/>
            <color indexed="81"/>
            <rFont val="Tahoma"/>
            <family val="2"/>
          </rPr>
          <t xml:space="preserve">
US$66,030 reimbursed by UNDP as unspent balance from Italy's 2008 BA; US$6,831.44 unspent bal from TF/MOR/08/06 and UNIDO paid US$24.99 on 27/09/17</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27" authorId="0" shapeId="0" xr:uid="{17576B64-DA63-464A-A56A-ADCB7425ADB6}">
      <text>
        <r>
          <rPr>
            <b/>
            <sz val="9"/>
            <color indexed="81"/>
            <rFont val="Tahoma"/>
            <family val="2"/>
          </rPr>
          <t>Girma Gina:</t>
        </r>
        <r>
          <rPr>
            <sz val="9"/>
            <color indexed="81"/>
            <rFont val="Tahoma"/>
            <family val="2"/>
          </rPr>
          <t xml:space="preserve">
Unspent bal &amp; Interest US$12,067.32 from TF/CMR/07/002 &amp; US$20,752.20 from TF/SEN/07/007</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Moses T</author>
    <author>tc={3044DFB1-985B-4766-8B98-6113960C1E7C}</author>
    <author>Girma Gina</author>
  </authors>
  <commentList>
    <comment ref="H19" authorId="0" shapeId="0" xr:uid="{3B2E65B2-F8DE-4842-80EE-9B18E1C20BE3}">
      <text>
        <r>
          <rPr>
            <sz val="9"/>
            <color indexed="81"/>
            <rFont val="Tahoma"/>
            <family val="2"/>
          </rPr>
          <t xml:space="preserve">moved to year 2004
</t>
        </r>
      </text>
    </comment>
    <comment ref="I19" authorId="0" shapeId="0" xr:uid="{C1E5E0D3-7F4B-4BE2-9E1A-6E93F13511A3}">
      <text>
        <r>
          <rPr>
            <sz val="9"/>
            <color indexed="81"/>
            <rFont val="Tahoma"/>
            <family val="2"/>
          </rPr>
          <t>moved to year 2004</t>
        </r>
      </text>
    </comment>
    <comment ref="D20" authorId="1" shapeId="0" xr:uid="{3044DFB1-985B-4766-8B98-6113960C1E7C}">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 ref="C38" authorId="2" shapeId="0" xr:uid="{282C98B2-1F30-43FD-93CC-26ED05EECEA7}">
      <text>
        <r>
          <rPr>
            <b/>
            <sz val="9"/>
            <color indexed="81"/>
            <rFont val="Tahoma"/>
            <family val="2"/>
          </rPr>
          <t>Girma Gina:</t>
        </r>
        <r>
          <rPr>
            <sz val="9"/>
            <color indexed="81"/>
            <rFont val="Tahoma"/>
            <family val="2"/>
          </rPr>
          <t xml:space="preserve">
From payment dd 29/12/2017 US$6,204,194, unspent bilateral US$53,765</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tc={B8CB65A7-23BE-45A9-9A9B-AA5E860F9E60}</author>
  </authors>
  <commentList>
    <comment ref="D20" authorId="0" shapeId="0" xr:uid="{B8CB65A7-23BE-45A9-9A9B-AA5E860F9E60}">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Girma Gina</author>
    <author>tc={C8E410B6-889B-4539-8C38-EFD6DA9B7683}</author>
    <author>tc={81C7A460-8C21-4EC6-8353-317C38F2D3DF}</author>
  </authors>
  <commentList>
    <comment ref="D10" authorId="0" shapeId="0" xr:uid="{4AAA3B39-6D81-4B9A-8C9B-79D0D931315A}">
      <text>
        <r>
          <rPr>
            <b/>
            <sz val="9"/>
            <color indexed="81"/>
            <rFont val="Tahoma"/>
            <family val="2"/>
          </rPr>
          <t>Girma Gina:</t>
        </r>
        <r>
          <rPr>
            <sz val="9"/>
            <color indexed="81"/>
            <rFont val="Tahoma"/>
            <family val="2"/>
          </rPr>
          <t xml:space="preserve">
Bilateral approved at the 92nd meeting that Australia requested to be transferred to UNDP 30/01/2024</t>
        </r>
      </text>
    </comment>
    <comment ref="D24" authorId="1" shapeId="0" xr:uid="{C8E410B6-889B-4539-8C38-EFD6DA9B7683}">
      <text>
        <t>[Threaded comment]
Your version of Excel allows you to read this threaded comment; however, any edits to it will get removed if the file is opened in a newer version of Excel. Learn more: https://go.microsoft.com/fwlink/?linkid=870924
Comment:
    Bilateral approved at 92nd and transfer of projects to UNDP as per 92nd decision and 93rd meeting</t>
      </text>
    </comment>
    <comment ref="D32" authorId="2" shapeId="0" xr:uid="{81C7A460-8C21-4EC6-8353-317C38F2D3DF}">
      <text>
        <t>[Threaded comment]
Your version of Excel allows you to read this threaded comment; however, any edits to it will get removed if the file is opened in a newer version of Excel. Learn more: https://go.microsoft.com/fwlink/?linkid=870924
Comment:
    Bilateral 93rd meeting</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tc={CEA1EF39-23FE-4400-819F-B6375382491B}</author>
  </authors>
  <commentList>
    <comment ref="D20" authorId="0" shapeId="0" xr:uid="{CEA1EF39-23FE-4400-819F-B6375382491B}">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tc={50F1A08F-5364-41FB-8B91-DA36D586A4D1}</author>
  </authors>
  <commentList>
    <comment ref="D20" authorId="0" shapeId="0" xr:uid="{50F1A08F-5364-41FB-8B91-DA36D586A4D1}">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tc={26A6C3F3-7530-469C-AEFE-3EA9D4A8CF77}</author>
  </authors>
  <commentList>
    <comment ref="D20" authorId="0" shapeId="0" xr:uid="{26A6C3F3-7530-469C-AEFE-3EA9D4A8CF77}">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tc={C6A3FA63-62DE-4AEE-BBC1-804F6D4D3C59}</author>
  </authors>
  <commentList>
    <comment ref="D20" authorId="0" shapeId="0" xr:uid="{C6A3FA63-62DE-4AEE-BBC1-804F6D4D3C59}">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tc={12D1188A-6C7A-47C8-96FA-BB78AA86C97D}</author>
  </authors>
  <commentList>
    <comment ref="D23" authorId="0" shapeId="0" xr:uid="{12D1188A-6C7A-47C8-96FA-BB78AA86C97D}">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tc={3F80C775-FA20-4027-AE9F-11EFD9F11A25}</author>
  </authors>
  <commentList>
    <comment ref="D23" authorId="0" shapeId="0" xr:uid="{3F80C775-FA20-4027-AE9F-11EFD9F11A25}">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tc={BD0C75FC-12E0-46AF-88CE-8FEF49EC310F}</author>
  </authors>
  <commentList>
    <comment ref="D23" authorId="0" shapeId="0" xr:uid="{BD0C75FC-12E0-46AF-88CE-8FEF49EC310F}">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Girma Gina</author>
    <author>tc={42158F13-B374-4B46-86DC-194E324B76F7}</author>
  </authors>
  <commentList>
    <comment ref="D11" authorId="0" shapeId="0" xr:uid="{174332BE-F7B6-4DB8-8F25-D3155C8E4E56}">
      <text>
        <r>
          <rPr>
            <b/>
            <sz val="9"/>
            <color indexed="81"/>
            <rFont val="Tahoma"/>
            <family val="2"/>
          </rPr>
          <t>Girma Gina:</t>
        </r>
        <r>
          <rPr>
            <sz val="9"/>
            <color indexed="81"/>
            <rFont val="Tahoma"/>
            <family val="2"/>
          </rPr>
          <t xml:space="preserve">
Bilateral approved at 88th meeting</t>
        </r>
      </text>
    </comment>
    <comment ref="D24" authorId="1" shapeId="0" xr:uid="{42158F13-B374-4B46-86DC-194E324B76F7}">
      <text>
        <t>[Threaded comment]
Your version of Excel allows you to read this threaded comment; however, any edits to it will get removed if the file is opened in a newer version of Excel. Learn more: https://go.microsoft.com/fwlink/?linkid=870924
Comment:
    Bilateral 90th ExCom 07 July 2022 and 91st Excom dd 28 Dec 2022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tc={95602D43-0518-46FC-8DC3-8B784149C5E4}</author>
    <author>tc={F01F2486-62F1-4B3D-8D34-9C3B2987B8CD}</author>
    <author>tc={03BDAC45-F2E4-4F2E-A012-E00F9ABEC245}</author>
    <author>Girma Gina</author>
    <author>tc={0B6E999B-FBAF-4602-BD8C-37C34FA53E15}</author>
  </authors>
  <commentList>
    <comment ref="D23" authorId="0" shapeId="0" xr:uid="{95602D43-0518-46FC-8DC3-8B784149C5E4}">
      <text>
        <t>[Threaded comment]
Your version of Excel allows you to read this threaded comment; however, any edits to it will get removed if the file is opened in a newer version of Excel. Learn more: https://go.microsoft.com/fwlink/?linkid=870924
Comment:
    Bilateral approved at 86th ExCom and US$6,747 return of bilateral to the 87th ExCom
Reply:
    Difference of $30,250 arose because of the FERM rate difference between 2018/20 and 2021/23
Reply:
    86th ExCom decided to offset France's 2020 contribution for the bilateral, but invoice done in 2021/22
Reply:
    Bilateral return ExCom decision 91/3 (a)(vi) US$21,199</t>
      </text>
    </comment>
    <comment ref="D24" authorId="1" shapeId="0" xr:uid="{F01F2486-62F1-4B3D-8D34-9C3B2987B8CD}">
      <text>
        <t>[Threaded comment]
Your version of Excel allows you to read this threaded comment; however, any edits to it will get removed if the file is opened in a newer version of Excel. Learn more: https://go.microsoft.com/fwlink/?linkid=870924
Comment:
    US$1,102,511 at 87th ExCom US$3,214,121 at 88th ExCom; balance to be transferred to 2022</t>
      </text>
    </comment>
    <comment ref="D31" authorId="2" shapeId="0" xr:uid="{03BDAC45-F2E4-4F2E-A012-E00F9ABEC245}">
      <text>
        <t>[Threaded comment]
Your version of Excel allows you to read this threaded comment; however, any edits to it will get removed if the file is opened in a newer version of Excel. Learn more: https://go.microsoft.com/fwlink/?linkid=870924
Comment:
    Bilateral approved at 88th ExCom</t>
      </text>
    </comment>
    <comment ref="C32" authorId="3" shapeId="0" xr:uid="{6056D086-3AA5-4D59-9187-D56C597507CE}">
      <text>
        <r>
          <rPr>
            <b/>
            <sz val="9"/>
            <color indexed="81"/>
            <rFont val="Tahoma"/>
            <family val="2"/>
          </rPr>
          <t>Girma Gina:</t>
        </r>
        <r>
          <rPr>
            <sz val="9"/>
            <color indexed="81"/>
            <rFont val="Tahoma"/>
            <family val="2"/>
          </rPr>
          <t xml:space="preserve">
Japan's instruction to transfer US$271,200 to UNEP ref. email dd 28/02/22</t>
        </r>
      </text>
    </comment>
    <comment ref="D32" authorId="4" shapeId="0" xr:uid="{0B6E999B-FBAF-4602-BD8C-37C34FA53E15}">
      <text>
        <t>[Threaded comment]
Your version of Excel allows you to read this threaded comment; however, any edits to it will get removed if the file is opened in a newer version of Excel. Learn more: https://go.microsoft.com/fwlink/?linkid=870924
Comment:
    Approved 87th and 88th ExCom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tc={7A63BFF3-56A5-4366-97AE-E67630A98965}</author>
    <author>tc={74F000F5-243F-4633-B4F6-C0A2C74B6C4C}</author>
  </authors>
  <commentList>
    <comment ref="D16" authorId="0" shapeId="0" xr:uid="{7A63BFF3-56A5-4366-97AE-E67630A98965}">
      <text>
        <t>[Threaded comment]
Your version of Excel allows you to read this threaded comment; however, any edits to it will get removed if the file is opened in a newer version of Excel. Learn more: https://go.microsoft.com/fwlink/?linkid=870924
Comment:
    Email request from Phillipe on 24/09/2019
Reply:
    US$42,800 85th ISA</t>
      </text>
    </comment>
    <comment ref="D23" authorId="1" shapeId="0" xr:uid="{74F000F5-243F-4633-B4F6-C0A2C74B6C4C}">
      <text>
        <t>[Threaded comment]
Your version of Excel allows you to read this threaded comment; however, any edits to it will get removed if the file is opened in a newer version of Excel. Learn more: https://go.microsoft.com/fwlink/?linkid=870924
Comment:
    84th ExCom bilateral approval
Reply:
    US5,085 85th ISA
Reply:
    87th ExCom Cash transfer due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tc={7D76BCFE-8940-48D0-AFF9-CE83BFEE5282}</author>
    <author>tc={1F92A21C-2F77-40C4-8872-E3BAEDB377A9}</author>
    <author>tc={C831BBF8-190D-438C-A024-98B1D153B605}</author>
    <author>tc={48529FD9-7CE9-44CB-87E6-2938AA58AADF}</author>
    <author>tc={100460EE-D6BF-4935-98D6-9839A47D353D}</author>
    <author>tc={3C5974EA-09B2-4AFB-964F-8F4FBF7E71DF}</author>
    <author>tc={93003BFA-4C6D-4EBB-BB5B-08F8D60B9699}</author>
  </authors>
  <commentList>
    <comment ref="D16" authorId="0" shapeId="0" xr:uid="{7D76BCFE-8940-48D0-AFF9-CE83BFEE5282}">
      <text>
        <t>[Threaded comment]
Your version of Excel allows you to read this threaded comment; however, any edits to it will get removed if the file is opened in a newer version of Excel. Learn more: https://go.microsoft.com/fwlink/?linkid=870924
Comment:
    Email request from Phillipe on 24/09/2019</t>
      </text>
    </comment>
    <comment ref="C24" authorId="1" shapeId="0" xr:uid="{1F92A21C-2F77-40C4-8872-E3BAEDB377A9}">
      <text>
        <t>[Threaded comment]
Your version of Excel allows you to read this threaded comment; however, any edits to it will get removed if the file is opened in a newer version of Excel. Learn more: https://go.microsoft.com/fwlink/?linkid=870924
Comment:
    US$304,950 is bilateral from the additional contribution that Germany paid without deducting it.</t>
      </text>
    </comment>
    <comment ref="D24" authorId="2" shapeId="0" xr:uid="{C831BBF8-190D-438C-A024-98B1D153B605}">
      <text>
        <t>[Threaded comment]
Your version of Excel allows you to read this threaded comment; however, any edits to it will get removed if the file is opened in a newer version of Excel. Learn more: https://go.microsoft.com/fwlink/?linkid=870924
Comment:
    US$1,852,533.4 bilateral approved by 82nd ExCom
Reply:
    $1,367,733.6 portion of 84th ExCom approval</t>
      </text>
    </comment>
    <comment ref="C25" authorId="3" shapeId="0" xr:uid="{48529FD9-7CE9-44CB-87E6-2938AA58AADF}">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D31" authorId="4" shapeId="0" xr:uid="{100460EE-D6BF-4935-98D6-9839A47D353D}">
      <text>
        <t>[Threaded comment]
Your version of Excel allows you to read this threaded comment; however, any edits to it will get removed if the file is opened in a newer version of Excel. Learn more: https://go.microsoft.com/fwlink/?linkid=870924
Comment:
    84th Excom approval</t>
      </text>
    </comment>
    <comment ref="C32" authorId="5" shapeId="0" xr:uid="{3C5974EA-09B2-4AFB-964F-8F4FBF7E71DF}">
      <text>
        <t>[Threaded comment]
Your version of Excel allows you to read this threaded comment; however, any edits to it will get removed if the file is opened in a newer version of Excel. Learn more: https://go.microsoft.com/fwlink/?linkid=870924
Comment:
    MOFA &amp; MOE invoices settled and on 17/03/2020 MoF settled the balance</t>
      </text>
    </comment>
    <comment ref="D32" authorId="6" shapeId="0" xr:uid="{93003BFA-4C6D-4EBB-BB5B-08F8D60B9699}">
      <text>
        <t>[Threaded comment]
Your version of Excel allows you to read this threaded comment; however, any edits to it will get removed if the file is opened in a newer version of Excel. Learn more: https://go.microsoft.com/fwlink/?linkid=870924
Comment:
    84th ExCom meeting approval
Reply:
    Paid to WB on 06 March 2020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tc={166EFB7F-1C0E-479E-923A-F19C12D2CD5B}</author>
    <author>tc={02CCE766-94F6-4EFF-9B1C-0537FCB7C132}</author>
    <author>tc={BFC0BCEA-FD1D-4645-B479-EB72877571CD}</author>
    <author>Girma Gina</author>
  </authors>
  <commentList>
    <comment ref="D23" authorId="0" shapeId="0" xr:uid="{166EFB7F-1C0E-479E-923A-F19C12D2CD5B}">
      <text>
        <t>[Threaded comment]
Your version of Excel allows you to read this threaded comment; however, any edits to it will get removed if the file is opened in a newer version of Excel. Learn more: https://go.microsoft.com/fwlink/?linkid=870924
Comment:
    82nd ExCom bilateral approva</t>
      </text>
    </comment>
    <comment ref="D24" authorId="1" shapeId="0" xr:uid="{02CCE766-94F6-4EFF-9B1C-0537FCB7C132}">
      <text>
        <t>[Threaded comment]
Your version of Excel allows you to read this threaded comment; however, any edits to it will get removed if the file is opened in a newer version of Excel. Learn more: https://go.microsoft.com/fwlink/?linkid=870924
Comment:
    US$222,182 bilateral approved 81st ExCom; US$2,998,084.6</t>
      </text>
    </comment>
    <comment ref="C25" authorId="2" shapeId="0" xr:uid="{BFC0BCEA-FD1D-4645-B479-EB72877571CD}">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D31" authorId="3" shapeId="0" xr:uid="{F89B3BBB-7A0B-4C46-9DAA-BBC30AABA1C7}">
      <text>
        <r>
          <rPr>
            <b/>
            <sz val="9"/>
            <color indexed="81"/>
            <rFont val="Tahoma"/>
            <family val="2"/>
          </rPr>
          <t>Girma Gina:
US$ 67,800 (Ghana through UNDP)
US$303,962 (Nigeria through UNDP)</t>
        </r>
      </text>
    </comment>
    <comment ref="C33" authorId="3" shapeId="0" xr:uid="{5F79CF2E-8D3D-4DBD-9F5C-45118479F413}">
      <text>
        <r>
          <rPr>
            <b/>
            <sz val="9"/>
            <color indexed="81"/>
            <rFont val="Tahoma"/>
            <family val="2"/>
          </rPr>
          <t>Girma Gina:</t>
        </r>
        <r>
          <rPr>
            <sz val="9"/>
            <color indexed="81"/>
            <rFont val="Tahoma"/>
            <family val="2"/>
          </rPr>
          <t xml:space="preserve">
From receipt of US$725,870 deposited on 27/04/2018</t>
        </r>
      </text>
    </comment>
    <comment ref="C41" authorId="3" shapeId="0" xr:uid="{3F8E6E81-13A3-46DD-B0C9-82A721043874}">
      <text>
        <r>
          <rPr>
            <b/>
            <sz val="9"/>
            <color indexed="81"/>
            <rFont val="Tahoma"/>
            <family val="2"/>
          </rPr>
          <t>Girma Gina:</t>
        </r>
        <r>
          <rPr>
            <sz val="9"/>
            <color indexed="81"/>
            <rFont val="Tahoma"/>
            <family val="2"/>
          </rPr>
          <t xml:space="preserve">
US$46,996, overpayment made by NZD for HFC, credited to the regular contribution.
US$626,634.73 paid on 26/04/2018</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Girma Gina</author>
    <author>tc={9580F38D-58CC-4914-A29E-458DDEFE12D0}</author>
    <author>tc={F832AEF9-67AA-4955-8A35-348F2709A5A2}</author>
  </authors>
  <commentList>
    <comment ref="D23" authorId="0" shapeId="0" xr:uid="{E805EE9E-3BE0-4580-989E-C4A80ABCDCE5}">
      <text>
        <r>
          <rPr>
            <b/>
            <sz val="9"/>
            <color indexed="81"/>
            <rFont val="Tahoma"/>
            <family val="2"/>
          </rPr>
          <t>Girma Gina:</t>
        </r>
        <r>
          <rPr>
            <sz val="9"/>
            <color indexed="81"/>
            <rFont val="Tahoma"/>
            <family val="2"/>
          </rPr>
          <t xml:space="preserve">
From 77th US$197,596 &amp; from 80th ExCom US$633,408</t>
        </r>
      </text>
    </comment>
    <comment ref="C25" authorId="1" shapeId="0" xr:uid="{9580F38D-58CC-4914-A29E-458DDEFE12D0}">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33" authorId="0" shapeId="0" xr:uid="{B8CC368B-406F-4B8C-9A55-CD42CF9C1178}">
      <text>
        <r>
          <rPr>
            <b/>
            <sz val="9"/>
            <color indexed="81"/>
            <rFont val="Tahoma"/>
            <family val="2"/>
          </rPr>
          <t>Girma Gina:</t>
        </r>
        <r>
          <rPr>
            <sz val="9"/>
            <color indexed="81"/>
            <rFont val="Tahoma"/>
            <family val="2"/>
          </rPr>
          <t xml:space="preserve">
From receipt of US$725,870 deposited on 27/04/2018</t>
        </r>
      </text>
    </comment>
    <comment ref="C44" authorId="2" shapeId="0" xr:uid="{F832AEF9-67AA-4955-8A35-348F2709A5A2}">
      <text>
        <t>[Threaded comment]
Your version of Excel allows you to read this threaded comment; however, any edits to it will get removed if the file is opened in a newer version of Excel. Learn more: https://go.microsoft.com/fwlink/?linkid=870924
Comment:
    From Portugal payment of US$1,826,537.45 dd 17/12/2018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Girma Gina</author>
    <author>tc={0698250B-A735-44B8-B8F1-62DA71E1487D}</author>
  </authors>
  <commentList>
    <comment ref="D23" authorId="0" shapeId="0" xr:uid="{A5915C18-67C2-495A-8C22-A5515CC25050}">
      <text>
        <r>
          <rPr>
            <b/>
            <sz val="9"/>
            <color indexed="81"/>
            <rFont val="Tahoma"/>
            <family val="2"/>
          </rPr>
          <t>Girma Gina:</t>
        </r>
        <r>
          <rPr>
            <sz val="9"/>
            <color indexed="81"/>
            <rFont val="Tahoma"/>
            <family val="2"/>
          </rPr>
          <t xml:space="preserve">
From 75th Excom US$265,396 &amp; 76th US$19,061, US$6,747 returned at 87th meeting</t>
        </r>
      </text>
    </comment>
    <comment ref="D24" authorId="0" shapeId="0" xr:uid="{31CF8D8C-21A6-463C-AB25-19F8F35275D9}">
      <text>
        <r>
          <rPr>
            <b/>
            <sz val="9"/>
            <color indexed="81"/>
            <rFont val="Tahoma"/>
            <family val="2"/>
          </rPr>
          <t>Girma Gina:</t>
        </r>
        <r>
          <rPr>
            <sz val="9"/>
            <color indexed="81"/>
            <rFont val="Tahoma"/>
            <family val="2"/>
          </rPr>
          <t xml:space="preserve">
From 75th Excom US$1,772,067 and US$1,114,275 from 77th</t>
        </r>
      </text>
    </comment>
    <comment ref="C25" authorId="1" shapeId="0" xr:uid="{0698250B-A735-44B8-B8F1-62DA71E1487D}">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0" shapeId="0" xr:uid="{56A1C819-F7AB-4F04-937C-84CAD58283AE}">
      <text>
        <r>
          <rPr>
            <b/>
            <sz val="9"/>
            <color indexed="81"/>
            <rFont val="Tahoma"/>
            <family val="2"/>
          </rPr>
          <t>Girma Gina:</t>
        </r>
        <r>
          <rPr>
            <sz val="9"/>
            <color indexed="81"/>
            <rFont val="Tahoma"/>
            <family val="2"/>
          </rPr>
          <t xml:space="preserve">
From receipt amount US$179,586.74 dd 12/01/2017
US$984 from the receipt of US$113,530 dd 20/08/18</t>
        </r>
      </text>
    </comment>
    <comment ref="D31" authorId="0" shapeId="0" xr:uid="{BAC9981F-88EA-4107-8C1A-0B0E2934DD0C}">
      <text>
        <r>
          <rPr>
            <b/>
            <sz val="9"/>
            <color indexed="81"/>
            <rFont val="Tahoma"/>
            <family val="2"/>
          </rPr>
          <t>Girma Gina:</t>
        </r>
        <r>
          <rPr>
            <sz val="9"/>
            <color indexed="81"/>
            <rFont val="Tahoma"/>
            <family val="2"/>
          </rPr>
          <t xml:space="preserve">
From 76th Excom; to be withheld pending instruction from Secretariat; 77th US$1,452,000</t>
        </r>
      </text>
    </comment>
    <comment ref="D32" authorId="0" shapeId="0" xr:uid="{DD44E4FD-4AAB-4288-8BE6-C822F06CAE57}">
      <text>
        <r>
          <rPr>
            <b/>
            <sz val="9"/>
            <color indexed="81"/>
            <rFont val="Tahoma"/>
            <family val="2"/>
          </rPr>
          <t>Girma Gina:</t>
        </r>
        <r>
          <rPr>
            <sz val="9"/>
            <color indexed="81"/>
            <rFont val="Tahoma"/>
            <family val="2"/>
          </rPr>
          <t xml:space="preserve">
From 76th Excom US$48,873 &amp; 77th US$90,400</t>
        </r>
      </text>
    </comment>
    <comment ref="C33" authorId="0" shapeId="0" xr:uid="{A88650FA-CD01-4C76-8A3A-3F28D56306FC}">
      <text>
        <r>
          <rPr>
            <b/>
            <sz val="9"/>
            <color indexed="81"/>
            <rFont val="Tahoma"/>
            <family val="2"/>
          </rPr>
          <t>Girma Gina:</t>
        </r>
        <r>
          <rPr>
            <sz val="9"/>
            <color indexed="81"/>
            <rFont val="Tahoma"/>
            <family val="2"/>
          </rPr>
          <t xml:space="preserve">
From receipt of US$244,537 dd 30/05/2016</t>
        </r>
      </text>
    </comment>
    <comment ref="C44" authorId="0" shapeId="0" xr:uid="{774F8988-B192-4481-935C-444F62366977}">
      <text>
        <r>
          <rPr>
            <b/>
            <sz val="9"/>
            <color indexed="81"/>
            <rFont val="Tahoma"/>
            <family val="2"/>
          </rPr>
          <t>Girma Gina:</t>
        </r>
        <r>
          <rPr>
            <sz val="9"/>
            <color indexed="81"/>
            <rFont val="Tahoma"/>
            <family val="2"/>
          </rPr>
          <t xml:space="preserve">
From payment dd 29/12/2017 US$6,204,194, unspent bilateral US$957,937</t>
        </r>
      </text>
    </comment>
    <comment ref="D46" authorId="0" shapeId="0" xr:uid="{7702657E-014F-4918-8FB8-628F17C6E141}">
      <text>
        <r>
          <rPr>
            <b/>
            <sz val="9"/>
            <color indexed="81"/>
            <rFont val="Tahoma"/>
            <family val="2"/>
          </rPr>
          <t>Girma Gina:</t>
        </r>
        <r>
          <rPr>
            <sz val="9"/>
            <color indexed="81"/>
            <rFont val="Tahoma"/>
            <family val="2"/>
          </rPr>
          <t xml:space="preserve">
From 76th Excom</t>
        </r>
      </text>
    </comment>
    <comment ref="D50" authorId="0" shapeId="0" xr:uid="{CD26F36C-CFB5-4744-94E3-457690299B3C}">
      <text>
        <r>
          <rPr>
            <b/>
            <sz val="9"/>
            <color indexed="81"/>
            <rFont val="Tahoma"/>
            <family val="2"/>
          </rPr>
          <t>Girma Gina:</t>
        </r>
        <r>
          <rPr>
            <sz val="9"/>
            <color indexed="81"/>
            <rFont val="Tahoma"/>
            <family val="2"/>
          </rPr>
          <t xml:space="preserve">
US$1,178,229 from 77th ExCom BA approval</t>
        </r>
      </text>
    </comment>
  </commentList>
</comments>
</file>

<file path=xl/sharedStrings.xml><?xml version="1.0" encoding="utf-8"?>
<sst xmlns="http://schemas.openxmlformats.org/spreadsheetml/2006/main" count="3054" uniqueCount="295">
  <si>
    <t>Annex I</t>
  </si>
  <si>
    <t>Page 1</t>
  </si>
  <si>
    <t>TRUST  FUND FOR THE  MULTILATERAL FUND FOR THE IMPLEMENTATION OF THE MONTREAL PROTOCOL</t>
  </si>
  <si>
    <t>INCOME</t>
  </si>
  <si>
    <t>Contributions received:</t>
  </si>
  <si>
    <t xml:space="preserve"> -     Cash payments including note encashments</t>
  </si>
  <si>
    <t xml:space="preserve"> -     Promissory notes held</t>
  </si>
  <si>
    <t xml:space="preserve"> -     Bilateral cooperation</t>
  </si>
  <si>
    <t xml:space="preserve"> -     Miscellaneous income</t>
  </si>
  <si>
    <t>Total Income</t>
  </si>
  <si>
    <t xml:space="preserve"> -     UNDP </t>
  </si>
  <si>
    <t xml:space="preserve"> -     UNEP</t>
  </si>
  <si>
    <t xml:space="preserve"> -     UNIDO</t>
  </si>
  <si>
    <r>
      <t>Unspecified projects</t>
    </r>
    <r>
      <rPr>
        <sz val="12"/>
        <color indexed="10"/>
        <rFont val="Times New Roman"/>
        <family val="1"/>
      </rPr>
      <t xml:space="preserve"> </t>
    </r>
  </si>
  <si>
    <t>-</t>
  </si>
  <si>
    <t>Less Adjustments</t>
  </si>
  <si>
    <t xml:space="preserve">Total allocations to implementing agencies </t>
  </si>
  <si>
    <t>Technical Audit costs (1998-2010)</t>
  </si>
  <si>
    <t>Information Strategy costs (2003-2004)</t>
  </si>
  <si>
    <t xml:space="preserve"> -     includes provision for Network maintenance costs for 2004</t>
  </si>
  <si>
    <t>Bilateral cooperation</t>
  </si>
  <si>
    <t>Provision for fixed-exchange-rate mechanism's fluctuations</t>
  </si>
  <si>
    <t xml:space="preserve"> -     losses/(gains) in value</t>
  </si>
  <si>
    <t>Total allocations and  provisions</t>
  </si>
  <si>
    <t xml:space="preserve">Promissory Notes:           </t>
  </si>
  <si>
    <t>BALANCE  AVAILABLE   FOR  NEW  ALLOCATIONS</t>
  </si>
  <si>
    <t>Page 2</t>
  </si>
  <si>
    <t>Description</t>
  </si>
  <si>
    <t>1991-1993</t>
  </si>
  <si>
    <t>1994-1996</t>
  </si>
  <si>
    <t>1997-1999</t>
  </si>
  <si>
    <t>2000-2002</t>
  </si>
  <si>
    <t>2003-2005</t>
  </si>
  <si>
    <t>2006-2008</t>
  </si>
  <si>
    <t>2009-2011</t>
  </si>
  <si>
    <t>2012-2014</t>
  </si>
  <si>
    <t>2015-2017</t>
  </si>
  <si>
    <t>2018-2020</t>
  </si>
  <si>
    <t>Pledged contributions</t>
  </si>
  <si>
    <t>Cash payments/received</t>
  </si>
  <si>
    <t>Bilateral assistance</t>
  </si>
  <si>
    <t>Promissory notes</t>
  </si>
  <si>
    <t>Total payments</t>
  </si>
  <si>
    <t>Disputed contributions</t>
  </si>
  <si>
    <t>Outstanding pledges</t>
  </si>
  <si>
    <t>Payments %age to pledges</t>
  </si>
  <si>
    <t>Interest earned</t>
  </si>
  <si>
    <t xml:space="preserve">                                                       </t>
  </si>
  <si>
    <t>Miscellaneous income</t>
  </si>
  <si>
    <t>TOTAL INCOME</t>
  </si>
  <si>
    <t>Accumulated figures</t>
  </si>
  <si>
    <t>Total pledges</t>
  </si>
  <si>
    <t>Total income</t>
  </si>
  <si>
    <t>Total outstanding contributions</t>
  </si>
  <si>
    <t>As % to total pledges</t>
  </si>
  <si>
    <t>Outstanding contributions for certain Countries with Economies in Transition (CEITs)</t>
  </si>
  <si>
    <t>CEITs' outstandings %age to pledges</t>
  </si>
  <si>
    <t>PS: CEITs are Azerbaijan, Belarus, Bulgaria, Czech Republic, Estonia, Hungary, Latvia, Lithuania, Poland, Russian Federation, Slovakia, Slovenia, Tajikistan, Ukraine and Uzbekistan, including Turkmenistan up to 2004 as per decision XVI/39.</t>
  </si>
  <si>
    <t>Page 3</t>
  </si>
  <si>
    <t>Party</t>
  </si>
  <si>
    <t>Agreed Contributions</t>
  </si>
  <si>
    <t>Cash Payments</t>
  </si>
  <si>
    <t>Bilateral Assistance</t>
  </si>
  <si>
    <t>Promissory Notes</t>
  </si>
  <si>
    <t>Outstanding Contributions</t>
  </si>
  <si>
    <t>Andorra</t>
  </si>
  <si>
    <t>Australia*</t>
  </si>
  <si>
    <t>Austria</t>
  </si>
  <si>
    <t>Azerbaijan</t>
  </si>
  <si>
    <t>Belarus</t>
  </si>
  <si>
    <t>Belgium</t>
  </si>
  <si>
    <t>Bulgaria</t>
  </si>
  <si>
    <t>Canada*</t>
  </si>
  <si>
    <t>Croatia</t>
  </si>
  <si>
    <t>Cyprus</t>
  </si>
  <si>
    <t>Czech Republic</t>
  </si>
  <si>
    <t>Denmark</t>
  </si>
  <si>
    <t>Estonia</t>
  </si>
  <si>
    <t>Finland</t>
  </si>
  <si>
    <t>France</t>
  </si>
  <si>
    <t>Germany</t>
  </si>
  <si>
    <t>Greece</t>
  </si>
  <si>
    <t>Holy See</t>
  </si>
  <si>
    <t>Hungary</t>
  </si>
  <si>
    <t>Iceland</t>
  </si>
  <si>
    <t>Ireland</t>
  </si>
  <si>
    <t>Israel</t>
  </si>
  <si>
    <t>Italy</t>
  </si>
  <si>
    <t>Japan</t>
  </si>
  <si>
    <t>Kazakhstan</t>
  </si>
  <si>
    <t>Kuwait</t>
  </si>
  <si>
    <t>Latvia</t>
  </si>
  <si>
    <t>Liechtenstein</t>
  </si>
  <si>
    <t>Lithuania</t>
  </si>
  <si>
    <t>Luxembourg</t>
  </si>
  <si>
    <t>Malta</t>
  </si>
  <si>
    <t>Monaco</t>
  </si>
  <si>
    <t>Netherlands</t>
  </si>
  <si>
    <t>New Zealand</t>
  </si>
  <si>
    <t>Norway</t>
  </si>
  <si>
    <t>Panama</t>
  </si>
  <si>
    <t>Poland</t>
  </si>
  <si>
    <t>Portugal</t>
  </si>
  <si>
    <t>Romania</t>
  </si>
  <si>
    <t>Russian Federation</t>
  </si>
  <si>
    <t>San Marino</t>
  </si>
  <si>
    <t>Singapore</t>
  </si>
  <si>
    <t>Slovak Republic</t>
  </si>
  <si>
    <t>Slovenia</t>
  </si>
  <si>
    <t>South Africa</t>
  </si>
  <si>
    <t>Spain</t>
  </si>
  <si>
    <t>Sweden</t>
  </si>
  <si>
    <t>Switzerland</t>
  </si>
  <si>
    <t>Tajikistan</t>
  </si>
  <si>
    <t>Turkmenistan**</t>
  </si>
  <si>
    <t>Ukraine</t>
  </si>
  <si>
    <t>United Arab Emirates</t>
  </si>
  <si>
    <t>United Kingdom</t>
  </si>
  <si>
    <t>United States of America</t>
  </si>
  <si>
    <t>Uzbekistan</t>
  </si>
  <si>
    <t>SUB-TOTAL</t>
  </si>
  <si>
    <t>Disputed Contributions***</t>
  </si>
  <si>
    <t>TOTAL</t>
  </si>
  <si>
    <t xml:space="preserve"> </t>
  </si>
  <si>
    <t>Australia</t>
  </si>
  <si>
    <t>Canada</t>
  </si>
  <si>
    <t xml:space="preserve">France </t>
  </si>
  <si>
    <t xml:space="preserve">Germany </t>
  </si>
  <si>
    <t xml:space="preserve">Ireland </t>
  </si>
  <si>
    <t xml:space="preserve">Japan </t>
  </si>
  <si>
    <t xml:space="preserve">Sweden </t>
  </si>
  <si>
    <t xml:space="preserve">   Disputed Contributions(*)</t>
  </si>
  <si>
    <t xml:space="preserve">   TOTAL</t>
  </si>
  <si>
    <t>CEITs</t>
  </si>
  <si>
    <t>Page 5</t>
  </si>
  <si>
    <t>(*) Additional amount on disputed contributions relating to the United States of America.</t>
  </si>
  <si>
    <t>Page 7</t>
  </si>
  <si>
    <t>Page 8</t>
  </si>
  <si>
    <t>Page 9</t>
  </si>
  <si>
    <t>Page 10</t>
  </si>
  <si>
    <t>Page 11</t>
  </si>
  <si>
    <t>Page 12</t>
  </si>
  <si>
    <t>Page 13</t>
  </si>
  <si>
    <t>Page 14</t>
  </si>
  <si>
    <r>
      <t xml:space="preserve"> Status of Contributions for  </t>
    </r>
    <r>
      <rPr>
        <b/>
        <u/>
        <sz val="12.5"/>
        <rFont val="Times New Roman"/>
        <family val="1"/>
      </rPr>
      <t>2012 - 2014</t>
    </r>
    <r>
      <rPr>
        <b/>
        <sz val="12.5"/>
        <rFont val="Times New Roman"/>
        <family val="1"/>
      </rPr>
      <t xml:space="preserve"> (US$)</t>
    </r>
  </si>
  <si>
    <t>Page 15</t>
  </si>
  <si>
    <r>
      <t xml:space="preserve">Status of Contributions for  </t>
    </r>
    <r>
      <rPr>
        <b/>
        <u/>
        <sz val="12.5"/>
        <rFont val="Times New Roman"/>
        <family val="1"/>
      </rPr>
      <t>2014</t>
    </r>
    <r>
      <rPr>
        <b/>
        <sz val="12.5"/>
        <rFont val="Times New Roman"/>
        <family val="1"/>
      </rPr>
      <t xml:space="preserve"> (US$)</t>
    </r>
  </si>
  <si>
    <r>
      <t xml:space="preserve">Status of Contributions for  </t>
    </r>
    <r>
      <rPr>
        <b/>
        <u/>
        <sz val="12.5"/>
        <rFont val="Times New Roman"/>
        <family val="1"/>
      </rPr>
      <t>2013</t>
    </r>
    <r>
      <rPr>
        <b/>
        <sz val="12.5"/>
        <rFont val="Times New Roman"/>
        <family val="1"/>
      </rPr>
      <t xml:space="preserve"> (US$)</t>
    </r>
  </si>
  <si>
    <t>Page 16</t>
  </si>
  <si>
    <r>
      <t xml:space="preserve"> Status of Contributions for  </t>
    </r>
    <r>
      <rPr>
        <b/>
        <u/>
        <sz val="12.5"/>
        <rFont val="Times New Roman"/>
        <family val="1"/>
      </rPr>
      <t>2012</t>
    </r>
    <r>
      <rPr>
        <b/>
        <sz val="12.5"/>
        <rFont val="Times New Roman"/>
        <family val="1"/>
      </rPr>
      <t xml:space="preserve"> (US$)</t>
    </r>
  </si>
  <si>
    <t>Page 17</t>
  </si>
  <si>
    <r>
      <t xml:space="preserve"> Summary Status of Contributions for  </t>
    </r>
    <r>
      <rPr>
        <b/>
        <u/>
        <sz val="12.5"/>
        <rFont val="Times New Roman"/>
        <family val="1"/>
      </rPr>
      <t>2009-2011</t>
    </r>
    <r>
      <rPr>
        <b/>
        <sz val="12.5"/>
        <rFont val="Times New Roman"/>
        <family val="1"/>
      </rPr>
      <t xml:space="preserve"> (US$)</t>
    </r>
  </si>
  <si>
    <t>Page 18</t>
  </si>
  <si>
    <r>
      <t xml:space="preserve"> Status of Contributions for  </t>
    </r>
    <r>
      <rPr>
        <b/>
        <u/>
        <sz val="12.5"/>
        <rFont val="Times New Roman"/>
        <family val="1"/>
      </rPr>
      <t>2011</t>
    </r>
    <r>
      <rPr>
        <b/>
        <sz val="12.5"/>
        <rFont val="Times New Roman"/>
        <family val="1"/>
      </rPr>
      <t xml:space="preserve"> (US$)</t>
    </r>
  </si>
  <si>
    <t>Page 19</t>
  </si>
  <si>
    <r>
      <t xml:space="preserve">Status of Contributions for </t>
    </r>
    <r>
      <rPr>
        <b/>
        <u/>
        <sz val="11"/>
        <rFont val="Times New Roman"/>
        <family val="1"/>
      </rPr>
      <t>2010</t>
    </r>
  </si>
  <si>
    <t>(*) Additional amount on Disputed contribution relating to the USA.</t>
  </si>
  <si>
    <t>Page 20</t>
  </si>
  <si>
    <r>
      <t xml:space="preserve"> Status of Contributions for  </t>
    </r>
    <r>
      <rPr>
        <b/>
        <u/>
        <sz val="12.5"/>
        <rFont val="Times New Roman"/>
        <family val="1"/>
      </rPr>
      <t>2009</t>
    </r>
  </si>
  <si>
    <t>Page 21</t>
  </si>
  <si>
    <r>
      <t xml:space="preserve"> Status of Contributions for </t>
    </r>
    <r>
      <rPr>
        <b/>
        <u/>
        <sz val="11.5"/>
        <rFont val="Times New Roman"/>
        <family val="1"/>
      </rPr>
      <t>2006-2008</t>
    </r>
  </si>
  <si>
    <t xml:space="preserve">Germany* </t>
  </si>
  <si>
    <t>United States of America**</t>
  </si>
  <si>
    <t>Disputed Contributions**</t>
  </si>
  <si>
    <r>
      <t>* Bilateral assistance of US $572,817 approved at the 51</t>
    </r>
    <r>
      <rPr>
        <vertAlign val="superscript"/>
        <sz val="10"/>
        <rFont val="Times New Roman"/>
        <family val="1"/>
      </rPr>
      <t>st</t>
    </r>
    <r>
      <rPr>
        <sz val="10"/>
        <rFont val="Times New Roman"/>
        <family val="1"/>
      </rPr>
      <t xml:space="preserve"> Meeting of the Excom applied in 2008 and US $353,814 approved at the 52</t>
    </r>
    <r>
      <rPr>
        <vertAlign val="superscript"/>
        <sz val="10"/>
        <rFont val="Times New Roman"/>
        <family val="1"/>
      </rPr>
      <t>nd</t>
    </r>
    <r>
      <rPr>
        <sz val="10"/>
        <rFont val="Times New Roman"/>
        <family val="1"/>
      </rPr>
      <t xml:space="preserve"> Meeting of the Excom applied in 2008 for Germany.</t>
    </r>
  </si>
  <si>
    <t xml:space="preserve">** The total contribution shown here for the USA for the replenishment period is after netting off the disputed amount of US $32,471,642. </t>
  </si>
  <si>
    <t>Page 22</t>
  </si>
  <si>
    <r>
      <t xml:space="preserve"> Status of Contributions for </t>
    </r>
    <r>
      <rPr>
        <b/>
        <u/>
        <sz val="12"/>
        <rFont val="Times New Roman"/>
        <family val="1"/>
      </rPr>
      <t>2008</t>
    </r>
  </si>
  <si>
    <t>Germany*</t>
  </si>
  <si>
    <r>
      <t>(*) Bilateral assistance of US $572,817 approved at the 51</t>
    </r>
    <r>
      <rPr>
        <vertAlign val="superscript"/>
        <sz val="10"/>
        <rFont val="Times New Roman"/>
        <family val="1"/>
      </rPr>
      <t>st</t>
    </r>
    <r>
      <rPr>
        <sz val="10"/>
        <rFont val="Times New Roman"/>
        <family val="1"/>
      </rPr>
      <t xml:space="preserve"> Meeting of the Excom applied in 2008 and US $353,814 approved at the 52</t>
    </r>
    <r>
      <rPr>
        <vertAlign val="superscript"/>
        <sz val="10"/>
        <rFont val="Times New Roman"/>
        <family val="1"/>
      </rPr>
      <t>nd</t>
    </r>
    <r>
      <rPr>
        <sz val="10"/>
        <rFont val="Times New Roman"/>
        <family val="1"/>
      </rPr>
      <t xml:space="preserve"> Meeting of the Excom applied </t>
    </r>
  </si>
  <si>
    <t xml:space="preserve">in 2008.  </t>
  </si>
  <si>
    <t>(**) Balance of USA Disputed contribution of US $32,471,642 of which US $14,889,724 was applied to 2007.</t>
  </si>
  <si>
    <t>Page 23</t>
  </si>
  <si>
    <r>
      <t xml:space="preserve">Status of Contributions for </t>
    </r>
    <r>
      <rPr>
        <b/>
        <u/>
        <sz val="10"/>
        <rFont val="CG Times"/>
        <family val="1"/>
      </rPr>
      <t>2007</t>
    </r>
  </si>
  <si>
    <t>United States of America*</t>
  </si>
  <si>
    <t>Disputed Contributions(*)</t>
  </si>
  <si>
    <t xml:space="preserve">(*) Portion of total Disputed contribution of US $32,471,642 partly offset in 2007 and the balance in 2008. </t>
  </si>
  <si>
    <t>Page 24</t>
  </si>
  <si>
    <r>
      <t xml:space="preserve">Status of Contributions for </t>
    </r>
    <r>
      <rPr>
        <b/>
        <u/>
        <sz val="12"/>
        <rFont val="Times"/>
        <family val="1"/>
      </rPr>
      <t>2006</t>
    </r>
  </si>
  <si>
    <t>Page 25</t>
  </si>
  <si>
    <r>
      <t xml:space="preserve"> Status of Contributions for </t>
    </r>
    <r>
      <rPr>
        <b/>
        <u/>
        <sz val="10"/>
        <rFont val="CG Times"/>
        <family val="1"/>
      </rPr>
      <t>2003 - 2005</t>
    </r>
  </si>
  <si>
    <t>Turkmenistan</t>
  </si>
  <si>
    <t>Page 26</t>
  </si>
  <si>
    <r>
      <t xml:space="preserve"> Status of Contributions for </t>
    </r>
    <r>
      <rPr>
        <b/>
        <u/>
        <sz val="10"/>
        <rFont val="CG Times"/>
        <family val="1"/>
      </rPr>
      <t>2005</t>
    </r>
  </si>
  <si>
    <t>Page 27</t>
  </si>
  <si>
    <r>
      <t xml:space="preserve"> Status of Contributions for </t>
    </r>
    <r>
      <rPr>
        <b/>
        <u/>
        <sz val="10"/>
        <rFont val="CG Times"/>
        <family val="1"/>
      </rPr>
      <t>2004</t>
    </r>
  </si>
  <si>
    <t>Italy*</t>
  </si>
  <si>
    <t>* Italy's bilateral cooperation amount was approved at the 46th meeting in 2005.</t>
  </si>
  <si>
    <t>Page 28</t>
  </si>
  <si>
    <r>
      <t xml:space="preserve">Status of Contributions for </t>
    </r>
    <r>
      <rPr>
        <b/>
        <u/>
        <sz val="12"/>
        <rFont val="Times New Roman"/>
        <family val="1"/>
      </rPr>
      <t>2003</t>
    </r>
  </si>
  <si>
    <t>this fig. added and needs support 543832</t>
  </si>
  <si>
    <r>
      <t xml:space="preserve">Status of Contributions for </t>
    </r>
    <r>
      <rPr>
        <b/>
        <u/>
        <sz val="12"/>
        <rFont val="Times New Roman"/>
        <family val="1"/>
      </rPr>
      <t>2000 - 2002</t>
    </r>
  </si>
  <si>
    <t>Page  30</t>
  </si>
  <si>
    <r>
      <t xml:space="preserve"> Status of Contributions for </t>
    </r>
    <r>
      <rPr>
        <b/>
        <u/>
        <sz val="12"/>
        <rFont val="Times New Roman"/>
        <family val="1"/>
      </rPr>
      <t>2002</t>
    </r>
  </si>
  <si>
    <t xml:space="preserve">Canada </t>
  </si>
  <si>
    <t>Page  31</t>
  </si>
  <si>
    <r>
      <t xml:space="preserve">Status of Contributions for </t>
    </r>
    <r>
      <rPr>
        <b/>
        <u/>
        <sz val="12"/>
        <rFont val="Times New Roman"/>
        <family val="1"/>
      </rPr>
      <t>2001</t>
    </r>
  </si>
  <si>
    <t>Page  32</t>
  </si>
  <si>
    <r>
      <t xml:space="preserve"> Status of Contributions for </t>
    </r>
    <r>
      <rPr>
        <b/>
        <u/>
        <sz val="12"/>
        <rFont val="Times New Roman"/>
        <family val="1"/>
      </rPr>
      <t>2000</t>
    </r>
  </si>
  <si>
    <t>Page  33</t>
  </si>
  <si>
    <r>
      <t xml:space="preserve">Status of Contributions for </t>
    </r>
    <r>
      <rPr>
        <b/>
        <u/>
        <sz val="12"/>
        <rFont val="Times New Roman"/>
        <family val="1"/>
      </rPr>
      <t>1997 - 1999</t>
    </r>
  </si>
  <si>
    <t>Payment not in yearly sheets but was in cumulative sheet</t>
  </si>
  <si>
    <t>Belgium 1/</t>
  </si>
  <si>
    <t>$103927 payment not in yrly sheets. Bil. Asst reduced</t>
  </si>
  <si>
    <t>PN payment reflected in cumulative sheet</t>
  </si>
  <si>
    <t>Bil asst adjustment in cumulative sheet</t>
  </si>
  <si>
    <t>1/ $108,480 transferred from bilateral cooperation to cash contribution as bilateral was not utilised, but cash paid instead.</t>
  </si>
  <si>
    <t>Page  34</t>
  </si>
  <si>
    <r>
      <t xml:space="preserve">Status of Contributions for </t>
    </r>
    <r>
      <rPr>
        <b/>
        <u/>
        <sz val="12"/>
        <rFont val="Times New Roman"/>
        <family val="1"/>
      </rPr>
      <t>1999</t>
    </r>
  </si>
  <si>
    <t>Brunei Darussalam</t>
  </si>
  <si>
    <t>Georgia</t>
  </si>
  <si>
    <t>Slovakia</t>
  </si>
  <si>
    <r>
      <t xml:space="preserve">Status of Contributions for </t>
    </r>
    <r>
      <rPr>
        <b/>
        <u/>
        <sz val="12"/>
        <rFont val="Times New Roman"/>
        <family val="1"/>
      </rPr>
      <t>1998</t>
    </r>
  </si>
  <si>
    <t>Japan(*)</t>
  </si>
  <si>
    <r>
      <t>NB:</t>
    </r>
    <r>
      <rPr>
        <sz val="12"/>
        <rFont val="Times New Roman"/>
        <family val="1"/>
      </rPr>
      <t xml:space="preserve">    (*)    Outstanding contribution withheld for bilateral cooperation.</t>
    </r>
  </si>
  <si>
    <t>Amount paid in March 2014</t>
  </si>
  <si>
    <r>
      <t xml:space="preserve">Status of Contributions for </t>
    </r>
    <r>
      <rPr>
        <b/>
        <u/>
        <sz val="12"/>
        <rFont val="Times New Roman"/>
        <family val="1"/>
      </rPr>
      <t>1997</t>
    </r>
  </si>
  <si>
    <t xml:space="preserve">Austria </t>
  </si>
  <si>
    <t xml:space="preserve">Page  37 </t>
  </si>
  <si>
    <r>
      <t xml:space="preserve">Status of Contributions for </t>
    </r>
    <r>
      <rPr>
        <b/>
        <u/>
        <sz val="12"/>
        <rFont val="Times New Roman"/>
        <family val="1"/>
      </rPr>
      <t>1994 - 1996</t>
    </r>
  </si>
  <si>
    <t>Disputed Contributions(**)</t>
  </si>
  <si>
    <t>NB:   (**)  Amounts for France, Germany, Italy, Japan and the United Kingdom  netted off from the 1996 contributions and are shown here for records only.</t>
  </si>
  <si>
    <t>Page  38</t>
  </si>
  <si>
    <r>
      <t xml:space="preserve">Status of Contributions for </t>
    </r>
    <r>
      <rPr>
        <b/>
        <u/>
        <sz val="12"/>
        <rFont val="Times New Roman"/>
        <family val="1"/>
      </rPr>
      <t>1996</t>
    </r>
  </si>
  <si>
    <t>Disputed Contributions</t>
  </si>
  <si>
    <r>
      <t xml:space="preserve">Status of Contributions for </t>
    </r>
    <r>
      <rPr>
        <b/>
        <u/>
        <sz val="12"/>
        <rFont val="Times New Roman"/>
        <family val="1"/>
      </rPr>
      <t>1995</t>
    </r>
  </si>
  <si>
    <r>
      <t xml:space="preserve">Status of Contributions for </t>
    </r>
    <r>
      <rPr>
        <b/>
        <u/>
        <sz val="12"/>
        <rFont val="Times New Roman"/>
        <family val="1"/>
      </rPr>
      <t>1994</t>
    </r>
  </si>
  <si>
    <t xml:space="preserve">Page  41 </t>
  </si>
  <si>
    <r>
      <t xml:space="preserve">Status of Contributions for </t>
    </r>
    <r>
      <rPr>
        <b/>
        <u/>
        <sz val="12"/>
        <rFont val="Times New Roman"/>
        <family val="1"/>
      </rPr>
      <t>1991 - 1993</t>
    </r>
  </si>
  <si>
    <t>$33558 overpayment of year 1993 was reduced in cumulative sheet.</t>
  </si>
  <si>
    <t>4 payments reflected in cumulative sheet and not yearly sheets</t>
  </si>
  <si>
    <r>
      <t xml:space="preserve">Status of Contributions for </t>
    </r>
    <r>
      <rPr>
        <b/>
        <u/>
        <sz val="12"/>
        <rFont val="Times New Roman"/>
        <family val="1"/>
      </rPr>
      <t>1993</t>
    </r>
  </si>
  <si>
    <r>
      <t xml:space="preserve">Status of Contributions for </t>
    </r>
    <r>
      <rPr>
        <b/>
        <u/>
        <sz val="12"/>
        <rFont val="Times New Roman"/>
        <family val="1"/>
      </rPr>
      <t>1992</t>
    </r>
  </si>
  <si>
    <r>
      <t xml:space="preserve">Status of Contributions for </t>
    </r>
    <r>
      <rPr>
        <b/>
        <u/>
        <sz val="12"/>
        <rFont val="Times New Roman"/>
        <family val="1"/>
      </rPr>
      <t>1991</t>
    </r>
  </si>
  <si>
    <t>Bahrain is in the replenishment list of the 3rd MoP with an amount of US$12,553 but not included in the Treasurer's list</t>
  </si>
  <si>
    <t>2021-2023</t>
  </si>
  <si>
    <t>Page 29</t>
  </si>
  <si>
    <t>Page  35</t>
  </si>
  <si>
    <t>Page  36</t>
  </si>
  <si>
    <t>Page  39</t>
  </si>
  <si>
    <t>Page  40</t>
  </si>
  <si>
    <t xml:space="preserve">Page  42 </t>
  </si>
  <si>
    <t>Page  43</t>
  </si>
  <si>
    <t>Page  44</t>
  </si>
  <si>
    <t>Page  45</t>
  </si>
  <si>
    <t xml:space="preserve">Page  46 </t>
  </si>
  <si>
    <t>ALLOCATIONS** AND PROVISIONS</t>
  </si>
  <si>
    <r>
      <t xml:space="preserve">Status of Contributions for  </t>
    </r>
    <r>
      <rPr>
        <b/>
        <u/>
        <sz val="12.5"/>
        <rFont val="Times New Roman"/>
        <family val="1"/>
      </rPr>
      <t>2015</t>
    </r>
    <r>
      <rPr>
        <b/>
        <sz val="12.5"/>
        <rFont val="Times New Roman"/>
        <family val="1"/>
      </rPr>
      <t xml:space="preserve"> (US$)</t>
    </r>
  </si>
  <si>
    <t xml:space="preserve"> -     World Bank</t>
  </si>
  <si>
    <t xml:space="preserve">(*) Additional amount on disputed contributions from the United States of America. </t>
  </si>
  <si>
    <t>*Addiontional amount on disputed contribution relating to Japan (US$1,295,383) and the United States of America (US$191,409).</t>
  </si>
  <si>
    <t>3 year scale for germany</t>
  </si>
  <si>
    <t>20% for bilateral cooperation</t>
  </si>
  <si>
    <t>Austria paid the full amount in 2021</t>
  </si>
  <si>
    <t>UNEP/OzL.Pro/ExCom/92/3</t>
  </si>
  <si>
    <r>
      <t xml:space="preserve">Status of Contributions for  </t>
    </r>
    <r>
      <rPr>
        <b/>
        <u/>
        <sz val="12.5"/>
        <rFont val="Times New Roman"/>
        <family val="1"/>
      </rPr>
      <t>2016</t>
    </r>
    <r>
      <rPr>
        <b/>
        <sz val="12.5"/>
        <rFont val="Times New Roman"/>
        <family val="1"/>
      </rPr>
      <t xml:space="preserve"> (US$)</t>
    </r>
  </si>
  <si>
    <t>Page 6</t>
  </si>
  <si>
    <t>*Additional amount on disputed contribution relates to the United States of America (US $2,429,948) and Japan's disputed contribution (US $1,295,383).</t>
  </si>
  <si>
    <t>UNEP/OzL.Pro/ExCom/86/3</t>
  </si>
  <si>
    <t>As at 31/12/2020</t>
  </si>
  <si>
    <t>UNEP/OzL.Pro/ExCom/94/3</t>
  </si>
  <si>
    <t>2024-2026</t>
  </si>
  <si>
    <t>1991-2024</t>
  </si>
  <si>
    <r>
      <t xml:space="preserve">TABLE 5 : Status of Contributions for  </t>
    </r>
    <r>
      <rPr>
        <b/>
        <u/>
        <sz val="12.5"/>
        <rFont val="Times New Roman"/>
        <family val="1"/>
      </rPr>
      <t>2024</t>
    </r>
    <r>
      <rPr>
        <b/>
        <sz val="12.5"/>
        <rFont val="Times New Roman"/>
        <family val="1"/>
      </rPr>
      <t xml:space="preserve"> (US$)</t>
    </r>
  </si>
  <si>
    <r>
      <t xml:space="preserve">TABLE 6 : Status of Contributions for  </t>
    </r>
    <r>
      <rPr>
        <b/>
        <u/>
        <sz val="12.5"/>
        <rFont val="Times New Roman"/>
        <family val="1"/>
      </rPr>
      <t>2021-2023</t>
    </r>
    <r>
      <rPr>
        <b/>
        <sz val="12.5"/>
        <rFont val="Times New Roman"/>
        <family val="1"/>
      </rPr>
      <t xml:space="preserve"> (US$)</t>
    </r>
  </si>
  <si>
    <r>
      <t xml:space="preserve">TABLE 7 : Status of Contributions for  </t>
    </r>
    <r>
      <rPr>
        <b/>
        <u/>
        <sz val="12.5"/>
        <rFont val="Times New Roman"/>
        <family val="1"/>
      </rPr>
      <t>2023</t>
    </r>
    <r>
      <rPr>
        <b/>
        <sz val="12.5"/>
        <rFont val="Times New Roman"/>
        <family val="1"/>
      </rPr>
      <t xml:space="preserve"> (US$)</t>
    </r>
  </si>
  <si>
    <r>
      <t xml:space="preserve">TABLE 8 : Status of Contributions for  </t>
    </r>
    <r>
      <rPr>
        <b/>
        <u/>
        <sz val="12.5"/>
        <rFont val="Times New Roman"/>
        <family val="1"/>
      </rPr>
      <t>2022</t>
    </r>
    <r>
      <rPr>
        <b/>
        <sz val="12.5"/>
        <rFont val="Times New Roman"/>
        <family val="1"/>
      </rPr>
      <t xml:space="preserve"> (US$)</t>
    </r>
  </si>
  <si>
    <r>
      <t xml:space="preserve">TABLE 9 : Status of Contributions for  </t>
    </r>
    <r>
      <rPr>
        <b/>
        <u/>
        <sz val="12.5"/>
        <rFont val="Times New Roman"/>
        <family val="1"/>
      </rPr>
      <t>2021</t>
    </r>
    <r>
      <rPr>
        <b/>
        <sz val="12.5"/>
        <rFont val="Times New Roman"/>
        <family val="1"/>
      </rPr>
      <t xml:space="preserve"> (US$)</t>
    </r>
  </si>
  <si>
    <r>
      <t xml:space="preserve">TABLE 10 : Status of Contributions for  </t>
    </r>
    <r>
      <rPr>
        <b/>
        <u/>
        <sz val="12.5"/>
        <rFont val="Times New Roman"/>
        <family val="1"/>
      </rPr>
      <t>2018-2020</t>
    </r>
    <r>
      <rPr>
        <b/>
        <sz val="12.5"/>
        <rFont val="Times New Roman"/>
        <family val="1"/>
      </rPr>
      <t xml:space="preserve"> (US$)</t>
    </r>
  </si>
  <si>
    <r>
      <t xml:space="preserve">TABLE 11 : Status of Contributions for  </t>
    </r>
    <r>
      <rPr>
        <b/>
        <u/>
        <sz val="12.5"/>
        <rFont val="Times New Roman"/>
        <family val="1"/>
      </rPr>
      <t>2020</t>
    </r>
    <r>
      <rPr>
        <b/>
        <sz val="12.5"/>
        <rFont val="Times New Roman"/>
        <family val="1"/>
      </rPr>
      <t xml:space="preserve"> (US$)</t>
    </r>
  </si>
  <si>
    <r>
      <t xml:space="preserve">TABLE 12 : Status of Contributions for  </t>
    </r>
    <r>
      <rPr>
        <b/>
        <u/>
        <sz val="12.5"/>
        <rFont val="Times New Roman"/>
        <family val="1"/>
      </rPr>
      <t>2019</t>
    </r>
    <r>
      <rPr>
        <b/>
        <sz val="12.5"/>
        <rFont val="Times New Roman"/>
        <family val="1"/>
      </rPr>
      <t xml:space="preserve"> (US$)</t>
    </r>
  </si>
  <si>
    <r>
      <t xml:space="preserve">TABLE 13 : Status of Contributions for  </t>
    </r>
    <r>
      <rPr>
        <b/>
        <u/>
        <sz val="12.5"/>
        <rFont val="Times New Roman"/>
        <family val="1"/>
      </rPr>
      <t>2018</t>
    </r>
    <r>
      <rPr>
        <b/>
        <sz val="12.5"/>
        <rFont val="Times New Roman"/>
        <family val="1"/>
      </rPr>
      <t xml:space="preserve"> (US$)</t>
    </r>
  </si>
  <si>
    <r>
      <t xml:space="preserve">Status of Contributions for  </t>
    </r>
    <r>
      <rPr>
        <b/>
        <u/>
        <sz val="12.5"/>
        <rFont val="Times New Roman"/>
        <family val="1"/>
      </rPr>
      <t>2017</t>
    </r>
    <r>
      <rPr>
        <b/>
        <sz val="12.5"/>
        <rFont val="Times New Roman"/>
        <family val="1"/>
      </rPr>
      <t xml:space="preserve"> (US$)</t>
    </r>
  </si>
  <si>
    <r>
      <t xml:space="preserve">Status of Contributions for  </t>
    </r>
    <r>
      <rPr>
        <b/>
        <u/>
        <sz val="12.5"/>
        <rFont val="Times New Roman"/>
        <family val="1"/>
      </rPr>
      <t>2015-2017</t>
    </r>
    <r>
      <rPr>
        <b/>
        <sz val="12.5"/>
        <rFont val="Times New Roman"/>
        <family val="1"/>
      </rPr>
      <t xml:space="preserve"> (US$)</t>
    </r>
  </si>
  <si>
    <t xml:space="preserve"> -     includes provision for staff contracts into 2026</t>
  </si>
  <si>
    <t>Treasury fees (2003-2026)</t>
  </si>
  <si>
    <t>Monitoring and Evaluation costs (1999-2025)</t>
  </si>
  <si>
    <t>* Includes interest amount US $1,600,912 earned by FECO/MEP (China).</t>
  </si>
  <si>
    <t xml:space="preserve">Cash </t>
  </si>
  <si>
    <t>Secretariat and Executive Committee costs  (1991-2026)</t>
  </si>
  <si>
    <t>As at 24/05/2024</t>
  </si>
  <si>
    <t>TABLE 2: 1991 - 2024 SUMMARY STATUS OF CONTRIBUTIONS AND OTHER INCOME (US$)</t>
  </si>
  <si>
    <t>TRUST FUND FOR THE MULTILATERAL FUND FOR THE IMPLEMENTATION OF THE MONTREAL PROTOCOL</t>
  </si>
  <si>
    <t>BALANCE AVAILABLE FOR NEW ALLOCATIONS</t>
  </si>
  <si>
    <t>TABLE 3: 1991-2024 Summary Status of Contributions (US$)</t>
  </si>
  <si>
    <t>TABLE 4: Status of Contributions for 2024-2026 (US$)</t>
  </si>
  <si>
    <t>TABLE 1: STATUS OF THE FUND FROM 1991-2024 (US$)</t>
  </si>
  <si>
    <t>Page 4</t>
  </si>
  <si>
    <t>Exchange (Gain)/Loss NB: Negative
 Amount = Gain</t>
  </si>
  <si>
    <t xml:space="preserve"> -     Interest earned*</t>
  </si>
  <si>
    <t>** Amounts reflect net approvals for which resources are transferred to Implementing Agencies.The Secretariat budget reflects actual costs as per the final 2022 and preliminary 2023 accounts of the Fund and approved amounts for 2020 - 2026.</t>
  </si>
  <si>
    <r>
      <t>* The bilateral assistance recorded for Australia and Canada was adjusted following approvals at the 39</t>
    </r>
    <r>
      <rPr>
        <vertAlign val="superscript"/>
        <sz val="10"/>
        <rFont val="Times New Roman"/>
        <family val="1"/>
      </rPr>
      <t xml:space="preserve">th </t>
    </r>
    <r>
      <rPr>
        <sz val="10"/>
        <rFont val="Times New Roman"/>
        <family val="1"/>
      </rPr>
      <t>meeting and taking into consideration a reconciliation carried out by the Secretariat through the progress reports submitted to the 40</t>
    </r>
    <r>
      <rPr>
        <vertAlign val="superscript"/>
        <sz val="10"/>
        <rFont val="Times New Roman"/>
        <family val="1"/>
      </rPr>
      <t>th</t>
    </r>
    <r>
      <rPr>
        <sz val="10"/>
        <rFont val="Times New Roman"/>
        <family val="1"/>
      </rPr>
      <t xml:space="preserve"> meeting to read US $1,208,219 and US $6,449,438 instead of US $1,300,088 and US $6,414,880 respectively.  </t>
    </r>
  </si>
  <si>
    <t xml:space="preserve">*** Amount netted off from outstanding contributions and are shown here for records only. </t>
  </si>
  <si>
    <t>** In accordance with decisions VI/5 and XVI/39 of the meeting of the Parties to the Montreal Protocol, Turkmenistan has been reclassified as operating under Article 5 in 2004 and therefore its contribution of US $5,764 for 2005 should be disregarded.</t>
  </si>
  <si>
    <t>1991-2026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</si>
</sst>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164" formatCode="_-* #,##0.00_-;\-* #,##0.00_-;_-* &quot;-&quot;??_-;_-@_-"/>
    <numFmt numFmtId="165" formatCode="_(* #,##0_);_(* \(#,##0\);_(* &quot;-&quot;??_);_(@_)"/>
    <numFmt numFmtId="166" formatCode="#,##0;[Red]\(#,##0\)"/>
    <numFmt numFmtId="167" formatCode="_(* #,##0.0000000_);_(* \(#,##0.0000000\);_(* &quot;-&quot;??_);_(@_)"/>
    <numFmt numFmtId="168" formatCode="General_)"/>
    <numFmt numFmtId="169" formatCode="#,##0.00;[Red]\(#,##0.00\)"/>
    <numFmt numFmtId="170" formatCode="0.0%"/>
  </numFmts>
  <fonts count="71">
    <font>
      <sz val="11"/>
      <color theme="1"/>
      <name val="Calibri"/>
      <family val="2"/>
      <scheme val="minor"/>
    </font>
    <font>
      <sz val="11"/>
      <color theme="1"/>
      <name val="Calibri"/>
      <family val="2"/>
      <scheme val="minor"/>
    </font>
    <font>
      <sz val="12"/>
      <name val="Times New Roman"/>
      <family val="1"/>
    </font>
    <font>
      <sz val="11"/>
      <name val="Times New Roman"/>
      <family val="1"/>
    </font>
    <font>
      <sz val="12"/>
      <name val="Arial"/>
      <family val="2"/>
    </font>
    <font>
      <sz val="10"/>
      <name val="Arial"/>
      <family val="2"/>
    </font>
    <font>
      <b/>
      <sz val="12"/>
      <name val="Times New Roman"/>
      <family val="1"/>
    </font>
    <font>
      <b/>
      <u/>
      <sz val="12"/>
      <name val="Arial"/>
      <family val="2"/>
    </font>
    <font>
      <sz val="12.5"/>
      <name val="Times New Roman"/>
      <family val="1"/>
    </font>
    <font>
      <b/>
      <sz val="12"/>
      <name val="Arial"/>
      <family val="2"/>
    </font>
    <font>
      <b/>
      <sz val="12.5"/>
      <color indexed="8"/>
      <name val="Times New Roman"/>
      <family val="1"/>
    </font>
    <font>
      <b/>
      <sz val="12"/>
      <color indexed="8"/>
      <name val="Times New Roman"/>
      <family val="1"/>
    </font>
    <font>
      <sz val="12"/>
      <color indexed="8"/>
      <name val="Times New Roman"/>
      <family val="1"/>
    </font>
    <font>
      <sz val="14"/>
      <name val="Arial"/>
      <family val="2"/>
    </font>
    <font>
      <sz val="12"/>
      <color theme="0"/>
      <name val="Arial"/>
      <family val="2"/>
    </font>
    <font>
      <sz val="12"/>
      <color indexed="10"/>
      <name val="Times New Roman"/>
      <family val="1"/>
    </font>
    <font>
      <sz val="14"/>
      <name val="Times New Roman"/>
      <family val="1"/>
    </font>
    <font>
      <sz val="15"/>
      <name val="Times New Roman"/>
      <family val="1"/>
    </font>
    <font>
      <sz val="10"/>
      <name val="Times New Roman"/>
      <family val="1"/>
    </font>
    <font>
      <b/>
      <sz val="12.5"/>
      <name val="Times New Roman"/>
      <family val="1"/>
    </font>
    <font>
      <sz val="11.5"/>
      <color indexed="8"/>
      <name val="Times New Roman"/>
      <family val="1"/>
    </font>
    <font>
      <b/>
      <sz val="11"/>
      <name val="Times New Roman"/>
      <family val="1"/>
    </font>
    <font>
      <sz val="10"/>
      <color indexed="8"/>
      <name val="Times New Roman"/>
      <family val="1"/>
    </font>
    <font>
      <b/>
      <sz val="9"/>
      <color indexed="81"/>
      <name val="Tahoma"/>
      <family val="2"/>
    </font>
    <font>
      <sz val="9"/>
      <color indexed="81"/>
      <name val="Tahoma"/>
      <family val="2"/>
    </font>
    <font>
      <b/>
      <u/>
      <sz val="12.5"/>
      <name val="Times New Roman"/>
      <family val="1"/>
    </font>
    <font>
      <b/>
      <sz val="10"/>
      <color indexed="8"/>
      <name val="Times New Roman"/>
      <family val="1"/>
    </font>
    <font>
      <sz val="12"/>
      <name val="Arial Narrow"/>
      <family val="2"/>
    </font>
    <font>
      <b/>
      <sz val="10"/>
      <name val="Times New Roman"/>
      <family val="1"/>
    </font>
    <font>
      <vertAlign val="superscript"/>
      <sz val="10"/>
      <name val="Times New Roman"/>
      <family val="1"/>
    </font>
    <font>
      <sz val="12"/>
      <name val="CG Times"/>
      <family val="1"/>
    </font>
    <font>
      <sz val="10"/>
      <name val="CG Times"/>
      <family val="1"/>
    </font>
    <font>
      <sz val="10"/>
      <color indexed="8"/>
      <name val="CG Times"/>
      <family val="1"/>
    </font>
    <font>
      <b/>
      <sz val="10"/>
      <name val="CG Times"/>
      <family val="1"/>
    </font>
    <font>
      <sz val="10"/>
      <name val="Courier"/>
      <family val="3"/>
    </font>
    <font>
      <sz val="12"/>
      <color theme="0"/>
      <name val="Courier"/>
      <family val="3"/>
    </font>
    <font>
      <sz val="12"/>
      <name val="Courier"/>
      <family val="3"/>
    </font>
    <font>
      <sz val="13"/>
      <name val="Times New Roman"/>
      <family val="1"/>
    </font>
    <font>
      <b/>
      <u/>
      <sz val="11"/>
      <name val="Times New Roman"/>
      <family val="1"/>
    </font>
    <font>
      <sz val="11.5"/>
      <name val="Times New Roman"/>
      <family val="1"/>
    </font>
    <font>
      <b/>
      <sz val="11.5"/>
      <name val="Times New Roman"/>
      <family val="1"/>
    </font>
    <font>
      <b/>
      <u/>
      <sz val="11.5"/>
      <name val="Times New Roman"/>
      <family val="1"/>
    </font>
    <font>
      <b/>
      <u/>
      <sz val="12"/>
      <name val="Times New Roman"/>
      <family val="1"/>
    </font>
    <font>
      <sz val="12"/>
      <color indexed="8"/>
      <name val="CG Times"/>
      <family val="1"/>
    </font>
    <font>
      <sz val="12"/>
      <color rgb="FFFF0000"/>
      <name val="Times New Roman"/>
      <family val="1"/>
    </font>
    <font>
      <b/>
      <u/>
      <sz val="10"/>
      <name val="CG Times"/>
      <family val="1"/>
    </font>
    <font>
      <b/>
      <sz val="10"/>
      <color indexed="8"/>
      <name val="CG Times"/>
      <family val="1"/>
    </font>
    <font>
      <b/>
      <sz val="12"/>
      <name val="CG Times"/>
      <family val="1"/>
    </font>
    <font>
      <sz val="12"/>
      <name val="Times"/>
      <family val="1"/>
    </font>
    <font>
      <b/>
      <sz val="12"/>
      <name val="Times"/>
      <family val="1"/>
    </font>
    <font>
      <b/>
      <u/>
      <sz val="12"/>
      <name val="Times"/>
      <family val="1"/>
    </font>
    <font>
      <b/>
      <sz val="11"/>
      <color indexed="8"/>
      <name val="Times"/>
      <family val="1"/>
    </font>
    <font>
      <sz val="11"/>
      <color indexed="8"/>
      <name val="Times"/>
      <family val="1"/>
    </font>
    <font>
      <sz val="11"/>
      <name val="Times"/>
      <family val="1"/>
    </font>
    <font>
      <b/>
      <sz val="11"/>
      <name val="Times"/>
      <family val="1"/>
    </font>
    <font>
      <sz val="12"/>
      <color indexed="8"/>
      <name val="CG Times (W1)"/>
      <family val="1"/>
    </font>
    <font>
      <b/>
      <sz val="12"/>
      <color indexed="8"/>
      <name val="CG Times (W1)"/>
    </font>
    <font>
      <sz val="9"/>
      <name val="Times New Roman"/>
      <family val="1"/>
    </font>
    <font>
      <sz val="12"/>
      <name val="CG Times (W1)"/>
    </font>
    <font>
      <sz val="8"/>
      <color rgb="FFFF0000"/>
      <name val="Times New Roman"/>
      <family val="1"/>
    </font>
    <font>
      <b/>
      <sz val="12"/>
      <color rgb="FFFF0000"/>
      <name val="Times New Roman"/>
      <family val="1"/>
    </font>
    <font>
      <sz val="12"/>
      <color indexed="8"/>
      <name val="Arial Narrow"/>
      <family val="2"/>
    </font>
    <font>
      <sz val="10"/>
      <color theme="1"/>
      <name val="Times New Roman"/>
      <family val="1"/>
    </font>
    <font>
      <b/>
      <sz val="10"/>
      <color theme="0"/>
      <name val="Times New Roman"/>
      <family val="1"/>
    </font>
    <font>
      <sz val="10"/>
      <color theme="0"/>
      <name val="Times New Roman"/>
      <family val="1"/>
    </font>
    <font>
      <sz val="10"/>
      <color theme="0"/>
      <name val="CG Times"/>
      <family val="1"/>
    </font>
    <font>
      <b/>
      <sz val="10"/>
      <color theme="0"/>
      <name val="CG Times"/>
      <family val="1"/>
    </font>
    <font>
      <sz val="11"/>
      <name val="Calibri"/>
      <family val="2"/>
      <scheme val="minor"/>
    </font>
    <font>
      <sz val="11"/>
      <color theme="1"/>
      <name val="Times New Roman"/>
      <family val="1"/>
    </font>
    <font>
      <sz val="12"/>
      <color theme="1"/>
      <name val="Calibri"/>
      <family val="2"/>
      <scheme val="minor"/>
    </font>
    <font>
      <sz val="12.5"/>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168" fontId="36" fillId="0" borderId="0"/>
    <xf numFmtId="0" fontId="5" fillId="0" borderId="0"/>
    <xf numFmtId="164" fontId="1" fillId="0" borderId="0" applyFont="0" applyFill="0" applyBorder="0" applyAlignment="0" applyProtection="0"/>
  </cellStyleXfs>
  <cellXfs count="826">
    <xf numFmtId="0" fontId="0" fillId="0" borderId="0" xfId="0"/>
    <xf numFmtId="0" fontId="2" fillId="0" borderId="0" xfId="0" applyFont="1"/>
    <xf numFmtId="0" fontId="4" fillId="0" borderId="0" xfId="0" applyFont="1"/>
    <xf numFmtId="0" fontId="3" fillId="0" borderId="0" xfId="0" applyFont="1" applyAlignment="1">
      <alignment horizontal="right"/>
    </xf>
    <xf numFmtId="0" fontId="2" fillId="0" borderId="0" xfId="0" applyFont="1" applyAlignment="1">
      <alignment horizontal="center"/>
    </xf>
    <xf numFmtId="3" fontId="2" fillId="0" borderId="0" xfId="0" applyNumberFormat="1" applyFont="1"/>
    <xf numFmtId="165" fontId="2" fillId="0" borderId="0" xfId="1" applyNumberFormat="1" applyFont="1"/>
    <xf numFmtId="0" fontId="2" fillId="0" borderId="0" xfId="0" applyFont="1" applyAlignment="1">
      <alignment horizontal="left"/>
    </xf>
    <xf numFmtId="0" fontId="16" fillId="0" borderId="0" xfId="0" applyFont="1" applyAlignment="1">
      <alignment horizontal="left"/>
    </xf>
    <xf numFmtId="0" fontId="16" fillId="0" borderId="0" xfId="0" applyFont="1"/>
    <xf numFmtId="164" fontId="2" fillId="0" borderId="0" xfId="1" applyFont="1"/>
    <xf numFmtId="37" fontId="12" fillId="0" borderId="12" xfId="0" applyNumberFormat="1" applyFont="1" applyBorder="1" applyAlignment="1">
      <alignment horizontal="left" vertical="center" indent="1"/>
    </xf>
    <xf numFmtId="37" fontId="12" fillId="0" borderId="17" xfId="0" applyNumberFormat="1" applyFont="1" applyBorder="1" applyAlignment="1">
      <alignment horizontal="left" vertical="center" indent="1"/>
    </xf>
    <xf numFmtId="166" fontId="6" fillId="0" borderId="9" xfId="1" applyNumberFormat="1" applyFont="1" applyBorder="1" applyAlignment="1">
      <alignment vertical="center"/>
    </xf>
    <xf numFmtId="40" fontId="2" fillId="0" borderId="0" xfId="0" applyNumberFormat="1" applyFont="1"/>
    <xf numFmtId="40" fontId="16" fillId="0" borderId="0" xfId="0" applyNumberFormat="1" applyFont="1"/>
    <xf numFmtId="40" fontId="16" fillId="0" borderId="0" xfId="0" applyNumberFormat="1" applyFont="1" applyAlignment="1">
      <alignment horizontal="right"/>
    </xf>
    <xf numFmtId="40" fontId="2" fillId="0" borderId="0" xfId="0" applyNumberFormat="1" applyFont="1" applyAlignment="1">
      <alignment horizontal="left"/>
    </xf>
    <xf numFmtId="40" fontId="2" fillId="0" borderId="0" xfId="0" applyNumberFormat="1" applyFont="1" applyAlignment="1">
      <alignment horizontal="right"/>
    </xf>
    <xf numFmtId="37" fontId="26" fillId="0" borderId="8" xfId="0" applyNumberFormat="1" applyFont="1" applyBorder="1" applyAlignment="1">
      <alignment horizontal="center"/>
    </xf>
    <xf numFmtId="40" fontId="26" fillId="0" borderId="9" xfId="0" applyNumberFormat="1" applyFont="1" applyBorder="1" applyAlignment="1">
      <alignment horizontal="center" wrapText="1"/>
    </xf>
    <xf numFmtId="40" fontId="26" fillId="0" borderId="11" xfId="0" applyNumberFormat="1" applyFont="1" applyBorder="1" applyAlignment="1">
      <alignment horizontal="center" wrapText="1"/>
    </xf>
    <xf numFmtId="0" fontId="6" fillId="0" borderId="0" xfId="3" applyFont="1" applyAlignment="1">
      <alignment vertical="center"/>
    </xf>
    <xf numFmtId="37" fontId="22" fillId="0" borderId="12" xfId="0" applyNumberFormat="1" applyFont="1" applyBorder="1" applyAlignment="1">
      <alignment horizontal="left" vertical="center" indent="1"/>
    </xf>
    <xf numFmtId="38" fontId="22" fillId="0" borderId="14" xfId="0" applyNumberFormat="1" applyFont="1" applyBorder="1" applyAlignment="1">
      <alignment vertical="center"/>
    </xf>
    <xf numFmtId="37" fontId="22" fillId="0" borderId="17" xfId="0" applyNumberFormat="1" applyFont="1" applyBorder="1" applyAlignment="1">
      <alignment horizontal="left" vertical="center" indent="1"/>
    </xf>
    <xf numFmtId="37" fontId="22" fillId="0" borderId="18" xfId="0" applyNumberFormat="1" applyFont="1" applyBorder="1" applyAlignment="1">
      <alignment horizontal="left" vertical="center" indent="1"/>
    </xf>
    <xf numFmtId="38" fontId="22" fillId="0" borderId="19" xfId="0" applyNumberFormat="1" applyFont="1" applyBorder="1" applyAlignment="1">
      <alignment vertical="center"/>
    </xf>
    <xf numFmtId="38" fontId="28" fillId="0" borderId="9" xfId="1" applyNumberFormat="1" applyFont="1" applyBorder="1" applyAlignment="1">
      <alignment vertical="center"/>
    </xf>
    <xf numFmtId="38" fontId="28" fillId="0" borderId="11" xfId="1" applyNumberFormat="1" applyFont="1" applyBorder="1" applyAlignment="1">
      <alignment vertical="center"/>
    </xf>
    <xf numFmtId="0" fontId="28" fillId="0" borderId="8" xfId="0" applyFont="1" applyBorder="1" applyAlignment="1">
      <alignment horizontal="left" vertical="center" indent="1"/>
    </xf>
    <xf numFmtId="3" fontId="28" fillId="0" borderId="9" xfId="1" applyNumberFormat="1" applyFont="1" applyBorder="1" applyAlignment="1">
      <alignment vertical="center"/>
    </xf>
    <xf numFmtId="3" fontId="28" fillId="0" borderId="9" xfId="0" applyNumberFormat="1" applyFont="1" applyBorder="1" applyAlignment="1">
      <alignment vertical="center"/>
    </xf>
    <xf numFmtId="0" fontId="18" fillId="0" borderId="0" xfId="0" applyFont="1" applyAlignment="1">
      <alignment vertical="center"/>
    </xf>
    <xf numFmtId="38" fontId="18" fillId="0" borderId="16" xfId="0" applyNumberFormat="1" applyFont="1" applyBorder="1" applyAlignment="1" applyProtection="1">
      <alignment vertical="center"/>
      <protection locked="0"/>
    </xf>
    <xf numFmtId="39" fontId="16" fillId="0" borderId="0" xfId="0" applyNumberFormat="1" applyFont="1" applyAlignment="1">
      <alignment horizontal="left"/>
    </xf>
    <xf numFmtId="37" fontId="22" fillId="0" borderId="17" xfId="0" quotePrefix="1" applyNumberFormat="1" applyFont="1" applyBorder="1" applyAlignment="1">
      <alignment horizontal="left" vertical="center" indent="1"/>
    </xf>
    <xf numFmtId="37" fontId="22" fillId="0" borderId="8" xfId="0" applyNumberFormat="1" applyFont="1" applyBorder="1" applyAlignment="1" applyProtection="1">
      <alignment horizontal="left" vertical="center"/>
      <protection locked="0"/>
    </xf>
    <xf numFmtId="37" fontId="26" fillId="0" borderId="8" xfId="0" applyNumberFormat="1" applyFont="1" applyBorder="1" applyAlignment="1" applyProtection="1">
      <alignment horizontal="left" vertical="center"/>
      <protection locked="0"/>
    </xf>
    <xf numFmtId="38" fontId="28" fillId="0" borderId="9" xfId="0" applyNumberFormat="1" applyFont="1" applyBorder="1" applyAlignment="1">
      <alignment vertical="center"/>
    </xf>
    <xf numFmtId="38" fontId="28" fillId="0" borderId="11" xfId="0" applyNumberFormat="1" applyFont="1" applyBorder="1" applyAlignment="1">
      <alignment vertical="center"/>
    </xf>
    <xf numFmtId="38" fontId="31" fillId="0" borderId="0" xfId="0" applyNumberFormat="1" applyFont="1" applyAlignment="1">
      <alignment vertical="center"/>
    </xf>
    <xf numFmtId="37" fontId="32" fillId="3" borderId="8" xfId="0" applyNumberFormat="1" applyFont="1" applyFill="1" applyBorder="1" applyAlignment="1">
      <alignment vertical="center"/>
    </xf>
    <xf numFmtId="38" fontId="32" fillId="3" borderId="9" xfId="0" applyNumberFormat="1" applyFont="1" applyFill="1" applyBorder="1" applyAlignment="1">
      <alignment vertical="center"/>
    </xf>
    <xf numFmtId="38" fontId="31" fillId="3" borderId="11" xfId="0" applyNumberFormat="1" applyFont="1" applyFill="1" applyBorder="1" applyAlignment="1" applyProtection="1">
      <alignment vertical="center"/>
      <protection locked="0"/>
    </xf>
    <xf numFmtId="38" fontId="22" fillId="3" borderId="14" xfId="0" applyNumberFormat="1" applyFont="1" applyFill="1" applyBorder="1" applyAlignment="1">
      <alignment vertical="center"/>
    </xf>
    <xf numFmtId="38" fontId="26" fillId="0" borderId="14" xfId="0" applyNumberFormat="1" applyFont="1" applyBorder="1" applyAlignment="1">
      <alignment horizontal="centerContinuous" vertical="top" wrapText="1"/>
    </xf>
    <xf numFmtId="0" fontId="28" fillId="0" borderId="34" xfId="0" applyFont="1" applyBorder="1" applyAlignment="1">
      <alignment horizontal="left" vertical="center" indent="1"/>
    </xf>
    <xf numFmtId="38" fontId="28" fillId="0" borderId="35" xfId="1" applyNumberFormat="1" applyFont="1" applyBorder="1" applyAlignment="1">
      <alignment vertical="center"/>
    </xf>
    <xf numFmtId="38" fontId="28" fillId="0" borderId="36" xfId="1" applyNumberFormat="1" applyFont="1" applyBorder="1" applyAlignment="1">
      <alignment vertical="center"/>
    </xf>
    <xf numFmtId="0" fontId="31" fillId="0" borderId="0" xfId="0" applyFont="1" applyAlignment="1">
      <alignment vertical="center"/>
    </xf>
    <xf numFmtId="164" fontId="34" fillId="0" borderId="0" xfId="1" applyFont="1"/>
    <xf numFmtId="164" fontId="0" fillId="0" borderId="0" xfId="1" applyFont="1"/>
    <xf numFmtId="167" fontId="0" fillId="0" borderId="0" xfId="1" applyNumberFormat="1" applyFont="1"/>
    <xf numFmtId="0" fontId="35" fillId="0" borderId="0" xfId="0" applyFont="1"/>
    <xf numFmtId="37" fontId="22" fillId="0" borderId="0" xfId="0" applyNumberFormat="1" applyFont="1" applyAlignment="1" applyProtection="1">
      <alignment horizontal="left" vertical="center"/>
      <protection locked="0"/>
    </xf>
    <xf numFmtId="0" fontId="31" fillId="0" borderId="0" xfId="0" applyFont="1"/>
    <xf numFmtId="38" fontId="31" fillId="0" borderId="0" xfId="0" applyNumberFormat="1" applyFont="1"/>
    <xf numFmtId="40" fontId="0" fillId="0" borderId="0" xfId="0" applyNumberFormat="1"/>
    <xf numFmtId="40" fontId="36" fillId="0" borderId="0" xfId="0" applyNumberFormat="1" applyFont="1"/>
    <xf numFmtId="40" fontId="34" fillId="0" borderId="0" xfId="1" applyNumberFormat="1" applyFont="1"/>
    <xf numFmtId="40" fontId="35" fillId="0" borderId="0" xfId="0" applyNumberFormat="1" applyFont="1"/>
    <xf numFmtId="40" fontId="35" fillId="0" borderId="0" xfId="2" applyNumberFormat="1" applyFont="1"/>
    <xf numFmtId="40" fontId="36" fillId="0" borderId="0" xfId="1" applyNumberFormat="1" applyFont="1"/>
    <xf numFmtId="40" fontId="0" fillId="0" borderId="0" xfId="2" applyNumberFormat="1" applyFont="1"/>
    <xf numFmtId="40" fontId="36" fillId="0" borderId="0" xfId="2" applyNumberFormat="1" applyFont="1"/>
    <xf numFmtId="0" fontId="36" fillId="0" borderId="0" xfId="0" applyFont="1"/>
    <xf numFmtId="38" fontId="31" fillId="0" borderId="36" xfId="0" applyNumberFormat="1" applyFont="1" applyBorder="1" applyAlignment="1">
      <alignment vertical="center"/>
    </xf>
    <xf numFmtId="37" fontId="22" fillId="0" borderId="37" xfId="0" applyNumberFormat="1" applyFont="1" applyBorder="1" applyAlignment="1">
      <alignment horizontal="left" vertical="center" indent="1"/>
    </xf>
    <xf numFmtId="38" fontId="22" fillId="3" borderId="38" xfId="0" applyNumberFormat="1" applyFont="1" applyFill="1" applyBorder="1" applyAlignment="1">
      <alignment vertical="center"/>
    </xf>
    <xf numFmtId="38" fontId="26" fillId="0" borderId="39" xfId="0" applyNumberFormat="1" applyFont="1" applyBorder="1" applyAlignment="1">
      <alignment horizontal="centerContinuous" vertical="top" wrapText="1"/>
    </xf>
    <xf numFmtId="38" fontId="22" fillId="3" borderId="23" xfId="0" applyNumberFormat="1" applyFont="1" applyFill="1" applyBorder="1" applyAlignment="1">
      <alignment vertical="center"/>
    </xf>
    <xf numFmtId="38" fontId="22" fillId="0" borderId="13" xfId="0" applyNumberFormat="1" applyFont="1" applyBorder="1" applyAlignment="1">
      <alignment vertical="center"/>
    </xf>
    <xf numFmtId="38" fontId="22" fillId="3" borderId="20" xfId="0" applyNumberFormat="1" applyFont="1" applyFill="1" applyBorder="1" applyAlignment="1">
      <alignment vertical="center"/>
    </xf>
    <xf numFmtId="38" fontId="22" fillId="0" borderId="20" xfId="0" applyNumberFormat="1" applyFont="1" applyBorder="1" applyAlignment="1">
      <alignment vertical="center"/>
    </xf>
    <xf numFmtId="38" fontId="22" fillId="0" borderId="40" xfId="0" applyNumberFormat="1" applyFont="1" applyBorder="1" applyAlignment="1">
      <alignment vertical="center"/>
    </xf>
    <xf numFmtId="38" fontId="22" fillId="0" borderId="28" xfId="0" applyNumberFormat="1" applyFont="1" applyBorder="1" applyAlignment="1">
      <alignment vertical="center"/>
    </xf>
    <xf numFmtId="38" fontId="31" fillId="0" borderId="22" xfId="0" applyNumberFormat="1" applyFont="1" applyBorder="1" applyAlignment="1">
      <alignment vertical="center"/>
    </xf>
    <xf numFmtId="37" fontId="26" fillId="0" borderId="32" xfId="0" applyNumberFormat="1" applyFont="1" applyBorder="1" applyAlignment="1">
      <alignment horizontal="center"/>
    </xf>
    <xf numFmtId="164" fontId="26" fillId="0" borderId="41" xfId="1" applyFont="1" applyBorder="1" applyAlignment="1">
      <alignment horizontal="center" wrapText="1"/>
    </xf>
    <xf numFmtId="164" fontId="26" fillId="0" borderId="42" xfId="1" applyFont="1" applyBorder="1" applyAlignment="1">
      <alignment horizontal="center" wrapText="1"/>
    </xf>
    <xf numFmtId="3" fontId="22" fillId="3" borderId="39" xfId="1" applyNumberFormat="1" applyFont="1" applyFill="1" applyBorder="1" applyAlignment="1">
      <alignment vertical="center"/>
    </xf>
    <xf numFmtId="3" fontId="18" fillId="0" borderId="43" xfId="1" applyNumberFormat="1" applyFont="1" applyBorder="1" applyAlignment="1" applyProtection="1">
      <alignment vertical="center"/>
      <protection locked="0"/>
    </xf>
    <xf numFmtId="3" fontId="18" fillId="0" borderId="16" xfId="1" applyNumberFormat="1" applyFont="1" applyBorder="1" applyAlignment="1" applyProtection="1">
      <alignment vertical="center"/>
      <protection locked="0"/>
    </xf>
    <xf numFmtId="3" fontId="18" fillId="0" borderId="21" xfId="1" applyNumberFormat="1" applyFont="1" applyBorder="1" applyAlignment="1" applyProtection="1">
      <alignment vertical="center"/>
      <protection locked="0"/>
    </xf>
    <xf numFmtId="3" fontId="28" fillId="0" borderId="11" xfId="1" applyNumberFormat="1" applyFont="1" applyBorder="1" applyAlignment="1">
      <alignment vertical="center"/>
    </xf>
    <xf numFmtId="37" fontId="22" fillId="0" borderId="31" xfId="0" applyNumberFormat="1" applyFont="1" applyBorder="1" applyAlignment="1" applyProtection="1">
      <alignment horizontal="left" vertical="center"/>
      <protection locked="0"/>
    </xf>
    <xf numFmtId="3" fontId="31" fillId="0" borderId="22" xfId="1" applyNumberFormat="1" applyFont="1" applyBorder="1" applyAlignment="1">
      <alignment vertical="center"/>
    </xf>
    <xf numFmtId="3" fontId="31" fillId="0" borderId="24" xfId="1" applyNumberFormat="1" applyFont="1" applyBorder="1" applyAlignment="1">
      <alignment vertical="center"/>
    </xf>
    <xf numFmtId="164" fontId="31" fillId="0" borderId="0" xfId="1" applyFont="1" applyAlignment="1">
      <alignment vertical="center"/>
    </xf>
    <xf numFmtId="164" fontId="31" fillId="0" borderId="0" xfId="1" applyFont="1"/>
    <xf numFmtId="164" fontId="32" fillId="3" borderId="9" xfId="1" applyFont="1" applyFill="1" applyBorder="1" applyAlignment="1">
      <alignment vertical="center"/>
    </xf>
    <xf numFmtId="164" fontId="31" fillId="3" borderId="11" xfId="1" applyFont="1" applyFill="1" applyBorder="1" applyAlignment="1" applyProtection="1">
      <alignment vertical="center"/>
      <protection locked="0"/>
    </xf>
    <xf numFmtId="164" fontId="36" fillId="0" borderId="0" xfId="1" applyFont="1"/>
    <xf numFmtId="37" fontId="26" fillId="0" borderId="9" xfId="0" applyNumberFormat="1" applyFont="1" applyBorder="1" applyAlignment="1">
      <alignment horizontal="center" wrapText="1"/>
    </xf>
    <xf numFmtId="37" fontId="26" fillId="0" borderId="11" xfId="0" applyNumberFormat="1" applyFont="1" applyBorder="1" applyAlignment="1">
      <alignment horizontal="center" wrapText="1"/>
    </xf>
    <xf numFmtId="37" fontId="26" fillId="0" borderId="39" xfId="0" applyNumberFormat="1" applyFont="1" applyBorder="1" applyAlignment="1">
      <alignment horizontal="centerContinuous" vertical="top" wrapText="1"/>
    </xf>
    <xf numFmtId="166" fontId="18" fillId="0" borderId="16" xfId="0" applyNumberFormat="1" applyFont="1" applyBorder="1" applyAlignment="1" applyProtection="1">
      <alignment vertical="center"/>
      <protection locked="0"/>
    </xf>
    <xf numFmtId="166" fontId="22" fillId="0" borderId="13" xfId="0" applyNumberFormat="1" applyFont="1" applyBorder="1" applyAlignment="1">
      <alignment vertical="center"/>
    </xf>
    <xf numFmtId="166" fontId="22" fillId="0" borderId="14" xfId="0" applyNumberFormat="1" applyFont="1" applyBorder="1" applyAlignment="1">
      <alignment vertical="center"/>
    </xf>
    <xf numFmtId="38" fontId="22" fillId="4" borderId="20" xfId="0" applyNumberFormat="1" applyFont="1" applyFill="1" applyBorder="1" applyAlignment="1">
      <alignment vertical="center"/>
    </xf>
    <xf numFmtId="166" fontId="22" fillId="0" borderId="20" xfId="0" applyNumberFormat="1" applyFont="1" applyBorder="1" applyAlignment="1">
      <alignment vertical="center"/>
    </xf>
    <xf numFmtId="38" fontId="22" fillId="4" borderId="14" xfId="0" applyNumberFormat="1" applyFont="1" applyFill="1" applyBorder="1" applyAlignment="1">
      <alignment vertical="center"/>
    </xf>
    <xf numFmtId="38" fontId="22" fillId="3" borderId="20" xfId="4" applyNumberFormat="1" applyFont="1" applyFill="1" applyBorder="1" applyAlignment="1">
      <alignment vertical="center"/>
    </xf>
    <xf numFmtId="166" fontId="22" fillId="0" borderId="19" xfId="0" applyNumberFormat="1" applyFont="1" applyBorder="1" applyAlignment="1">
      <alignment vertical="center"/>
    </xf>
    <xf numFmtId="166" fontId="22" fillId="0" borderId="40" xfId="0" applyNumberFormat="1" applyFont="1" applyBorder="1" applyAlignment="1">
      <alignment vertical="center"/>
    </xf>
    <xf numFmtId="166" fontId="22" fillId="0" borderId="28" xfId="0" applyNumberFormat="1" applyFont="1" applyBorder="1" applyAlignment="1">
      <alignment vertical="center"/>
    </xf>
    <xf numFmtId="166" fontId="28" fillId="0" borderId="9" xfId="1" applyNumberFormat="1" applyFont="1" applyBorder="1" applyAlignment="1">
      <alignment vertical="center"/>
    </xf>
    <xf numFmtId="166" fontId="28" fillId="0" borderId="11" xfId="1" applyNumberFormat="1" applyFont="1" applyBorder="1" applyAlignment="1">
      <alignment vertical="center"/>
    </xf>
    <xf numFmtId="3" fontId="31" fillId="0" borderId="9" xfId="0" applyNumberFormat="1" applyFont="1" applyBorder="1" applyAlignment="1">
      <alignment vertical="center"/>
    </xf>
    <xf numFmtId="3" fontId="31" fillId="0" borderId="11" xfId="0" applyNumberFormat="1" applyFont="1" applyBorder="1" applyAlignment="1">
      <alignment vertical="center"/>
    </xf>
    <xf numFmtId="3" fontId="28" fillId="0" borderId="11" xfId="0" applyNumberFormat="1" applyFont="1" applyBorder="1" applyAlignment="1">
      <alignment vertical="center"/>
    </xf>
    <xf numFmtId="166" fontId="32" fillId="3" borderId="9" xfId="0" applyNumberFormat="1" applyFont="1" applyFill="1" applyBorder="1" applyAlignment="1">
      <alignment vertical="center"/>
    </xf>
    <xf numFmtId="166" fontId="31" fillId="3" borderId="11" xfId="0" applyNumberFormat="1" applyFont="1" applyFill="1" applyBorder="1" applyAlignment="1" applyProtection="1">
      <alignment vertical="center"/>
      <protection locked="0"/>
    </xf>
    <xf numFmtId="9" fontId="35" fillId="0" borderId="0" xfId="2" applyFont="1"/>
    <xf numFmtId="164" fontId="35" fillId="0" borderId="0" xfId="1" applyFont="1"/>
    <xf numFmtId="9" fontId="0" fillId="0" borderId="0" xfId="2" applyFont="1"/>
    <xf numFmtId="10" fontId="36" fillId="0" borderId="0" xfId="2" applyNumberFormat="1" applyFont="1"/>
    <xf numFmtId="38" fontId="22" fillId="3" borderId="0" xfId="0" applyNumberFormat="1" applyFont="1" applyFill="1" applyAlignment="1">
      <alignment vertical="center"/>
    </xf>
    <xf numFmtId="38" fontId="22" fillId="2" borderId="14" xfId="0" applyNumberFormat="1" applyFont="1" applyFill="1" applyBorder="1" applyAlignment="1">
      <alignment vertical="center"/>
    </xf>
    <xf numFmtId="0" fontId="28" fillId="0" borderId="32" xfId="0" applyFont="1" applyBorder="1" applyAlignment="1">
      <alignment horizontal="left" vertical="center" indent="1"/>
    </xf>
    <xf numFmtId="38" fontId="28" fillId="0" borderId="33" xfId="1" applyNumberFormat="1" applyFont="1" applyBorder="1" applyAlignment="1">
      <alignment vertical="center"/>
    </xf>
    <xf numFmtId="166" fontId="28" fillId="0" borderId="44" xfId="1" applyNumberFormat="1" applyFont="1" applyBorder="1" applyAlignment="1">
      <alignment vertical="center"/>
    </xf>
    <xf numFmtId="166" fontId="28" fillId="0" borderId="45" xfId="1" applyNumberFormat="1" applyFont="1" applyBorder="1" applyAlignment="1">
      <alignment vertical="center"/>
    </xf>
    <xf numFmtId="166" fontId="28" fillId="0" borderId="41" xfId="1" applyNumberFormat="1" applyFont="1" applyBorder="1" applyAlignment="1">
      <alignment vertical="center"/>
    </xf>
    <xf numFmtId="166" fontId="28" fillId="0" borderId="42" xfId="1" applyNumberFormat="1" applyFont="1" applyBorder="1" applyAlignment="1">
      <alignment vertical="center"/>
    </xf>
    <xf numFmtId="164" fontId="0" fillId="0" borderId="46" xfId="1" applyFont="1" applyBorder="1"/>
    <xf numFmtId="3" fontId="33" fillId="0" borderId="9" xfId="0" applyNumberFormat="1" applyFont="1" applyBorder="1" applyAlignment="1">
      <alignment vertical="center"/>
    </xf>
    <xf numFmtId="3" fontId="33" fillId="0" borderId="11" xfId="0" applyNumberFormat="1" applyFont="1" applyBorder="1" applyAlignment="1">
      <alignment vertical="center"/>
    </xf>
    <xf numFmtId="166" fontId="32" fillId="0" borderId="9" xfId="0" applyNumberFormat="1" applyFont="1" applyBorder="1" applyAlignment="1">
      <alignment vertical="center"/>
    </xf>
    <xf numFmtId="166" fontId="31" fillId="0" borderId="11" xfId="0" applyNumberFormat="1" applyFont="1" applyBorder="1" applyAlignment="1" applyProtection="1">
      <alignment vertical="center"/>
      <protection locked="0"/>
    </xf>
    <xf numFmtId="39" fontId="2" fillId="0" borderId="0" xfId="0" applyNumberFormat="1" applyFont="1" applyAlignment="1">
      <alignment horizontal="left"/>
    </xf>
    <xf numFmtId="3" fontId="33" fillId="0" borderId="35" xfId="0" applyNumberFormat="1" applyFont="1" applyBorder="1" applyAlignment="1">
      <alignment vertical="center"/>
    </xf>
    <xf numFmtId="3" fontId="33" fillId="0" borderId="36" xfId="0" applyNumberFormat="1" applyFont="1" applyBorder="1" applyAlignment="1">
      <alignment vertical="center"/>
    </xf>
    <xf numFmtId="39" fontId="16" fillId="0" borderId="0" xfId="0" applyNumberFormat="1" applyFont="1" applyAlignment="1">
      <alignment horizontal="right"/>
    </xf>
    <xf numFmtId="0" fontId="16" fillId="0" borderId="0" xfId="0" applyFont="1" applyAlignment="1">
      <alignment horizontal="right"/>
    </xf>
    <xf numFmtId="38" fontId="28" fillId="0" borderId="10" xfId="1" applyNumberFormat="1" applyFont="1" applyBorder="1" applyAlignment="1">
      <alignment vertical="center"/>
    </xf>
    <xf numFmtId="166" fontId="28" fillId="0" borderId="7" xfId="1" applyNumberFormat="1" applyFont="1" applyBorder="1" applyAlignment="1">
      <alignment vertical="center"/>
    </xf>
    <xf numFmtId="166" fontId="28" fillId="0" borderId="47" xfId="1" applyNumberFormat="1" applyFont="1" applyBorder="1" applyAlignment="1">
      <alignment vertical="center"/>
    </xf>
    <xf numFmtId="3" fontId="18" fillId="0" borderId="9" xfId="0" applyNumberFormat="1" applyFont="1" applyBorder="1" applyAlignment="1">
      <alignment vertical="center"/>
    </xf>
    <xf numFmtId="166" fontId="18" fillId="0" borderId="11" xfId="0" applyNumberFormat="1" applyFont="1" applyBorder="1" applyAlignment="1" applyProtection="1">
      <alignment vertical="center"/>
      <protection locked="0"/>
    </xf>
    <xf numFmtId="37" fontId="26" fillId="0" borderId="37" xfId="0" applyNumberFormat="1" applyFont="1" applyBorder="1" applyAlignment="1">
      <alignment horizontal="center"/>
    </xf>
    <xf numFmtId="37" fontId="26" fillId="0" borderId="39" xfId="0" applyNumberFormat="1" applyFont="1" applyBorder="1" applyAlignment="1">
      <alignment horizontal="center" wrapText="1"/>
    </xf>
    <xf numFmtId="37" fontId="26" fillId="0" borderId="39" xfId="0" applyNumberFormat="1" applyFont="1" applyBorder="1" applyAlignment="1">
      <alignment wrapText="1"/>
    </xf>
    <xf numFmtId="37" fontId="26" fillId="0" borderId="43" xfId="0" applyNumberFormat="1" applyFont="1" applyBorder="1" applyAlignment="1">
      <alignment horizontal="center" wrapText="1"/>
    </xf>
    <xf numFmtId="37" fontId="26" fillId="0" borderId="14" xfId="0" applyNumberFormat="1" applyFont="1" applyBorder="1" applyAlignment="1">
      <alignment horizontal="centerContinuous" vertical="top" wrapText="1"/>
    </xf>
    <xf numFmtId="169" fontId="18" fillId="0" borderId="16" xfId="0" applyNumberFormat="1" applyFont="1" applyBorder="1" applyAlignment="1" applyProtection="1">
      <alignment vertical="center"/>
      <protection locked="0"/>
    </xf>
    <xf numFmtId="166" fontId="22" fillId="2" borderId="14" xfId="0" applyNumberFormat="1" applyFont="1" applyFill="1" applyBorder="1" applyAlignment="1">
      <alignment vertical="center"/>
    </xf>
    <xf numFmtId="38" fontId="22" fillId="3" borderId="19" xfId="0" applyNumberFormat="1" applyFont="1" applyFill="1" applyBorder="1" applyAlignment="1">
      <alignment vertical="center"/>
    </xf>
    <xf numFmtId="166" fontId="18" fillId="0" borderId="21" xfId="0" applyNumberFormat="1" applyFont="1" applyBorder="1" applyAlignment="1" applyProtection="1">
      <alignment vertical="center"/>
      <protection locked="0"/>
    </xf>
    <xf numFmtId="37" fontId="32" fillId="0" borderId="0" xfId="0" applyNumberFormat="1" applyFont="1" applyAlignment="1" applyProtection="1">
      <alignment horizontal="left" vertical="center"/>
      <protection locked="0"/>
    </xf>
    <xf numFmtId="0" fontId="2" fillId="4" borderId="0" xfId="0" applyFont="1" applyFill="1"/>
    <xf numFmtId="0" fontId="37" fillId="0" borderId="0" xfId="0" applyFont="1" applyAlignment="1">
      <alignment horizontal="right"/>
    </xf>
    <xf numFmtId="37" fontId="26" fillId="0" borderId="37" xfId="0" applyNumberFormat="1" applyFont="1" applyBorder="1" applyAlignment="1">
      <alignment horizontal="center" vertical="top"/>
    </xf>
    <xf numFmtId="37" fontId="26" fillId="0" borderId="39" xfId="0" applyNumberFormat="1" applyFont="1" applyBorder="1" applyAlignment="1">
      <alignment horizontal="center" vertical="top" wrapText="1"/>
    </xf>
    <xf numFmtId="37" fontId="26" fillId="0" borderId="43" xfId="0" applyNumberFormat="1" applyFont="1" applyBorder="1" applyAlignment="1">
      <alignment horizontal="center" vertical="top" wrapText="1"/>
    </xf>
    <xf numFmtId="37" fontId="22" fillId="0" borderId="9" xfId="0" applyNumberFormat="1" applyFont="1" applyBorder="1" applyAlignment="1" applyProtection="1">
      <alignment horizontal="left" vertical="center"/>
      <protection locked="0"/>
    </xf>
    <xf numFmtId="37" fontId="26" fillId="0" borderId="9" xfId="0" applyNumberFormat="1" applyFont="1" applyBorder="1" applyAlignment="1" applyProtection="1">
      <alignment horizontal="left" vertical="center"/>
      <protection locked="0"/>
    </xf>
    <xf numFmtId="39" fontId="37" fillId="0" borderId="0" xfId="0" applyNumberFormat="1" applyFont="1" applyAlignment="1">
      <alignment horizontal="right"/>
    </xf>
    <xf numFmtId="166" fontId="22" fillId="4" borderId="14" xfId="0" applyNumberFormat="1" applyFont="1" applyFill="1" applyBorder="1" applyAlignment="1">
      <alignment vertical="center"/>
    </xf>
    <xf numFmtId="38" fontId="22" fillId="0" borderId="38" xfId="0" applyNumberFormat="1" applyFont="1" applyBorder="1" applyAlignment="1">
      <alignment vertical="center"/>
    </xf>
    <xf numFmtId="39" fontId="4" fillId="0" borderId="0" xfId="0" applyNumberFormat="1" applyFont="1"/>
    <xf numFmtId="39" fontId="37" fillId="0" borderId="0" xfId="0" applyNumberFormat="1" applyFont="1" applyAlignment="1">
      <alignment horizontal="left"/>
    </xf>
    <xf numFmtId="0" fontId="37" fillId="0" borderId="0" xfId="0" applyFont="1"/>
    <xf numFmtId="38" fontId="22" fillId="3" borderId="39" xfId="0" applyNumberFormat="1" applyFont="1" applyFill="1" applyBorder="1" applyAlignment="1">
      <alignment vertical="center"/>
    </xf>
    <xf numFmtId="166" fontId="18" fillId="0" borderId="43" xfId="0" applyNumberFormat="1" applyFont="1" applyBorder="1" applyAlignment="1" applyProtection="1">
      <alignment vertical="center"/>
      <protection locked="0"/>
    </xf>
    <xf numFmtId="37" fontId="22" fillId="0" borderId="27" xfId="0" applyNumberFormat="1" applyFont="1" applyBorder="1" applyAlignment="1">
      <alignment horizontal="left" vertical="center" indent="1"/>
    </xf>
    <xf numFmtId="166" fontId="18" fillId="0" borderId="30" xfId="0" applyNumberFormat="1" applyFont="1" applyBorder="1" applyAlignment="1" applyProtection="1">
      <alignment vertical="center"/>
      <protection locked="0"/>
    </xf>
    <xf numFmtId="37" fontId="12" fillId="0" borderId="8" xfId="0" applyNumberFormat="1" applyFont="1" applyBorder="1" applyAlignment="1">
      <alignment horizontal="left" vertical="center" indent="1"/>
    </xf>
    <xf numFmtId="38" fontId="18" fillId="0" borderId="9" xfId="1" applyNumberFormat="1" applyFont="1" applyBorder="1" applyAlignment="1">
      <alignment vertical="center"/>
    </xf>
    <xf numFmtId="38" fontId="18" fillId="0" borderId="0" xfId="1" applyNumberFormat="1" applyFont="1" applyAlignment="1">
      <alignment vertical="center"/>
    </xf>
    <xf numFmtId="166" fontId="18" fillId="0" borderId="0" xfId="1" applyNumberFormat="1" applyFont="1" applyAlignment="1">
      <alignment vertical="center"/>
    </xf>
    <xf numFmtId="0" fontId="31" fillId="0" borderId="0" xfId="0" applyFont="1" applyAlignment="1">
      <alignment horizontal="left" vertical="center" indent="1"/>
    </xf>
    <xf numFmtId="38" fontId="33" fillId="0" borderId="0" xfId="1" applyNumberFormat="1" applyFont="1" applyAlignment="1">
      <alignment vertical="center"/>
    </xf>
    <xf numFmtId="166" fontId="33" fillId="0" borderId="0" xfId="1" applyNumberFormat="1" applyFont="1" applyAlignment="1">
      <alignment vertical="center"/>
    </xf>
    <xf numFmtId="39" fontId="37" fillId="0" borderId="0" xfId="0" applyNumberFormat="1" applyFont="1"/>
    <xf numFmtId="39" fontId="3" fillId="0" borderId="0" xfId="0" applyNumberFormat="1" applyFont="1"/>
    <xf numFmtId="37" fontId="12" fillId="0" borderId="37" xfId="0" applyNumberFormat="1" applyFont="1" applyBorder="1" applyAlignment="1">
      <alignment horizontal="left" vertical="center" indent="1"/>
    </xf>
    <xf numFmtId="38" fontId="12" fillId="3" borderId="33" xfId="0" applyNumberFormat="1" applyFont="1" applyFill="1" applyBorder="1" applyAlignment="1">
      <alignment vertical="center"/>
    </xf>
    <xf numFmtId="166" fontId="12" fillId="0" borderId="39" xfId="0" applyNumberFormat="1" applyFont="1" applyBorder="1" applyAlignment="1">
      <alignment vertical="center"/>
    </xf>
    <xf numFmtId="166" fontId="2" fillId="0" borderId="16" xfId="0" applyNumberFormat="1" applyFont="1" applyBorder="1" applyAlignment="1" applyProtection="1">
      <alignment vertical="center"/>
      <protection locked="0"/>
    </xf>
    <xf numFmtId="37" fontId="43" fillId="0" borderId="37" xfId="0" applyNumberFormat="1" applyFont="1" applyBorder="1" applyAlignment="1">
      <alignment horizontal="left" vertical="center" indent="1"/>
    </xf>
    <xf numFmtId="38" fontId="12" fillId="3" borderId="20" xfId="0" applyNumberFormat="1" applyFont="1" applyFill="1" applyBorder="1" applyAlignment="1">
      <alignment vertical="center"/>
    </xf>
    <xf numFmtId="166" fontId="12" fillId="0" borderId="14" xfId="0" applyNumberFormat="1" applyFont="1" applyBorder="1" applyAlignment="1">
      <alignment vertical="center"/>
    </xf>
    <xf numFmtId="37" fontId="43" fillId="0" borderId="17" xfId="0" applyNumberFormat="1" applyFont="1" applyBorder="1" applyAlignment="1">
      <alignment horizontal="left" vertical="center" indent="1"/>
    </xf>
    <xf numFmtId="37" fontId="12" fillId="0" borderId="17" xfId="0" quotePrefix="1" applyNumberFormat="1" applyFont="1" applyBorder="1" applyAlignment="1">
      <alignment horizontal="left" vertical="center" indent="1"/>
    </xf>
    <xf numFmtId="37" fontId="43" fillId="0" borderId="17" xfId="0" quotePrefix="1" applyNumberFormat="1" applyFont="1" applyBorder="1" applyAlignment="1">
      <alignment horizontal="left" vertical="center" indent="1"/>
    </xf>
    <xf numFmtId="166" fontId="12" fillId="5" borderId="14" xfId="0" applyNumberFormat="1" applyFont="1" applyFill="1" applyBorder="1" applyAlignment="1">
      <alignment vertical="center"/>
    </xf>
    <xf numFmtId="166" fontId="44" fillId="0" borderId="14" xfId="0" applyNumberFormat="1" applyFont="1" applyBorder="1" applyAlignment="1">
      <alignment vertical="center"/>
    </xf>
    <xf numFmtId="38" fontId="12" fillId="4" borderId="20" xfId="0" applyNumberFormat="1" applyFont="1" applyFill="1" applyBorder="1" applyAlignment="1">
      <alignment vertical="center"/>
    </xf>
    <xf numFmtId="38" fontId="12" fillId="0" borderId="20" xfId="0" applyNumberFormat="1" applyFont="1" applyBorder="1" applyAlignment="1">
      <alignment vertical="center"/>
    </xf>
    <xf numFmtId="37" fontId="12" fillId="0" borderId="18" xfId="0" applyNumberFormat="1" applyFont="1" applyBorder="1" applyAlignment="1">
      <alignment horizontal="left" vertical="center" indent="1"/>
    </xf>
    <xf numFmtId="166" fontId="12" fillId="0" borderId="19" xfId="0" applyNumberFormat="1" applyFont="1" applyBorder="1" applyAlignment="1">
      <alignment vertical="center"/>
    </xf>
    <xf numFmtId="166" fontId="12" fillId="0" borderId="40" xfId="0" applyNumberFormat="1" applyFont="1" applyBorder="1" applyAlignment="1">
      <alignment vertical="center"/>
    </xf>
    <xf numFmtId="166" fontId="12" fillId="0" borderId="28" xfId="0" applyNumberFormat="1" applyFont="1" applyBorder="1" applyAlignment="1">
      <alignment vertical="center"/>
    </xf>
    <xf numFmtId="0" fontId="6" fillId="0" borderId="48" xfId="0" applyFont="1" applyBorder="1" applyAlignment="1">
      <alignment horizontal="left" vertical="center" indent="1"/>
    </xf>
    <xf numFmtId="38" fontId="6" fillId="0" borderId="7" xfId="1" applyNumberFormat="1" applyFont="1" applyBorder="1" applyAlignment="1">
      <alignment vertical="center"/>
    </xf>
    <xf numFmtId="166" fontId="6" fillId="0" borderId="7" xfId="1" applyNumberFormat="1" applyFont="1" applyBorder="1" applyAlignment="1">
      <alignment vertical="center"/>
    </xf>
    <xf numFmtId="37" fontId="12" fillId="0" borderId="4" xfId="0" applyNumberFormat="1" applyFont="1" applyBorder="1" applyAlignment="1">
      <alignment horizontal="left" vertical="center" indent="1"/>
    </xf>
    <xf numFmtId="166" fontId="6" fillId="0" borderId="7" xfId="0" applyNumberFormat="1" applyFont="1" applyBorder="1" applyAlignment="1" applyProtection="1">
      <alignment vertical="center"/>
      <protection locked="0"/>
    </xf>
    <xf numFmtId="38" fontId="6" fillId="0" borderId="49" xfId="1" applyNumberFormat="1" applyFont="1" applyBorder="1" applyAlignment="1">
      <alignment vertical="center"/>
    </xf>
    <xf numFmtId="37" fontId="43" fillId="3" borderId="8" xfId="0" applyNumberFormat="1" applyFont="1" applyFill="1" applyBorder="1" applyAlignment="1">
      <alignment vertical="center"/>
    </xf>
    <xf numFmtId="166" fontId="43" fillId="3" borderId="9" xfId="0" applyNumberFormat="1" applyFont="1" applyFill="1" applyBorder="1" applyAlignment="1">
      <alignment vertical="center"/>
    </xf>
    <xf numFmtId="0" fontId="3" fillId="0" borderId="0" xfId="0" applyFont="1" applyAlignment="1">
      <alignment horizontal="left"/>
    </xf>
    <xf numFmtId="37" fontId="46" fillId="0" borderId="8" xfId="0" applyNumberFormat="1" applyFont="1" applyBorder="1" applyAlignment="1">
      <alignment horizontal="center"/>
    </xf>
    <xf numFmtId="37" fontId="46" fillId="0" borderId="9" xfId="0" applyNumberFormat="1" applyFont="1" applyBorder="1" applyAlignment="1">
      <alignment horizontal="center" wrapText="1"/>
    </xf>
    <xf numFmtId="37" fontId="46" fillId="0" borderId="11" xfId="0" applyNumberFormat="1" applyFont="1" applyBorder="1" applyAlignment="1">
      <alignment horizontal="center" wrapText="1"/>
    </xf>
    <xf numFmtId="38" fontId="43" fillId="3" borderId="33" xfId="0" applyNumberFormat="1" applyFont="1" applyFill="1" applyBorder="1" applyAlignment="1">
      <alignment vertical="center"/>
    </xf>
    <xf numFmtId="166" fontId="43" fillId="0" borderId="39" xfId="0" applyNumberFormat="1" applyFont="1" applyBorder="1" applyAlignment="1">
      <alignment vertical="center"/>
    </xf>
    <xf numFmtId="166" fontId="30" fillId="0" borderId="16" xfId="0" applyNumberFormat="1" applyFont="1" applyBorder="1" applyAlignment="1" applyProtection="1">
      <alignment vertical="center"/>
      <protection locked="0"/>
    </xf>
    <xf numFmtId="38" fontId="43" fillId="3" borderId="20" xfId="0" applyNumberFormat="1" applyFont="1" applyFill="1" applyBorder="1" applyAlignment="1">
      <alignment vertical="center"/>
    </xf>
    <xf numFmtId="166" fontId="43" fillId="0" borderId="14" xfId="0" applyNumberFormat="1" applyFont="1" applyBorder="1" applyAlignment="1">
      <alignment vertical="center"/>
    </xf>
    <xf numFmtId="37" fontId="43" fillId="0" borderId="12" xfId="0" applyNumberFormat="1" applyFont="1" applyBorder="1" applyAlignment="1">
      <alignment horizontal="left" vertical="center" indent="1"/>
    </xf>
    <xf numFmtId="38" fontId="43" fillId="0" borderId="20" xfId="0" applyNumberFormat="1" applyFont="1" applyBorder="1" applyAlignment="1">
      <alignment vertical="center"/>
    </xf>
    <xf numFmtId="37" fontId="43" fillId="0" borderId="18" xfId="0" applyNumberFormat="1" applyFont="1" applyBorder="1" applyAlignment="1">
      <alignment horizontal="left" vertical="center" indent="1"/>
    </xf>
    <xf numFmtId="166" fontId="43" fillId="0" borderId="19" xfId="0" applyNumberFormat="1" applyFont="1" applyBorder="1" applyAlignment="1">
      <alignment vertical="center"/>
    </xf>
    <xf numFmtId="166" fontId="43" fillId="0" borderId="50" xfId="0" applyNumberFormat="1" applyFont="1" applyBorder="1" applyAlignment="1">
      <alignment vertical="center"/>
    </xf>
    <xf numFmtId="166" fontId="30" fillId="0" borderId="21" xfId="0" applyNumberFormat="1" applyFont="1" applyBorder="1" applyAlignment="1" applyProtection="1">
      <alignment vertical="center"/>
      <protection locked="0"/>
    </xf>
    <xf numFmtId="0" fontId="6" fillId="0" borderId="8" xfId="0" applyFont="1" applyBorder="1" applyAlignment="1">
      <alignment horizontal="left" vertical="center" indent="1"/>
    </xf>
    <xf numFmtId="38" fontId="47" fillId="0" borderId="10" xfId="1" applyNumberFormat="1" applyFont="1" applyBorder="1" applyAlignment="1">
      <alignment vertical="center"/>
    </xf>
    <xf numFmtId="166" fontId="47" fillId="0" borderId="7" xfId="1" applyNumberFormat="1" applyFont="1" applyBorder="1" applyAlignment="1">
      <alignment vertical="center"/>
    </xf>
    <xf numFmtId="166" fontId="47" fillId="0" borderId="51" xfId="1" applyNumberFormat="1" applyFont="1" applyBorder="1" applyAlignment="1">
      <alignment vertical="center"/>
    </xf>
    <xf numFmtId="38" fontId="30" fillId="0" borderId="1" xfId="1" applyNumberFormat="1" applyFont="1" applyBorder="1" applyAlignment="1">
      <alignment vertical="center"/>
    </xf>
    <xf numFmtId="166" fontId="30" fillId="0" borderId="49" xfId="1" applyNumberFormat="1" applyFont="1" applyBorder="1" applyAlignment="1">
      <alignment vertical="center"/>
    </xf>
    <xf numFmtId="166" fontId="30" fillId="0" borderId="52" xfId="1" applyNumberFormat="1" applyFont="1" applyBorder="1" applyAlignment="1">
      <alignment vertical="center"/>
    </xf>
    <xf numFmtId="166" fontId="30" fillId="0" borderId="5" xfId="0" applyNumberFormat="1" applyFont="1" applyBorder="1" applyAlignment="1" applyProtection="1">
      <alignment vertical="center"/>
      <protection locked="0"/>
    </xf>
    <xf numFmtId="38" fontId="47" fillId="0" borderId="7" xfId="1" applyNumberFormat="1" applyFont="1" applyBorder="1" applyAlignment="1">
      <alignment vertical="center"/>
    </xf>
    <xf numFmtId="38" fontId="47" fillId="0" borderId="53" xfId="1" applyNumberFormat="1" applyFont="1" applyBorder="1" applyAlignment="1">
      <alignment vertical="center"/>
    </xf>
    <xf numFmtId="38" fontId="47" fillId="0" borderId="51" xfId="1" applyNumberFormat="1" applyFont="1" applyBorder="1" applyAlignment="1">
      <alignment vertical="center"/>
    </xf>
    <xf numFmtId="0" fontId="2" fillId="0" borderId="0" xfId="0" applyFont="1" applyAlignment="1">
      <alignment vertical="center"/>
    </xf>
    <xf numFmtId="38" fontId="47" fillId="0" borderId="0" xfId="1" applyNumberFormat="1" applyFont="1" applyAlignment="1">
      <alignment vertical="center"/>
    </xf>
    <xf numFmtId="0" fontId="36" fillId="0" borderId="13" xfId="0" applyFont="1" applyBorder="1"/>
    <xf numFmtId="37" fontId="43" fillId="3" borderId="34" xfId="0" applyNumberFormat="1" applyFont="1" applyFill="1" applyBorder="1" applyAlignment="1">
      <alignment vertical="center"/>
    </xf>
    <xf numFmtId="166" fontId="43" fillId="3" borderId="35" xfId="0" applyNumberFormat="1" applyFont="1" applyFill="1" applyBorder="1" applyAlignment="1">
      <alignment vertical="center"/>
    </xf>
    <xf numFmtId="39" fontId="3" fillId="0" borderId="0" xfId="0" applyNumberFormat="1" applyFont="1" applyAlignment="1">
      <alignment horizontal="left"/>
    </xf>
    <xf numFmtId="0" fontId="34" fillId="0" borderId="0" xfId="0" applyFont="1"/>
    <xf numFmtId="37" fontId="51" fillId="0" borderId="8" xfId="0" applyNumberFormat="1" applyFont="1" applyBorder="1" applyAlignment="1">
      <alignment horizontal="center"/>
    </xf>
    <xf numFmtId="37" fontId="51" fillId="0" borderId="9" xfId="0" applyNumberFormat="1" applyFont="1" applyBorder="1" applyAlignment="1">
      <alignment horizontal="center" wrapText="1"/>
    </xf>
    <xf numFmtId="37" fontId="51" fillId="0" borderId="11" xfId="0" applyNumberFormat="1" applyFont="1" applyBorder="1" applyAlignment="1">
      <alignment horizontal="center" wrapText="1"/>
    </xf>
    <xf numFmtId="37" fontId="52" fillId="0" borderId="37" xfId="0" applyNumberFormat="1" applyFont="1" applyBorder="1" applyAlignment="1">
      <alignment horizontal="left" vertical="center" indent="1"/>
    </xf>
    <xf numFmtId="38" fontId="52" fillId="3" borderId="33" xfId="0" applyNumberFormat="1" applyFont="1" applyFill="1" applyBorder="1" applyAlignment="1">
      <alignment vertical="center"/>
    </xf>
    <xf numFmtId="166" fontId="52" fillId="0" borderId="39" xfId="0" applyNumberFormat="1" applyFont="1" applyBorder="1" applyAlignment="1">
      <alignment vertical="center"/>
    </xf>
    <xf numFmtId="166" fontId="53" fillId="0" borderId="16" xfId="0" applyNumberFormat="1" applyFont="1" applyBorder="1" applyAlignment="1" applyProtection="1">
      <alignment vertical="center"/>
      <protection locked="0"/>
    </xf>
    <xf numFmtId="37" fontId="52" fillId="0" borderId="17" xfId="0" applyNumberFormat="1" applyFont="1" applyBorder="1" applyAlignment="1">
      <alignment horizontal="left" vertical="center" indent="1"/>
    </xf>
    <xf numFmtId="38" fontId="52" fillId="3" borderId="20" xfId="0" applyNumberFormat="1" applyFont="1" applyFill="1" applyBorder="1" applyAlignment="1">
      <alignment vertical="center"/>
    </xf>
    <xf numFmtId="166" fontId="52" fillId="0" borderId="14" xfId="0" applyNumberFormat="1" applyFont="1" applyBorder="1" applyAlignment="1">
      <alignment vertical="center"/>
    </xf>
    <xf numFmtId="37" fontId="52" fillId="0" borderId="17" xfId="0" quotePrefix="1" applyNumberFormat="1" applyFont="1" applyBorder="1" applyAlignment="1">
      <alignment horizontal="left" vertical="center" indent="1"/>
    </xf>
    <xf numFmtId="166" fontId="52" fillId="5" borderId="14" xfId="0" applyNumberFormat="1" applyFont="1" applyFill="1" applyBorder="1" applyAlignment="1">
      <alignment vertical="center"/>
    </xf>
    <xf numFmtId="37" fontId="52" fillId="0" borderId="12" xfId="0" applyNumberFormat="1" applyFont="1" applyBorder="1" applyAlignment="1">
      <alignment horizontal="left" vertical="center" indent="1"/>
    </xf>
    <xf numFmtId="37" fontId="52" fillId="0" borderId="18" xfId="0" applyNumberFormat="1" applyFont="1" applyBorder="1" applyAlignment="1">
      <alignment horizontal="left" vertical="center" indent="1"/>
    </xf>
    <xf numFmtId="166" fontId="52" fillId="0" borderId="19" xfId="0" applyNumberFormat="1" applyFont="1" applyBorder="1" applyAlignment="1">
      <alignment vertical="center"/>
    </xf>
    <xf numFmtId="166" fontId="52" fillId="0" borderId="40" xfId="0" applyNumberFormat="1" applyFont="1" applyBorder="1" applyAlignment="1">
      <alignment vertical="center"/>
    </xf>
    <xf numFmtId="166" fontId="52" fillId="0" borderId="28" xfId="0" applyNumberFormat="1" applyFont="1" applyBorder="1" applyAlignment="1">
      <alignment vertical="center"/>
    </xf>
    <xf numFmtId="0" fontId="54" fillId="0" borderId="8" xfId="0" applyFont="1" applyBorder="1" applyAlignment="1">
      <alignment horizontal="left" vertical="center" indent="1"/>
    </xf>
    <xf numFmtId="38" fontId="54" fillId="0" borderId="10" xfId="1" applyNumberFormat="1" applyFont="1" applyBorder="1" applyAlignment="1">
      <alignment vertical="center"/>
    </xf>
    <xf numFmtId="166" fontId="54" fillId="0" borderId="7" xfId="1" applyNumberFormat="1" applyFont="1" applyBorder="1" applyAlignment="1">
      <alignment vertical="center"/>
    </xf>
    <xf numFmtId="166" fontId="54" fillId="0" borderId="47" xfId="1" applyNumberFormat="1" applyFont="1" applyBorder="1" applyAlignment="1">
      <alignment vertical="center"/>
    </xf>
    <xf numFmtId="166" fontId="54" fillId="0" borderId="9" xfId="1" applyNumberFormat="1" applyFont="1" applyBorder="1" applyAlignment="1">
      <alignment vertical="center"/>
    </xf>
    <xf numFmtId="166" fontId="54" fillId="0" borderId="11" xfId="1" applyNumberFormat="1" applyFont="1" applyBorder="1" applyAlignment="1">
      <alignment vertical="center"/>
    </xf>
    <xf numFmtId="0" fontId="30" fillId="0" borderId="0" xfId="0" applyFont="1" applyAlignment="1">
      <alignment vertical="center"/>
    </xf>
    <xf numFmtId="166" fontId="43" fillId="3" borderId="11" xfId="0" applyNumberFormat="1" applyFont="1" applyFill="1" applyBorder="1" applyAlignment="1">
      <alignment vertical="center"/>
    </xf>
    <xf numFmtId="39" fontId="3" fillId="0" borderId="0" xfId="0" applyNumberFormat="1" applyFont="1" applyAlignment="1">
      <alignment horizontal="right"/>
    </xf>
    <xf numFmtId="37" fontId="46" fillId="0" borderId="8" xfId="0" applyNumberFormat="1" applyFont="1" applyBorder="1" applyAlignment="1">
      <alignment horizontal="left" vertical="top" indent="1"/>
    </xf>
    <xf numFmtId="37" fontId="46" fillId="0" borderId="9" xfId="0" applyNumberFormat="1" applyFont="1" applyBorder="1" applyAlignment="1">
      <alignment horizontal="centerContinuous" vertical="top" wrapText="1"/>
    </xf>
    <xf numFmtId="37" fontId="46" fillId="0" borderId="11" xfId="0" applyNumberFormat="1" applyFont="1" applyBorder="1" applyAlignment="1">
      <alignment horizontal="centerContinuous" vertical="top" wrapText="1"/>
    </xf>
    <xf numFmtId="37" fontId="32" fillId="0" borderId="37" xfId="0" applyNumberFormat="1" applyFont="1" applyBorder="1" applyAlignment="1">
      <alignment horizontal="left" vertical="center" indent="1"/>
    </xf>
    <xf numFmtId="38" fontId="32" fillId="3" borderId="33" xfId="0" applyNumberFormat="1" applyFont="1" applyFill="1" applyBorder="1" applyAlignment="1">
      <alignment vertical="center"/>
    </xf>
    <xf numFmtId="166" fontId="32" fillId="0" borderId="39" xfId="0" applyNumberFormat="1" applyFont="1" applyBorder="1" applyAlignment="1">
      <alignment vertical="center"/>
    </xf>
    <xf numFmtId="166" fontId="31" fillId="0" borderId="16" xfId="0" applyNumberFormat="1" applyFont="1" applyBorder="1" applyAlignment="1" applyProtection="1">
      <alignment vertical="center"/>
      <protection locked="0"/>
    </xf>
    <xf numFmtId="37" fontId="32" fillId="0" borderId="17" xfId="0" applyNumberFormat="1" applyFont="1" applyBorder="1" applyAlignment="1">
      <alignment horizontal="left" vertical="center" indent="1"/>
    </xf>
    <xf numFmtId="166" fontId="32" fillId="0" borderId="14" xfId="0" applyNumberFormat="1" applyFont="1" applyBorder="1" applyAlignment="1">
      <alignment vertical="center"/>
    </xf>
    <xf numFmtId="37" fontId="32" fillId="0" borderId="17" xfId="0" quotePrefix="1" applyNumberFormat="1" applyFont="1" applyBorder="1" applyAlignment="1">
      <alignment horizontal="left" vertical="center" indent="1"/>
    </xf>
    <xf numFmtId="38" fontId="32" fillId="3" borderId="20" xfId="0" applyNumberFormat="1" applyFont="1" applyFill="1" applyBorder="1" applyAlignment="1">
      <alignment vertical="center"/>
    </xf>
    <xf numFmtId="37" fontId="32" fillId="0" borderId="12" xfId="0" applyNumberFormat="1" applyFont="1" applyBorder="1" applyAlignment="1">
      <alignment horizontal="left" vertical="center" indent="1"/>
    </xf>
    <xf numFmtId="37" fontId="32" fillId="0" borderId="18" xfId="0" applyNumberFormat="1" applyFont="1" applyBorder="1" applyAlignment="1">
      <alignment horizontal="left" vertical="center" indent="1"/>
    </xf>
    <xf numFmtId="166" fontId="32" fillId="0" borderId="19" xfId="0" applyNumberFormat="1" applyFont="1" applyBorder="1" applyAlignment="1">
      <alignment vertical="center"/>
    </xf>
    <xf numFmtId="166" fontId="32" fillId="0" borderId="40" xfId="0" applyNumberFormat="1" applyFont="1" applyBorder="1" applyAlignment="1">
      <alignment vertical="center"/>
    </xf>
    <xf numFmtId="166" fontId="32" fillId="0" borderId="28" xfId="0" applyNumberFormat="1" applyFont="1" applyBorder="1" applyAlignment="1">
      <alignment vertical="center"/>
    </xf>
    <xf numFmtId="0" fontId="33" fillId="0" borderId="8" xfId="0" applyFont="1" applyBorder="1" applyAlignment="1">
      <alignment horizontal="left" vertical="center" indent="1"/>
    </xf>
    <xf numFmtId="38" fontId="33" fillId="0" borderId="10" xfId="1" applyNumberFormat="1" applyFont="1" applyBorder="1" applyAlignment="1">
      <alignment vertical="center"/>
    </xf>
    <xf numFmtId="166" fontId="33" fillId="0" borderId="7" xfId="1" applyNumberFormat="1" applyFont="1" applyBorder="1" applyAlignment="1">
      <alignment vertical="center"/>
    </xf>
    <xf numFmtId="166" fontId="33" fillId="0" borderId="47" xfId="1" applyNumberFormat="1" applyFont="1" applyBorder="1" applyAlignment="1">
      <alignment vertical="center"/>
    </xf>
    <xf numFmtId="166" fontId="33" fillId="0" borderId="9" xfId="1" applyNumberFormat="1" applyFont="1" applyBorder="1" applyAlignment="1">
      <alignment vertical="center"/>
    </xf>
    <xf numFmtId="0" fontId="31" fillId="0" borderId="0" xfId="0" applyFont="1" applyAlignment="1">
      <alignment wrapText="1"/>
    </xf>
    <xf numFmtId="0" fontId="3" fillId="0" borderId="0" xfId="0" applyFont="1"/>
    <xf numFmtId="37" fontId="46" fillId="0" borderId="8" xfId="0" applyNumberFormat="1" applyFont="1" applyBorder="1" applyAlignment="1">
      <alignment horizontal="center" vertical="top"/>
    </xf>
    <xf numFmtId="37" fontId="46" fillId="0" borderId="9" xfId="0" applyNumberFormat="1" applyFont="1" applyBorder="1" applyAlignment="1">
      <alignment horizontal="center" vertical="top" wrapText="1"/>
    </xf>
    <xf numFmtId="37" fontId="46" fillId="0" borderId="11" xfId="0" applyNumberFormat="1" applyFont="1" applyBorder="1" applyAlignment="1">
      <alignment horizontal="center" vertical="top" wrapText="1"/>
    </xf>
    <xf numFmtId="166" fontId="32" fillId="6" borderId="14" xfId="0" applyNumberFormat="1" applyFont="1" applyFill="1" applyBorder="1" applyAlignment="1">
      <alignment vertical="center"/>
    </xf>
    <xf numFmtId="0" fontId="0" fillId="6" borderId="0" xfId="0" applyFill="1"/>
    <xf numFmtId="0" fontId="31" fillId="0" borderId="0" xfId="0" applyFont="1" applyAlignment="1" applyProtection="1">
      <alignment horizontal="left"/>
      <protection locked="0"/>
    </xf>
    <xf numFmtId="0" fontId="31" fillId="0" borderId="0" xfId="0" applyFont="1" applyAlignment="1">
      <alignment horizontal="right"/>
    </xf>
    <xf numFmtId="0" fontId="31" fillId="0" borderId="0" xfId="0" applyFont="1" applyAlignment="1">
      <alignment horizontal="left"/>
    </xf>
    <xf numFmtId="166" fontId="33" fillId="0" borderId="0" xfId="0" applyNumberFormat="1" applyFont="1" applyAlignment="1">
      <alignment horizontal="right"/>
    </xf>
    <xf numFmtId="166" fontId="31" fillId="0" borderId="0" xfId="0" applyNumberFormat="1" applyFont="1" applyAlignment="1">
      <alignment horizontal="right"/>
    </xf>
    <xf numFmtId="0" fontId="2" fillId="0" borderId="0" xfId="0" applyFont="1" applyAlignment="1" applyProtection="1">
      <alignment horizontal="left"/>
      <protection locked="0"/>
    </xf>
    <xf numFmtId="38" fontId="2" fillId="0" borderId="0" xfId="0" applyNumberFormat="1" applyFont="1"/>
    <xf numFmtId="38" fontId="2" fillId="0" borderId="0" xfId="0" applyNumberFormat="1" applyFont="1" applyAlignment="1">
      <alignment horizontal="right"/>
    </xf>
    <xf numFmtId="37" fontId="11" fillId="0" borderId="8" xfId="0" applyNumberFormat="1" applyFont="1" applyBorder="1" applyAlignment="1">
      <alignment horizontal="left" vertical="top" indent="1"/>
    </xf>
    <xf numFmtId="37" fontId="11" fillId="0" borderId="9" xfId="0" applyNumberFormat="1" applyFont="1" applyBorder="1" applyAlignment="1">
      <alignment horizontal="centerContinuous" vertical="top" wrapText="1"/>
    </xf>
    <xf numFmtId="38" fontId="11" fillId="0" borderId="11" xfId="0" applyNumberFormat="1" applyFont="1" applyBorder="1" applyAlignment="1">
      <alignment horizontal="centerContinuous" vertical="top" wrapText="1"/>
    </xf>
    <xf numFmtId="166" fontId="6" fillId="0" borderId="0" xfId="0" applyNumberFormat="1" applyFont="1" applyAlignment="1">
      <alignment horizontal="right"/>
    </xf>
    <xf numFmtId="38" fontId="55" fillId="3" borderId="33" xfId="0" applyNumberFormat="1" applyFont="1" applyFill="1" applyBorder="1" applyAlignment="1">
      <alignment vertical="center"/>
    </xf>
    <xf numFmtId="166" fontId="55" fillId="0" borderId="39" xfId="0" applyNumberFormat="1" applyFont="1" applyBorder="1" applyAlignment="1">
      <alignment vertical="center"/>
    </xf>
    <xf numFmtId="38" fontId="2" fillId="0" borderId="43" xfId="0" applyNumberFormat="1" applyFont="1" applyBorder="1" applyAlignment="1" applyProtection="1">
      <alignment vertical="center"/>
      <protection locked="0"/>
    </xf>
    <xf numFmtId="166" fontId="2" fillId="0" borderId="0" xfId="0" applyNumberFormat="1" applyFont="1" applyAlignment="1">
      <alignment horizontal="right"/>
    </xf>
    <xf numFmtId="38" fontId="55" fillId="3" borderId="20" xfId="0" applyNumberFormat="1" applyFont="1" applyFill="1" applyBorder="1" applyAlignment="1">
      <alignment vertical="center"/>
    </xf>
    <xf numFmtId="166" fontId="55" fillId="0" borderId="14" xfId="0" applyNumberFormat="1" applyFont="1" applyBorder="1" applyAlignment="1">
      <alignment vertical="center"/>
    </xf>
    <xf numFmtId="38" fontId="2" fillId="0" borderId="16" xfId="0" applyNumberFormat="1" applyFont="1" applyBorder="1" applyAlignment="1" applyProtection="1">
      <alignment vertical="center"/>
      <protection locked="0"/>
    </xf>
    <xf numFmtId="166" fontId="55" fillId="0" borderId="28" xfId="0" applyNumberFormat="1" applyFont="1" applyBorder="1" applyAlignment="1">
      <alignment vertical="center"/>
    </xf>
    <xf numFmtId="38" fontId="2" fillId="0" borderId="21" xfId="0" applyNumberFormat="1" applyFont="1" applyBorder="1" applyAlignment="1" applyProtection="1">
      <alignment vertical="center"/>
      <protection locked="0"/>
    </xf>
    <xf numFmtId="38" fontId="6" fillId="0" borderId="9" xfId="1" applyNumberFormat="1" applyFont="1" applyBorder="1" applyAlignment="1">
      <alignment vertical="center"/>
    </xf>
    <xf numFmtId="38" fontId="56" fillId="0" borderId="11" xfId="0" applyNumberFormat="1" applyFont="1" applyBorder="1" applyAlignment="1">
      <alignment vertical="center"/>
    </xf>
    <xf numFmtId="37" fontId="43" fillId="0" borderId="0" xfId="0" applyNumberFormat="1" applyFont="1" applyAlignment="1" applyProtection="1">
      <alignment horizontal="left" vertical="center"/>
      <protection locked="0"/>
    </xf>
    <xf numFmtId="38" fontId="2" fillId="0" borderId="0" xfId="0" applyNumberFormat="1" applyFont="1" applyAlignment="1">
      <alignment vertical="center"/>
    </xf>
    <xf numFmtId="37" fontId="12" fillId="0" borderId="0" xfId="0" applyNumberFormat="1" applyFont="1" applyAlignment="1" applyProtection="1">
      <alignment horizontal="left" vertical="center"/>
      <protection locked="0"/>
    </xf>
    <xf numFmtId="37" fontId="12" fillId="3" borderId="8" xfId="0" applyNumberFormat="1" applyFont="1" applyFill="1" applyBorder="1" applyAlignment="1">
      <alignment vertical="center"/>
    </xf>
    <xf numFmtId="166" fontId="55" fillId="3" borderId="9" xfId="0" applyNumberFormat="1" applyFont="1" applyFill="1" applyBorder="1" applyAlignment="1">
      <alignment vertical="center"/>
    </xf>
    <xf numFmtId="38" fontId="2" fillId="3" borderId="11" xfId="0" applyNumberFormat="1" applyFont="1" applyFill="1" applyBorder="1" applyAlignment="1" applyProtection="1">
      <alignment vertical="center"/>
      <protection locked="0"/>
    </xf>
    <xf numFmtId="0" fontId="57" fillId="0" borderId="0" xfId="0" applyFont="1" applyAlignment="1">
      <alignment wrapText="1"/>
    </xf>
    <xf numFmtId="0" fontId="2" fillId="0" borderId="0" xfId="0" applyFont="1" applyAlignment="1">
      <alignment horizontal="right"/>
    </xf>
    <xf numFmtId="0" fontId="2" fillId="0" borderId="0" xfId="0" applyFont="1" applyAlignment="1">
      <alignment horizontal="centerContinuous" vertical="top"/>
    </xf>
    <xf numFmtId="37" fontId="6" fillId="0" borderId="0" xfId="0" applyNumberFormat="1" applyFont="1" applyAlignment="1">
      <alignment horizontal="centerContinuous" vertical="top"/>
    </xf>
    <xf numFmtId="37" fontId="16" fillId="0" borderId="0" xfId="0" applyNumberFormat="1" applyFont="1" applyAlignment="1">
      <alignment horizontal="centerContinuous" vertical="top"/>
    </xf>
    <xf numFmtId="37" fontId="11" fillId="0" borderId="11" xfId="0" applyNumberFormat="1" applyFont="1" applyBorder="1" applyAlignment="1">
      <alignment horizontal="centerContinuous" vertical="top" wrapText="1"/>
    </xf>
    <xf numFmtId="166" fontId="55" fillId="0" borderId="43" xfId="0" applyNumberFormat="1" applyFont="1" applyBorder="1" applyAlignment="1">
      <alignment vertical="center"/>
    </xf>
    <xf numFmtId="166" fontId="55" fillId="0" borderId="16" xfId="0" applyNumberFormat="1" applyFont="1" applyBorder="1" applyAlignment="1">
      <alignment vertical="center"/>
    </xf>
    <xf numFmtId="37" fontId="12" fillId="0" borderId="0" xfId="0" applyNumberFormat="1" applyFont="1" applyAlignment="1" applyProtection="1">
      <alignment horizontal="left" vertical="center" indent="1"/>
      <protection locked="0"/>
    </xf>
    <xf numFmtId="164" fontId="2" fillId="0" borderId="0" xfId="1" applyFont="1" applyAlignment="1">
      <alignment vertical="center"/>
    </xf>
    <xf numFmtId="0" fontId="2" fillId="0" borderId="0" xfId="0" applyFont="1" applyAlignment="1">
      <alignment horizontal="left" indent="1"/>
    </xf>
    <xf numFmtId="0" fontId="2" fillId="0" borderId="0" xfId="0" applyFont="1" applyAlignment="1">
      <alignment horizontal="left" vertical="center" indent="1"/>
    </xf>
    <xf numFmtId="37" fontId="12" fillId="3" borderId="8" xfId="0" applyNumberFormat="1" applyFont="1" applyFill="1" applyBorder="1" applyAlignment="1">
      <alignment horizontal="left" vertical="center" indent="1"/>
    </xf>
    <xf numFmtId="166" fontId="2" fillId="3" borderId="11" xfId="0" applyNumberFormat="1" applyFont="1" applyFill="1" applyBorder="1" applyAlignment="1" applyProtection="1">
      <alignment vertical="center"/>
      <protection locked="0"/>
    </xf>
    <xf numFmtId="166" fontId="55" fillId="0" borderId="33" xfId="0" applyNumberFormat="1" applyFont="1" applyBorder="1" applyAlignment="1">
      <alignment vertical="center"/>
    </xf>
    <xf numFmtId="166" fontId="2" fillId="0" borderId="43" xfId="0" applyNumberFormat="1" applyFont="1" applyBorder="1" applyAlignment="1" applyProtection="1">
      <alignment vertical="center"/>
      <protection locked="0"/>
    </xf>
    <xf numFmtId="166" fontId="55" fillId="0" borderId="20" xfId="0" applyNumberFormat="1" applyFont="1" applyBorder="1" applyAlignment="1">
      <alignment vertical="center"/>
    </xf>
    <xf numFmtId="166" fontId="55" fillId="2" borderId="20" xfId="0" applyNumberFormat="1" applyFont="1" applyFill="1" applyBorder="1" applyAlignment="1">
      <alignment vertical="center"/>
    </xf>
    <xf numFmtId="166" fontId="58" fillId="0" borderId="20" xfId="0" applyNumberFormat="1" applyFont="1" applyBorder="1" applyAlignment="1">
      <alignment vertical="center"/>
    </xf>
    <xf numFmtId="166" fontId="2" fillId="0" borderId="21" xfId="0" applyNumberFormat="1" applyFont="1" applyBorder="1" applyAlignment="1" applyProtection="1">
      <alignment vertical="center"/>
      <protection locked="0"/>
    </xf>
    <xf numFmtId="166" fontId="56" fillId="0" borderId="11" xfId="0" applyNumberFormat="1" applyFont="1" applyBorder="1" applyAlignment="1">
      <alignment vertical="center"/>
    </xf>
    <xf numFmtId="166" fontId="58" fillId="0" borderId="33" xfId="0" applyNumberFormat="1" applyFont="1" applyBorder="1" applyAlignment="1">
      <alignment vertical="center"/>
    </xf>
    <xf numFmtId="0" fontId="59" fillId="0" borderId="0" xfId="0" applyFont="1"/>
    <xf numFmtId="164" fontId="2" fillId="4" borderId="0" xfId="1" applyFont="1" applyFill="1"/>
    <xf numFmtId="166" fontId="11" fillId="0" borderId="10" xfId="0" applyNumberFormat="1" applyFont="1" applyBorder="1" applyAlignment="1">
      <alignment vertical="center"/>
    </xf>
    <xf numFmtId="166" fontId="11" fillId="0" borderId="9" xfId="0" applyNumberFormat="1" applyFont="1" applyBorder="1" applyAlignment="1">
      <alignment vertical="center"/>
    </xf>
    <xf numFmtId="37" fontId="11" fillId="0" borderId="8" xfId="0" applyNumberFormat="1" applyFont="1" applyBorder="1" applyAlignment="1">
      <alignment horizontal="left" vertical="top"/>
    </xf>
    <xf numFmtId="37" fontId="12" fillId="0" borderId="37" xfId="0" applyNumberFormat="1" applyFont="1" applyBorder="1" applyAlignment="1">
      <alignment vertical="center"/>
    </xf>
    <xf numFmtId="37" fontId="12" fillId="0" borderId="17" xfId="0" applyNumberFormat="1" applyFont="1" applyBorder="1" applyAlignment="1">
      <alignment vertical="center"/>
    </xf>
    <xf numFmtId="37" fontId="12" fillId="0" borderId="17" xfId="0" quotePrefix="1" applyNumberFormat="1" applyFont="1" applyBorder="1" applyAlignment="1">
      <alignment horizontal="left" vertical="center"/>
    </xf>
    <xf numFmtId="166" fontId="2" fillId="0" borderId="14" xfId="1" applyNumberFormat="1" applyFont="1" applyBorder="1" applyProtection="1">
      <protection locked="0"/>
    </xf>
    <xf numFmtId="166" fontId="2" fillId="0" borderId="14" xfId="0" applyNumberFormat="1" applyFont="1" applyBorder="1" applyProtection="1">
      <protection locked="0"/>
    </xf>
    <xf numFmtId="37" fontId="12" fillId="0" borderId="12" xfId="0" applyNumberFormat="1" applyFont="1" applyBorder="1" applyAlignment="1">
      <alignment vertical="center"/>
    </xf>
    <xf numFmtId="37" fontId="12" fillId="0" borderId="18" xfId="0" applyNumberFormat="1" applyFont="1" applyBorder="1" applyAlignment="1">
      <alignment vertical="center"/>
    </xf>
    <xf numFmtId="166" fontId="55" fillId="0" borderId="30" xfId="0" applyNumberFormat="1" applyFont="1" applyBorder="1" applyAlignment="1">
      <alignment vertical="center"/>
    </xf>
    <xf numFmtId="0" fontId="6" fillId="0" borderId="8" xfId="0" applyFont="1" applyBorder="1" applyAlignment="1">
      <alignment vertical="center"/>
    </xf>
    <xf numFmtId="37" fontId="12" fillId="0" borderId="37" xfId="0" applyNumberFormat="1" applyFont="1" applyBorder="1" applyAlignment="1">
      <alignment horizontal="left" indent="1"/>
    </xf>
    <xf numFmtId="166" fontId="2" fillId="0" borderId="39" xfId="1" applyNumberFormat="1" applyFont="1" applyBorder="1"/>
    <xf numFmtId="166" fontId="2" fillId="0" borderId="39" xfId="1" applyNumberFormat="1" applyFont="1" applyBorder="1" applyProtection="1">
      <protection locked="0"/>
    </xf>
    <xf numFmtId="166" fontId="2" fillId="0" borderId="39" xfId="0" applyNumberFormat="1" applyFont="1" applyBorder="1" applyProtection="1">
      <protection locked="0"/>
    </xf>
    <xf numFmtId="166" fontId="2" fillId="0" borderId="43" xfId="0" applyNumberFormat="1" applyFont="1" applyBorder="1"/>
    <xf numFmtId="37" fontId="12" fillId="0" borderId="17" xfId="0" applyNumberFormat="1" applyFont="1" applyBorder="1" applyAlignment="1">
      <alignment horizontal="left" indent="1"/>
    </xf>
    <xf numFmtId="166" fontId="2" fillId="0" borderId="14" xfId="1" applyNumberFormat="1" applyFont="1" applyBorder="1"/>
    <xf numFmtId="166" fontId="2" fillId="0" borderId="16" xfId="0" applyNumberFormat="1" applyFont="1" applyBorder="1"/>
    <xf numFmtId="37" fontId="12" fillId="0" borderId="17" xfId="0" quotePrefix="1" applyNumberFormat="1" applyFont="1" applyBorder="1" applyAlignment="1">
      <alignment horizontal="left" indent="1"/>
    </xf>
    <xf numFmtId="166" fontId="55" fillId="0" borderId="15" xfId="0" applyNumberFormat="1" applyFont="1" applyBorder="1" applyAlignment="1">
      <alignment vertical="center"/>
    </xf>
    <xf numFmtId="166" fontId="36" fillId="0" borderId="0" xfId="0" applyNumberFormat="1" applyFont="1"/>
    <xf numFmtId="37" fontId="12" fillId="0" borderId="18" xfId="0" applyNumberFormat="1" applyFont="1" applyBorder="1" applyAlignment="1">
      <alignment horizontal="left" indent="1"/>
    </xf>
    <xf numFmtId="166" fontId="2" fillId="0" borderId="19" xfId="1" applyNumberFormat="1" applyFont="1" applyBorder="1"/>
    <xf numFmtId="166" fontId="2" fillId="0" borderId="19" xfId="1" applyNumberFormat="1" applyFont="1" applyBorder="1" applyProtection="1">
      <protection locked="0"/>
    </xf>
    <xf numFmtId="166" fontId="2" fillId="0" borderId="19" xfId="0" applyNumberFormat="1" applyFont="1" applyBorder="1" applyProtection="1">
      <protection locked="0"/>
    </xf>
    <xf numFmtId="166" fontId="2" fillId="0" borderId="30" xfId="0" applyNumberFormat="1" applyFont="1" applyBorder="1"/>
    <xf numFmtId="37" fontId="11" fillId="0" borderId="8" xfId="0" applyNumberFormat="1" applyFont="1" applyBorder="1" applyAlignment="1">
      <alignment horizontal="left" indent="1"/>
    </xf>
    <xf numFmtId="166" fontId="6" fillId="0" borderId="9" xfId="1" applyNumberFormat="1" applyFont="1" applyBorder="1"/>
    <xf numFmtId="37" fontId="11" fillId="0" borderId="0" xfId="0" applyNumberFormat="1" applyFont="1" applyAlignment="1">
      <alignment horizontal="left" indent="1"/>
    </xf>
    <xf numFmtId="166" fontId="6" fillId="0" borderId="0" xfId="1" applyNumberFormat="1" applyFont="1"/>
    <xf numFmtId="166" fontId="56" fillId="0" borderId="0" xfId="0" applyNumberFormat="1" applyFont="1" applyAlignment="1">
      <alignment vertical="center"/>
    </xf>
    <xf numFmtId="0" fontId="42" fillId="4" borderId="0" xfId="0" applyFont="1" applyFill="1" applyAlignment="1">
      <alignment horizontal="left" indent="1"/>
    </xf>
    <xf numFmtId="0" fontId="60" fillId="0" borderId="0" xfId="0" applyFont="1"/>
    <xf numFmtId="37" fontId="12" fillId="0" borderId="12" xfId="0" applyNumberFormat="1" applyFont="1" applyBorder="1" applyAlignment="1">
      <alignment horizontal="left" indent="1"/>
    </xf>
    <xf numFmtId="166" fontId="12" fillId="0" borderId="23" xfId="0" applyNumberFormat="1" applyFont="1" applyBorder="1"/>
    <xf numFmtId="166" fontId="2" fillId="0" borderId="43" xfId="0" applyNumberFormat="1" applyFont="1" applyBorder="1" applyProtection="1">
      <protection locked="0"/>
    </xf>
    <xf numFmtId="166" fontId="12" fillId="0" borderId="20" xfId="0" applyNumberFormat="1" applyFont="1" applyBorder="1"/>
    <xf numFmtId="166" fontId="2" fillId="0" borderId="16" xfId="0" applyNumberFormat="1" applyFont="1" applyBorder="1" applyProtection="1">
      <protection locked="0"/>
    </xf>
    <xf numFmtId="3" fontId="12" fillId="0" borderId="20" xfId="0" applyNumberFormat="1" applyFont="1" applyBorder="1"/>
    <xf numFmtId="166" fontId="2" fillId="0" borderId="30" xfId="0" applyNumberFormat="1" applyFont="1" applyBorder="1" applyProtection="1">
      <protection locked="0"/>
    </xf>
    <xf numFmtId="0" fontId="6" fillId="0" borderId="8" xfId="0" applyFont="1" applyBorder="1" applyAlignment="1">
      <alignment horizontal="left" indent="1"/>
    </xf>
    <xf numFmtId="166" fontId="56" fillId="0" borderId="11" xfId="0" applyNumberFormat="1" applyFont="1" applyBorder="1"/>
    <xf numFmtId="37" fontId="12" fillId="0" borderId="0" xfId="0" applyNumberFormat="1" applyFont="1" applyAlignment="1" applyProtection="1">
      <alignment horizontal="left"/>
      <protection locked="0"/>
    </xf>
    <xf numFmtId="166" fontId="55" fillId="0" borderId="39" xfId="0" applyNumberFormat="1" applyFont="1" applyBorder="1" applyAlignment="1">
      <alignment horizontal="right" vertical="center"/>
    </xf>
    <xf numFmtId="166" fontId="2" fillId="0" borderId="43" xfId="0" applyNumberFormat="1" applyFont="1" applyBorder="1" applyAlignment="1">
      <alignment horizontal="right" vertical="center"/>
    </xf>
    <xf numFmtId="166" fontId="55" fillId="0" borderId="14" xfId="0" applyNumberFormat="1" applyFont="1" applyBorder="1" applyAlignment="1">
      <alignment horizontal="right" vertical="center"/>
    </xf>
    <xf numFmtId="166" fontId="2" fillId="0" borderId="16" xfId="0" applyNumberFormat="1" applyFont="1" applyBorder="1" applyAlignment="1">
      <alignment horizontal="right" vertical="center"/>
    </xf>
    <xf numFmtId="166" fontId="2" fillId="0" borderId="30" xfId="0" applyNumberFormat="1" applyFont="1" applyBorder="1" applyAlignment="1">
      <alignment horizontal="right" vertical="center"/>
    </xf>
    <xf numFmtId="166" fontId="6" fillId="0" borderId="9" xfId="1" applyNumberFormat="1" applyFont="1" applyBorder="1" applyAlignment="1">
      <alignment horizontal="right" vertical="center"/>
    </xf>
    <xf numFmtId="37" fontId="12" fillId="0" borderId="31" xfId="0" applyNumberFormat="1" applyFont="1" applyBorder="1" applyAlignment="1">
      <alignment horizontal="left" vertical="center" indent="1"/>
    </xf>
    <xf numFmtId="166" fontId="55" fillId="4" borderId="13" xfId="0" applyNumberFormat="1" applyFont="1" applyFill="1" applyBorder="1" applyAlignment="1">
      <alignment horizontal="right" vertical="center"/>
    </xf>
    <xf numFmtId="166" fontId="55" fillId="0" borderId="13" xfId="0" applyNumberFormat="1" applyFont="1" applyBorder="1" applyAlignment="1">
      <alignment horizontal="right" vertical="center"/>
    </xf>
    <xf numFmtId="166" fontId="12" fillId="0" borderId="13" xfId="0" applyNumberFormat="1" applyFont="1" applyBorder="1" applyAlignment="1">
      <alignment horizontal="right" vertical="center"/>
    </xf>
    <xf numFmtId="166" fontId="2" fillId="0" borderId="26" xfId="0" applyNumberFormat="1" applyFont="1" applyBorder="1" applyAlignment="1">
      <alignment horizontal="right" vertical="center"/>
    </xf>
    <xf numFmtId="166" fontId="6" fillId="0" borderId="11" xfId="1" applyNumberFormat="1" applyFont="1" applyBorder="1" applyAlignment="1">
      <alignment horizontal="right" vertical="center"/>
    </xf>
    <xf numFmtId="0" fontId="6" fillId="0" borderId="0" xfId="0" applyFont="1" applyAlignment="1">
      <alignment horizontal="left" vertical="center" indent="1"/>
    </xf>
    <xf numFmtId="166" fontId="6" fillId="0" borderId="0" xfId="1" applyNumberFormat="1" applyFont="1" applyAlignment="1">
      <alignment horizontal="right" vertical="center"/>
    </xf>
    <xf numFmtId="37" fontId="61" fillId="0" borderId="0" xfId="0" applyNumberFormat="1" applyFont="1" applyAlignment="1" applyProtection="1">
      <alignment horizontal="left" vertical="center" indent="1"/>
      <protection locked="0"/>
    </xf>
    <xf numFmtId="0" fontId="27" fillId="0" borderId="0" xfId="0" applyFont="1" applyAlignment="1">
      <alignment vertical="center"/>
    </xf>
    <xf numFmtId="165" fontId="27" fillId="0" borderId="0" xfId="1" applyNumberFormat="1" applyFont="1" applyAlignment="1">
      <alignment vertical="center"/>
    </xf>
    <xf numFmtId="37" fontId="11" fillId="0" borderId="9" xfId="0" applyNumberFormat="1" applyFont="1" applyBorder="1" applyAlignment="1">
      <alignment horizontal="center" vertical="top" wrapText="1"/>
    </xf>
    <xf numFmtId="37" fontId="11" fillId="0" borderId="11" xfId="0" applyNumberFormat="1" applyFont="1" applyBorder="1" applyAlignment="1">
      <alignment horizontal="center" vertical="top" wrapText="1"/>
    </xf>
    <xf numFmtId="166" fontId="12" fillId="0" borderId="33" xfId="0" applyNumberFormat="1" applyFont="1" applyBorder="1"/>
    <xf numFmtId="166" fontId="12" fillId="0" borderId="42" xfId="0" applyNumberFormat="1" applyFont="1" applyBorder="1"/>
    <xf numFmtId="0" fontId="18" fillId="0" borderId="0" xfId="5" applyFont="1"/>
    <xf numFmtId="166" fontId="12" fillId="0" borderId="21" xfId="0" applyNumberFormat="1" applyFont="1" applyBorder="1"/>
    <xf numFmtId="37" fontId="11" fillId="0" borderId="48" xfId="0" applyNumberFormat="1" applyFont="1" applyBorder="1" applyAlignment="1">
      <alignment horizontal="left" indent="1"/>
    </xf>
    <xf numFmtId="166" fontId="11" fillId="0" borderId="10" xfId="0" applyNumberFormat="1" applyFont="1" applyBorder="1"/>
    <xf numFmtId="166" fontId="11" fillId="0" borderId="11" xfId="0" applyNumberFormat="1" applyFont="1" applyBorder="1"/>
    <xf numFmtId="37" fontId="12" fillId="0" borderId="0" xfId="0" applyNumberFormat="1" applyFont="1" applyAlignment="1">
      <alignment horizontal="left" indent="1"/>
    </xf>
    <xf numFmtId="37" fontId="12" fillId="0" borderId="0" xfId="0" applyNumberFormat="1" applyFont="1"/>
    <xf numFmtId="0" fontId="12" fillId="0" borderId="0" xfId="0" applyFont="1"/>
    <xf numFmtId="0" fontId="12" fillId="0" borderId="0" xfId="0" quotePrefix="1" applyFont="1" applyAlignment="1">
      <alignment horizontal="left"/>
    </xf>
    <xf numFmtId="0" fontId="44" fillId="0" borderId="0" xfId="0" applyFont="1"/>
    <xf numFmtId="166" fontId="55" fillId="0" borderId="21" xfId="0" applyNumberFormat="1" applyFont="1" applyBorder="1" applyAlignment="1">
      <alignment vertical="center"/>
    </xf>
    <xf numFmtId="165" fontId="2" fillId="0" borderId="0" xfId="1" applyNumberFormat="1" applyFont="1" applyAlignment="1">
      <alignment vertical="center"/>
    </xf>
    <xf numFmtId="38" fontId="0" fillId="0" borderId="0" xfId="0" applyNumberFormat="1"/>
    <xf numFmtId="40" fontId="26" fillId="0" borderId="39" xfId="0" applyNumberFormat="1" applyFont="1" applyBorder="1" applyAlignment="1">
      <alignment horizontal="center" wrapText="1"/>
    </xf>
    <xf numFmtId="40" fontId="26" fillId="0" borderId="43" xfId="0" applyNumberFormat="1" applyFont="1" applyBorder="1" applyAlignment="1">
      <alignment horizontal="center" wrapText="1"/>
    </xf>
    <xf numFmtId="37" fontId="22" fillId="0" borderId="32" xfId="0" applyNumberFormat="1" applyFont="1" applyBorder="1" applyAlignment="1" applyProtection="1">
      <alignment horizontal="left" vertical="center"/>
      <protection locked="0"/>
    </xf>
    <xf numFmtId="38" fontId="33" fillId="0" borderId="9" xfId="0" applyNumberFormat="1" applyFont="1" applyBorder="1"/>
    <xf numFmtId="38" fontId="33" fillId="0" borderId="11" xfId="0" applyNumberFormat="1" applyFont="1" applyBorder="1"/>
    <xf numFmtId="38" fontId="31" fillId="0" borderId="5" xfId="0" applyNumberFormat="1" applyFont="1" applyBorder="1" applyAlignment="1">
      <alignment vertical="center"/>
    </xf>
    <xf numFmtId="0" fontId="62" fillId="0" borderId="0" xfId="0" applyFont="1"/>
    <xf numFmtId="38" fontId="31" fillId="0" borderId="24" xfId="0" applyNumberFormat="1" applyFont="1" applyBorder="1" applyAlignment="1">
      <alignment vertical="center"/>
    </xf>
    <xf numFmtId="39" fontId="16" fillId="0" borderId="0" xfId="0" applyNumberFormat="1" applyFont="1"/>
    <xf numFmtId="40" fontId="16" fillId="0" borderId="0" xfId="0" applyNumberFormat="1" applyFont="1" applyAlignment="1">
      <alignment horizontal="left"/>
    </xf>
    <xf numFmtId="164" fontId="0" fillId="0" borderId="0" xfId="0" applyNumberFormat="1"/>
    <xf numFmtId="170" fontId="0" fillId="0" borderId="0" xfId="2" applyNumberFormat="1" applyFont="1"/>
    <xf numFmtId="9" fontId="28" fillId="0" borderId="0" xfId="2" applyFont="1" applyFill="1" applyBorder="1" applyAlignment="1">
      <alignment vertical="center"/>
    </xf>
    <xf numFmtId="170" fontId="28" fillId="0" borderId="0" xfId="2" applyNumberFormat="1" applyFont="1" applyFill="1" applyBorder="1" applyAlignment="1">
      <alignment vertical="center"/>
    </xf>
    <xf numFmtId="3" fontId="22" fillId="0" borderId="12" xfId="0" applyNumberFormat="1" applyFont="1" applyBorder="1" applyAlignment="1">
      <alignment horizontal="left" vertical="center" indent="1"/>
    </xf>
    <xf numFmtId="3" fontId="22" fillId="2" borderId="17" xfId="0" applyNumberFormat="1" applyFont="1" applyFill="1" applyBorder="1" applyAlignment="1">
      <alignment horizontal="left" vertical="center" indent="1"/>
    </xf>
    <xf numFmtId="3" fontId="22" fillId="0" borderId="14" xfId="0" applyNumberFormat="1" applyFont="1" applyBorder="1" applyAlignment="1">
      <alignment vertical="center"/>
    </xf>
    <xf numFmtId="3" fontId="22" fillId="2" borderId="17" xfId="0" quotePrefix="1" applyNumberFormat="1" applyFont="1" applyFill="1" applyBorder="1" applyAlignment="1">
      <alignment horizontal="left" vertical="center" indent="1"/>
    </xf>
    <xf numFmtId="3" fontId="22" fillId="0" borderId="17" xfId="0" applyNumberFormat="1" applyFont="1" applyBorder="1" applyAlignment="1">
      <alignment horizontal="left" vertical="center" indent="1"/>
    </xf>
    <xf numFmtId="3" fontId="22" fillId="0" borderId="18" xfId="0" applyNumberFormat="1" applyFont="1" applyBorder="1" applyAlignment="1">
      <alignment horizontal="left" vertical="center" indent="1"/>
    </xf>
    <xf numFmtId="3" fontId="22" fillId="0" borderId="22" xfId="0" applyNumberFormat="1" applyFont="1" applyBorder="1" applyAlignment="1">
      <alignment vertical="center"/>
    </xf>
    <xf numFmtId="3" fontId="28" fillId="0" borderId="8" xfId="0" applyNumberFormat="1" applyFont="1" applyBorder="1" applyAlignment="1">
      <alignment horizontal="left" vertical="center" indent="1"/>
    </xf>
    <xf numFmtId="3" fontId="18" fillId="0" borderId="16" xfId="0" applyNumberFormat="1" applyFont="1" applyBorder="1" applyAlignment="1" applyProtection="1">
      <alignment vertical="center"/>
      <protection locked="0"/>
    </xf>
    <xf numFmtId="3" fontId="0" fillId="0" borderId="0" xfId="0" applyNumberFormat="1"/>
    <xf numFmtId="3" fontId="22" fillId="0" borderId="17" xfId="0" quotePrefix="1" applyNumberFormat="1" applyFont="1" applyBorder="1" applyAlignment="1">
      <alignment horizontal="left" vertical="center" indent="1"/>
    </xf>
    <xf numFmtId="3" fontId="34" fillId="0" borderId="0" xfId="1" applyNumberFormat="1" applyFont="1"/>
    <xf numFmtId="3" fontId="0" fillId="0" borderId="0" xfId="1" applyNumberFormat="1" applyFont="1"/>
    <xf numFmtId="3" fontId="22" fillId="0" borderId="31" xfId="0" applyNumberFormat="1" applyFont="1" applyBorder="1" applyAlignment="1">
      <alignment horizontal="left" vertical="center" indent="1"/>
    </xf>
    <xf numFmtId="3" fontId="22" fillId="0" borderId="8" xfId="0" applyNumberFormat="1" applyFont="1" applyBorder="1" applyAlignment="1" applyProtection="1">
      <alignment horizontal="left" vertical="center"/>
      <protection locked="0"/>
    </xf>
    <xf numFmtId="3" fontId="22" fillId="3" borderId="15" xfId="0" applyNumberFormat="1" applyFont="1" applyFill="1" applyBorder="1" applyAlignment="1">
      <alignment vertical="center"/>
    </xf>
    <xf numFmtId="3" fontId="26" fillId="0" borderId="8" xfId="0" applyNumberFormat="1" applyFont="1" applyBorder="1" applyAlignment="1" applyProtection="1">
      <alignment horizontal="left" vertical="center"/>
      <protection locked="0"/>
    </xf>
    <xf numFmtId="3" fontId="22" fillId="0" borderId="0" xfId="0" applyNumberFormat="1" applyFont="1" applyAlignment="1" applyProtection="1">
      <alignment horizontal="left" vertical="center"/>
      <protection locked="0"/>
    </xf>
    <xf numFmtId="3" fontId="31" fillId="0" borderId="0" xfId="0" applyNumberFormat="1" applyFont="1" applyAlignment="1">
      <alignment vertical="center"/>
    </xf>
    <xf numFmtId="3" fontId="32" fillId="3" borderId="8" xfId="0" applyNumberFormat="1" applyFont="1" applyFill="1" applyBorder="1" applyAlignment="1">
      <alignment vertical="center"/>
    </xf>
    <xf numFmtId="3" fontId="32" fillId="3" borderId="9" xfId="0" applyNumberFormat="1" applyFont="1" applyFill="1" applyBorder="1" applyAlignment="1">
      <alignment vertical="center"/>
    </xf>
    <xf numFmtId="3" fontId="31" fillId="3" borderId="11" xfId="0" applyNumberFormat="1" applyFont="1" applyFill="1" applyBorder="1" applyAlignment="1" applyProtection="1">
      <alignment vertical="center"/>
      <protection locked="0"/>
    </xf>
    <xf numFmtId="3" fontId="36" fillId="0" borderId="0" xfId="0" applyNumberFormat="1" applyFont="1"/>
    <xf numFmtId="3" fontId="35" fillId="0" borderId="0" xfId="0" applyNumberFormat="1" applyFont="1"/>
    <xf numFmtId="3" fontId="35" fillId="0" borderId="0" xfId="2" applyNumberFormat="1" applyFont="1"/>
    <xf numFmtId="3" fontId="36" fillId="0" borderId="0" xfId="1" applyNumberFormat="1" applyFont="1"/>
    <xf numFmtId="3" fontId="0" fillId="0" borderId="0" xfId="2" applyNumberFormat="1" applyFont="1"/>
    <xf numFmtId="3" fontId="22" fillId="3" borderId="14" xfId="0" applyNumberFormat="1" applyFont="1" applyFill="1" applyBorder="1" applyAlignment="1">
      <alignment vertical="center"/>
    </xf>
    <xf numFmtId="3" fontId="22" fillId="0" borderId="19" xfId="0" applyNumberFormat="1" applyFont="1" applyBorder="1" applyAlignment="1">
      <alignment vertical="center"/>
    </xf>
    <xf numFmtId="3" fontId="28" fillId="0" borderId="34" xfId="0" applyNumberFormat="1" applyFont="1" applyBorder="1" applyAlignment="1">
      <alignment horizontal="left" vertical="center" indent="1"/>
    </xf>
    <xf numFmtId="3" fontId="28" fillId="0" borderId="35" xfId="1" applyNumberFormat="1" applyFont="1" applyBorder="1" applyAlignment="1">
      <alignment vertical="center"/>
    </xf>
    <xf numFmtId="3" fontId="28" fillId="0" borderId="36" xfId="1" applyNumberFormat="1" applyFont="1" applyBorder="1" applyAlignment="1">
      <alignment vertical="center"/>
    </xf>
    <xf numFmtId="3" fontId="22" fillId="0" borderId="32" xfId="0" applyNumberFormat="1" applyFont="1" applyBorder="1" applyAlignment="1" applyProtection="1">
      <alignment horizontal="left" vertical="center"/>
      <protection locked="0"/>
    </xf>
    <xf numFmtId="3" fontId="18" fillId="0" borderId="21" xfId="0" applyNumberFormat="1" applyFont="1" applyBorder="1" applyAlignment="1" applyProtection="1">
      <alignment vertical="center"/>
      <protection locked="0"/>
    </xf>
    <xf numFmtId="3" fontId="33" fillId="0" borderId="9" xfId="0" applyNumberFormat="1" applyFont="1" applyBorder="1"/>
    <xf numFmtId="3" fontId="33" fillId="0" borderId="11" xfId="0" applyNumberFormat="1" applyFont="1" applyBorder="1"/>
    <xf numFmtId="3" fontId="33" fillId="0" borderId="0" xfId="0" applyNumberFormat="1" applyFont="1"/>
    <xf numFmtId="3" fontId="22" fillId="0" borderId="0" xfId="0" applyNumberFormat="1" applyFont="1" applyAlignment="1" applyProtection="1">
      <alignment horizontal="left" vertical="center" wrapText="1"/>
      <protection locked="0"/>
    </xf>
    <xf numFmtId="3" fontId="62" fillId="0" borderId="0" xfId="0" applyNumberFormat="1" applyFont="1"/>
    <xf numFmtId="3" fontId="18" fillId="0" borderId="0" xfId="0" applyNumberFormat="1" applyFont="1"/>
    <xf numFmtId="3" fontId="18" fillId="0" borderId="17" xfId="0" applyNumberFormat="1" applyFont="1" applyBorder="1" applyAlignment="1">
      <alignment horizontal="left" vertical="center" indent="1"/>
    </xf>
    <xf numFmtId="3" fontId="28" fillId="0" borderId="9" xfId="1" applyNumberFormat="1" applyFont="1" applyFill="1" applyBorder="1" applyAlignment="1">
      <alignment vertical="center"/>
    </xf>
    <xf numFmtId="3" fontId="28" fillId="0" borderId="11" xfId="1" applyNumberFormat="1" applyFont="1" applyFill="1" applyBorder="1" applyAlignment="1">
      <alignment vertical="center"/>
    </xf>
    <xf numFmtId="3" fontId="32" fillId="0" borderId="8" xfId="0" applyNumberFormat="1" applyFont="1" applyBorder="1" applyAlignment="1">
      <alignment vertical="center"/>
    </xf>
    <xf numFmtId="3" fontId="32" fillId="0" borderId="9" xfId="0" applyNumberFormat="1" applyFont="1" applyBorder="1" applyAlignment="1">
      <alignment vertical="center"/>
    </xf>
    <xf numFmtId="3" fontId="31" fillId="0" borderId="11" xfId="0" applyNumberFormat="1" applyFont="1" applyBorder="1" applyAlignment="1" applyProtection="1">
      <alignment vertical="center"/>
      <protection locked="0"/>
    </xf>
    <xf numFmtId="3" fontId="63" fillId="0" borderId="9" xfId="1" applyNumberFormat="1" applyFont="1" applyFill="1" applyBorder="1" applyAlignment="1">
      <alignment vertical="center"/>
    </xf>
    <xf numFmtId="3" fontId="18" fillId="0" borderId="11" xfId="0" applyNumberFormat="1" applyFont="1" applyBorder="1" applyAlignment="1" applyProtection="1">
      <alignment vertical="center"/>
      <protection locked="0"/>
    </xf>
    <xf numFmtId="3" fontId="26" fillId="0" borderId="34" xfId="0" applyNumberFormat="1" applyFont="1" applyBorder="1" applyAlignment="1" applyProtection="1">
      <alignment horizontal="left" vertical="center"/>
      <protection locked="0"/>
    </xf>
    <xf numFmtId="3" fontId="33" fillId="0" borderId="35" xfId="0" applyNumberFormat="1" applyFont="1" applyBorder="1"/>
    <xf numFmtId="3" fontId="66" fillId="0" borderId="35" xfId="0" applyNumberFormat="1" applyFont="1" applyBorder="1"/>
    <xf numFmtId="3" fontId="33" fillId="0" borderId="36" xfId="0" applyNumberFormat="1" applyFont="1" applyBorder="1"/>
    <xf numFmtId="3" fontId="65" fillId="0" borderId="9" xfId="0" applyNumberFormat="1" applyFont="1" applyBorder="1" applyAlignment="1">
      <alignment vertical="center"/>
    </xf>
    <xf numFmtId="3" fontId="64" fillId="3" borderId="15" xfId="0" applyNumberFormat="1" applyFont="1" applyFill="1" applyBorder="1" applyAlignment="1">
      <alignment vertical="center"/>
    </xf>
    <xf numFmtId="3" fontId="63" fillId="0" borderId="9" xfId="0" applyNumberFormat="1" applyFont="1" applyBorder="1" applyAlignment="1">
      <alignment vertical="center"/>
    </xf>
    <xf numFmtId="3" fontId="65" fillId="3" borderId="9" xfId="0" applyNumberFormat="1" applyFont="1" applyFill="1" applyBorder="1" applyAlignment="1">
      <alignment vertical="center"/>
    </xf>
    <xf numFmtId="3" fontId="22" fillId="3" borderId="23" xfId="0" applyNumberFormat="1" applyFont="1" applyFill="1" applyBorder="1" applyAlignment="1">
      <alignment vertical="center"/>
    </xf>
    <xf numFmtId="3" fontId="18" fillId="0" borderId="26" xfId="0" applyNumberFormat="1" applyFont="1" applyBorder="1" applyAlignment="1" applyProtection="1">
      <alignment vertical="center"/>
      <protection locked="0"/>
    </xf>
    <xf numFmtId="3" fontId="22" fillId="0" borderId="13" xfId="0" applyNumberFormat="1" applyFont="1" applyBorder="1" applyAlignment="1">
      <alignment vertical="center"/>
    </xf>
    <xf numFmtId="3" fontId="26" fillId="0" borderId="13" xfId="0" applyNumberFormat="1" applyFont="1" applyBorder="1" applyAlignment="1">
      <alignment horizontal="centerContinuous" vertical="top" wrapText="1"/>
    </xf>
    <xf numFmtId="3" fontId="67" fillId="0" borderId="0" xfId="0" applyNumberFormat="1" applyFont="1"/>
    <xf numFmtId="3" fontId="22" fillId="2" borderId="12" xfId="0" applyNumberFormat="1" applyFont="1" applyFill="1" applyBorder="1" applyAlignment="1">
      <alignment horizontal="left" vertical="center" indent="1"/>
    </xf>
    <xf numFmtId="3" fontId="22" fillId="3" borderId="13" xfId="0" applyNumberFormat="1" applyFont="1" applyFill="1" applyBorder="1" applyAlignment="1">
      <alignment vertical="center"/>
    </xf>
    <xf numFmtId="38" fontId="22" fillId="3" borderId="13" xfId="0" applyNumberFormat="1" applyFont="1" applyFill="1" applyBorder="1" applyAlignment="1">
      <alignment vertical="center"/>
    </xf>
    <xf numFmtId="38" fontId="26" fillId="0" borderId="13" xfId="0" applyNumberFormat="1" applyFont="1" applyBorder="1" applyAlignment="1">
      <alignment horizontal="centerContinuous" vertical="top" wrapText="1"/>
    </xf>
    <xf numFmtId="38" fontId="18" fillId="0" borderId="26" xfId="0" applyNumberFormat="1" applyFont="1" applyBorder="1" applyAlignment="1" applyProtection="1">
      <alignment vertical="center"/>
      <protection locked="0"/>
    </xf>
    <xf numFmtId="164" fontId="26" fillId="0" borderId="45" xfId="1" applyFont="1" applyBorder="1" applyAlignment="1">
      <alignment horizontal="center" wrapText="1"/>
    </xf>
    <xf numFmtId="3" fontId="22" fillId="3" borderId="54" xfId="1" applyNumberFormat="1" applyFont="1" applyFill="1" applyBorder="1" applyAlignment="1">
      <alignment vertical="center"/>
    </xf>
    <xf numFmtId="40" fontId="26" fillId="0" borderId="47" xfId="0" applyNumberFormat="1" applyFont="1" applyBorder="1" applyAlignment="1">
      <alignment horizontal="center" wrapText="1"/>
    </xf>
    <xf numFmtId="38" fontId="26" fillId="0" borderId="54" xfId="0" applyNumberFormat="1" applyFont="1" applyBorder="1" applyAlignment="1">
      <alignment horizontal="centerContinuous" vertical="top" wrapText="1"/>
    </xf>
    <xf numFmtId="38" fontId="22" fillId="0" borderId="55" xfId="0" applyNumberFormat="1" applyFont="1" applyBorder="1" applyAlignment="1">
      <alignment vertical="center"/>
    </xf>
    <xf numFmtId="38" fontId="22" fillId="0" borderId="56" xfId="0" applyNumberFormat="1" applyFont="1" applyBorder="1" applyAlignment="1">
      <alignment vertical="center"/>
    </xf>
    <xf numFmtId="40" fontId="26" fillId="0" borderId="54" xfId="0" applyNumberFormat="1" applyFont="1" applyBorder="1" applyAlignment="1">
      <alignment horizontal="center" wrapText="1"/>
    </xf>
    <xf numFmtId="38" fontId="26" fillId="0" borderId="56" xfId="0" applyNumberFormat="1" applyFont="1" applyBorder="1" applyAlignment="1">
      <alignment horizontal="centerContinuous" vertical="top" wrapText="1"/>
    </xf>
    <xf numFmtId="3" fontId="26" fillId="0" borderId="55" xfId="0" applyNumberFormat="1" applyFont="1" applyBorder="1" applyAlignment="1">
      <alignment horizontal="centerContinuous" vertical="top" wrapText="1"/>
    </xf>
    <xf numFmtId="3" fontId="22" fillId="3" borderId="13" xfId="1" applyNumberFormat="1" applyFont="1" applyFill="1" applyBorder="1" applyAlignment="1">
      <alignment vertical="center"/>
    </xf>
    <xf numFmtId="38" fontId="22" fillId="3" borderId="25" xfId="0" applyNumberFormat="1" applyFont="1" applyFill="1" applyBorder="1" applyAlignment="1">
      <alignment vertical="center"/>
    </xf>
    <xf numFmtId="3" fontId="22" fillId="3" borderId="43" xfId="1" applyNumberFormat="1" applyFont="1" applyFill="1" applyBorder="1" applyAlignment="1">
      <alignment vertical="center"/>
    </xf>
    <xf numFmtId="3" fontId="22" fillId="3" borderId="9" xfId="1" applyNumberFormat="1" applyFont="1" applyFill="1" applyBorder="1" applyAlignment="1">
      <alignment vertical="center"/>
    </xf>
    <xf numFmtId="3" fontId="22" fillId="3" borderId="11" xfId="1" applyNumberFormat="1" applyFont="1" applyFill="1" applyBorder="1" applyAlignment="1">
      <alignment vertical="center"/>
    </xf>
    <xf numFmtId="38" fontId="22" fillId="3" borderId="43" xfId="0" applyNumberFormat="1" applyFont="1" applyFill="1" applyBorder="1" applyAlignment="1">
      <alignment vertical="center"/>
    </xf>
    <xf numFmtId="38" fontId="22" fillId="3" borderId="29" xfId="0" applyNumberFormat="1" applyFont="1" applyFill="1" applyBorder="1" applyAlignment="1">
      <alignment vertical="center"/>
    </xf>
    <xf numFmtId="38" fontId="22" fillId="3" borderId="11" xfId="0" applyNumberFormat="1" applyFont="1" applyFill="1" applyBorder="1" applyAlignment="1">
      <alignment vertical="center"/>
    </xf>
    <xf numFmtId="38" fontId="22" fillId="3" borderId="16" xfId="0" applyNumberFormat="1" applyFont="1" applyFill="1" applyBorder="1" applyAlignment="1">
      <alignment vertical="center"/>
    </xf>
    <xf numFmtId="38" fontId="22" fillId="3" borderId="28" xfId="0" applyNumberFormat="1" applyFont="1" applyFill="1" applyBorder="1" applyAlignment="1">
      <alignment vertical="center"/>
    </xf>
    <xf numFmtId="38" fontId="22" fillId="3" borderId="30" xfId="0" applyNumberFormat="1" applyFont="1" applyFill="1" applyBorder="1" applyAlignment="1">
      <alignment vertical="center"/>
    </xf>
    <xf numFmtId="3" fontId="18" fillId="0" borderId="24" xfId="0" applyNumberFormat="1" applyFont="1" applyBorder="1" applyAlignment="1" applyProtection="1">
      <alignment vertical="center"/>
      <protection locked="0"/>
    </xf>
    <xf numFmtId="3" fontId="62" fillId="0" borderId="2" xfId="0" applyNumberFormat="1" applyFont="1" applyBorder="1"/>
    <xf numFmtId="3" fontId="0" fillId="0" borderId="6" xfId="0" applyNumberFormat="1" applyBorder="1"/>
    <xf numFmtId="40" fontId="26" fillId="0" borderId="10" xfId="0" applyNumberFormat="1" applyFont="1" applyBorder="1" applyAlignment="1">
      <alignment horizontal="center" wrapText="1"/>
    </xf>
    <xf numFmtId="3" fontId="22" fillId="3" borderId="56" xfId="0" applyNumberFormat="1" applyFont="1" applyFill="1" applyBorder="1" applyAlignment="1">
      <alignment vertical="center"/>
    </xf>
    <xf numFmtId="3" fontId="22" fillId="3" borderId="19" xfId="0" applyNumberFormat="1" applyFont="1" applyFill="1" applyBorder="1" applyAlignment="1">
      <alignment vertical="center"/>
    </xf>
    <xf numFmtId="3" fontId="22" fillId="3" borderId="22" xfId="0" applyNumberFormat="1" applyFont="1" applyFill="1" applyBorder="1" applyAlignment="1">
      <alignment vertical="center"/>
    </xf>
    <xf numFmtId="3" fontId="22" fillId="3" borderId="0" xfId="0" applyNumberFormat="1" applyFont="1" applyFill="1" applyAlignment="1">
      <alignment vertical="center"/>
    </xf>
    <xf numFmtId="3" fontId="22" fillId="0" borderId="12" xfId="0" quotePrefix="1" applyNumberFormat="1" applyFont="1" applyBorder="1" applyAlignment="1">
      <alignment horizontal="left" vertical="center" indent="1"/>
    </xf>
    <xf numFmtId="3" fontId="18" fillId="2" borderId="16" xfId="0" applyNumberFormat="1" applyFont="1" applyFill="1" applyBorder="1" applyAlignment="1" applyProtection="1">
      <alignment vertical="center"/>
      <protection locked="0"/>
    </xf>
    <xf numFmtId="164" fontId="28" fillId="0" borderId="0" xfId="1" applyFont="1" applyFill="1" applyBorder="1" applyAlignment="1">
      <alignment vertical="center"/>
    </xf>
    <xf numFmtId="37" fontId="8" fillId="0" borderId="0" xfId="0" applyNumberFormat="1" applyFont="1" applyAlignment="1">
      <alignment horizontal="center" vertical="top"/>
    </xf>
    <xf numFmtId="0" fontId="4" fillId="0" borderId="0" xfId="0" applyFont="1" applyAlignment="1">
      <alignment vertical="center"/>
    </xf>
    <xf numFmtId="0" fontId="6" fillId="0" borderId="0" xfId="0" applyFont="1" applyAlignment="1">
      <alignment vertical="center"/>
    </xf>
    <xf numFmtId="40" fontId="2" fillId="0" borderId="0" xfId="0" applyNumberFormat="1" applyFont="1" applyAlignment="1">
      <alignment vertical="center"/>
    </xf>
    <xf numFmtId="40" fontId="30" fillId="0" borderId="0" xfId="0" applyNumberFormat="1" applyFont="1" applyAlignment="1">
      <alignment vertical="center"/>
    </xf>
    <xf numFmtId="40" fontId="30" fillId="0" borderId="0" xfId="1" applyNumberFormat="1" applyFont="1" applyAlignment="1">
      <alignment vertical="center"/>
    </xf>
    <xf numFmtId="164" fontId="4" fillId="0" borderId="0" xfId="6" applyFont="1" applyAlignment="1">
      <alignment vertical="center"/>
    </xf>
    <xf numFmtId="0" fontId="2" fillId="0" borderId="0" xfId="0" applyFont="1" applyAlignment="1">
      <alignment horizontal="center" vertical="center"/>
    </xf>
    <xf numFmtId="0" fontId="4" fillId="2" borderId="0" xfId="0" applyFont="1" applyFill="1" applyAlignment="1">
      <alignment vertical="center"/>
    </xf>
    <xf numFmtId="3" fontId="4" fillId="2" borderId="0" xfId="6" applyNumberFormat="1" applyFont="1" applyFill="1" applyAlignment="1">
      <alignment vertical="center"/>
    </xf>
    <xf numFmtId="3" fontId="12" fillId="2" borderId="17" xfId="0" applyNumberFormat="1" applyFont="1" applyFill="1" applyBorder="1" applyAlignment="1">
      <alignment horizontal="left" vertical="center"/>
    </xf>
    <xf numFmtId="3" fontId="12" fillId="2" borderId="17" xfId="0" quotePrefix="1" applyNumberFormat="1" applyFont="1" applyFill="1" applyBorder="1" applyAlignment="1">
      <alignment horizontal="left" vertical="center"/>
    </xf>
    <xf numFmtId="3" fontId="2" fillId="2" borderId="17" xfId="0" applyNumberFormat="1" applyFont="1" applyFill="1" applyBorder="1" applyAlignment="1">
      <alignment horizontal="left" vertical="center"/>
    </xf>
    <xf numFmtId="3" fontId="2" fillId="2" borderId="16" xfId="0" applyNumberFormat="1" applyFont="1" applyFill="1" applyBorder="1" applyAlignment="1" applyProtection="1">
      <alignment vertical="center"/>
      <protection locked="0"/>
    </xf>
    <xf numFmtId="3" fontId="12" fillId="2" borderId="17" xfId="0" applyNumberFormat="1" applyFont="1" applyFill="1" applyBorder="1" applyAlignment="1">
      <alignment horizontal="left" vertical="center" indent="1"/>
    </xf>
    <xf numFmtId="0" fontId="2" fillId="0" borderId="0" xfId="0" applyFont="1" applyAlignment="1">
      <alignment vertical="top"/>
    </xf>
    <xf numFmtId="3" fontId="6" fillId="2" borderId="16" xfId="1" applyNumberFormat="1" applyFont="1" applyFill="1" applyBorder="1" applyAlignment="1">
      <alignment vertical="center"/>
    </xf>
    <xf numFmtId="3" fontId="2" fillId="2" borderId="16" xfId="1" applyNumberFormat="1" applyFont="1" applyFill="1" applyBorder="1" applyAlignment="1">
      <alignment vertical="center"/>
    </xf>
    <xf numFmtId="9" fontId="2" fillId="2" borderId="16" xfId="2" applyFont="1" applyFill="1" applyBorder="1" applyAlignment="1">
      <alignment vertical="center"/>
    </xf>
    <xf numFmtId="165" fontId="2" fillId="2" borderId="16" xfId="1" applyNumberFormat="1" applyFont="1" applyFill="1" applyBorder="1" applyAlignment="1">
      <alignment vertical="center"/>
    </xf>
    <xf numFmtId="0" fontId="0" fillId="2" borderId="0" xfId="0" applyFill="1"/>
    <xf numFmtId="39" fontId="16" fillId="2" borderId="0" xfId="0" applyNumberFormat="1" applyFont="1" applyFill="1" applyAlignment="1">
      <alignment horizontal="left"/>
    </xf>
    <xf numFmtId="40" fontId="2" fillId="2" borderId="0" xfId="0" applyNumberFormat="1" applyFont="1" applyFill="1"/>
    <xf numFmtId="40" fontId="2" fillId="2" borderId="0" xfId="0" applyNumberFormat="1" applyFont="1" applyFill="1" applyAlignment="1">
      <alignment horizontal="right"/>
    </xf>
    <xf numFmtId="164" fontId="0" fillId="2" borderId="0" xfId="1" applyFont="1" applyFill="1"/>
    <xf numFmtId="0" fontId="16" fillId="2" borderId="0" xfId="0" applyFont="1" applyFill="1" applyAlignment="1">
      <alignment horizontal="left"/>
    </xf>
    <xf numFmtId="0" fontId="2" fillId="2" borderId="0" xfId="0" applyFont="1" applyFill="1"/>
    <xf numFmtId="0" fontId="70" fillId="2" borderId="0" xfId="0" applyFont="1" applyFill="1"/>
    <xf numFmtId="37" fontId="37" fillId="2" borderId="0" xfId="0" applyNumberFormat="1" applyFont="1" applyFill="1" applyAlignment="1">
      <alignment horizontal="center" vertical="top"/>
    </xf>
    <xf numFmtId="37" fontId="11" fillId="2" borderId="8" xfId="0" applyNumberFormat="1" applyFont="1" applyFill="1" applyBorder="1" applyAlignment="1">
      <alignment horizontal="center" vertical="center"/>
    </xf>
    <xf numFmtId="40" fontId="11" fillId="2" borderId="9" xfId="0" applyNumberFormat="1" applyFont="1" applyFill="1" applyBorder="1" applyAlignment="1">
      <alignment horizontal="center" vertical="center" wrapText="1"/>
    </xf>
    <xf numFmtId="40" fontId="11" fillId="2" borderId="47" xfId="0" applyNumberFormat="1" applyFont="1" applyFill="1" applyBorder="1" applyAlignment="1">
      <alignment horizontal="center" vertical="center" wrapText="1"/>
    </xf>
    <xf numFmtId="40" fontId="11" fillId="2" borderId="10" xfId="0" applyNumberFormat="1" applyFont="1" applyFill="1" applyBorder="1" applyAlignment="1">
      <alignment horizontal="center" vertical="center" wrapText="1"/>
    </xf>
    <xf numFmtId="40" fontId="11" fillId="2" borderId="11" xfId="0" applyNumberFormat="1" applyFont="1" applyFill="1" applyBorder="1" applyAlignment="1">
      <alignment horizontal="center" vertical="center" wrapText="1"/>
    </xf>
    <xf numFmtId="0" fontId="69" fillId="2" borderId="0" xfId="0" applyFont="1" applyFill="1"/>
    <xf numFmtId="164" fontId="69" fillId="2" borderId="0" xfId="1" applyFont="1" applyFill="1"/>
    <xf numFmtId="3" fontId="12" fillId="2" borderId="13" xfId="0" applyNumberFormat="1" applyFont="1" applyFill="1" applyBorder="1" applyAlignment="1">
      <alignment vertical="center"/>
    </xf>
    <xf numFmtId="3" fontId="2" fillId="2" borderId="24" xfId="0" applyNumberFormat="1" applyFont="1" applyFill="1" applyBorder="1" applyAlignment="1" applyProtection="1">
      <alignment vertical="center"/>
      <protection locked="0"/>
    </xf>
    <xf numFmtId="3" fontId="12" fillId="2" borderId="14" xfId="0" applyNumberFormat="1" applyFont="1" applyFill="1" applyBorder="1" applyAlignment="1">
      <alignment vertical="center"/>
    </xf>
    <xf numFmtId="3" fontId="2" fillId="2" borderId="21" xfId="0" applyNumberFormat="1" applyFont="1" applyFill="1" applyBorder="1" applyAlignment="1" applyProtection="1">
      <alignment vertical="center"/>
      <protection locked="0"/>
    </xf>
    <xf numFmtId="3" fontId="2" fillId="2" borderId="26" xfId="0" applyNumberFormat="1" applyFont="1" applyFill="1" applyBorder="1" applyAlignment="1" applyProtection="1">
      <alignment vertical="center"/>
      <protection locked="0"/>
    </xf>
    <xf numFmtId="3" fontId="12" fillId="2" borderId="12" xfId="0" applyNumberFormat="1" applyFont="1" applyFill="1" applyBorder="1" applyAlignment="1">
      <alignment horizontal="left" vertical="center" indent="1"/>
    </xf>
    <xf numFmtId="3" fontId="12" fillId="2" borderId="18" xfId="0" applyNumberFormat="1" applyFont="1" applyFill="1" applyBorder="1" applyAlignment="1">
      <alignment horizontal="left" vertical="center" indent="1"/>
    </xf>
    <xf numFmtId="3" fontId="12" fillId="2" borderId="31" xfId="0" applyNumberFormat="1" applyFont="1" applyFill="1" applyBorder="1" applyAlignment="1">
      <alignment horizontal="left" vertical="center" indent="1"/>
    </xf>
    <xf numFmtId="37" fontId="12" fillId="2" borderId="17" xfId="0" applyNumberFormat="1" applyFont="1" applyFill="1" applyBorder="1" applyAlignment="1">
      <alignment horizontal="left" vertical="center" indent="1"/>
    </xf>
    <xf numFmtId="3" fontId="12" fillId="2" borderId="22" xfId="0" applyNumberFormat="1" applyFont="1" applyFill="1" applyBorder="1" applyAlignment="1">
      <alignment vertical="center"/>
    </xf>
    <xf numFmtId="3" fontId="6" fillId="2" borderId="8" xfId="0" applyNumberFormat="1" applyFont="1" applyFill="1" applyBorder="1" applyAlignment="1">
      <alignment horizontal="left" vertical="center" indent="1"/>
    </xf>
    <xf numFmtId="3" fontId="6" fillId="2" borderId="9" xfId="1" applyNumberFormat="1" applyFont="1" applyFill="1" applyBorder="1" applyAlignment="1">
      <alignment vertical="center"/>
    </xf>
    <xf numFmtId="3" fontId="12" fillId="2" borderId="9" xfId="0" applyNumberFormat="1" applyFont="1" applyFill="1" applyBorder="1" applyAlignment="1">
      <alignment vertical="center"/>
    </xf>
    <xf numFmtId="3" fontId="6" fillId="2" borderId="11" xfId="1" applyNumberFormat="1" applyFont="1" applyFill="1" applyBorder="1" applyAlignment="1">
      <alignment vertical="center"/>
    </xf>
    <xf numFmtId="164" fontId="6" fillId="2" borderId="0" xfId="1" applyFont="1" applyFill="1" applyBorder="1" applyAlignment="1">
      <alignment vertical="center"/>
    </xf>
    <xf numFmtId="3" fontId="12" fillId="2" borderId="31" xfId="0" applyNumberFormat="1" applyFont="1" applyFill="1" applyBorder="1" applyAlignment="1" applyProtection="1">
      <alignment horizontal="left" vertical="center"/>
      <protection locked="0"/>
    </xf>
    <xf numFmtId="3" fontId="30" fillId="2" borderId="22" xfId="0" applyNumberFormat="1" applyFont="1" applyFill="1" applyBorder="1" applyAlignment="1">
      <alignment vertical="center"/>
    </xf>
    <xf numFmtId="3" fontId="12" fillId="2" borderId="23" xfId="0" applyNumberFormat="1" applyFont="1" applyFill="1" applyBorder="1" applyAlignment="1">
      <alignment vertical="center"/>
    </xf>
    <xf numFmtId="3" fontId="30" fillId="2" borderId="24" xfId="0" applyNumberFormat="1" applyFont="1" applyFill="1" applyBorder="1" applyAlignment="1">
      <alignment vertical="center"/>
    </xf>
    <xf numFmtId="3" fontId="11" fillId="2" borderId="8" xfId="0" applyNumberFormat="1" applyFont="1" applyFill="1" applyBorder="1" applyAlignment="1" applyProtection="1">
      <alignment horizontal="left" vertical="center"/>
      <protection locked="0"/>
    </xf>
    <xf numFmtId="3" fontId="6" fillId="2" borderId="9" xfId="0" applyNumberFormat="1" applyFont="1" applyFill="1" applyBorder="1" applyAlignment="1">
      <alignment vertical="center"/>
    </xf>
    <xf numFmtId="3" fontId="6" fillId="2" borderId="11" xfId="0" applyNumberFormat="1" applyFont="1" applyFill="1" applyBorder="1" applyAlignment="1">
      <alignment vertical="center"/>
    </xf>
    <xf numFmtId="3" fontId="62" fillId="2" borderId="0" xfId="0" applyNumberFormat="1" applyFont="1" applyFill="1"/>
    <xf numFmtId="3" fontId="31" fillId="2" borderId="0" xfId="0" applyNumberFormat="1" applyFont="1" applyFill="1" applyAlignment="1">
      <alignment vertical="center"/>
    </xf>
    <xf numFmtId="3" fontId="12" fillId="2" borderId="8" xfId="0" applyNumberFormat="1" applyFont="1" applyFill="1" applyBorder="1" applyAlignment="1">
      <alignment vertical="center"/>
    </xf>
    <xf numFmtId="3" fontId="2" fillId="2" borderId="11" xfId="0" applyNumberFormat="1" applyFont="1" applyFill="1" applyBorder="1" applyAlignment="1" applyProtection="1">
      <alignment vertical="center"/>
      <protection locked="0"/>
    </xf>
    <xf numFmtId="38" fontId="0" fillId="2" borderId="0" xfId="0" applyNumberFormat="1" applyFill="1"/>
    <xf numFmtId="0" fontId="2" fillId="2" borderId="0" xfId="0" applyFont="1" applyFill="1" applyAlignment="1">
      <alignment vertical="center"/>
    </xf>
    <xf numFmtId="40" fontId="2" fillId="2" borderId="0" xfId="0" applyNumberFormat="1" applyFont="1" applyFill="1" applyAlignment="1" applyProtection="1">
      <alignment horizontal="left" vertical="center"/>
      <protection locked="0"/>
    </xf>
    <xf numFmtId="40" fontId="2" fillId="2" borderId="0" xfId="0" applyNumberFormat="1" applyFont="1" applyFill="1" applyAlignment="1">
      <alignment vertical="center"/>
    </xf>
    <xf numFmtId="40" fontId="2" fillId="2" borderId="0" xfId="0" applyNumberFormat="1" applyFont="1" applyFill="1" applyAlignment="1">
      <alignment horizontal="right" vertical="center"/>
    </xf>
    <xf numFmtId="40" fontId="2" fillId="2" borderId="0" xfId="0" applyNumberFormat="1" applyFont="1" applyFill="1" applyAlignment="1">
      <alignment horizontal="left" vertical="center"/>
    </xf>
    <xf numFmtId="40" fontId="16" fillId="2" borderId="0" xfId="0" applyNumberFormat="1" applyFont="1" applyFill="1" applyAlignment="1">
      <alignment horizontal="right" vertical="center"/>
    </xf>
    <xf numFmtId="40" fontId="17" fillId="2" borderId="0" xfId="0" applyNumberFormat="1" applyFont="1" applyFill="1" applyAlignment="1">
      <alignment horizontal="right" vertical="center"/>
    </xf>
    <xf numFmtId="37" fontId="8" fillId="2" borderId="0" xfId="0" applyNumberFormat="1" applyFont="1" applyFill="1" applyAlignment="1">
      <alignment horizontal="center" vertical="center"/>
    </xf>
    <xf numFmtId="37" fontId="11" fillId="2" borderId="8" xfId="0" applyNumberFormat="1" applyFont="1" applyFill="1" applyBorder="1" applyAlignment="1">
      <alignment horizontal="center" vertical="center" wrapText="1"/>
    </xf>
    <xf numFmtId="0" fontId="6" fillId="2" borderId="0" xfId="3" applyFont="1" applyFill="1" applyAlignment="1">
      <alignment vertical="center"/>
    </xf>
    <xf numFmtId="3" fontId="12" fillId="2" borderId="12" xfId="0" applyNumberFormat="1" applyFont="1" applyFill="1" applyBorder="1" applyAlignment="1">
      <alignment horizontal="left" vertical="center"/>
    </xf>
    <xf numFmtId="3" fontId="12" fillId="2" borderId="13" xfId="0" applyNumberFormat="1" applyFont="1" applyFill="1" applyBorder="1" applyAlignment="1">
      <alignment horizontal="right" vertical="center" wrapText="1"/>
    </xf>
    <xf numFmtId="3" fontId="12" fillId="2" borderId="26" xfId="1" applyNumberFormat="1" applyFont="1" applyFill="1" applyBorder="1" applyAlignment="1">
      <alignment vertical="center" wrapText="1"/>
    </xf>
    <xf numFmtId="3" fontId="12" fillId="2" borderId="16" xfId="1" applyNumberFormat="1" applyFont="1" applyFill="1" applyBorder="1" applyAlignment="1">
      <alignment vertical="center" wrapText="1"/>
    </xf>
    <xf numFmtId="38" fontId="2" fillId="2" borderId="0" xfId="0" applyNumberFormat="1" applyFont="1" applyFill="1" applyAlignment="1">
      <alignment vertical="center"/>
    </xf>
    <xf numFmtId="164" fontId="2" fillId="2" borderId="0" xfId="1" applyFont="1" applyFill="1" applyAlignment="1">
      <alignment vertical="center"/>
    </xf>
    <xf numFmtId="0" fontId="2" fillId="2" borderId="0" xfId="0" applyFont="1" applyFill="1" applyAlignment="1">
      <alignment horizontal="center" vertical="center" wrapText="1"/>
    </xf>
    <xf numFmtId="164" fontId="27" fillId="2" borderId="0" xfId="1" applyFont="1" applyFill="1" applyAlignment="1">
      <alignment vertical="center"/>
    </xf>
    <xf numFmtId="164" fontId="2" fillId="2" borderId="0" xfId="0" applyNumberFormat="1" applyFont="1" applyFill="1" applyAlignment="1">
      <alignment vertical="center"/>
    </xf>
    <xf numFmtId="3" fontId="12" fillId="2" borderId="18" xfId="0" applyNumberFormat="1" applyFont="1" applyFill="1" applyBorder="1" applyAlignment="1">
      <alignment horizontal="left" vertical="center"/>
    </xf>
    <xf numFmtId="3" fontId="12" fillId="2" borderId="19" xfId="0" applyNumberFormat="1" applyFont="1" applyFill="1" applyBorder="1" applyAlignment="1">
      <alignment vertical="center"/>
    </xf>
    <xf numFmtId="3" fontId="12" fillId="2" borderId="21" xfId="1" applyNumberFormat="1" applyFont="1" applyFill="1" applyBorder="1" applyAlignment="1">
      <alignment vertical="center" wrapText="1"/>
    </xf>
    <xf numFmtId="3" fontId="11" fillId="2" borderId="8" xfId="0" applyNumberFormat="1" applyFont="1" applyFill="1" applyBorder="1" applyAlignment="1">
      <alignment horizontal="left" vertical="center"/>
    </xf>
    <xf numFmtId="3" fontId="2" fillId="2" borderId="31" xfId="0" applyNumberFormat="1" applyFont="1" applyFill="1" applyBorder="1" applyAlignment="1">
      <alignment horizontal="left" vertical="center"/>
    </xf>
    <xf numFmtId="3" fontId="2" fillId="2" borderId="22" xfId="0" applyNumberFormat="1" applyFont="1" applyFill="1" applyBorder="1" applyAlignment="1">
      <alignment vertical="center"/>
    </xf>
    <xf numFmtId="3" fontId="2" fillId="2" borderId="24" xfId="0" applyNumberFormat="1" applyFont="1" applyFill="1" applyBorder="1" applyAlignment="1">
      <alignment vertical="center"/>
    </xf>
    <xf numFmtId="0" fontId="6" fillId="2" borderId="0" xfId="0" applyFont="1" applyFill="1" applyAlignment="1">
      <alignment vertical="center"/>
    </xf>
    <xf numFmtId="3" fontId="6" fillId="2" borderId="8" xfId="0" applyNumberFormat="1" applyFont="1" applyFill="1" applyBorder="1" applyAlignment="1">
      <alignment horizontal="left" vertical="center"/>
    </xf>
    <xf numFmtId="38" fontId="6" fillId="2" borderId="0" xfId="0" applyNumberFormat="1" applyFont="1" applyFill="1" applyAlignment="1">
      <alignment vertical="center"/>
    </xf>
    <xf numFmtId="0" fontId="2" fillId="2" borderId="0" xfId="0" applyFont="1" applyFill="1" applyAlignment="1">
      <alignment vertical="top"/>
    </xf>
    <xf numFmtId="37" fontId="12" fillId="2" borderId="0" xfId="0" applyNumberFormat="1" applyFont="1" applyFill="1" applyAlignment="1" applyProtection="1">
      <alignment vertical="center"/>
      <protection locked="0"/>
    </xf>
    <xf numFmtId="40" fontId="18" fillId="2" borderId="0" xfId="0" applyNumberFormat="1" applyFont="1" applyFill="1" applyAlignment="1">
      <alignment vertical="center"/>
    </xf>
    <xf numFmtId="40" fontId="31" fillId="2" borderId="0" xfId="0" applyNumberFormat="1" applyFont="1" applyFill="1" applyAlignment="1">
      <alignment vertical="center"/>
    </xf>
    <xf numFmtId="40" fontId="18" fillId="2" borderId="0" xfId="1" applyNumberFormat="1" applyFont="1" applyFill="1" applyAlignment="1">
      <alignment vertical="center"/>
    </xf>
    <xf numFmtId="40" fontId="2" fillId="2" borderId="0" xfId="1" applyNumberFormat="1" applyFont="1" applyFill="1" applyAlignment="1">
      <alignment vertical="center"/>
    </xf>
    <xf numFmtId="40" fontId="30" fillId="2" borderId="0" xfId="0" applyNumberFormat="1"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38" fontId="0" fillId="2" borderId="0" xfId="0" applyNumberFormat="1" applyFill="1" applyAlignment="1">
      <alignment vertical="center"/>
    </xf>
    <xf numFmtId="40" fontId="30" fillId="2" borderId="0" xfId="1" applyNumberFormat="1" applyFont="1" applyFill="1" applyAlignment="1">
      <alignment vertical="center"/>
    </xf>
    <xf numFmtId="0" fontId="16" fillId="2" borderId="0" xfId="0" applyFont="1" applyFill="1" applyAlignment="1">
      <alignment vertical="center"/>
    </xf>
    <xf numFmtId="0" fontId="2" fillId="2" borderId="0" xfId="0" applyFont="1" applyFill="1" applyAlignment="1">
      <alignment horizontal="left" vertical="center"/>
    </xf>
    <xf numFmtId="165" fontId="2" fillId="2" borderId="0" xfId="1" applyNumberFormat="1" applyFont="1" applyFill="1" applyAlignment="1">
      <alignment vertical="center"/>
    </xf>
    <xf numFmtId="165" fontId="2" fillId="2" borderId="0" xfId="1" applyNumberFormat="1" applyFont="1" applyFill="1" applyAlignment="1">
      <alignment horizontal="right" vertical="center"/>
    </xf>
    <xf numFmtId="0" fontId="17" fillId="2" borderId="0" xfId="0" applyFont="1" applyFill="1" applyAlignment="1">
      <alignment vertical="center"/>
    </xf>
    <xf numFmtId="164" fontId="18" fillId="2" borderId="0" xfId="1" applyFont="1" applyFill="1" applyAlignment="1">
      <alignment vertical="center"/>
    </xf>
    <xf numFmtId="164" fontId="68" fillId="2" borderId="0" xfId="1" applyFont="1" applyFill="1" applyAlignment="1">
      <alignment vertical="center"/>
    </xf>
    <xf numFmtId="37" fontId="8" fillId="2" borderId="0" xfId="0" applyNumberFormat="1" applyFont="1" applyFill="1" applyAlignment="1">
      <alignment horizontal="center" vertical="center" wrapText="1"/>
    </xf>
    <xf numFmtId="0" fontId="8" fillId="2" borderId="0" xfId="0" applyFont="1" applyFill="1" applyAlignment="1">
      <alignment horizontal="center" vertical="center" wrapText="1"/>
    </xf>
    <xf numFmtId="0" fontId="2" fillId="2" borderId="0" xfId="0" applyFont="1" applyFill="1" applyAlignment="1">
      <alignment horizontal="center" vertical="center"/>
    </xf>
    <xf numFmtId="3" fontId="6" fillId="2" borderId="8" xfId="0" applyNumberFormat="1" applyFont="1" applyFill="1" applyBorder="1" applyAlignment="1">
      <alignment vertical="center"/>
    </xf>
    <xf numFmtId="3" fontId="6" fillId="2" borderId="9" xfId="0" applyNumberFormat="1" applyFont="1" applyFill="1" applyBorder="1" applyAlignment="1">
      <alignment horizontal="center" vertical="center"/>
    </xf>
    <xf numFmtId="3" fontId="6" fillId="2" borderId="11" xfId="0" applyNumberFormat="1" applyFont="1" applyFill="1" applyBorder="1" applyAlignment="1">
      <alignment horizontal="center" vertical="center"/>
    </xf>
    <xf numFmtId="3" fontId="6" fillId="2" borderId="47" xfId="0" applyNumberFormat="1"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3" fontId="12" fillId="2" borderId="12" xfId="0" applyNumberFormat="1" applyFont="1" applyFill="1" applyBorder="1" applyAlignment="1">
      <alignment vertical="center"/>
    </xf>
    <xf numFmtId="3" fontId="2" fillId="2" borderId="13" xfId="1" applyNumberFormat="1" applyFont="1" applyFill="1" applyBorder="1" applyAlignment="1" applyProtection="1">
      <alignment vertical="center"/>
      <protection locked="0"/>
    </xf>
    <xf numFmtId="3" fontId="2" fillId="2" borderId="13" xfId="1" applyNumberFormat="1" applyFont="1" applyFill="1" applyBorder="1" applyAlignment="1">
      <alignment vertical="center"/>
    </xf>
    <xf numFmtId="166" fontId="2" fillId="2" borderId="13" xfId="1" applyNumberFormat="1" applyFont="1" applyFill="1" applyBorder="1" applyAlignment="1">
      <alignment vertical="center"/>
    </xf>
    <xf numFmtId="3" fontId="2" fillId="2" borderId="25" xfId="1" applyNumberFormat="1" applyFont="1" applyFill="1" applyBorder="1" applyAlignment="1">
      <alignment vertical="center"/>
    </xf>
    <xf numFmtId="3" fontId="2" fillId="2" borderId="26" xfId="1" applyNumberFormat="1" applyFont="1" applyFill="1" applyBorder="1" applyAlignment="1">
      <alignment vertical="center"/>
    </xf>
    <xf numFmtId="164" fontId="20" fillId="2" borderId="0" xfId="1" applyFont="1" applyFill="1" applyAlignment="1">
      <alignment horizontal="right" vertical="center"/>
    </xf>
    <xf numFmtId="3" fontId="12" fillId="2" borderId="17" xfId="0" applyNumberFormat="1" applyFont="1" applyFill="1" applyBorder="1" applyAlignment="1">
      <alignment vertical="center"/>
    </xf>
    <xf numFmtId="3" fontId="2" fillId="2" borderId="14" xfId="1" applyNumberFormat="1" applyFont="1" applyFill="1" applyBorder="1" applyAlignment="1" applyProtection="1">
      <alignment vertical="center"/>
      <protection locked="0"/>
    </xf>
    <xf numFmtId="3" fontId="2" fillId="2" borderId="14" xfId="1" applyNumberFormat="1" applyFont="1" applyFill="1" applyBorder="1" applyAlignment="1">
      <alignment vertical="center"/>
    </xf>
    <xf numFmtId="3" fontId="2" fillId="2" borderId="15" xfId="1" applyNumberFormat="1" applyFont="1" applyFill="1" applyBorder="1" applyAlignment="1">
      <alignment vertical="center"/>
    </xf>
    <xf numFmtId="9" fontId="2" fillId="2" borderId="0" xfId="2" applyFont="1" applyFill="1" applyAlignment="1">
      <alignment horizontal="center" vertical="center"/>
    </xf>
    <xf numFmtId="165" fontId="2" fillId="2" borderId="14" xfId="1" applyNumberFormat="1" applyFont="1" applyFill="1" applyBorder="1" applyAlignment="1">
      <alignment vertical="center"/>
    </xf>
    <xf numFmtId="3" fontId="11" fillId="2" borderId="17" xfId="0" applyNumberFormat="1" applyFont="1" applyFill="1" applyBorder="1" applyAlignment="1">
      <alignment vertical="center"/>
    </xf>
    <xf numFmtId="3" fontId="6" fillId="2" borderId="14" xfId="1" applyNumberFormat="1" applyFont="1" applyFill="1" applyBorder="1" applyAlignment="1" applyProtection="1">
      <alignment vertical="center"/>
      <protection locked="0"/>
    </xf>
    <xf numFmtId="166" fontId="6" fillId="2" borderId="14" xfId="1" applyNumberFormat="1" applyFont="1" applyFill="1" applyBorder="1" applyAlignment="1" applyProtection="1">
      <alignment vertical="center"/>
      <protection locked="0"/>
    </xf>
    <xf numFmtId="164" fontId="6" fillId="2" borderId="0" xfId="1" applyFont="1" applyFill="1" applyAlignment="1">
      <alignment vertical="center"/>
    </xf>
    <xf numFmtId="166" fontId="2" fillId="2" borderId="14" xfId="1" applyNumberFormat="1" applyFont="1" applyFill="1" applyBorder="1" applyAlignment="1" applyProtection="1">
      <alignment vertical="center"/>
      <protection locked="0"/>
    </xf>
    <xf numFmtId="9" fontId="2" fillId="2" borderId="0" xfId="2" applyFont="1" applyFill="1" applyAlignment="1">
      <alignment vertical="center"/>
    </xf>
    <xf numFmtId="166" fontId="2" fillId="2" borderId="15" xfId="1" applyNumberFormat="1" applyFont="1" applyFill="1" applyBorder="1" applyAlignment="1" applyProtection="1">
      <alignment vertical="center"/>
      <protection locked="0"/>
    </xf>
    <xf numFmtId="9" fontId="2" fillId="2" borderId="14" xfId="2" applyFont="1" applyFill="1" applyBorder="1" applyAlignment="1">
      <alignment vertical="center"/>
    </xf>
    <xf numFmtId="3" fontId="2" fillId="2" borderId="17" xfId="0" applyNumberFormat="1" applyFont="1" applyFill="1" applyBorder="1" applyAlignment="1">
      <alignment vertical="center"/>
    </xf>
    <xf numFmtId="3" fontId="2" fillId="2" borderId="14" xfId="0" applyNumberFormat="1" applyFont="1" applyFill="1" applyBorder="1" applyAlignment="1">
      <alignment vertical="center"/>
    </xf>
    <xf numFmtId="0" fontId="2" fillId="2" borderId="14" xfId="0" applyFont="1" applyFill="1" applyBorder="1" applyAlignment="1">
      <alignment vertical="center"/>
    </xf>
    <xf numFmtId="165" fontId="2" fillId="2" borderId="15" xfId="1" applyNumberFormat="1" applyFont="1" applyFill="1" applyBorder="1" applyAlignment="1">
      <alignment vertical="center"/>
    </xf>
    <xf numFmtId="3" fontId="6" fillId="2" borderId="17" xfId="0" applyNumberFormat="1" applyFont="1" applyFill="1" applyBorder="1" applyAlignment="1">
      <alignment vertical="center"/>
    </xf>
    <xf numFmtId="165" fontId="6" fillId="2" borderId="14" xfId="1" applyNumberFormat="1" applyFont="1" applyFill="1" applyBorder="1" applyAlignment="1" applyProtection="1">
      <alignment vertical="center"/>
      <protection locked="0"/>
    </xf>
    <xf numFmtId="165" fontId="6" fillId="2" borderId="15" xfId="1" applyNumberFormat="1" applyFont="1" applyFill="1" applyBorder="1" applyAlignment="1" applyProtection="1">
      <alignment vertical="center"/>
      <protection locked="0"/>
    </xf>
    <xf numFmtId="166" fontId="6" fillId="2" borderId="16" xfId="1" applyNumberFormat="1" applyFont="1" applyFill="1" applyBorder="1" applyAlignment="1" applyProtection="1">
      <alignment vertical="center"/>
      <protection locked="0"/>
    </xf>
    <xf numFmtId="165" fontId="2" fillId="2" borderId="14" xfId="1" applyNumberFormat="1" applyFont="1" applyFill="1" applyBorder="1" applyAlignment="1" applyProtection="1">
      <alignment vertical="center"/>
      <protection locked="0"/>
    </xf>
    <xf numFmtId="165" fontId="2" fillId="2" borderId="15" xfId="1" applyNumberFormat="1" applyFont="1" applyFill="1" applyBorder="1" applyAlignment="1" applyProtection="1">
      <alignment vertical="center"/>
      <protection locked="0"/>
    </xf>
    <xf numFmtId="165" fontId="2" fillId="2" borderId="0" xfId="0" applyNumberFormat="1" applyFont="1" applyFill="1" applyAlignment="1">
      <alignment vertical="center"/>
    </xf>
    <xf numFmtId="3" fontId="2" fillId="2" borderId="18" xfId="0" applyNumberFormat="1" applyFont="1" applyFill="1" applyBorder="1" applyAlignment="1">
      <alignment vertical="center"/>
    </xf>
    <xf numFmtId="3" fontId="2" fillId="2" borderId="19" xfId="0" applyNumberFormat="1" applyFont="1" applyFill="1" applyBorder="1" applyAlignment="1">
      <alignment vertical="center"/>
    </xf>
    <xf numFmtId="3" fontId="2" fillId="2" borderId="50" xfId="0" applyNumberFormat="1" applyFont="1" applyFill="1" applyBorder="1" applyAlignment="1">
      <alignment vertical="center"/>
    </xf>
    <xf numFmtId="0" fontId="2" fillId="2" borderId="19" xfId="0" applyFont="1" applyFill="1" applyBorder="1" applyAlignment="1">
      <alignment vertical="center"/>
    </xf>
    <xf numFmtId="165" fontId="2" fillId="2" borderId="19" xfId="1" applyNumberFormat="1" applyFont="1" applyFill="1" applyBorder="1" applyAlignment="1">
      <alignment vertical="center"/>
    </xf>
    <xf numFmtId="165" fontId="2" fillId="2" borderId="20" xfId="1" applyNumberFormat="1" applyFont="1" applyFill="1" applyBorder="1" applyAlignment="1">
      <alignment vertical="center"/>
    </xf>
    <xf numFmtId="165" fontId="2" fillId="2" borderId="21" xfId="1" applyNumberFormat="1" applyFont="1" applyFill="1" applyBorder="1" applyAlignment="1">
      <alignment vertical="center"/>
    </xf>
    <xf numFmtId="3" fontId="6" fillId="2" borderId="8" xfId="1" applyNumberFormat="1" applyFont="1" applyFill="1" applyBorder="1" applyAlignment="1">
      <alignment vertical="center"/>
    </xf>
    <xf numFmtId="3" fontId="6" fillId="2" borderId="47" xfId="1" applyNumberFormat="1" applyFont="1" applyFill="1" applyBorder="1" applyAlignment="1">
      <alignment vertical="center"/>
    </xf>
    <xf numFmtId="166" fontId="6" fillId="2" borderId="9" xfId="1" applyNumberFormat="1" applyFont="1" applyFill="1" applyBorder="1" applyAlignment="1">
      <alignment vertical="center"/>
    </xf>
    <xf numFmtId="166" fontId="6" fillId="2" borderId="9" xfId="1" applyNumberFormat="1" applyFont="1" applyFill="1" applyBorder="1" applyAlignment="1" applyProtection="1">
      <alignment vertical="center"/>
      <protection locked="0"/>
    </xf>
    <xf numFmtId="166" fontId="6" fillId="2" borderId="11" xfId="1" applyNumberFormat="1" applyFont="1" applyFill="1" applyBorder="1" applyAlignment="1" applyProtection="1">
      <alignment vertical="center"/>
      <protection locked="0"/>
    </xf>
    <xf numFmtId="3" fontId="2" fillId="2" borderId="12" xfId="1" applyNumberFormat="1" applyFont="1" applyFill="1" applyBorder="1" applyAlignment="1">
      <alignment vertical="center"/>
    </xf>
    <xf numFmtId="3" fontId="2" fillId="2" borderId="55" xfId="1" applyNumberFormat="1" applyFont="1" applyFill="1" applyBorder="1" applyAlignment="1">
      <alignment vertical="center"/>
    </xf>
    <xf numFmtId="165" fontId="2" fillId="2" borderId="13" xfId="1" applyNumberFormat="1" applyFont="1" applyFill="1" applyBorder="1" applyAlignment="1">
      <alignment vertical="center"/>
    </xf>
    <xf numFmtId="165" fontId="2" fillId="2" borderId="22" xfId="1" applyNumberFormat="1" applyFont="1" applyFill="1" applyBorder="1" applyAlignment="1">
      <alignment vertical="center"/>
    </xf>
    <xf numFmtId="165" fontId="2" fillId="2" borderId="23" xfId="1" applyNumberFormat="1" applyFont="1" applyFill="1" applyBorder="1" applyAlignment="1">
      <alignment vertical="center"/>
    </xf>
    <xf numFmtId="165" fontId="2" fillId="2" borderId="24" xfId="1" applyNumberFormat="1" applyFont="1" applyFill="1" applyBorder="1" applyAlignment="1">
      <alignment vertical="center"/>
    </xf>
    <xf numFmtId="166" fontId="2" fillId="2" borderId="14" xfId="1" applyNumberFormat="1" applyFont="1" applyFill="1" applyBorder="1" applyAlignment="1">
      <alignment vertical="center"/>
    </xf>
    <xf numFmtId="166" fontId="2" fillId="2" borderId="16" xfId="1" applyNumberFormat="1" applyFont="1" applyFill="1" applyBorder="1" applyAlignment="1">
      <alignment vertical="center"/>
    </xf>
    <xf numFmtId="10" fontId="2" fillId="2" borderId="14" xfId="2" applyNumberFormat="1" applyFont="1" applyFill="1" applyBorder="1" applyAlignment="1">
      <alignment vertical="center"/>
    </xf>
    <xf numFmtId="10" fontId="2" fillId="2" borderId="16" xfId="2" applyNumberFormat="1" applyFont="1" applyFill="1" applyBorder="1" applyAlignment="1">
      <alignment vertical="center"/>
    </xf>
    <xf numFmtId="3" fontId="2" fillId="2" borderId="14" xfId="2" applyNumberFormat="1" applyFont="1" applyFill="1" applyBorder="1" applyAlignment="1">
      <alignment vertical="center"/>
    </xf>
    <xf numFmtId="3" fontId="12" fillId="2" borderId="17" xfId="0" applyNumberFormat="1" applyFont="1" applyFill="1" applyBorder="1" applyAlignment="1">
      <alignment vertical="center" wrapText="1"/>
    </xf>
    <xf numFmtId="166" fontId="2" fillId="2" borderId="16" xfId="1" applyNumberFormat="1" applyFont="1" applyFill="1" applyBorder="1" applyAlignment="1" applyProtection="1">
      <alignment vertical="center"/>
      <protection locked="0"/>
    </xf>
    <xf numFmtId="3" fontId="12" fillId="2" borderId="27" xfId="0" applyNumberFormat="1" applyFont="1" applyFill="1" applyBorder="1" applyAlignment="1">
      <alignment vertical="center"/>
    </xf>
    <xf numFmtId="10" fontId="2" fillId="2" borderId="28" xfId="2" applyNumberFormat="1" applyFont="1" applyFill="1" applyBorder="1" applyAlignment="1">
      <alignment vertical="center"/>
    </xf>
    <xf numFmtId="10" fontId="2" fillId="2" borderId="30" xfId="2" applyNumberFormat="1" applyFont="1" applyFill="1" applyBorder="1" applyAlignment="1">
      <alignment vertical="center"/>
    </xf>
    <xf numFmtId="3" fontId="22" fillId="2" borderId="2" xfId="0" applyNumberFormat="1" applyFont="1" applyFill="1" applyBorder="1" applyAlignment="1">
      <alignment vertical="center"/>
    </xf>
    <xf numFmtId="3" fontId="18" fillId="2" borderId="0" xfId="0" applyNumberFormat="1" applyFont="1" applyFill="1" applyAlignment="1">
      <alignment vertical="center"/>
    </xf>
    <xf numFmtId="3" fontId="18" fillId="2" borderId="5" xfId="0" applyNumberFormat="1" applyFont="1" applyFill="1" applyBorder="1" applyAlignment="1">
      <alignment vertical="center"/>
    </xf>
    <xf numFmtId="0" fontId="18" fillId="2" borderId="0" xfId="0" applyFont="1" applyFill="1" applyAlignment="1">
      <alignment vertical="center"/>
    </xf>
    <xf numFmtId="165" fontId="18" fillId="2" borderId="0" xfId="1" applyNumberFormat="1" applyFont="1" applyFill="1" applyAlignment="1">
      <alignment vertical="center"/>
    </xf>
    <xf numFmtId="3" fontId="2" fillId="2" borderId="0" xfId="0" applyNumberFormat="1" applyFont="1" applyFill="1" applyAlignment="1">
      <alignment vertical="center"/>
    </xf>
    <xf numFmtId="0" fontId="2" fillId="2" borderId="0" xfId="0" applyFont="1" applyFill="1" applyAlignment="1">
      <alignment horizontal="right" vertical="center"/>
    </xf>
    <xf numFmtId="0" fontId="3" fillId="2" borderId="0" xfId="0" applyFont="1" applyFill="1" applyAlignment="1" applyProtection="1">
      <alignment horizontal="right" vertical="center"/>
      <protection locked="0"/>
    </xf>
    <xf numFmtId="164" fontId="4" fillId="2" borderId="0" xfId="6" applyFont="1" applyFill="1" applyAlignment="1">
      <alignment vertical="center"/>
    </xf>
    <xf numFmtId="0" fontId="3" fillId="2" borderId="0" xfId="0" applyFont="1" applyFill="1" applyAlignment="1">
      <alignment horizontal="right" vertical="center"/>
    </xf>
    <xf numFmtId="0" fontId="7" fillId="2" borderId="0" xfId="0" applyFont="1" applyFill="1" applyAlignment="1">
      <alignment vertical="center"/>
    </xf>
    <xf numFmtId="0" fontId="6" fillId="2" borderId="0" xfId="0" applyFont="1" applyFill="1" applyAlignment="1">
      <alignment horizontal="center" vertical="center"/>
    </xf>
    <xf numFmtId="0" fontId="9" fillId="2" borderId="0" xfId="0" applyFont="1" applyFill="1" applyAlignment="1">
      <alignment vertical="center"/>
    </xf>
    <xf numFmtId="37" fontId="2" fillId="2" borderId="0" xfId="0" applyNumberFormat="1" applyFont="1" applyFill="1" applyAlignment="1">
      <alignment horizontal="center" vertical="center"/>
    </xf>
    <xf numFmtId="0" fontId="6" fillId="2" borderId="1" xfId="0" applyFont="1" applyFill="1" applyBorder="1" applyAlignment="1">
      <alignment horizontal="left" vertical="center"/>
    </xf>
    <xf numFmtId="0" fontId="6" fillId="2" borderId="2" xfId="0" applyFont="1" applyFill="1" applyBorder="1" applyAlignment="1">
      <alignment vertical="center"/>
    </xf>
    <xf numFmtId="41" fontId="11" fillId="2" borderId="3" xfId="0" applyNumberFormat="1" applyFont="1" applyFill="1" applyBorder="1" applyAlignment="1">
      <alignment vertical="center"/>
    </xf>
    <xf numFmtId="3" fontId="2" fillId="2" borderId="4" xfId="0" applyNumberFormat="1" applyFont="1" applyFill="1" applyBorder="1" applyAlignment="1">
      <alignment horizontal="left" vertical="center"/>
    </xf>
    <xf numFmtId="3" fontId="6" fillId="2" borderId="0" xfId="0" applyNumberFormat="1" applyFont="1" applyFill="1" applyAlignment="1">
      <alignment vertical="center"/>
    </xf>
    <xf numFmtId="3" fontId="11" fillId="2" borderId="5" xfId="0" applyNumberFormat="1" applyFont="1" applyFill="1" applyBorder="1" applyAlignment="1">
      <alignment vertical="center"/>
    </xf>
    <xf numFmtId="3" fontId="4" fillId="2" borderId="0" xfId="0" applyNumberFormat="1" applyFont="1" applyFill="1" applyAlignment="1">
      <alignment vertical="center"/>
    </xf>
    <xf numFmtId="3" fontId="12" fillId="2" borderId="5" xfId="0" applyNumberFormat="1" applyFont="1" applyFill="1" applyBorder="1" applyAlignment="1">
      <alignment vertical="center"/>
    </xf>
    <xf numFmtId="3" fontId="13" fillId="2" borderId="0" xfId="6" applyNumberFormat="1" applyFont="1" applyFill="1" applyAlignment="1">
      <alignment vertical="center"/>
    </xf>
    <xf numFmtId="3" fontId="14" fillId="2" borderId="0" xfId="0" applyNumberFormat="1" applyFont="1" applyFill="1" applyAlignment="1">
      <alignment vertical="center"/>
    </xf>
    <xf numFmtId="3" fontId="6" fillId="2" borderId="4" xfId="0" applyNumberFormat="1" applyFont="1" applyFill="1" applyBorder="1" applyAlignment="1">
      <alignment horizontal="left" vertical="center"/>
    </xf>
    <xf numFmtId="3" fontId="6" fillId="2" borderId="48" xfId="0" quotePrefix="1" applyNumberFormat="1" applyFont="1" applyFill="1" applyBorder="1" applyAlignment="1">
      <alignment horizontal="left" vertical="center"/>
    </xf>
    <xf numFmtId="3" fontId="6" fillId="2" borderId="53" xfId="0" applyNumberFormat="1" applyFont="1" applyFill="1" applyBorder="1" applyAlignment="1">
      <alignment vertical="center"/>
    </xf>
    <xf numFmtId="3" fontId="11" fillId="2" borderId="51" xfId="6" applyNumberFormat="1" applyFont="1" applyFill="1" applyBorder="1" applyAlignment="1">
      <alignment vertical="center"/>
    </xf>
    <xf numFmtId="3" fontId="6" fillId="2" borderId="0" xfId="0" applyNumberFormat="1" applyFont="1" applyFill="1" applyAlignment="1">
      <alignment horizontal="left" vertical="center"/>
    </xf>
    <xf numFmtId="3" fontId="12" fillId="2" borderId="5" xfId="0" applyNumberFormat="1" applyFont="1" applyFill="1" applyBorder="1" applyAlignment="1">
      <alignment horizontal="left" vertical="center"/>
    </xf>
    <xf numFmtId="3" fontId="12" fillId="2" borderId="0" xfId="0" applyNumberFormat="1" applyFont="1" applyFill="1" applyAlignment="1">
      <alignment horizontal="right" vertical="center"/>
    </xf>
    <xf numFmtId="3" fontId="2" fillId="2" borderId="5" xfId="0" applyNumberFormat="1" applyFont="1" applyFill="1" applyBorder="1" applyAlignment="1">
      <alignment vertical="center"/>
    </xf>
    <xf numFmtId="3" fontId="12" fillId="2" borderId="0" xfId="0" applyNumberFormat="1" applyFont="1" applyFill="1" applyAlignment="1">
      <alignment vertical="center"/>
    </xf>
    <xf numFmtId="3" fontId="2" fillId="2" borderId="0" xfId="0" applyNumberFormat="1" applyFont="1" applyFill="1" applyAlignment="1">
      <alignment horizontal="right" vertical="center"/>
    </xf>
    <xf numFmtId="3" fontId="6" fillId="2" borderId="5" xfId="0" applyNumberFormat="1" applyFont="1" applyFill="1" applyBorder="1" applyAlignment="1">
      <alignment vertical="center"/>
    </xf>
    <xf numFmtId="3" fontId="4" fillId="2" borderId="0" xfId="2" applyNumberFormat="1" applyFont="1" applyFill="1" applyAlignment="1">
      <alignment vertical="center"/>
    </xf>
    <xf numFmtId="3" fontId="2" fillId="2" borderId="4" xfId="0" quotePrefix="1" applyNumberFormat="1" applyFont="1" applyFill="1" applyBorder="1" applyAlignment="1">
      <alignment horizontal="left" vertical="center"/>
    </xf>
    <xf numFmtId="3" fontId="6" fillId="2" borderId="0" xfId="6" applyNumberFormat="1" applyFont="1" applyFill="1" applyBorder="1" applyAlignment="1">
      <alignment horizontal="right" vertical="center"/>
    </xf>
    <xf numFmtId="3" fontId="11" fillId="2" borderId="4" xfId="0" applyNumberFormat="1" applyFont="1" applyFill="1" applyBorder="1" applyAlignment="1">
      <alignment horizontal="left" vertical="center"/>
    </xf>
    <xf numFmtId="3" fontId="2" fillId="2" borderId="4" xfId="2" quotePrefix="1" applyNumberFormat="1" applyFont="1" applyFill="1" applyBorder="1" applyAlignment="1">
      <alignment horizontal="left" vertical="center"/>
    </xf>
    <xf numFmtId="3" fontId="2" fillId="2" borderId="0" xfId="2" applyNumberFormat="1" applyFont="1" applyFill="1" applyBorder="1" applyAlignment="1">
      <alignment vertical="center"/>
    </xf>
    <xf numFmtId="3" fontId="2" fillId="2" borderId="5" xfId="0" applyNumberFormat="1" applyFont="1" applyFill="1" applyBorder="1" applyAlignment="1">
      <alignment horizontal="center" vertical="center"/>
    </xf>
    <xf numFmtId="3" fontId="4" fillId="2" borderId="0" xfId="0" applyNumberFormat="1" applyFont="1" applyFill="1" applyAlignment="1">
      <alignment horizontal="center" vertical="center"/>
    </xf>
    <xf numFmtId="3" fontId="2" fillId="2" borderId="4" xfId="2" applyNumberFormat="1" applyFont="1" applyFill="1" applyBorder="1" applyAlignment="1">
      <alignment horizontal="left" vertical="center"/>
    </xf>
    <xf numFmtId="3" fontId="12" fillId="2" borderId="5" xfId="0" applyNumberFormat="1" applyFont="1" applyFill="1" applyBorder="1" applyAlignment="1" applyProtection="1">
      <alignment vertical="center"/>
      <protection locked="0"/>
    </xf>
    <xf numFmtId="3" fontId="14" fillId="2" borderId="0" xfId="6" applyNumberFormat="1" applyFont="1" applyFill="1" applyAlignment="1">
      <alignment vertical="center"/>
    </xf>
    <xf numFmtId="3" fontId="2" fillId="2" borderId="5" xfId="0" applyNumberFormat="1" applyFont="1" applyFill="1" applyBorder="1" applyAlignment="1" applyProtection="1">
      <alignment vertical="center"/>
      <protection locked="0"/>
    </xf>
    <xf numFmtId="3" fontId="2" fillId="2" borderId="53" xfId="0" applyNumberFormat="1" applyFont="1" applyFill="1" applyBorder="1" applyAlignment="1">
      <alignment vertical="center"/>
    </xf>
    <xf numFmtId="3" fontId="6" fillId="2" borderId="51" xfId="6" applyNumberFormat="1" applyFont="1" applyFill="1" applyBorder="1" applyAlignment="1">
      <alignment vertical="center"/>
    </xf>
    <xf numFmtId="3" fontId="6" fillId="2" borderId="4" xfId="0" quotePrefix="1" applyNumberFormat="1" applyFont="1" applyFill="1" applyBorder="1" applyAlignment="1">
      <alignment horizontal="left" vertical="center"/>
    </xf>
    <xf numFmtId="3" fontId="6" fillId="2" borderId="5" xfId="6" applyNumberFormat="1" applyFont="1" applyFill="1" applyBorder="1" applyAlignment="1">
      <alignment vertical="center"/>
    </xf>
    <xf numFmtId="3" fontId="6" fillId="2" borderId="5" xfId="0" applyNumberFormat="1" applyFont="1" applyFill="1" applyBorder="1" applyAlignment="1">
      <alignment horizontal="right" vertical="center"/>
    </xf>
    <xf numFmtId="3" fontId="6" fillId="2" borderId="4" xfId="0" applyNumberFormat="1" applyFont="1" applyFill="1" applyBorder="1" applyAlignment="1">
      <alignment horizontal="right" vertical="center"/>
    </xf>
    <xf numFmtId="3" fontId="2" fillId="2" borderId="0" xfId="6" applyNumberFormat="1" applyFont="1" applyFill="1" applyBorder="1" applyAlignment="1">
      <alignment vertical="center"/>
    </xf>
    <xf numFmtId="3" fontId="12" fillId="2" borderId="4" xfId="0" applyNumberFormat="1" applyFont="1" applyFill="1" applyBorder="1" applyAlignment="1">
      <alignment horizontal="left" vertical="center"/>
    </xf>
    <xf numFmtId="3" fontId="11" fillId="2" borderId="51" xfId="0" applyNumberFormat="1" applyFont="1" applyFill="1" applyBorder="1" applyAlignment="1">
      <alignment vertical="center"/>
    </xf>
    <xf numFmtId="3" fontId="2" fillId="2" borderId="0" xfId="0" applyNumberFormat="1" applyFont="1" applyFill="1" applyAlignment="1">
      <alignment vertical="center" wrapText="1"/>
    </xf>
    <xf numFmtId="3" fontId="4" fillId="2" borderId="0" xfId="6" applyNumberFormat="1" applyFont="1" applyFill="1" applyAlignment="1">
      <alignment horizontal="justify" vertical="center"/>
    </xf>
    <xf numFmtId="3" fontId="6" fillId="2" borderId="14" xfId="0" applyNumberFormat="1" applyFont="1" applyFill="1" applyBorder="1" applyAlignment="1">
      <alignment horizontal="center" vertical="center"/>
    </xf>
    <xf numFmtId="0" fontId="6" fillId="2" borderId="14" xfId="0" applyFont="1" applyFill="1" applyBorder="1" applyAlignment="1">
      <alignment horizontal="center" vertical="center"/>
    </xf>
    <xf numFmtId="0" fontId="6" fillId="2" borderId="16" xfId="0" applyFont="1" applyFill="1" applyBorder="1" applyAlignment="1">
      <alignment horizontal="center" vertical="center"/>
    </xf>
    <xf numFmtId="3" fontId="2" fillId="2" borderId="0" xfId="0" applyNumberFormat="1" applyFont="1" applyFill="1" applyAlignment="1">
      <alignment horizontal="left" vertical="center" wrapText="1"/>
    </xf>
    <xf numFmtId="0" fontId="8" fillId="2" borderId="0" xfId="0" applyFont="1" applyFill="1" applyAlignment="1">
      <alignment horizontal="center" vertical="center" wrapText="1"/>
    </xf>
    <xf numFmtId="0" fontId="10" fillId="2" borderId="0" xfId="0" applyFont="1" applyFill="1" applyAlignment="1">
      <alignment horizontal="center" vertical="center" wrapText="1"/>
    </xf>
    <xf numFmtId="37" fontId="8" fillId="2" borderId="0" xfId="0" applyNumberFormat="1" applyFont="1" applyFill="1" applyAlignment="1" applyProtection="1">
      <alignment horizontal="center" vertical="center" wrapText="1"/>
      <protection locked="0"/>
    </xf>
    <xf numFmtId="3" fontId="2" fillId="2" borderId="0" xfId="0" applyNumberFormat="1" applyFont="1" applyFill="1" applyAlignment="1">
      <alignment horizontal="left" vertical="center"/>
    </xf>
    <xf numFmtId="3" fontId="2" fillId="2" borderId="0" xfId="0" applyNumberFormat="1" applyFont="1" applyFill="1" applyAlignment="1">
      <alignment horizontal="justify" vertical="center" wrapText="1"/>
    </xf>
    <xf numFmtId="9" fontId="2" fillId="2" borderId="0" xfId="2" applyFont="1" applyFill="1" applyAlignment="1">
      <alignment horizontal="center" vertical="center"/>
    </xf>
    <xf numFmtId="165" fontId="2" fillId="2" borderId="0" xfId="1" applyNumberFormat="1" applyFont="1" applyFill="1" applyAlignment="1">
      <alignment horizontal="right" vertical="center"/>
    </xf>
    <xf numFmtId="37" fontId="8" fillId="2" borderId="0" xfId="0" applyNumberFormat="1" applyFont="1" applyFill="1" applyAlignment="1">
      <alignment horizontal="center" vertical="center"/>
    </xf>
    <xf numFmtId="37" fontId="19" fillId="2" borderId="0" xfId="0" applyNumberFormat="1" applyFont="1" applyFill="1" applyAlignment="1">
      <alignment horizontal="center" vertical="center"/>
    </xf>
    <xf numFmtId="37" fontId="8" fillId="2" borderId="0" xfId="0" applyNumberFormat="1" applyFont="1" applyFill="1" applyAlignment="1">
      <alignment horizontal="center" vertical="center" wrapText="1"/>
    </xf>
    <xf numFmtId="37" fontId="22" fillId="2" borderId="0" xfId="0" applyNumberFormat="1" applyFont="1" applyFill="1" applyAlignment="1" applyProtection="1">
      <alignment horizontal="left" vertical="top" wrapText="1"/>
      <protection locked="0"/>
    </xf>
    <xf numFmtId="0" fontId="8" fillId="2" borderId="0" xfId="0" applyFont="1" applyFill="1" applyAlignment="1">
      <alignment horizontal="center" vertical="center"/>
    </xf>
    <xf numFmtId="0" fontId="18" fillId="2" borderId="0" xfId="0" applyFont="1" applyFill="1" applyAlignment="1">
      <alignment horizontal="justify" vertical="center" wrapText="1"/>
    </xf>
    <xf numFmtId="39" fontId="16" fillId="2" borderId="0" xfId="0" applyNumberFormat="1" applyFont="1" applyFill="1" applyAlignment="1">
      <alignment horizontal="left"/>
    </xf>
    <xf numFmtId="0" fontId="8" fillId="2" borderId="0" xfId="0" applyFont="1" applyFill="1" applyAlignment="1">
      <alignment horizontal="center" vertical="top"/>
    </xf>
    <xf numFmtId="37" fontId="19" fillId="2" borderId="0" xfId="0" applyNumberFormat="1" applyFont="1" applyFill="1" applyAlignment="1">
      <alignment horizontal="center" vertical="top"/>
    </xf>
    <xf numFmtId="37" fontId="8" fillId="2" borderId="0" xfId="0" applyNumberFormat="1" applyFont="1" applyFill="1" applyAlignment="1">
      <alignment horizontal="center" vertical="top"/>
    </xf>
    <xf numFmtId="40" fontId="2" fillId="2" borderId="0" xfId="0" applyNumberFormat="1" applyFont="1" applyFill="1" applyAlignment="1">
      <alignment horizontal="right"/>
    </xf>
    <xf numFmtId="39" fontId="16" fillId="0" borderId="0" xfId="0" applyNumberFormat="1" applyFont="1" applyAlignment="1">
      <alignment horizontal="left"/>
    </xf>
    <xf numFmtId="0" fontId="8" fillId="0" borderId="0" xfId="0" applyFont="1" applyAlignment="1">
      <alignment horizontal="center" vertical="top"/>
    </xf>
    <xf numFmtId="37" fontId="19" fillId="0" borderId="0" xfId="0" applyNumberFormat="1" applyFont="1" applyAlignment="1">
      <alignment horizontal="center" vertical="top"/>
    </xf>
    <xf numFmtId="37" fontId="8" fillId="0" borderId="0" xfId="0" applyNumberFormat="1" applyFont="1" applyAlignment="1">
      <alignment horizontal="center" vertical="top"/>
    </xf>
    <xf numFmtId="39" fontId="16" fillId="0" borderId="0" xfId="0" applyNumberFormat="1" applyFont="1"/>
    <xf numFmtId="37" fontId="8" fillId="0" borderId="6" xfId="0" applyNumberFormat="1" applyFont="1" applyBorder="1" applyAlignment="1">
      <alignment horizontal="center" vertical="top"/>
    </xf>
    <xf numFmtId="39" fontId="16" fillId="0" borderId="0" xfId="0" applyNumberFormat="1" applyFont="1" applyAlignment="1">
      <alignment horizontal="right"/>
    </xf>
    <xf numFmtId="40" fontId="16" fillId="0" borderId="0" xfId="0" applyNumberFormat="1" applyFont="1" applyAlignment="1">
      <alignment horizontal="right"/>
    </xf>
    <xf numFmtId="40" fontId="16" fillId="0" borderId="0" xfId="0" applyNumberFormat="1" applyFont="1" applyAlignment="1">
      <alignment horizontal="left"/>
    </xf>
    <xf numFmtId="39" fontId="2" fillId="0" borderId="0" xfId="0" applyNumberFormat="1" applyFont="1" applyAlignment="1">
      <alignment horizontal="left"/>
    </xf>
    <xf numFmtId="0" fontId="3" fillId="0" borderId="0" xfId="0" applyFont="1" applyAlignment="1">
      <alignment horizontal="center" vertical="top"/>
    </xf>
    <xf numFmtId="37" fontId="21" fillId="0" borderId="0" xfId="0" applyNumberFormat="1" applyFont="1" applyAlignment="1">
      <alignment horizontal="center" vertical="top"/>
    </xf>
    <xf numFmtId="37" fontId="3" fillId="0" borderId="0" xfId="0" applyNumberFormat="1" applyFont="1" applyAlignment="1">
      <alignment horizontal="center" vertical="top"/>
    </xf>
    <xf numFmtId="0" fontId="18" fillId="0" borderId="2" xfId="0" applyFont="1" applyBorder="1" applyAlignment="1">
      <alignment horizontal="left" vertical="center" wrapText="1"/>
    </xf>
    <xf numFmtId="0" fontId="18" fillId="0" borderId="0" xfId="0" applyFont="1" applyAlignment="1">
      <alignment horizontal="left" vertical="center" wrapText="1"/>
    </xf>
    <xf numFmtId="39" fontId="37" fillId="4" borderId="0" xfId="0" applyNumberFormat="1" applyFont="1" applyFill="1" applyAlignment="1">
      <alignment horizontal="left"/>
    </xf>
    <xf numFmtId="0" fontId="37" fillId="0" borderId="0" xfId="0" applyFont="1" applyAlignment="1">
      <alignment horizontal="left"/>
    </xf>
    <xf numFmtId="0" fontId="39" fillId="0" borderId="0" xfId="0" applyFont="1" applyAlignment="1">
      <alignment horizontal="center" vertical="top"/>
    </xf>
    <xf numFmtId="37" fontId="40" fillId="0" borderId="0" xfId="0" applyNumberFormat="1" applyFont="1" applyAlignment="1">
      <alignment horizontal="center" vertical="top"/>
    </xf>
    <xf numFmtId="37" fontId="39" fillId="0" borderId="6" xfId="0" applyNumberFormat="1" applyFont="1" applyBorder="1" applyAlignment="1">
      <alignment horizontal="center" vertical="top"/>
    </xf>
    <xf numFmtId="0" fontId="18" fillId="0" borderId="0" xfId="0" applyFont="1" applyAlignment="1">
      <alignment horizontal="left" vertical="center"/>
    </xf>
    <xf numFmtId="0" fontId="2" fillId="0" borderId="0" xfId="0" applyFont="1" applyAlignment="1">
      <alignment horizontal="center" vertical="top"/>
    </xf>
    <xf numFmtId="37" fontId="6" fillId="0" borderId="0" xfId="0" applyNumberFormat="1" applyFont="1" applyAlignment="1">
      <alignment horizontal="center" vertical="top"/>
    </xf>
    <xf numFmtId="37" fontId="2" fillId="0" borderId="6" xfId="0" applyNumberFormat="1" applyFont="1" applyBorder="1" applyAlignment="1">
      <alignment horizontal="center" vertical="top"/>
    </xf>
    <xf numFmtId="0" fontId="18" fillId="0" borderId="2" xfId="0" applyFont="1" applyBorder="1" applyAlignment="1">
      <alignment horizontal="left" vertical="center"/>
    </xf>
    <xf numFmtId="0" fontId="31" fillId="0" borderId="0" xfId="0" applyFont="1" applyAlignment="1">
      <alignment horizontal="center" vertical="top"/>
    </xf>
    <xf numFmtId="37" fontId="33" fillId="0" borderId="0" xfId="0" applyNumberFormat="1" applyFont="1" applyAlignment="1">
      <alignment horizontal="center" vertical="top"/>
    </xf>
    <xf numFmtId="37" fontId="31" fillId="0" borderId="6" xfId="0" applyNumberFormat="1" applyFont="1" applyBorder="1" applyAlignment="1">
      <alignment horizontal="center" vertical="top"/>
    </xf>
    <xf numFmtId="39" fontId="3" fillId="0" borderId="0" xfId="0" applyNumberFormat="1" applyFont="1" applyAlignment="1">
      <alignment horizontal="right"/>
    </xf>
    <xf numFmtId="0" fontId="48" fillId="0" borderId="0" xfId="0" applyFont="1" applyAlignment="1">
      <alignment horizontal="center" vertical="top"/>
    </xf>
    <xf numFmtId="37" fontId="49" fillId="0" borderId="0" xfId="0" applyNumberFormat="1" applyFont="1" applyAlignment="1">
      <alignment horizontal="center" vertical="top"/>
    </xf>
    <xf numFmtId="37" fontId="48" fillId="0" borderId="6" xfId="0" applyNumberFormat="1" applyFont="1" applyBorder="1" applyAlignment="1">
      <alignment horizontal="center" vertical="top"/>
    </xf>
    <xf numFmtId="37" fontId="16" fillId="0" borderId="6" xfId="0" applyNumberFormat="1" applyFont="1" applyBorder="1" applyAlignment="1">
      <alignment horizontal="center" vertical="top"/>
    </xf>
  </cellXfs>
  <cellStyles count="7">
    <cellStyle name="Comma" xfId="1" builtinId="3"/>
    <cellStyle name="Comma 2" xfId="6" xr:uid="{4CC63FDE-6479-4FBE-BED6-972BB0632191}"/>
    <cellStyle name="Normal" xfId="0" builtinId="0"/>
    <cellStyle name="Normal 2" xfId="4" xr:uid="{43FF535D-5CD7-438A-B410-BD7D2E870176}"/>
    <cellStyle name="Normal 3" xfId="3" xr:uid="{A90E1C0D-14CD-4D4B-8600-4C10190FCD1D}"/>
    <cellStyle name="Normal_Book1" xfId="5" xr:uid="{55DCCF0A-2DFF-4CDE-9CE1-2B140102377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4.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owen_miller_un_org/Documents/Documents/Sample%20download.xlsx" TargetMode="External"/><Relationship Id="rId1" Type="http://schemas.openxmlformats.org/officeDocument/2006/relationships/externalLinkPath" Target="Sample%20downloa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Interest_Income/Trinneial_Interest%20income.xlsx" TargetMode="External"/><Relationship Id="rId1" Type="http://schemas.openxmlformats.org/officeDocument/2006/relationships/externalLinkPath" Target="/personal/girma_gina_un_org/Documents/MFL/MFL/Interest_Income/Trinneial_Interest%20incom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94th_ExCom/FERM%20Gain%20and%20Loss%20as%20at%2031.05.2024.xls" TargetMode="External"/><Relationship Id="rId1" Type="http://schemas.openxmlformats.org/officeDocument/2006/relationships/externalLinkPath" Target="/personal/fadi_abouelias_un_org/Documents/C-Drive/MLF/EXCOM/94th%20Meeting/Documents/Status%20of%20Contributions/Drafts/V6-Received%20from%20Girma/FERM%20Gain%20and%20Loss%20as%20at%2031.05.2024.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94th_ExCom/FERM%20Gain%20and%20Loss%20as%20at%2031.05.2024.xls" TargetMode="External"/><Relationship Id="rId1" Type="http://schemas.openxmlformats.org/officeDocument/2006/relationships/externalLinkPath" Target="/personal/fadi_abouelias_un_org/Documents/C-Drive/MLF/EXCOM/94th%20Meeting/Documents/Status%20of%20Contributions/In-session/FERM%20Gain%20and%20Loss%20as%20at%2031.05.20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tistics"/>
      <sheetName val="Status"/>
      <sheetName val="YR2023"/>
      <sheetName val="YR2022"/>
    </sheetNames>
    <sheetDataSet>
      <sheetData sheetId="0"/>
      <sheetData sheetId="1">
        <row r="1">
          <cell r="C1" t="str">
            <v>UNEP/OzL.Pro/ExCom/94/3</v>
          </cell>
        </row>
        <row r="6">
          <cell r="A6" t="str">
            <v>As at 24/05/2024</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15_17_Interest"/>
      <sheetName val="2018_20_Interest"/>
      <sheetName val="2021_23_Interest"/>
      <sheetName val="2024_26_Interest"/>
      <sheetName val="Sheet3"/>
    </sheetNames>
    <sheetDataSet>
      <sheetData sheetId="0"/>
      <sheetData sheetId="1"/>
      <sheetData sheetId="2">
        <row r="68">
          <cell r="D68">
            <v>38706412.780000001</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ow r="100">
          <cell r="D100">
            <v>2612082.1424330585</v>
          </cell>
        </row>
        <row r="101">
          <cell r="D101">
            <v>517558.62613258261</v>
          </cell>
        </row>
        <row r="103">
          <cell r="D103">
            <v>-1070816.9367961115</v>
          </cell>
        </row>
        <row r="104">
          <cell r="D104">
            <v>179764.44969109265</v>
          </cell>
        </row>
        <row r="105">
          <cell r="D105">
            <v>50507.634293122384</v>
          </cell>
        </row>
        <row r="106">
          <cell r="D106">
            <v>726084.80068758852</v>
          </cell>
        </row>
        <row r="107">
          <cell r="D107">
            <v>4379.2182163185207</v>
          </cell>
        </row>
        <row r="109">
          <cell r="D109">
            <v>-58592.863029833126</v>
          </cell>
        </row>
        <row r="110">
          <cell r="D110">
            <v>-4326929.1537742922</v>
          </cell>
        </row>
        <row r="113">
          <cell r="D113">
            <v>102931.95168235083</v>
          </cell>
        </row>
        <row r="114">
          <cell r="D114">
            <v>51218.003903283177</v>
          </cell>
        </row>
        <row r="115">
          <cell r="D115">
            <v>897883.79583348893</v>
          </cell>
        </row>
        <row r="116">
          <cell r="D116">
            <v>7669715.2762428699</v>
          </cell>
        </row>
        <row r="117">
          <cell r="D117">
            <v>-14878.565886757449</v>
          </cell>
        </row>
        <row r="118">
          <cell r="D118">
            <v>-1376.5715850361266</v>
          </cell>
        </row>
        <row r="119">
          <cell r="D119">
            <v>17635.093815221509</v>
          </cell>
        </row>
        <row r="120">
          <cell r="D120">
            <v>15484.63042334206</v>
          </cell>
        </row>
        <row r="121">
          <cell r="D121">
            <v>-571.53258343895504</v>
          </cell>
        </row>
        <row r="122">
          <cell r="D122">
            <v>-9.9999999999999995E-7</v>
          </cell>
        </row>
        <row r="123">
          <cell r="D123">
            <v>482201.52233455342</v>
          </cell>
        </row>
        <row r="124">
          <cell r="D124">
            <v>2024225.9409621567</v>
          </cell>
        </row>
        <row r="125">
          <cell r="D125">
            <v>1436466.6558757434</v>
          </cell>
        </row>
        <row r="127">
          <cell r="D127">
            <v>-1285.7995563792647</v>
          </cell>
        </row>
        <row r="128">
          <cell r="D128">
            <v>6576264.6170411594</v>
          </cell>
        </row>
        <row r="129">
          <cell r="D129">
            <v>3429.0443625200414</v>
          </cell>
        </row>
        <row r="130">
          <cell r="D130">
            <v>6037.1446589246661</v>
          </cell>
        </row>
        <row r="131">
          <cell r="D131">
            <v>183326.75934440293</v>
          </cell>
        </row>
        <row r="133">
          <cell r="D133">
            <v>874336.74799752771</v>
          </cell>
        </row>
        <row r="134">
          <cell r="D134">
            <v>-2130301.7809921568</v>
          </cell>
        </row>
        <row r="135">
          <cell r="D135">
            <v>1185228.5003438238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ow r="102">
          <cell r="D102">
            <v>2544028.0918142796</v>
          </cell>
        </row>
        <row r="108">
          <cell r="D108">
            <v>58850.667911263947</v>
          </cell>
        </row>
        <row r="111">
          <cell r="D111">
            <v>7263875.3918412859</v>
          </cell>
        </row>
        <row r="112">
          <cell r="D112">
            <v>-1224610.7613075883</v>
          </cell>
        </row>
        <row r="126">
          <cell r="D126">
            <v>268750.91781857901</v>
          </cell>
        </row>
        <row r="132">
          <cell r="D132">
            <v>3123009.5305774738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persons/person.xml><?xml version="1.0" encoding="utf-8"?>
<personList xmlns="http://schemas.microsoft.com/office/spreadsheetml/2018/threadedcomments" xmlns:x="http://schemas.openxmlformats.org/spreadsheetml/2006/main">
  <person displayName="Girma Gina" id="{89AAA98A-ED27-43B8-8104-9E51F8AB2E2A}" userId="S-1-5-21-3409425046-721531827-225666627-10621" providerId="AD"/>
  <person displayName="Girma Gina" id="{050B8286-ED73-4055-BF25-5DDE9B2B4060}" userId="S::girma.gina@un.org::90e5efff-ae20-4b95-841a-5944e2503ddc" providerId="AD"/>
  <person displayName="Samuel Shimba" id="{D407842A-4913-4787-B7DE-D0C810A503F6}" userId="S::samuel.shimba@un.org::73b05dbb-98d4-47da-b7a7-3f6f48f8e37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1" dT="2024-04-27T10:47:49.28" personId="{050B8286-ED73-4055-BF25-5DDE9B2B4060}" id="{6F455D61-9E54-4BDD-85D3-A67482821E16}">
    <text>Deferred contribution from Australia</text>
  </threadedComment>
</ThreadedComments>
</file>

<file path=xl/threadedComments/threadedComment10.xml><?xml version="1.0" encoding="utf-8"?>
<ThreadedComments xmlns="http://schemas.microsoft.com/office/spreadsheetml/2018/threadedcomments" xmlns:x="http://schemas.openxmlformats.org/spreadsheetml/2006/main">
  <threadedComment ref="C25" dT="2022-01-06T15:34:21.39" personId="{050B8286-ED73-4055-BF25-5DDE9B2B4060}" id="{AE3B594F-503D-416D-97DF-A84410AC32AA}">
    <text>From Greece payment on 29/12/2021 US$8,592,814.10</text>
  </threadedComment>
</ThreadedComments>
</file>

<file path=xl/threadedComments/threadedComment11.xml><?xml version="1.0" encoding="utf-8"?>
<ThreadedComments xmlns="http://schemas.microsoft.com/office/spreadsheetml/2018/threadedcomments" xmlns:x="http://schemas.openxmlformats.org/spreadsheetml/2006/main">
  <threadedComment ref="C25" dT="2022-01-06T15:33:47.39" personId="{050B8286-ED73-4055-BF25-5DDE9B2B4060}" id="{1BCD0D7E-C405-43C4-80F2-514A9DFDB238}">
    <text>From Greece payment on 29/12/2021 US$8,592,814.10</text>
  </threadedComment>
</ThreadedComments>
</file>

<file path=xl/threadedComments/threadedComment12.xml><?xml version="1.0" encoding="utf-8"?>
<ThreadedComments xmlns="http://schemas.microsoft.com/office/spreadsheetml/2018/threadedcomments" xmlns:x="http://schemas.openxmlformats.org/spreadsheetml/2006/main">
  <threadedComment ref="C25" dT="2022-01-06T15:33:19.22" personId="{050B8286-ED73-4055-BF25-5DDE9B2B4060}" id="{097DFE4D-3CF7-494D-B432-8D50651065AB}">
    <text>From Greece payment on 29/12/2021 US$8,592,814.10</text>
  </threadedComment>
</ThreadedComments>
</file>

<file path=xl/threadedComments/threadedComment13.xml><?xml version="1.0" encoding="utf-8"?>
<ThreadedComments xmlns="http://schemas.microsoft.com/office/spreadsheetml/2018/threadedcomments" xmlns:x="http://schemas.openxmlformats.org/spreadsheetml/2006/main">
  <threadedComment ref="D20" dT="2020-10-20T10:56:00.64" personId="{050B8286-ED73-4055-BF25-5DDE9B2B4060}" id="{3044DFB1-985B-4766-8B98-6113960C1E7C}">
    <text>Adjustment as per bilateral reconciliation</text>
  </threadedComment>
</ThreadedComments>
</file>

<file path=xl/threadedComments/threadedComment14.xml><?xml version="1.0" encoding="utf-8"?>
<ThreadedComments xmlns="http://schemas.microsoft.com/office/spreadsheetml/2018/threadedcomments" xmlns:x="http://schemas.openxmlformats.org/spreadsheetml/2006/main">
  <threadedComment ref="D20" dT="2020-10-20T10:55:29.47" personId="{050B8286-ED73-4055-BF25-5DDE9B2B4060}" id="{B8CB65A7-23BE-45A9-9A9B-AA5E860F9E60}">
    <text>Adjustment as per bilateral reconciliation</text>
  </threadedComment>
</ThreadedComments>
</file>

<file path=xl/threadedComments/threadedComment15.xml><?xml version="1.0" encoding="utf-8"?>
<ThreadedComments xmlns="http://schemas.microsoft.com/office/spreadsheetml/2018/threadedcomments" xmlns:x="http://schemas.openxmlformats.org/spreadsheetml/2006/main">
  <threadedComment ref="D20" dT="2020-10-20T10:53:06.90" personId="{050B8286-ED73-4055-BF25-5DDE9B2B4060}" id="{CEA1EF39-23FE-4400-819F-B6375382491B}">
    <text>Adjustment as per bilateral reconciliation</text>
  </threadedComment>
</ThreadedComments>
</file>

<file path=xl/threadedComments/threadedComment16.xml><?xml version="1.0" encoding="utf-8"?>
<ThreadedComments xmlns="http://schemas.microsoft.com/office/spreadsheetml/2018/threadedcomments" xmlns:x="http://schemas.openxmlformats.org/spreadsheetml/2006/main">
  <threadedComment ref="D20" dT="2020-10-20T10:49:18.76" personId="{050B8286-ED73-4055-BF25-5DDE9B2B4060}" id="{50F1A08F-5364-41FB-8B91-DA36D586A4D1}">
    <text>Adjustment as per bilateral reconciliation</text>
  </threadedComment>
</ThreadedComments>
</file>

<file path=xl/threadedComments/threadedComment17.xml><?xml version="1.0" encoding="utf-8"?>
<ThreadedComments xmlns="http://schemas.microsoft.com/office/spreadsheetml/2018/threadedcomments" xmlns:x="http://schemas.openxmlformats.org/spreadsheetml/2006/main">
  <threadedComment ref="D20" dT="2020-10-20T10:47:52.91" personId="{050B8286-ED73-4055-BF25-5DDE9B2B4060}" id="{26A6C3F3-7530-469C-AEFE-3EA9D4A8CF77}">
    <text>Adjustment as per bilateral reconciliation</text>
  </threadedComment>
</ThreadedComments>
</file>

<file path=xl/threadedComments/threadedComment18.xml><?xml version="1.0" encoding="utf-8"?>
<ThreadedComments xmlns="http://schemas.microsoft.com/office/spreadsheetml/2018/threadedcomments" xmlns:x="http://schemas.openxmlformats.org/spreadsheetml/2006/main">
  <threadedComment ref="D20" dT="2020-10-20T10:46:18.82" personId="{050B8286-ED73-4055-BF25-5DDE9B2B4060}" id="{C6A3FA63-62DE-4AEE-BBC1-804F6D4D3C59}">
    <text>Adjustment as per bilateral reconciliation</text>
  </threadedComment>
</ThreadedComments>
</file>

<file path=xl/threadedComments/threadedComment19.xml><?xml version="1.0" encoding="utf-8"?>
<ThreadedComments xmlns="http://schemas.microsoft.com/office/spreadsheetml/2018/threadedcomments" xmlns:x="http://schemas.openxmlformats.org/spreadsheetml/2006/main">
  <threadedComment ref="D23" dT="2020-10-20T10:46:01.70" personId="{050B8286-ED73-4055-BF25-5DDE9B2B4060}" id="{12D1188A-6C7A-47C8-96FA-BB78AA86C97D}">
    <text>Adjustment as per bilateral reconciliation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D24" dT="2023-06-15T09:41:05.88" personId="{050B8286-ED73-4055-BF25-5DDE9B2B4060}" id="{C8E410B6-889B-4539-8C38-EFD6DA9B7683}">
    <text>Bilateral approved at 92nd and transfer of projects to UNDP as per 92nd decision and 93rd meeting</text>
  </threadedComment>
  <threadedComment ref="D32" dT="2024-04-15T05:59:38.31" personId="{050B8286-ED73-4055-BF25-5DDE9B2B4060}" id="{81C7A460-8C21-4EC6-8353-317C38F2D3DF}">
    <text>Bilateral 93rd meeting</text>
  </threadedComment>
</ThreadedComments>
</file>

<file path=xl/threadedComments/threadedComment20.xml><?xml version="1.0" encoding="utf-8"?>
<ThreadedComments xmlns="http://schemas.microsoft.com/office/spreadsheetml/2018/threadedcomments" xmlns:x="http://schemas.openxmlformats.org/spreadsheetml/2006/main">
  <threadedComment ref="D23" dT="2020-10-20T10:45:51.20" personId="{050B8286-ED73-4055-BF25-5DDE9B2B4060}" id="{3F80C775-FA20-4027-AE9F-11EFD9F11A25}">
    <text>Adjustment as per bilateral reconciliation</text>
  </threadedComment>
</ThreadedComments>
</file>

<file path=xl/threadedComments/threadedComment21.xml><?xml version="1.0" encoding="utf-8"?>
<ThreadedComments xmlns="http://schemas.microsoft.com/office/spreadsheetml/2018/threadedcomments" xmlns:x="http://schemas.openxmlformats.org/spreadsheetml/2006/main">
  <threadedComment ref="D23" dT="2020-10-20T10:45:25.40" personId="{050B8286-ED73-4055-BF25-5DDE9B2B4060}" id="{BD0C75FC-12E0-46AF-88CE-8FEF49EC310F}">
    <text>Adjustment as per bilateral reconciliation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D24" dT="2022-12-29T08:40:54.19" personId="{050B8286-ED73-4055-BF25-5DDE9B2B4060}" id="{42158F13-B374-4B46-86DC-194E324B76F7}">
    <text>Bilateral 90th ExCom 07 July 2022 and 91st Excom dd 28 Dec 2022</text>
  </threadedComment>
</ThreadedComments>
</file>

<file path=xl/threadedComments/threadedComment4.xml><?xml version="1.0" encoding="utf-8"?>
<ThreadedComments xmlns="http://schemas.microsoft.com/office/spreadsheetml/2018/threadedcomments" xmlns:x="http://schemas.openxmlformats.org/spreadsheetml/2006/main">
  <threadedComment ref="D23" dT="2022-05-26T06:33:39.66" personId="{050B8286-ED73-4055-BF25-5DDE9B2B4060}" id="{95602D43-0518-46FC-8DC3-8B784149C5E4}">
    <text>Bilateral approved at 86th ExCom and US$6,747 return of bilateral to the 87th ExCom</text>
  </threadedComment>
  <threadedComment ref="D23" dT="2022-12-01T07:35:00.45" personId="{050B8286-ED73-4055-BF25-5DDE9B2B4060}" id="{7319E5C8-F808-4449-A8B0-F0DD6E493FCB}" parentId="{95602D43-0518-46FC-8DC3-8B784149C5E4}">
    <text>Difference of $30,250 arose because of the FERM rate difference between 2018/20 and 2021/23</text>
  </threadedComment>
  <threadedComment ref="D23" dT="2022-12-01T07:36:24.86" personId="{050B8286-ED73-4055-BF25-5DDE9B2B4060}" id="{7B90A0D3-27F2-4E93-9FFB-3EC45CB41ACD}" parentId="{95602D43-0518-46FC-8DC3-8B784149C5E4}">
    <text>86th ExCom decided to offset France's 2020 contribution for the bilateral, but invoice done in 2021/22</text>
  </threadedComment>
  <threadedComment ref="D23" dT="2023-04-24T06:29:12.89" personId="{050B8286-ED73-4055-BF25-5DDE9B2B4060}" id="{41F1D8E4-6F13-4000-B00A-9258DA27620A}" parentId="{95602D43-0518-46FC-8DC3-8B784149C5E4}">
    <text>Bilateral return ExCom decision 91/3 (a)(vi) US$21,199</text>
  </threadedComment>
  <threadedComment ref="D24" dT="2022-08-23T10:39:27.45" personId="{050B8286-ED73-4055-BF25-5DDE9B2B4060}" id="{F01F2486-62F1-4B3D-8D34-9C3B2987B8CD}">
    <text>US$1,102,511 at 87th ExCom US$3,214,121 at 88th ExCom; balance to be transferred to 2022</text>
  </threadedComment>
  <threadedComment ref="D31" dT="2022-08-02T08:07:21.84" personId="{050B8286-ED73-4055-BF25-5DDE9B2B4060}" id="{03BDAC45-F2E4-4F2E-A012-E00F9ABEC245}">
    <text>Bilateral approved at 88th ExCom</text>
  </threadedComment>
  <threadedComment ref="D32" dT="2024-02-06T08:12:59.64" personId="{050B8286-ED73-4055-BF25-5DDE9B2B4060}" id="{0B6E999B-FBAF-4602-BD8C-37C34FA53E15}">
    <text>Approved 87th and 88th ExCom</text>
  </threadedComment>
</ThreadedComments>
</file>

<file path=xl/threadedComments/threadedComment5.xml><?xml version="1.0" encoding="utf-8"?>
<ThreadedComments xmlns="http://schemas.microsoft.com/office/spreadsheetml/2018/threadedcomments" xmlns:x="http://schemas.openxmlformats.org/spreadsheetml/2006/main">
  <threadedComment ref="D16" dT="2019-09-24T14:04:59.62" personId="{050B8286-ED73-4055-BF25-5DDE9B2B4060}" id="{7A63BFF3-56A5-4366-97AE-E67630A98965}">
    <text>Email request from Phillipe on 24/09/2019</text>
  </threadedComment>
  <threadedComment ref="D16" dT="2020-06-10T08:48:34.32" personId="{050B8286-ED73-4055-BF25-5DDE9B2B4060}" id="{850E80C3-A512-4163-B178-FC7342B148E7}" parentId="{7A63BFF3-56A5-4366-97AE-E67630A98965}">
    <text>US$42,800 85th ISA</text>
  </threadedComment>
  <threadedComment ref="D23" dT="2020-01-23T13:33:31.14" personId="{050B8286-ED73-4055-BF25-5DDE9B2B4060}" id="{74F000F5-243F-4633-B4F6-C0A2C74B6C4C}">
    <text>84th ExCom bilateral approval</text>
  </threadedComment>
  <threadedComment ref="D23" dT="2020-06-10T08:47:58.97" personId="{050B8286-ED73-4055-BF25-5DDE9B2B4060}" id="{50AEADCD-59D0-4DF9-BFD6-ABD9F016E785}" parentId="{74F000F5-243F-4633-B4F6-C0A2C74B6C4C}">
    <text>US5,085 85th ISA</text>
  </threadedComment>
  <threadedComment ref="D23" dT="2021-08-12T13:32:04.64" personId="{D407842A-4913-4787-B7DE-D0C810A503F6}" id="{89B414CA-24DF-4464-B425-044D551DD791}" parentId="{74F000F5-243F-4633-B4F6-C0A2C74B6C4C}">
    <text>87th ExCom Cash transfer due</text>
  </threadedComment>
</ThreadedComments>
</file>

<file path=xl/threadedComments/threadedComment6.xml><?xml version="1.0" encoding="utf-8"?>
<ThreadedComments xmlns="http://schemas.microsoft.com/office/spreadsheetml/2018/threadedcomments" xmlns:x="http://schemas.openxmlformats.org/spreadsheetml/2006/main">
  <threadedComment ref="D16" dT="2019-09-24T14:04:14.71" personId="{050B8286-ED73-4055-BF25-5DDE9B2B4060}" id="{7D76BCFE-8940-48D0-AFF9-CE83BFEE5282}">
    <text>Email request from Phillipe on 24/09/2019</text>
  </threadedComment>
  <threadedComment ref="C24" dT="2019-03-26T06:27:14.35" personId="{050B8286-ED73-4055-BF25-5DDE9B2B4060}" id="{1F92A21C-2F77-40C4-8872-E3BAEDB377A9}">
    <text>US$304,950 is bilateral from the additional contribution that Germany paid without deducting it.</text>
  </threadedComment>
  <threadedComment ref="D24" dT="2019-01-17T14:01:56.82" personId="{89AAA98A-ED27-43B8-8104-9E51F8AB2E2A}" id="{C831BBF8-190D-438C-A024-98B1D153B605}">
    <text>US$1,852,533.4 bilateral approved by 82nd ExCom</text>
  </threadedComment>
  <threadedComment ref="D24" dT="2020-06-02T07:21:10.19" personId="{050B8286-ED73-4055-BF25-5DDE9B2B4060}" id="{3AACB4D1-2346-47AE-8033-C9C8EA2F359F}" parentId="{C831BBF8-190D-438C-A024-98B1D153B605}">
    <text>$1,367,733.6 portion of 84th ExCom approval</text>
  </threadedComment>
  <threadedComment ref="C25" dT="2022-01-06T15:36:02.22" personId="{050B8286-ED73-4055-BF25-5DDE9B2B4060}" id="{48529FD9-7CE9-44CB-87E6-2938AA58AADF}">
    <text>From Greece payment on 29/12/2021 US$8,592,814.10</text>
  </threadedComment>
  <threadedComment ref="D31" dT="2020-08-21T10:05:42.42" personId="{050B8286-ED73-4055-BF25-5DDE9B2B4060}" id="{100460EE-D6BF-4935-98D6-9839A47D353D}">
    <text>84th Excom approval</text>
  </threadedComment>
  <threadedComment ref="C32" dT="2020-01-28T07:57:15.83" personId="{050B8286-ED73-4055-BF25-5DDE9B2B4060}" id="{3C5974EA-09B2-4AFB-964F-8F4FBF7E71DF}">
    <text>MOFA &amp; MOE invoices settled and on 17/03/2020 MoF settled the balance</text>
  </threadedComment>
  <threadedComment ref="D32" dT="2020-08-17T05:37:39.79" personId="{050B8286-ED73-4055-BF25-5DDE9B2B4060}" id="{93003BFA-4C6D-4EBB-BB5B-08F8D60B9699}">
    <text>84th ExCom meeting approval</text>
  </threadedComment>
  <threadedComment ref="D32" dT="2020-08-19T07:11:37.95" personId="{050B8286-ED73-4055-BF25-5DDE9B2B4060}" id="{5F74B6AA-AA0E-4B8F-B239-84D35B06A6E6}" parentId="{93003BFA-4C6D-4EBB-BB5B-08F8D60B9699}">
    <text>Paid to WB on 06 March 2020</text>
  </threadedComment>
</ThreadedComments>
</file>

<file path=xl/threadedComments/threadedComment7.xml><?xml version="1.0" encoding="utf-8"?>
<ThreadedComments xmlns="http://schemas.microsoft.com/office/spreadsheetml/2018/threadedcomments" xmlns:x="http://schemas.openxmlformats.org/spreadsheetml/2006/main">
  <threadedComment ref="D23" dT="2019-01-17T13:01:40.39" personId="{89AAA98A-ED27-43B8-8104-9E51F8AB2E2A}" id="{166EFB7F-1C0E-479E-923A-F19C12D2CD5B}">
    <text>82nd ExCom bilateral approva</text>
  </threadedComment>
  <threadedComment ref="D24" dT="2019-01-17T13:57:11.98" personId="{89AAA98A-ED27-43B8-8104-9E51F8AB2E2A}" id="{02CCE766-94F6-4EFF-9B1C-0537FCB7C132}">
    <text>US$222,182 bilateral approved 81st ExCom; US$2,998,084.6</text>
  </threadedComment>
  <threadedComment ref="C25" dT="2022-01-06T15:35:34.14" personId="{050B8286-ED73-4055-BF25-5DDE9B2B4060}" id="{BFC0BCEA-FD1D-4645-B479-EB72877571CD}">
    <text>From Greece payment on 29/12/2021 US$8,592,814.10</text>
  </threadedComment>
</ThreadedComments>
</file>

<file path=xl/threadedComments/threadedComment8.xml><?xml version="1.0" encoding="utf-8"?>
<ThreadedComments xmlns="http://schemas.microsoft.com/office/spreadsheetml/2018/threadedcomments" xmlns:x="http://schemas.openxmlformats.org/spreadsheetml/2006/main">
  <threadedComment ref="C25" dT="2022-01-06T15:35:01.44" personId="{050B8286-ED73-4055-BF25-5DDE9B2B4060}" id="{9580F38D-58CC-4914-A29E-458DDEFE12D0}">
    <text>From Greece payment on 29/12/2021 US$8,592,814.10</text>
  </threadedComment>
  <threadedComment ref="C44" dT="2019-01-16T13:14:20.17" personId="{89AAA98A-ED27-43B8-8104-9E51F8AB2E2A}" id="{F832AEF9-67AA-4955-8A35-348F2709A5A2}">
    <text>From Portugal payment of US$1,826,537.45 dd 17/12/2018</text>
  </threadedComment>
</ThreadedComments>
</file>

<file path=xl/threadedComments/threadedComment9.xml><?xml version="1.0" encoding="utf-8"?>
<ThreadedComments xmlns="http://schemas.microsoft.com/office/spreadsheetml/2018/threadedcomments" xmlns:x="http://schemas.openxmlformats.org/spreadsheetml/2006/main">
  <threadedComment ref="C25" dT="2022-01-06T15:34:42.85" personId="{050B8286-ED73-4055-BF25-5DDE9B2B4060}" id="{0698250B-A735-44B8-B8F1-62DA71E1487D}">
    <text>From Greece payment on 29/12/2021 US$8,592,814.10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4" Type="http://schemas.microsoft.com/office/2017/10/relationships/threadedComment" Target="../threadedComments/threadedComment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4" Type="http://schemas.microsoft.com/office/2017/10/relationships/threadedComment" Target="../threadedComments/threadedComment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4D83-CD8E-49B6-B786-28E58EFF4B0F}">
  <sheetPr>
    <pageSetUpPr fitToPage="1"/>
  </sheetPr>
  <dimension ref="A1:AH272"/>
  <sheetViews>
    <sheetView tabSelected="1" zoomScaleNormal="100" workbookViewId="0">
      <selection activeCell="H25" sqref="H25"/>
    </sheetView>
  </sheetViews>
  <sheetFormatPr defaultColWidth="9.7265625" defaultRowHeight="15.5"/>
  <cols>
    <col min="1" max="1" width="9.7265625" style="534"/>
    <col min="2" max="2" width="61.7265625" style="534" customWidth="1"/>
    <col min="3" max="3" width="22.26953125" style="534" customWidth="1"/>
    <col min="4" max="4" width="20.7265625" style="534" customWidth="1"/>
    <col min="5" max="5" width="2.36328125" style="534" customWidth="1"/>
    <col min="6" max="6" width="13.81640625" style="534" customWidth="1"/>
    <col min="7" max="7" width="11.7265625" style="539" customWidth="1"/>
    <col min="8" max="8" width="9.7265625" style="534"/>
    <col min="9" max="9" width="13.54296875" style="534" customWidth="1"/>
    <col min="10" max="10" width="13.54296875" style="539" bestFit="1" customWidth="1"/>
    <col min="11" max="16384" width="9.7265625" style="534"/>
  </cols>
  <sheetData>
    <row r="1" spans="1:34" ht="18" customHeight="1">
      <c r="A1" s="541"/>
      <c r="B1" s="596" t="s">
        <v>260</v>
      </c>
      <c r="C1" s="719"/>
      <c r="D1" s="720"/>
      <c r="E1" s="541"/>
      <c r="F1" s="541"/>
      <c r="G1" s="721"/>
      <c r="H1" s="541"/>
      <c r="I1" s="541"/>
      <c r="J1" s="721"/>
      <c r="K1" s="541"/>
      <c r="L1" s="541"/>
      <c r="M1" s="541"/>
      <c r="N1" s="541"/>
      <c r="O1" s="541"/>
      <c r="P1" s="541"/>
      <c r="Q1" s="541"/>
      <c r="R1" s="541"/>
      <c r="S1" s="541"/>
      <c r="T1" s="541"/>
      <c r="U1" s="541"/>
      <c r="V1" s="541"/>
      <c r="W1" s="541"/>
      <c r="X1" s="541"/>
      <c r="Y1" s="541"/>
      <c r="Z1" s="541"/>
      <c r="AA1" s="541"/>
      <c r="AB1" s="541"/>
      <c r="AC1" s="541"/>
      <c r="AD1" s="541"/>
      <c r="AE1" s="541"/>
      <c r="AF1" s="541"/>
      <c r="AG1" s="541"/>
      <c r="AH1" s="541"/>
    </row>
    <row r="2" spans="1:34" ht="18" customHeight="1">
      <c r="A2" s="541"/>
      <c r="B2" s="596" t="s">
        <v>0</v>
      </c>
      <c r="C2" s="719"/>
      <c r="D2" s="722"/>
      <c r="E2" s="541"/>
      <c r="F2" s="541"/>
      <c r="G2" s="721"/>
      <c r="H2" s="541"/>
      <c r="I2" s="541"/>
      <c r="J2" s="721"/>
      <c r="K2" s="541"/>
      <c r="L2" s="541"/>
      <c r="M2" s="541"/>
      <c r="N2" s="541"/>
      <c r="O2" s="541"/>
      <c r="P2" s="541"/>
      <c r="Q2" s="541"/>
      <c r="R2" s="541"/>
      <c r="S2" s="541"/>
      <c r="T2" s="541"/>
      <c r="U2" s="541"/>
      <c r="V2" s="541"/>
      <c r="W2" s="541"/>
      <c r="X2" s="541"/>
      <c r="Y2" s="541"/>
      <c r="Z2" s="541"/>
      <c r="AA2" s="541"/>
      <c r="AB2" s="541"/>
      <c r="AC2" s="541"/>
      <c r="AD2" s="541"/>
      <c r="AE2" s="541"/>
      <c r="AF2" s="541"/>
      <c r="AG2" s="541"/>
      <c r="AH2" s="541"/>
    </row>
    <row r="3" spans="1:34" ht="18" customHeight="1">
      <c r="A3" s="541"/>
      <c r="B3" s="637" t="s">
        <v>1</v>
      </c>
      <c r="C3" s="719"/>
      <c r="D3" s="722"/>
      <c r="E3" s="723"/>
      <c r="F3" s="541"/>
      <c r="G3" s="721"/>
      <c r="H3" s="541"/>
      <c r="I3" s="541"/>
      <c r="J3" s="721"/>
      <c r="K3" s="541"/>
      <c r="L3" s="541"/>
      <c r="M3" s="541"/>
      <c r="N3" s="541"/>
      <c r="O3" s="541"/>
      <c r="P3" s="541"/>
      <c r="Q3" s="541"/>
      <c r="R3" s="541"/>
      <c r="S3" s="541"/>
      <c r="T3" s="541"/>
      <c r="U3" s="541"/>
      <c r="V3" s="541"/>
      <c r="W3" s="541"/>
      <c r="X3" s="541"/>
      <c r="Y3" s="541"/>
      <c r="Z3" s="541"/>
      <c r="AA3" s="541"/>
      <c r="AB3" s="541"/>
      <c r="AC3" s="541"/>
      <c r="AD3" s="541"/>
      <c r="AE3" s="541"/>
      <c r="AF3" s="541"/>
      <c r="AG3" s="541"/>
      <c r="AH3" s="541"/>
    </row>
    <row r="4" spans="1:34">
      <c r="A4" s="541"/>
      <c r="B4" s="724"/>
      <c r="C4" s="645"/>
      <c r="D4" s="722"/>
      <c r="E4" s="723"/>
      <c r="F4" s="541"/>
      <c r="G4" s="721"/>
      <c r="H4" s="541"/>
      <c r="I4" s="541"/>
      <c r="J4" s="721"/>
      <c r="K4" s="541"/>
      <c r="L4" s="541"/>
      <c r="M4" s="541"/>
      <c r="N4" s="541"/>
      <c r="O4" s="541"/>
      <c r="P4" s="541"/>
      <c r="Q4" s="541"/>
      <c r="R4" s="541"/>
      <c r="S4" s="541"/>
      <c r="T4" s="541"/>
      <c r="U4" s="541"/>
      <c r="V4" s="541"/>
      <c r="W4" s="541"/>
      <c r="X4" s="541"/>
      <c r="Y4" s="541"/>
      <c r="Z4" s="541"/>
      <c r="AA4" s="541"/>
      <c r="AB4" s="541"/>
      <c r="AC4" s="541"/>
      <c r="AD4" s="541"/>
      <c r="AE4" s="541"/>
      <c r="AF4" s="541"/>
      <c r="AG4" s="541"/>
      <c r="AH4" s="541"/>
    </row>
    <row r="5" spans="1:34">
      <c r="A5" s="541"/>
      <c r="B5" s="724"/>
      <c r="C5" s="645"/>
      <c r="D5" s="722"/>
      <c r="E5" s="723"/>
      <c r="F5" s="541"/>
      <c r="G5" s="721"/>
      <c r="H5" s="541"/>
      <c r="I5" s="541"/>
      <c r="J5" s="721"/>
      <c r="K5" s="541"/>
      <c r="L5" s="541"/>
      <c r="M5" s="541"/>
      <c r="N5" s="541"/>
      <c r="O5" s="541"/>
      <c r="P5" s="541"/>
      <c r="Q5" s="541"/>
      <c r="R5" s="541"/>
      <c r="S5" s="541"/>
      <c r="T5" s="541"/>
      <c r="U5" s="541"/>
      <c r="V5" s="541"/>
      <c r="W5" s="541"/>
      <c r="X5" s="541"/>
      <c r="Y5" s="541"/>
      <c r="Z5" s="541"/>
      <c r="AA5" s="541"/>
      <c r="AB5" s="541"/>
      <c r="AC5" s="541"/>
      <c r="AD5" s="541"/>
      <c r="AE5" s="541"/>
      <c r="AF5" s="541"/>
      <c r="AG5" s="541"/>
      <c r="AH5" s="541"/>
    </row>
    <row r="6" spans="1:34" ht="16">
      <c r="A6" s="541"/>
      <c r="B6" s="775" t="s">
        <v>282</v>
      </c>
      <c r="C6" s="775"/>
      <c r="D6" s="775"/>
      <c r="E6" s="725"/>
      <c r="F6" s="541"/>
      <c r="G6" s="721"/>
      <c r="H6" s="541"/>
      <c r="I6" s="541"/>
      <c r="J6" s="721"/>
      <c r="K6" s="541"/>
      <c r="L6" s="541"/>
      <c r="M6" s="541"/>
      <c r="N6" s="541"/>
      <c r="O6" s="541"/>
      <c r="P6" s="541"/>
      <c r="Q6" s="541"/>
      <c r="R6" s="541"/>
      <c r="S6" s="541"/>
      <c r="T6" s="541"/>
      <c r="U6" s="541"/>
      <c r="V6" s="541"/>
      <c r="W6" s="541"/>
      <c r="X6" s="541"/>
      <c r="Y6" s="541"/>
      <c r="Z6" s="541"/>
      <c r="AA6" s="541"/>
      <c r="AB6" s="541"/>
      <c r="AC6" s="541"/>
      <c r="AD6" s="541"/>
      <c r="AE6" s="541"/>
      <c r="AF6" s="541"/>
      <c r="AG6" s="541"/>
      <c r="AH6" s="541"/>
    </row>
    <row r="7" spans="1:34">
      <c r="A7" s="541"/>
      <c r="B7" s="776" t="s">
        <v>286</v>
      </c>
      <c r="C7" s="776"/>
      <c r="D7" s="776"/>
      <c r="E7" s="725"/>
      <c r="F7" s="541"/>
      <c r="G7" s="721"/>
      <c r="H7" s="541"/>
      <c r="I7" s="541"/>
      <c r="J7" s="721"/>
      <c r="K7" s="541"/>
      <c r="L7" s="541"/>
      <c r="M7" s="541"/>
      <c r="N7" s="541"/>
      <c r="O7" s="541"/>
      <c r="P7" s="541"/>
      <c r="Q7" s="541"/>
      <c r="R7" s="541"/>
      <c r="S7" s="541"/>
      <c r="T7" s="541"/>
      <c r="U7" s="541"/>
      <c r="V7" s="541"/>
      <c r="W7" s="541"/>
      <c r="X7" s="541"/>
      <c r="Y7" s="541"/>
      <c r="Z7" s="541"/>
      <c r="AA7" s="541"/>
      <c r="AB7" s="541"/>
      <c r="AC7" s="541"/>
      <c r="AD7" s="541"/>
      <c r="AE7" s="541"/>
      <c r="AF7" s="541"/>
      <c r="AG7" s="541"/>
      <c r="AH7" s="541"/>
    </row>
    <row r="8" spans="1:34" ht="16">
      <c r="A8" s="541"/>
      <c r="B8" s="777" t="s">
        <v>280</v>
      </c>
      <c r="C8" s="777"/>
      <c r="D8" s="777"/>
      <c r="E8" s="725"/>
      <c r="F8" s="541"/>
      <c r="G8" s="721"/>
      <c r="H8" s="541"/>
      <c r="I8" s="541"/>
      <c r="J8" s="721"/>
      <c r="K8" s="541"/>
      <c r="L8" s="541"/>
      <c r="M8" s="541"/>
      <c r="N8" s="541"/>
      <c r="O8" s="541"/>
      <c r="P8" s="541"/>
      <c r="Q8" s="541"/>
      <c r="R8" s="541"/>
      <c r="S8" s="541"/>
      <c r="T8" s="541"/>
      <c r="U8" s="541"/>
      <c r="V8" s="541"/>
      <c r="W8" s="541"/>
      <c r="X8" s="541"/>
      <c r="Y8" s="541"/>
      <c r="Z8" s="541"/>
      <c r="AA8" s="541"/>
      <c r="AB8" s="541"/>
      <c r="AC8" s="541"/>
      <c r="AD8" s="541"/>
      <c r="AE8" s="541"/>
      <c r="AF8" s="541"/>
      <c r="AG8" s="541"/>
      <c r="AH8" s="541"/>
    </row>
    <row r="9" spans="1:34" ht="16" thickBot="1">
      <c r="A9" s="541"/>
      <c r="B9" s="726"/>
      <c r="C9" s="726"/>
      <c r="D9" s="726"/>
      <c r="E9" s="725"/>
      <c r="F9" s="541"/>
      <c r="G9" s="721"/>
      <c r="H9" s="541"/>
      <c r="I9" s="541"/>
      <c r="J9" s="721"/>
      <c r="K9" s="541"/>
      <c r="L9" s="541"/>
      <c r="M9" s="541"/>
      <c r="N9" s="541"/>
      <c r="O9" s="541"/>
      <c r="P9" s="541"/>
      <c r="Q9" s="541"/>
      <c r="R9" s="541"/>
      <c r="S9" s="541"/>
      <c r="T9" s="541"/>
      <c r="U9" s="541"/>
      <c r="V9" s="541"/>
      <c r="W9" s="541"/>
      <c r="X9" s="541"/>
      <c r="Y9" s="541"/>
      <c r="Z9" s="541"/>
      <c r="AA9" s="541"/>
      <c r="AB9" s="541"/>
      <c r="AC9" s="541"/>
      <c r="AD9" s="541"/>
      <c r="AE9" s="541"/>
      <c r="AF9" s="541"/>
      <c r="AG9" s="541"/>
      <c r="AH9" s="541"/>
    </row>
    <row r="10" spans="1:34">
      <c r="A10" s="541"/>
      <c r="B10" s="727" t="s">
        <v>3</v>
      </c>
      <c r="C10" s="728"/>
      <c r="D10" s="729"/>
      <c r="E10" s="725"/>
      <c r="F10" s="721"/>
      <c r="G10" s="721"/>
      <c r="H10" s="541"/>
      <c r="I10" s="541"/>
      <c r="J10" s="721"/>
      <c r="K10" s="541"/>
      <c r="L10" s="541"/>
      <c r="M10" s="541"/>
      <c r="N10" s="541"/>
      <c r="O10" s="541"/>
      <c r="P10" s="541"/>
      <c r="Q10" s="541"/>
      <c r="R10" s="541"/>
      <c r="S10" s="541"/>
      <c r="T10" s="541"/>
      <c r="U10" s="541"/>
      <c r="V10" s="541"/>
      <c r="W10" s="541"/>
      <c r="X10" s="541"/>
      <c r="Y10" s="541"/>
      <c r="Z10" s="541"/>
      <c r="AA10" s="541"/>
      <c r="AB10" s="541"/>
      <c r="AC10" s="541"/>
      <c r="AD10" s="541"/>
      <c r="AE10" s="541"/>
      <c r="AF10" s="541"/>
      <c r="AG10" s="541"/>
      <c r="AH10" s="541"/>
    </row>
    <row r="11" spans="1:34">
      <c r="A11" s="541"/>
      <c r="B11" s="730" t="s">
        <v>4</v>
      </c>
      <c r="C11" s="731"/>
      <c r="D11" s="732"/>
      <c r="E11" s="733"/>
      <c r="F11" s="542"/>
      <c r="G11" s="542"/>
      <c r="H11" s="733"/>
      <c r="I11" s="541"/>
      <c r="J11" s="721"/>
      <c r="K11" s="541"/>
      <c r="L11" s="541"/>
      <c r="M11" s="541"/>
      <c r="N11" s="541"/>
      <c r="O11" s="541"/>
      <c r="P11" s="541"/>
      <c r="Q11" s="541"/>
      <c r="R11" s="541"/>
      <c r="S11" s="541"/>
      <c r="T11" s="541"/>
      <c r="U11" s="541"/>
      <c r="V11" s="541"/>
      <c r="W11" s="541"/>
      <c r="X11" s="541"/>
      <c r="Y11" s="541"/>
      <c r="Z11" s="541"/>
      <c r="AA11" s="541"/>
      <c r="AB11" s="541"/>
      <c r="AC11" s="541"/>
      <c r="AD11" s="541"/>
      <c r="AE11" s="541"/>
      <c r="AF11" s="541"/>
      <c r="AG11" s="541"/>
      <c r="AH11" s="541"/>
    </row>
    <row r="12" spans="1:34" ht="17.5">
      <c r="A12" s="541"/>
      <c r="B12" s="730" t="s">
        <v>5</v>
      </c>
      <c r="C12" s="731"/>
      <c r="D12" s="734">
        <f>Statistics!O13</f>
        <v>4264502022.9102163</v>
      </c>
      <c r="E12" s="733"/>
      <c r="F12" s="735"/>
      <c r="G12" s="542"/>
      <c r="H12" s="736"/>
      <c r="I12" s="721"/>
      <c r="J12" s="721"/>
      <c r="K12" s="541"/>
      <c r="L12" s="541"/>
      <c r="M12" s="541"/>
      <c r="N12" s="541"/>
      <c r="O12" s="541"/>
      <c r="P12" s="541"/>
      <c r="Q12" s="541"/>
      <c r="R12" s="541"/>
      <c r="S12" s="541"/>
      <c r="T12" s="541"/>
      <c r="U12" s="541"/>
      <c r="V12" s="541"/>
      <c r="W12" s="541"/>
      <c r="X12" s="541"/>
      <c r="Y12" s="541"/>
      <c r="Z12" s="541"/>
      <c r="AA12" s="541"/>
      <c r="AB12" s="541"/>
      <c r="AC12" s="541"/>
      <c r="AD12" s="541"/>
      <c r="AE12" s="541"/>
      <c r="AF12" s="541"/>
      <c r="AG12" s="541"/>
      <c r="AH12" s="541"/>
    </row>
    <row r="13" spans="1:34">
      <c r="A13" s="541"/>
      <c r="B13" s="730" t="s">
        <v>6</v>
      </c>
      <c r="C13" s="731"/>
      <c r="D13" s="734">
        <f>Statistics!O15</f>
        <v>-0.10985664278268814</v>
      </c>
      <c r="E13" s="733"/>
      <c r="F13" s="542"/>
      <c r="G13" s="542"/>
      <c r="H13" s="736"/>
      <c r="I13" s="721"/>
      <c r="J13" s="721"/>
      <c r="K13" s="541"/>
      <c r="L13" s="541"/>
      <c r="M13" s="541"/>
      <c r="N13" s="541"/>
      <c r="O13" s="541"/>
      <c r="P13" s="541"/>
      <c r="Q13" s="541"/>
      <c r="R13" s="541"/>
      <c r="S13" s="541"/>
      <c r="T13" s="541"/>
      <c r="U13" s="541"/>
      <c r="V13" s="541"/>
      <c r="W13" s="541"/>
      <c r="X13" s="541"/>
      <c r="Y13" s="541"/>
      <c r="Z13" s="541"/>
      <c r="AA13" s="541"/>
      <c r="AB13" s="541"/>
      <c r="AC13" s="541"/>
      <c r="AD13" s="541"/>
      <c r="AE13" s="541"/>
      <c r="AF13" s="541"/>
      <c r="AG13" s="541"/>
      <c r="AH13" s="541"/>
    </row>
    <row r="14" spans="1:34">
      <c r="A14" s="541"/>
      <c r="B14" s="730" t="s">
        <v>7</v>
      </c>
      <c r="C14" s="731"/>
      <c r="D14" s="734">
        <f>Statistics!O14</f>
        <v>188759809.12</v>
      </c>
      <c r="E14" s="733"/>
      <c r="F14" s="542"/>
      <c r="G14" s="542"/>
      <c r="H14" s="736"/>
      <c r="I14" s="721"/>
      <c r="J14" s="721"/>
      <c r="K14" s="541"/>
      <c r="L14" s="541"/>
      <c r="M14" s="541"/>
      <c r="N14" s="541"/>
      <c r="O14" s="541"/>
      <c r="P14" s="541"/>
      <c r="Q14" s="541"/>
      <c r="R14" s="541"/>
      <c r="S14" s="541"/>
      <c r="T14" s="541"/>
      <c r="U14" s="541"/>
      <c r="V14" s="541"/>
      <c r="W14" s="541"/>
      <c r="X14" s="541"/>
      <c r="Y14" s="541"/>
      <c r="Z14" s="541"/>
      <c r="AA14" s="541"/>
      <c r="AB14" s="541"/>
      <c r="AC14" s="541"/>
      <c r="AD14" s="541"/>
      <c r="AE14" s="541"/>
      <c r="AF14" s="541"/>
      <c r="AG14" s="541"/>
      <c r="AH14" s="541"/>
    </row>
    <row r="15" spans="1:34">
      <c r="A15" s="541"/>
      <c r="B15" s="730" t="s">
        <v>289</v>
      </c>
      <c r="C15" s="731"/>
      <c r="D15" s="734">
        <f>Statistics!O21</f>
        <v>285391676.14999998</v>
      </c>
      <c r="E15" s="733"/>
      <c r="F15" s="542"/>
      <c r="G15" s="542"/>
      <c r="H15" s="736"/>
      <c r="I15" s="721"/>
      <c r="J15" s="721"/>
      <c r="K15" s="541"/>
      <c r="L15" s="541"/>
      <c r="M15" s="541"/>
      <c r="N15" s="541"/>
      <c r="O15" s="541"/>
      <c r="P15" s="541"/>
      <c r="Q15" s="541"/>
      <c r="R15" s="541"/>
      <c r="S15" s="541"/>
      <c r="T15" s="541"/>
      <c r="U15" s="541"/>
      <c r="V15" s="541"/>
      <c r="W15" s="541"/>
      <c r="X15" s="541"/>
      <c r="Y15" s="541"/>
      <c r="Z15" s="541"/>
      <c r="AA15" s="541"/>
      <c r="AB15" s="541"/>
      <c r="AC15" s="541"/>
      <c r="AD15" s="541"/>
      <c r="AE15" s="541"/>
      <c r="AF15" s="541"/>
      <c r="AG15" s="541"/>
      <c r="AH15" s="541"/>
    </row>
    <row r="16" spans="1:34">
      <c r="A16" s="541"/>
      <c r="B16" s="730" t="s">
        <v>8</v>
      </c>
      <c r="C16" s="731"/>
      <c r="D16" s="734">
        <f>Statistics!O23</f>
        <v>26422452.59</v>
      </c>
      <c r="E16" s="733"/>
      <c r="F16" s="542"/>
      <c r="G16" s="542"/>
      <c r="H16" s="736"/>
      <c r="I16" s="541"/>
      <c r="J16" s="721"/>
      <c r="K16" s="541"/>
      <c r="L16" s="541"/>
      <c r="M16" s="541"/>
      <c r="N16" s="541"/>
      <c r="O16" s="541"/>
      <c r="P16" s="541"/>
      <c r="Q16" s="541"/>
      <c r="R16" s="541"/>
      <c r="S16" s="541"/>
      <c r="T16" s="541"/>
      <c r="U16" s="541"/>
      <c r="V16" s="541"/>
      <c r="W16" s="541"/>
      <c r="X16" s="541"/>
      <c r="Y16" s="541"/>
      <c r="Z16" s="541"/>
      <c r="AA16" s="541"/>
      <c r="AB16" s="541"/>
      <c r="AC16" s="541"/>
      <c r="AD16" s="541"/>
      <c r="AE16" s="541"/>
      <c r="AF16" s="541"/>
      <c r="AG16" s="541"/>
      <c r="AH16" s="541"/>
    </row>
    <row r="17" spans="1:34" ht="16" thickBot="1">
      <c r="A17" s="541"/>
      <c r="B17" s="737"/>
      <c r="C17" s="731"/>
      <c r="D17" s="734"/>
      <c r="E17" s="733"/>
      <c r="F17" s="542"/>
      <c r="G17" s="542"/>
      <c r="H17" s="733"/>
      <c r="I17" s="541"/>
      <c r="J17" s="721"/>
      <c r="K17" s="541"/>
      <c r="L17" s="541"/>
      <c r="M17" s="541"/>
      <c r="N17" s="541"/>
      <c r="O17" s="541"/>
      <c r="P17" s="541"/>
      <c r="Q17" s="541"/>
      <c r="R17" s="541"/>
      <c r="S17" s="541"/>
      <c r="T17" s="541"/>
      <c r="U17" s="541"/>
      <c r="V17" s="541"/>
      <c r="W17" s="541"/>
      <c r="X17" s="541"/>
      <c r="Y17" s="541"/>
      <c r="Z17" s="541"/>
      <c r="AA17" s="541"/>
      <c r="AB17" s="541"/>
      <c r="AC17" s="541"/>
      <c r="AD17" s="541"/>
      <c r="AE17" s="541"/>
      <c r="AF17" s="541"/>
      <c r="AG17" s="541"/>
      <c r="AH17" s="541"/>
    </row>
    <row r="18" spans="1:34" ht="16" thickBot="1">
      <c r="A18" s="541"/>
      <c r="B18" s="738" t="s">
        <v>9</v>
      </c>
      <c r="C18" s="739"/>
      <c r="D18" s="740">
        <f>SUM(D12:D16)</f>
        <v>4765075960.6603594</v>
      </c>
      <c r="E18" s="733"/>
      <c r="F18" s="542"/>
      <c r="G18" s="542"/>
      <c r="H18" s="733"/>
      <c r="I18" s="541"/>
      <c r="J18" s="721"/>
      <c r="K18" s="541"/>
      <c r="L18" s="541"/>
      <c r="M18" s="541"/>
      <c r="N18" s="541"/>
      <c r="O18" s="541"/>
      <c r="P18" s="541"/>
      <c r="Q18" s="541"/>
      <c r="R18" s="541"/>
      <c r="S18" s="541"/>
      <c r="T18" s="541"/>
      <c r="U18" s="541"/>
      <c r="V18" s="541"/>
      <c r="W18" s="541"/>
      <c r="X18" s="541"/>
      <c r="Y18" s="541"/>
      <c r="Z18" s="541"/>
      <c r="AA18" s="541"/>
      <c r="AB18" s="541"/>
      <c r="AC18" s="541"/>
      <c r="AD18" s="541"/>
      <c r="AE18" s="541"/>
      <c r="AF18" s="541"/>
      <c r="AG18" s="541"/>
      <c r="AH18" s="541"/>
    </row>
    <row r="19" spans="1:34">
      <c r="A19" s="541"/>
      <c r="B19" s="730"/>
      <c r="C19" s="741"/>
      <c r="D19" s="742"/>
      <c r="E19" s="733"/>
      <c r="F19" s="542"/>
      <c r="G19" s="542"/>
      <c r="H19" s="733"/>
      <c r="I19" s="541"/>
      <c r="J19" s="721"/>
      <c r="K19" s="541"/>
      <c r="L19" s="541"/>
      <c r="M19" s="541"/>
      <c r="N19" s="541"/>
      <c r="O19" s="541"/>
      <c r="P19" s="541"/>
      <c r="Q19" s="541"/>
      <c r="R19" s="541"/>
      <c r="S19" s="541"/>
      <c r="T19" s="541"/>
      <c r="U19" s="541"/>
      <c r="V19" s="541"/>
      <c r="W19" s="541"/>
      <c r="X19" s="541"/>
      <c r="Y19" s="541"/>
      <c r="Z19" s="541"/>
      <c r="AA19" s="541"/>
      <c r="AB19" s="541"/>
      <c r="AC19" s="541"/>
      <c r="AD19" s="541"/>
      <c r="AE19" s="541"/>
      <c r="AF19" s="541"/>
      <c r="AG19" s="541"/>
      <c r="AH19" s="541"/>
    </row>
    <row r="20" spans="1:34">
      <c r="A20" s="541"/>
      <c r="B20" s="737" t="s">
        <v>246</v>
      </c>
      <c r="C20" s="743"/>
      <c r="D20" s="742"/>
      <c r="E20" s="733"/>
      <c r="F20" s="733"/>
      <c r="G20" s="542"/>
      <c r="H20" s="733"/>
      <c r="I20" s="541"/>
      <c r="J20" s="721"/>
      <c r="K20" s="541"/>
      <c r="L20" s="541"/>
      <c r="M20" s="541"/>
      <c r="N20" s="541"/>
      <c r="O20" s="541"/>
      <c r="P20" s="541"/>
      <c r="Q20" s="541"/>
      <c r="R20" s="541"/>
      <c r="S20" s="541"/>
      <c r="T20" s="541"/>
      <c r="U20" s="541"/>
      <c r="V20" s="541"/>
      <c r="W20" s="541"/>
      <c r="X20" s="541"/>
      <c r="Y20" s="541"/>
      <c r="Z20" s="541"/>
      <c r="AA20" s="541"/>
      <c r="AB20" s="541"/>
      <c r="AC20" s="541"/>
      <c r="AD20" s="541"/>
      <c r="AE20" s="541"/>
      <c r="AF20" s="541"/>
      <c r="AG20" s="541"/>
      <c r="AH20" s="541"/>
    </row>
    <row r="21" spans="1:34">
      <c r="A21" s="541"/>
      <c r="B21" s="730" t="s">
        <v>10</v>
      </c>
      <c r="C21" s="718">
        <f>294152170+(12915408+5195122)+(15215276-2977982)+(8618910-419301-226000)+(17018478)+(14177265-1683603)+((12653435+1430647)-2718481)+((14424568+1402119)-(193367+25137)-(53839+6999))+(19995569-314251-1103805+1500000)+0+4814666+30020278+8641445+5336707+13927069+252410+12804629+889225+19594404+4729942-124783+1329884+11966824+1717058+3758174+8437561+4643575+5472174-12091+17773210+5420536+2351096+8247485+13634970+1762610+8758421+5300312+45267545+15663304+46931+14033043+22222778+353925+2031741+35862061+5275344+20355546+5561567+32430951+6356195+37713812+2647144+31695752+13510235+31350593+1361219+11103876+17110701+16526718-6740+4778720+23735582-2537891-112350+5091172-2436628+15002341-3253421-11990+10244536-358115+860143+32100+28075102</f>
        <v>1058007535</v>
      </c>
      <c r="D21" s="744"/>
      <c r="E21" s="733"/>
      <c r="F21" s="733"/>
      <c r="G21" s="542"/>
      <c r="H21" s="733"/>
      <c r="I21" s="541"/>
      <c r="J21" s="721"/>
      <c r="K21" s="541"/>
      <c r="L21" s="541"/>
      <c r="M21" s="541"/>
      <c r="N21" s="541"/>
      <c r="O21" s="541"/>
      <c r="P21" s="541"/>
      <c r="Q21" s="541"/>
      <c r="R21" s="541"/>
      <c r="S21" s="541"/>
      <c r="T21" s="541"/>
      <c r="U21" s="541"/>
      <c r="V21" s="541"/>
      <c r="W21" s="541"/>
      <c r="X21" s="541"/>
      <c r="Y21" s="541"/>
      <c r="Z21" s="541"/>
      <c r="AA21" s="541"/>
      <c r="AB21" s="541"/>
      <c r="AC21" s="541"/>
      <c r="AD21" s="541"/>
      <c r="AE21" s="541"/>
      <c r="AF21" s="541"/>
      <c r="AG21" s="541"/>
      <c r="AH21" s="541"/>
    </row>
    <row r="22" spans="1:34">
      <c r="A22" s="541"/>
      <c r="B22" s="730" t="s">
        <v>11</v>
      </c>
      <c r="C22" s="745">
        <f>46210607+(101700+93490)+(357921)+(5484085-46400+171195)+(455902-40050)+(1661931)+(8068739)+(1177484+52390)+((2305708+158594)-(69497+9035))+(7000091-196620-123196+0)+1256149+0+9367431+880987+2148145+119287+1006383+10018090-841216+1779504+10544117+1280894+1050162+11556946+644616+1349797+13840796+1733102+5704190+12279953+3630556+2306856+11564589+2959988+2128461+12382802+4217794+3233622+11644151+4490046+1110714+14250414+1735847+2388552+11808589+707576+12364538+7046470+16832202+3789280+18664356+266352+11294792+8452995+13846250+519362+14653425+3117082+16391215-4723+4241284+19235415-5291619+5603434-6601+20651757-3692709+7017631-295104-11300+20811969</f>
        <v>444592682</v>
      </c>
      <c r="D22" s="734"/>
      <c r="E22" s="733"/>
      <c r="F22" s="733"/>
      <c r="G22" s="542"/>
      <c r="H22" s="733"/>
      <c r="I22" s="541"/>
      <c r="J22" s="721"/>
      <c r="K22" s="541"/>
      <c r="L22" s="541"/>
      <c r="M22" s="541"/>
      <c r="N22" s="541"/>
      <c r="O22" s="541"/>
      <c r="P22" s="541"/>
      <c r="Q22" s="541"/>
      <c r="R22" s="541"/>
      <c r="S22" s="541"/>
      <c r="T22" s="541"/>
      <c r="U22" s="541"/>
      <c r="V22" s="541"/>
      <c r="W22" s="541"/>
      <c r="X22" s="541"/>
      <c r="Y22" s="541"/>
      <c r="Z22" s="541"/>
      <c r="AA22" s="541"/>
      <c r="AB22" s="541"/>
      <c r="AC22" s="541"/>
      <c r="AD22" s="541"/>
      <c r="AE22" s="541"/>
      <c r="AF22" s="541"/>
      <c r="AG22" s="541"/>
      <c r="AH22" s="541"/>
    </row>
    <row r="23" spans="1:34">
      <c r="A23" s="541"/>
      <c r="B23" s="730" t="s">
        <v>12</v>
      </c>
      <c r="C23" s="745">
        <f>226247686+(9821527)+(17607754-330901)+(1327750-13492-329594)+(17843201)+(11039608-1093144)+((8981845+924465)-242936)+((10132368+1172196)-(453780+58992)+(53839+6999))+(18986156-2002717-5373340+1500000)+3460759+7017695+18453278+26445457+1619061+10489152+4692401+19140591+5102515+34085890+2861489-21500+3555874+17755253+5937374+9676792+12431007+4668250+8531775+24514248+4062480+1075000+8624563+6178010+13125921+17303725+22049303+6068096+70263252+8270724+11924951+6100287+20497057+12598913+758804+21550622+3912801+25360888+8111466+34888271+10347591+31376536+4898512+13550541+23328094+6446974+4870833+16602196+12378137+6300+4304263+548972+4157688+22256233-89028+112350+7138877-1036861+16652728-912525+11990+8452345-1852739+10700+37450+25787607</f>
        <v>1048274757</v>
      </c>
      <c r="D23" s="734"/>
      <c r="E23" s="733"/>
      <c r="F23" s="733"/>
      <c r="G23" s="542"/>
      <c r="H23" s="733"/>
      <c r="I23" s="541"/>
      <c r="J23" s="721"/>
      <c r="K23" s="541"/>
      <c r="L23" s="541"/>
      <c r="M23" s="541"/>
      <c r="N23" s="541"/>
      <c r="O23" s="541"/>
      <c r="P23" s="541"/>
      <c r="Q23" s="541"/>
      <c r="R23" s="541"/>
      <c r="S23" s="541"/>
      <c r="T23" s="541"/>
      <c r="U23" s="541"/>
      <c r="V23" s="541"/>
      <c r="W23" s="541"/>
      <c r="X23" s="541"/>
      <c r="Y23" s="541"/>
      <c r="Z23" s="541"/>
      <c r="AA23" s="541"/>
      <c r="AB23" s="541"/>
      <c r="AC23" s="541"/>
      <c r="AD23" s="541"/>
      <c r="AE23" s="541"/>
      <c r="AF23" s="541"/>
      <c r="AG23" s="541"/>
      <c r="AH23" s="541"/>
    </row>
    <row r="24" spans="1:34">
      <c r="A24" s="541"/>
      <c r="B24" s="730" t="s">
        <v>248</v>
      </c>
      <c r="C24" s="745">
        <f>452427292+(16328864-1390630+919299+565000)+(9567629-994997-3395917+455597+284462)+(19320950-4296039)+((5882093+7085000))+(22844466-5930702)+((25095985+2087461)-1169780+616208)+((8273445+733010)-(2850828+76545))+(34135937-1237903-5271991-1159980+1500000)+41061596+8695727+(6206417+2049896)+28102429+32524768+18745197+32665054-22100402+21285528+10809594+46739582+52952081+9274829+2100000+4305380+44857769+17924143+10002270+20268552+16973843+7733205+11627575+5019776+13171590+837278+670378+1447935+3511955+43027044+2575018-1092081+11832051+24346431+1406655+5309798+14543440+22983559+4143052+25506900+10385585+36910263+4197195+11171583+971052+2535452+25616457+3477126-1428418-3008057+2211703+1237924+3624827+141384+7376464-8723002+26674944-263722-2787+2681988-2767-37450+15693399</f>
        <v>1325834341</v>
      </c>
      <c r="D24" s="734"/>
      <c r="E24" s="733"/>
      <c r="F24" s="733"/>
      <c r="G24" s="542"/>
      <c r="H24" s="733"/>
      <c r="I24" s="541"/>
      <c r="J24" s="721"/>
      <c r="K24" s="541"/>
      <c r="L24" s="541"/>
      <c r="M24" s="541"/>
      <c r="N24" s="541"/>
      <c r="O24" s="541"/>
      <c r="P24" s="541"/>
      <c r="Q24" s="541"/>
      <c r="R24" s="541"/>
      <c r="S24" s="541"/>
      <c r="T24" s="541"/>
      <c r="U24" s="541"/>
      <c r="V24" s="541"/>
      <c r="W24" s="541"/>
      <c r="X24" s="541"/>
      <c r="Y24" s="541"/>
      <c r="Z24" s="541"/>
      <c r="AA24" s="541"/>
      <c r="AB24" s="541"/>
      <c r="AC24" s="541"/>
      <c r="AD24" s="541"/>
      <c r="AE24" s="541"/>
      <c r="AF24" s="541"/>
      <c r="AG24" s="541"/>
      <c r="AH24" s="541"/>
    </row>
    <row r="25" spans="1:34">
      <c r="A25" s="541"/>
      <c r="B25" s="730" t="s">
        <v>13</v>
      </c>
      <c r="C25" s="746" t="s">
        <v>14</v>
      </c>
      <c r="D25" s="734"/>
      <c r="E25" s="733"/>
      <c r="F25" s="733"/>
      <c r="G25" s="542"/>
      <c r="H25" s="733"/>
      <c r="I25" s="541"/>
      <c r="J25" s="721"/>
      <c r="K25" s="541"/>
      <c r="L25" s="541"/>
      <c r="M25" s="541"/>
      <c r="N25" s="541"/>
      <c r="O25" s="541"/>
      <c r="P25" s="541"/>
      <c r="Q25" s="541"/>
      <c r="R25" s="541"/>
      <c r="S25" s="541"/>
      <c r="T25" s="541"/>
      <c r="U25" s="541"/>
      <c r="V25" s="541"/>
      <c r="W25" s="541"/>
      <c r="X25" s="541"/>
      <c r="Y25" s="541"/>
      <c r="Z25" s="541"/>
      <c r="AA25" s="541"/>
      <c r="AB25" s="541"/>
      <c r="AC25" s="541"/>
      <c r="AD25" s="541"/>
      <c r="AE25" s="541"/>
      <c r="AF25" s="541"/>
      <c r="AG25" s="541"/>
      <c r="AH25" s="541"/>
    </row>
    <row r="26" spans="1:34">
      <c r="A26" s="541"/>
      <c r="B26" s="730" t="s">
        <v>15</v>
      </c>
      <c r="C26" s="743" t="s">
        <v>14</v>
      </c>
      <c r="D26" s="747"/>
      <c r="E26" s="733"/>
      <c r="F26" s="748"/>
      <c r="G26" s="542"/>
      <c r="H26" s="733"/>
      <c r="I26" s="541"/>
      <c r="J26" s="721"/>
      <c r="K26" s="541"/>
      <c r="L26" s="541"/>
      <c r="M26" s="541"/>
      <c r="N26" s="541"/>
      <c r="O26" s="541"/>
      <c r="P26" s="541"/>
      <c r="Q26" s="541"/>
      <c r="R26" s="541"/>
      <c r="S26" s="541"/>
      <c r="T26" s="541"/>
      <c r="U26" s="541"/>
      <c r="V26" s="541"/>
      <c r="W26" s="541"/>
      <c r="X26" s="541"/>
      <c r="Y26" s="541"/>
      <c r="Z26" s="541"/>
      <c r="AA26" s="541"/>
      <c r="AB26" s="541"/>
      <c r="AC26" s="541"/>
      <c r="AD26" s="541"/>
      <c r="AE26" s="541"/>
      <c r="AF26" s="541"/>
      <c r="AG26" s="541"/>
      <c r="AH26" s="541"/>
    </row>
    <row r="27" spans="1:34">
      <c r="A27" s="541"/>
      <c r="B27" s="749" t="s">
        <v>16</v>
      </c>
      <c r="C27" s="750"/>
      <c r="D27" s="732">
        <f>SUM(C21:C26)</f>
        <v>3876709315</v>
      </c>
      <c r="E27" s="733"/>
      <c r="F27" s="542"/>
      <c r="G27" s="542"/>
      <c r="H27" s="733"/>
      <c r="I27" s="541"/>
      <c r="J27" s="721"/>
      <c r="K27" s="541"/>
      <c r="L27" s="541"/>
      <c r="M27" s="541"/>
      <c r="N27" s="541"/>
      <c r="O27" s="541"/>
      <c r="P27" s="541"/>
      <c r="Q27" s="541"/>
      <c r="R27" s="541"/>
      <c r="S27" s="541"/>
      <c r="T27" s="541"/>
      <c r="U27" s="541"/>
      <c r="V27" s="541"/>
      <c r="W27" s="541"/>
      <c r="X27" s="541"/>
      <c r="Y27" s="541"/>
      <c r="Z27" s="541"/>
      <c r="AA27" s="541"/>
      <c r="AB27" s="541"/>
      <c r="AC27" s="541"/>
      <c r="AD27" s="541"/>
      <c r="AE27" s="541"/>
      <c r="AF27" s="541"/>
      <c r="AG27" s="541"/>
      <c r="AH27" s="541"/>
    </row>
    <row r="28" spans="1:34">
      <c r="A28" s="541"/>
      <c r="B28" s="751"/>
      <c r="C28" s="718"/>
      <c r="D28" s="734"/>
      <c r="E28" s="733"/>
      <c r="F28" s="542"/>
      <c r="G28" s="542"/>
      <c r="H28" s="733"/>
      <c r="I28" s="541"/>
      <c r="J28" s="721"/>
      <c r="K28" s="541"/>
      <c r="L28" s="541"/>
      <c r="M28" s="541"/>
      <c r="N28" s="541"/>
      <c r="O28" s="541"/>
      <c r="P28" s="541"/>
      <c r="Q28" s="541"/>
      <c r="R28" s="541"/>
      <c r="S28" s="541"/>
      <c r="T28" s="541"/>
      <c r="U28" s="541"/>
      <c r="V28" s="541"/>
      <c r="W28" s="541"/>
      <c r="X28" s="541"/>
      <c r="Y28" s="541"/>
      <c r="Z28" s="541"/>
      <c r="AA28" s="541"/>
      <c r="AB28" s="541"/>
      <c r="AC28" s="541"/>
      <c r="AD28" s="541"/>
      <c r="AE28" s="541"/>
      <c r="AF28" s="541"/>
      <c r="AG28" s="541"/>
      <c r="AH28" s="541"/>
    </row>
    <row r="29" spans="1:34">
      <c r="A29" s="541"/>
      <c r="B29" s="752" t="s">
        <v>279</v>
      </c>
      <c r="C29" s="753"/>
      <c r="D29" s="754"/>
      <c r="E29" s="755"/>
      <c r="F29" s="542"/>
      <c r="G29" s="542"/>
      <c r="H29" s="733"/>
      <c r="I29" s="541"/>
      <c r="J29" s="721"/>
      <c r="K29" s="541"/>
      <c r="L29" s="541"/>
      <c r="M29" s="541"/>
      <c r="N29" s="541"/>
      <c r="O29" s="541"/>
      <c r="P29" s="541"/>
      <c r="Q29" s="541"/>
      <c r="R29" s="541"/>
      <c r="S29" s="541"/>
      <c r="T29" s="541"/>
      <c r="U29" s="541"/>
      <c r="V29" s="541"/>
      <c r="W29" s="541"/>
      <c r="X29" s="541"/>
      <c r="Y29" s="541"/>
      <c r="Z29" s="541"/>
      <c r="AA29" s="541"/>
      <c r="AB29" s="541"/>
      <c r="AC29" s="541"/>
      <c r="AD29" s="541"/>
      <c r="AE29" s="541"/>
      <c r="AF29" s="541"/>
      <c r="AG29" s="541"/>
      <c r="AH29" s="541"/>
    </row>
    <row r="30" spans="1:34">
      <c r="A30" s="541"/>
      <c r="B30" s="756" t="s">
        <v>274</v>
      </c>
      <c r="C30" s="753"/>
      <c r="D30" s="757">
        <f>49469950+4025245+50000+637373+2776000-500000+3129183+150000+95000+2784087-500000+3285641+150000+102946+299468+314443+2714587-500000+3771753+3144869+3888905-500000+3834869-500000+4001453-800000+3034869-500000+42063+4164821+7380090-500000-814921+7235044-500000-1190283+4138196+7190229-500000-1245943+60000+7268801-500000-1449117+434833+558753+560237+7510970-500000+7652890-500000-1345650-426619-421543-1631096-58470+7799067-50000-1624548+7949630-500000-1735073-2427831+7039830-500000+7167615-500000-1033864-1491964+1605497+1442409+8224624-500000+671063+671063+9056985-500000</f>
        <v>171238429</v>
      </c>
      <c r="E30" s="733"/>
      <c r="F30" s="542"/>
      <c r="G30" s="542"/>
      <c r="H30" s="733"/>
      <c r="I30" s="541"/>
      <c r="J30" s="721"/>
      <c r="K30" s="541"/>
      <c r="L30" s="541"/>
      <c r="M30" s="541"/>
      <c r="N30" s="541"/>
      <c r="O30" s="541"/>
      <c r="P30" s="541"/>
      <c r="Q30" s="541"/>
      <c r="R30" s="541"/>
      <c r="S30" s="541"/>
      <c r="T30" s="541"/>
      <c r="U30" s="541"/>
      <c r="V30" s="541"/>
      <c r="W30" s="541"/>
      <c r="X30" s="541"/>
      <c r="Y30" s="541"/>
      <c r="Z30" s="541"/>
      <c r="AA30" s="541"/>
      <c r="AB30" s="541"/>
      <c r="AC30" s="541"/>
      <c r="AD30" s="541"/>
      <c r="AE30" s="541"/>
      <c r="AF30" s="541"/>
      <c r="AG30" s="541"/>
      <c r="AH30" s="541"/>
    </row>
    <row r="31" spans="1:34">
      <c r="A31" s="541"/>
      <c r="B31" s="730" t="s">
        <v>275</v>
      </c>
      <c r="C31" s="753"/>
      <c r="D31" s="757">
        <f>1050300+250+500000+500000+500000+500000+500000+500000+500000+500000+500000+6432+1000000+500000+500000+500000+500000+500000+500000+500000+500000+500000+500000+500000</f>
        <v>12056982</v>
      </c>
      <c r="E31" s="733"/>
      <c r="F31" s="542"/>
      <c r="G31" s="542"/>
      <c r="H31" s="733"/>
      <c r="I31" s="541"/>
      <c r="J31" s="721"/>
      <c r="K31" s="541"/>
      <c r="L31" s="541"/>
      <c r="M31" s="541"/>
      <c r="N31" s="541"/>
      <c r="O31" s="541"/>
      <c r="P31" s="541"/>
      <c r="Q31" s="541"/>
      <c r="R31" s="541"/>
      <c r="S31" s="541"/>
      <c r="T31" s="541"/>
      <c r="U31" s="541"/>
      <c r="V31" s="541"/>
      <c r="W31" s="541"/>
      <c r="X31" s="541"/>
      <c r="Y31" s="541"/>
      <c r="Z31" s="541"/>
      <c r="AA31" s="541"/>
      <c r="AB31" s="541"/>
      <c r="AC31" s="541"/>
      <c r="AD31" s="541"/>
      <c r="AE31" s="541"/>
      <c r="AF31" s="541"/>
      <c r="AG31" s="541"/>
      <c r="AH31" s="541"/>
    </row>
    <row r="32" spans="1:34">
      <c r="A32" s="541"/>
      <c r="B32" s="730" t="s">
        <v>276</v>
      </c>
      <c r="C32" s="718"/>
      <c r="D32" s="734">
        <f>1753754+80000+346000+361000+326000+75000+86750+325000+191000-480393+148700+91285-67209+177226-28136+143484+174780-43108-34335+136050-21915+36500-47189-3000+85000-51558+115000-40000+175000</f>
        <v>4010686</v>
      </c>
      <c r="E32" s="733"/>
      <c r="F32" s="542"/>
      <c r="G32" s="542"/>
      <c r="H32" s="733"/>
      <c r="I32" s="541"/>
      <c r="J32" s="721"/>
      <c r="K32" s="541"/>
      <c r="L32" s="541"/>
      <c r="M32" s="541"/>
      <c r="N32" s="541"/>
      <c r="O32" s="541"/>
      <c r="P32" s="541"/>
      <c r="Q32" s="541"/>
      <c r="R32" s="541"/>
      <c r="S32" s="541"/>
      <c r="T32" s="541"/>
      <c r="U32" s="541"/>
      <c r="V32" s="541"/>
      <c r="W32" s="541"/>
      <c r="X32" s="541"/>
      <c r="Y32" s="541"/>
      <c r="Z32" s="541"/>
      <c r="AA32" s="541"/>
      <c r="AB32" s="541"/>
      <c r="AC32" s="541"/>
      <c r="AD32" s="541"/>
      <c r="AE32" s="541"/>
      <c r="AF32" s="541"/>
      <c r="AG32" s="541"/>
      <c r="AH32" s="541"/>
    </row>
    <row r="33" spans="1:34">
      <c r="A33" s="541"/>
      <c r="B33" s="730" t="s">
        <v>17</v>
      </c>
      <c r="C33" s="718"/>
      <c r="D33" s="734">
        <f>909960+800000-10154</f>
        <v>1699806</v>
      </c>
      <c r="E33" s="733"/>
      <c r="F33" s="542"/>
      <c r="G33" s="542"/>
      <c r="H33" s="733"/>
      <c r="I33" s="541"/>
      <c r="J33" s="721"/>
      <c r="K33" s="541"/>
      <c r="L33" s="541"/>
      <c r="M33" s="541"/>
      <c r="N33" s="541"/>
      <c r="O33" s="541"/>
      <c r="P33" s="541"/>
      <c r="Q33" s="541"/>
      <c r="R33" s="541"/>
      <c r="S33" s="541"/>
      <c r="T33" s="541"/>
      <c r="U33" s="541"/>
      <c r="V33" s="541"/>
      <c r="W33" s="541"/>
      <c r="X33" s="541"/>
      <c r="Y33" s="541"/>
      <c r="Z33" s="541"/>
      <c r="AA33" s="541"/>
      <c r="AB33" s="541"/>
      <c r="AC33" s="541"/>
      <c r="AD33" s="541"/>
      <c r="AE33" s="541"/>
      <c r="AF33" s="541"/>
      <c r="AG33" s="541"/>
      <c r="AH33" s="541"/>
    </row>
    <row r="34" spans="1:34">
      <c r="A34" s="541"/>
      <c r="B34" s="730" t="s">
        <v>18</v>
      </c>
      <c r="C34" s="718"/>
      <c r="D34" s="734"/>
      <c r="E34" s="733"/>
      <c r="F34" s="542"/>
      <c r="G34" s="542"/>
      <c r="H34" s="733"/>
      <c r="I34" s="541"/>
      <c r="J34" s="721"/>
      <c r="K34" s="541"/>
      <c r="L34" s="541"/>
      <c r="M34" s="541"/>
      <c r="N34" s="541"/>
      <c r="O34" s="541"/>
      <c r="P34" s="541"/>
      <c r="Q34" s="541"/>
      <c r="R34" s="541"/>
      <c r="S34" s="541"/>
      <c r="T34" s="541"/>
      <c r="U34" s="541"/>
      <c r="V34" s="541"/>
      <c r="W34" s="541"/>
      <c r="X34" s="541"/>
      <c r="Y34" s="541"/>
      <c r="Z34" s="541"/>
      <c r="AA34" s="541"/>
      <c r="AB34" s="541"/>
      <c r="AC34" s="541"/>
      <c r="AD34" s="541"/>
      <c r="AE34" s="541"/>
      <c r="AF34" s="541"/>
      <c r="AG34" s="541"/>
      <c r="AH34" s="541"/>
    </row>
    <row r="35" spans="1:34">
      <c r="A35" s="541"/>
      <c r="B35" s="756" t="s">
        <v>19</v>
      </c>
      <c r="C35" s="718"/>
      <c r="D35" s="734">
        <f>905750-500000-100333-200667</f>
        <v>104750</v>
      </c>
      <c r="E35" s="733"/>
      <c r="F35" s="542"/>
      <c r="G35" s="542"/>
      <c r="H35" s="733"/>
      <c r="I35" s="541"/>
      <c r="J35" s="721"/>
      <c r="K35" s="541"/>
      <c r="L35" s="541"/>
      <c r="M35" s="541"/>
      <c r="N35" s="541"/>
      <c r="O35" s="541"/>
      <c r="P35" s="541"/>
      <c r="Q35" s="541"/>
      <c r="R35" s="541"/>
      <c r="S35" s="541"/>
      <c r="T35" s="541"/>
      <c r="U35" s="541"/>
      <c r="V35" s="541"/>
      <c r="W35" s="541"/>
      <c r="X35" s="541"/>
      <c r="Y35" s="541"/>
      <c r="Z35" s="541"/>
      <c r="AA35" s="541"/>
      <c r="AB35" s="541"/>
      <c r="AC35" s="541"/>
      <c r="AD35" s="541"/>
      <c r="AE35" s="541"/>
      <c r="AF35" s="541"/>
      <c r="AG35" s="541"/>
      <c r="AH35" s="541"/>
    </row>
    <row r="36" spans="1:34">
      <c r="A36" s="541"/>
      <c r="B36" s="749" t="s">
        <v>20</v>
      </c>
      <c r="C36" s="718"/>
      <c r="D36" s="734">
        <f>D14</f>
        <v>188759809.12</v>
      </c>
      <c r="E36" s="733"/>
      <c r="F36" s="542"/>
      <c r="G36" s="542"/>
      <c r="H36" s="733"/>
      <c r="I36" s="721"/>
      <c r="J36" s="721"/>
      <c r="K36" s="541"/>
      <c r="L36" s="541"/>
      <c r="M36" s="541"/>
      <c r="N36" s="541"/>
      <c r="O36" s="541"/>
      <c r="P36" s="541"/>
      <c r="Q36" s="541"/>
      <c r="R36" s="541"/>
      <c r="S36" s="541"/>
      <c r="T36" s="541"/>
      <c r="U36" s="541"/>
      <c r="V36" s="541"/>
      <c r="W36" s="541"/>
      <c r="X36" s="541"/>
      <c r="Y36" s="541"/>
      <c r="Z36" s="541"/>
      <c r="AA36" s="541"/>
      <c r="AB36" s="541"/>
      <c r="AC36" s="541"/>
      <c r="AD36" s="541"/>
      <c r="AE36" s="541"/>
      <c r="AF36" s="541"/>
      <c r="AG36" s="541"/>
      <c r="AH36" s="541"/>
    </row>
    <row r="37" spans="1:34">
      <c r="A37" s="541"/>
      <c r="B37" s="749" t="s">
        <v>21</v>
      </c>
      <c r="C37" s="718"/>
      <c r="D37" s="734"/>
      <c r="E37" s="733"/>
      <c r="F37" s="542"/>
      <c r="G37" s="542"/>
      <c r="H37" s="733"/>
      <c r="I37" s="541"/>
      <c r="J37" s="721"/>
      <c r="K37" s="541"/>
      <c r="L37" s="541"/>
      <c r="M37" s="541"/>
      <c r="N37" s="541"/>
      <c r="O37" s="541"/>
      <c r="P37" s="541"/>
      <c r="Q37" s="541"/>
      <c r="R37" s="541"/>
      <c r="S37" s="541"/>
      <c r="T37" s="541"/>
      <c r="U37" s="541"/>
      <c r="V37" s="541"/>
      <c r="W37" s="541"/>
      <c r="X37" s="541"/>
      <c r="Y37" s="541"/>
      <c r="Z37" s="541"/>
      <c r="AA37" s="541"/>
      <c r="AB37" s="541"/>
      <c r="AC37" s="541"/>
      <c r="AD37" s="541"/>
      <c r="AE37" s="541"/>
      <c r="AF37" s="541"/>
      <c r="AG37" s="541"/>
      <c r="AH37" s="541"/>
    </row>
    <row r="38" spans="1:34">
      <c r="A38" s="541"/>
      <c r="B38" s="730" t="s">
        <v>22</v>
      </c>
      <c r="C38" s="718"/>
      <c r="D38" s="734">
        <f>'Summary Status of Contributions'!H66</f>
        <v>30045913.190725416</v>
      </c>
      <c r="E38" s="733"/>
      <c r="F38" s="542"/>
      <c r="G38" s="542"/>
      <c r="H38" s="758"/>
      <c r="I38" s="721"/>
      <c r="J38" s="721"/>
      <c r="K38" s="541"/>
      <c r="L38" s="541"/>
      <c r="M38" s="541"/>
      <c r="N38" s="541"/>
      <c r="O38" s="541"/>
      <c r="P38" s="541"/>
      <c r="Q38" s="541"/>
      <c r="R38" s="541"/>
      <c r="S38" s="541"/>
      <c r="T38" s="541"/>
      <c r="U38" s="541"/>
      <c r="V38" s="541"/>
      <c r="W38" s="541"/>
      <c r="X38" s="541"/>
      <c r="Y38" s="541"/>
      <c r="Z38" s="541"/>
      <c r="AA38" s="541"/>
      <c r="AB38" s="541"/>
      <c r="AC38" s="541"/>
      <c r="AD38" s="541"/>
      <c r="AE38" s="541"/>
      <c r="AF38" s="541"/>
      <c r="AG38" s="541"/>
      <c r="AH38" s="541"/>
    </row>
    <row r="39" spans="1:34" ht="16" thickBot="1">
      <c r="A39" s="541"/>
      <c r="B39" s="730"/>
      <c r="C39" s="718"/>
      <c r="D39" s="759"/>
      <c r="E39" s="733"/>
      <c r="F39" s="542"/>
      <c r="G39" s="542"/>
      <c r="H39" s="736"/>
      <c r="I39" s="541"/>
      <c r="J39" s="721"/>
      <c r="K39" s="541"/>
      <c r="L39" s="541"/>
      <c r="M39" s="541"/>
      <c r="N39" s="541"/>
      <c r="O39" s="541"/>
      <c r="P39" s="541"/>
      <c r="Q39" s="541"/>
      <c r="R39" s="541"/>
      <c r="S39" s="541"/>
      <c r="T39" s="541"/>
      <c r="U39" s="541"/>
      <c r="V39" s="541"/>
      <c r="W39" s="541"/>
      <c r="X39" s="541"/>
      <c r="Y39" s="541"/>
      <c r="Z39" s="541"/>
      <c r="AA39" s="541"/>
      <c r="AB39" s="541"/>
      <c r="AC39" s="541"/>
      <c r="AD39" s="541"/>
      <c r="AE39" s="541"/>
      <c r="AF39" s="541"/>
      <c r="AG39" s="541"/>
      <c r="AH39" s="541"/>
    </row>
    <row r="40" spans="1:34" ht="16" thickBot="1">
      <c r="A40" s="541"/>
      <c r="B40" s="738" t="s">
        <v>23</v>
      </c>
      <c r="C40" s="760"/>
      <c r="D40" s="761">
        <f>SUM(D27:D39)</f>
        <v>4284625690.3107252</v>
      </c>
      <c r="E40" s="733"/>
      <c r="F40" s="542"/>
      <c r="G40" s="542"/>
      <c r="H40" s="736"/>
      <c r="I40" s="541"/>
      <c r="J40" s="721"/>
      <c r="K40" s="541"/>
      <c r="L40" s="541"/>
      <c r="M40" s="541"/>
      <c r="N40" s="541"/>
      <c r="O40" s="541"/>
      <c r="P40" s="541"/>
      <c r="Q40" s="541"/>
      <c r="R40" s="541"/>
      <c r="S40" s="541"/>
      <c r="T40" s="541"/>
      <c r="U40" s="541"/>
      <c r="V40" s="541"/>
      <c r="W40" s="541"/>
      <c r="X40" s="541"/>
      <c r="Y40" s="541"/>
      <c r="Z40" s="541"/>
      <c r="AA40" s="541"/>
      <c r="AB40" s="541"/>
      <c r="AC40" s="541"/>
      <c r="AD40" s="541"/>
      <c r="AE40" s="541"/>
      <c r="AF40" s="541"/>
      <c r="AG40" s="541"/>
      <c r="AH40" s="541"/>
    </row>
    <row r="41" spans="1:34">
      <c r="A41" s="541"/>
      <c r="B41" s="762"/>
      <c r="C41" s="718"/>
      <c r="D41" s="763"/>
      <c r="E41" s="733"/>
      <c r="F41" s="542"/>
      <c r="G41" s="542"/>
      <c r="H41" s="736"/>
      <c r="I41" s="541"/>
      <c r="J41" s="721"/>
      <c r="K41" s="541"/>
      <c r="L41" s="541"/>
      <c r="M41" s="541"/>
      <c r="N41" s="541"/>
      <c r="O41" s="541"/>
      <c r="P41" s="541"/>
      <c r="Q41" s="541"/>
      <c r="R41" s="541"/>
      <c r="S41" s="541"/>
      <c r="T41" s="541"/>
      <c r="U41" s="541"/>
      <c r="V41" s="541"/>
      <c r="W41" s="541"/>
      <c r="X41" s="541"/>
      <c r="Y41" s="541"/>
      <c r="Z41" s="541"/>
      <c r="AA41" s="541"/>
      <c r="AB41" s="541"/>
      <c r="AC41" s="541"/>
      <c r="AD41" s="541"/>
      <c r="AE41" s="541"/>
      <c r="AF41" s="541"/>
      <c r="AG41" s="541"/>
      <c r="AH41" s="541"/>
    </row>
    <row r="42" spans="1:34">
      <c r="A42" s="541"/>
      <c r="B42" s="737" t="s">
        <v>278</v>
      </c>
      <c r="C42" s="718"/>
      <c r="D42" s="764">
        <f>D52-D50</f>
        <v>480450270.34963417</v>
      </c>
      <c r="E42" s="733"/>
      <c r="F42" s="542"/>
      <c r="G42" s="542"/>
      <c r="H42" s="736"/>
      <c r="I42" s="541"/>
      <c r="J42" s="721"/>
      <c r="K42" s="541"/>
      <c r="L42" s="541"/>
      <c r="M42" s="541"/>
      <c r="N42" s="541"/>
      <c r="O42" s="541"/>
      <c r="P42" s="541"/>
      <c r="Q42" s="541"/>
      <c r="R42" s="541"/>
      <c r="S42" s="541"/>
      <c r="T42" s="541"/>
      <c r="U42" s="541"/>
      <c r="V42" s="541"/>
      <c r="W42" s="541"/>
      <c r="X42" s="541"/>
      <c r="Y42" s="541"/>
      <c r="Z42" s="541"/>
      <c r="AA42" s="541"/>
      <c r="AB42" s="541"/>
      <c r="AC42" s="541"/>
      <c r="AD42" s="541"/>
      <c r="AE42" s="541"/>
      <c r="AF42" s="541"/>
      <c r="AG42" s="541"/>
      <c r="AH42" s="541"/>
    </row>
    <row r="43" spans="1:34">
      <c r="A43" s="541"/>
      <c r="B43" s="737" t="s">
        <v>24</v>
      </c>
      <c r="C43" s="718"/>
      <c r="D43" s="763"/>
      <c r="E43" s="733"/>
      <c r="F43" s="736"/>
      <c r="G43" s="542"/>
      <c r="H43" s="736"/>
      <c r="I43" s="541"/>
      <c r="J43" s="721"/>
      <c r="K43" s="541"/>
      <c r="L43" s="541"/>
      <c r="M43" s="541"/>
      <c r="N43" s="541"/>
      <c r="O43" s="541"/>
      <c r="P43" s="541"/>
      <c r="Q43" s="541"/>
      <c r="R43" s="541"/>
      <c r="S43" s="541"/>
      <c r="T43" s="541"/>
      <c r="U43" s="541"/>
      <c r="V43" s="541"/>
      <c r="W43" s="541"/>
      <c r="X43" s="541"/>
      <c r="Y43" s="541"/>
      <c r="Z43" s="541"/>
      <c r="AA43" s="541"/>
      <c r="AB43" s="541"/>
      <c r="AC43" s="541"/>
      <c r="AD43" s="541"/>
      <c r="AE43" s="541"/>
      <c r="AF43" s="541"/>
      <c r="AG43" s="541"/>
      <c r="AH43" s="541"/>
    </row>
    <row r="44" spans="1:34">
      <c r="A44" s="541"/>
      <c r="B44" s="765"/>
      <c r="C44" s="718"/>
      <c r="D44" s="763"/>
      <c r="E44" s="733"/>
      <c r="F44" s="733"/>
      <c r="G44" s="542"/>
      <c r="H44" s="736"/>
      <c r="I44" s="541"/>
      <c r="J44" s="721"/>
      <c r="K44" s="541"/>
      <c r="L44" s="541"/>
      <c r="M44" s="541"/>
      <c r="N44" s="541"/>
      <c r="O44" s="541"/>
      <c r="P44" s="541"/>
      <c r="Q44" s="541"/>
      <c r="R44" s="541"/>
      <c r="S44" s="541"/>
      <c r="T44" s="541"/>
      <c r="U44" s="541"/>
      <c r="V44" s="541"/>
      <c r="W44" s="541"/>
      <c r="X44" s="541"/>
      <c r="Y44" s="541"/>
      <c r="Z44" s="541"/>
      <c r="AA44" s="541"/>
      <c r="AB44" s="541"/>
      <c r="AC44" s="541"/>
      <c r="AD44" s="541"/>
      <c r="AE44" s="541"/>
      <c r="AF44" s="541"/>
      <c r="AG44" s="541"/>
      <c r="AH44" s="541"/>
    </row>
    <row r="45" spans="1:34">
      <c r="A45" s="541"/>
      <c r="B45" s="765"/>
      <c r="C45" s="766"/>
      <c r="D45" s="763"/>
      <c r="E45" s="733"/>
      <c r="F45" s="733"/>
      <c r="G45" s="542"/>
      <c r="H45" s="736"/>
      <c r="I45" s="541"/>
      <c r="J45" s="721"/>
      <c r="K45" s="541"/>
      <c r="L45" s="541"/>
      <c r="M45" s="541"/>
      <c r="N45" s="541"/>
      <c r="O45" s="541"/>
      <c r="P45" s="541"/>
      <c r="Q45" s="541"/>
      <c r="R45" s="541"/>
      <c r="S45" s="541"/>
      <c r="T45" s="541"/>
      <c r="U45" s="541"/>
      <c r="V45" s="541"/>
      <c r="W45" s="541"/>
      <c r="X45" s="541"/>
      <c r="Y45" s="541"/>
      <c r="Z45" s="541"/>
      <c r="AA45" s="541"/>
      <c r="AB45" s="541"/>
      <c r="AC45" s="541"/>
      <c r="AD45" s="541"/>
      <c r="AE45" s="541"/>
      <c r="AF45" s="541"/>
      <c r="AG45" s="541"/>
      <c r="AH45" s="541"/>
    </row>
    <row r="46" spans="1:34">
      <c r="A46" s="541"/>
      <c r="B46" s="765"/>
      <c r="C46" s="718"/>
      <c r="D46" s="763"/>
      <c r="E46" s="733"/>
      <c r="F46" s="733"/>
      <c r="G46" s="542"/>
      <c r="H46" s="736"/>
      <c r="I46" s="541"/>
      <c r="J46" s="721"/>
      <c r="K46" s="541"/>
      <c r="L46" s="541"/>
      <c r="M46" s="541"/>
      <c r="N46" s="541"/>
      <c r="O46" s="541"/>
      <c r="P46" s="541"/>
      <c r="Q46" s="541"/>
      <c r="R46" s="541"/>
      <c r="S46" s="541"/>
      <c r="T46" s="541"/>
      <c r="U46" s="541"/>
      <c r="V46" s="541"/>
      <c r="W46" s="541"/>
      <c r="X46" s="541"/>
      <c r="Y46" s="541"/>
      <c r="Z46" s="541"/>
      <c r="AA46" s="541"/>
      <c r="AB46" s="541"/>
      <c r="AC46" s="541"/>
      <c r="AD46" s="541"/>
      <c r="AE46" s="541"/>
      <c r="AF46" s="541"/>
      <c r="AG46" s="541"/>
      <c r="AH46" s="541"/>
    </row>
    <row r="47" spans="1:34">
      <c r="A47" s="541"/>
      <c r="B47" s="765"/>
      <c r="C47" s="718"/>
      <c r="D47" s="763"/>
      <c r="E47" s="733"/>
      <c r="F47" s="733"/>
      <c r="G47" s="542"/>
      <c r="H47" s="736"/>
      <c r="I47" s="541"/>
      <c r="J47" s="721"/>
      <c r="K47" s="541"/>
      <c r="L47" s="541"/>
      <c r="M47" s="541"/>
      <c r="N47" s="541"/>
      <c r="O47" s="541"/>
      <c r="P47" s="541"/>
      <c r="Q47" s="541"/>
      <c r="R47" s="541"/>
      <c r="S47" s="541"/>
      <c r="T47" s="541"/>
      <c r="U47" s="541"/>
      <c r="V47" s="541"/>
      <c r="W47" s="541"/>
      <c r="X47" s="541"/>
      <c r="Y47" s="541"/>
      <c r="Z47" s="541"/>
      <c r="AA47" s="541"/>
      <c r="AB47" s="541"/>
      <c r="AC47" s="541"/>
      <c r="AD47" s="541"/>
      <c r="AE47" s="541"/>
      <c r="AF47" s="541"/>
      <c r="AG47" s="541"/>
      <c r="AH47" s="541"/>
    </row>
    <row r="48" spans="1:34">
      <c r="A48" s="541"/>
      <c r="B48" s="765"/>
      <c r="C48" s="718"/>
      <c r="D48" s="763"/>
      <c r="E48" s="733"/>
      <c r="F48" s="733"/>
      <c r="G48" s="542"/>
      <c r="H48" s="736"/>
      <c r="I48" s="541"/>
      <c r="J48" s="721"/>
      <c r="K48" s="541"/>
      <c r="L48" s="541"/>
      <c r="M48" s="541"/>
      <c r="N48" s="541"/>
      <c r="O48" s="541"/>
      <c r="P48" s="541"/>
      <c r="Q48" s="541"/>
      <c r="R48" s="541"/>
      <c r="S48" s="541"/>
      <c r="T48" s="541"/>
      <c r="U48" s="541"/>
      <c r="V48" s="541"/>
      <c r="W48" s="541"/>
      <c r="X48" s="541"/>
      <c r="Y48" s="541"/>
      <c r="Z48" s="541"/>
      <c r="AA48" s="541"/>
      <c r="AB48" s="541"/>
      <c r="AC48" s="541"/>
      <c r="AD48" s="541"/>
      <c r="AE48" s="541"/>
      <c r="AF48" s="541"/>
      <c r="AG48" s="541"/>
      <c r="AH48" s="541"/>
    </row>
    <row r="49" spans="1:34">
      <c r="A49" s="541"/>
      <c r="B49" s="765"/>
      <c r="C49" s="718"/>
      <c r="D49" s="763"/>
      <c r="E49" s="733"/>
      <c r="F49" s="733"/>
      <c r="G49" s="542"/>
      <c r="H49" s="736"/>
      <c r="I49" s="541"/>
      <c r="J49" s="721"/>
      <c r="K49" s="541"/>
      <c r="L49" s="541"/>
      <c r="M49" s="541"/>
      <c r="N49" s="541"/>
      <c r="O49" s="541"/>
      <c r="P49" s="541"/>
      <c r="Q49" s="541"/>
      <c r="R49" s="541"/>
      <c r="S49" s="541"/>
      <c r="T49" s="541"/>
      <c r="U49" s="541"/>
      <c r="V49" s="541"/>
      <c r="W49" s="541"/>
      <c r="X49" s="541"/>
      <c r="Y49" s="541"/>
      <c r="Z49" s="541"/>
      <c r="AA49" s="541"/>
      <c r="AB49" s="541"/>
      <c r="AC49" s="541"/>
      <c r="AD49" s="541"/>
      <c r="AE49" s="541"/>
      <c r="AF49" s="541"/>
      <c r="AG49" s="541"/>
      <c r="AH49" s="541"/>
    </row>
    <row r="50" spans="1:34">
      <c r="A50" s="541"/>
      <c r="B50" s="765"/>
      <c r="C50" s="746"/>
      <c r="D50" s="763"/>
      <c r="E50" s="733"/>
      <c r="F50" s="542"/>
      <c r="G50" s="542"/>
      <c r="H50" s="736"/>
      <c r="I50" s="541"/>
      <c r="J50" s="72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row>
    <row r="51" spans="1:34" ht="16" thickBot="1">
      <c r="A51" s="541"/>
      <c r="B51" s="767"/>
      <c r="C51" s="718"/>
      <c r="D51" s="734"/>
      <c r="E51" s="733"/>
      <c r="F51" s="542"/>
      <c r="G51" s="542"/>
      <c r="H51" s="736"/>
      <c r="I51" s="541"/>
      <c r="J51" s="721"/>
      <c r="K51" s="541"/>
      <c r="L51" s="541"/>
      <c r="M51" s="541"/>
      <c r="N51" s="541"/>
      <c r="O51" s="541"/>
      <c r="P51" s="541"/>
      <c r="Q51" s="541"/>
      <c r="R51" s="541"/>
      <c r="S51" s="541"/>
      <c r="T51" s="541"/>
      <c r="U51" s="541"/>
      <c r="V51" s="541"/>
      <c r="W51" s="541"/>
      <c r="X51" s="541"/>
      <c r="Y51" s="541"/>
      <c r="Z51" s="541"/>
      <c r="AA51" s="541"/>
      <c r="AB51" s="541"/>
      <c r="AC51" s="541"/>
      <c r="AD51" s="541"/>
      <c r="AE51" s="541"/>
      <c r="AF51" s="541"/>
      <c r="AG51" s="541"/>
      <c r="AH51" s="541"/>
    </row>
    <row r="52" spans="1:34" ht="16" thickBot="1">
      <c r="A52" s="541"/>
      <c r="B52" s="738" t="s">
        <v>25</v>
      </c>
      <c r="C52" s="760"/>
      <c r="D52" s="768">
        <f>D18-D40</f>
        <v>480450270.34963417</v>
      </c>
      <c r="E52" s="733"/>
      <c r="F52" s="542"/>
      <c r="G52" s="542"/>
      <c r="H52" s="736"/>
      <c r="I52" s="721"/>
      <c r="J52" s="721"/>
      <c r="K52" s="541"/>
      <c r="L52" s="541"/>
      <c r="M52" s="541"/>
      <c r="N52" s="541"/>
      <c r="O52" s="541"/>
      <c r="P52" s="541"/>
      <c r="Q52" s="541"/>
      <c r="R52" s="541"/>
      <c r="S52" s="541"/>
      <c r="T52" s="541"/>
      <c r="U52" s="541"/>
      <c r="V52" s="541"/>
      <c r="W52" s="541"/>
      <c r="X52" s="541"/>
      <c r="Y52" s="541"/>
      <c r="Z52" s="541"/>
      <c r="AA52" s="541"/>
      <c r="AB52" s="541"/>
      <c r="AC52" s="541"/>
      <c r="AD52" s="541"/>
      <c r="AE52" s="541"/>
      <c r="AF52" s="541"/>
      <c r="AG52" s="541"/>
      <c r="AH52" s="541"/>
    </row>
    <row r="53" spans="1:34">
      <c r="A53" s="541"/>
      <c r="B53" s="778" t="s">
        <v>277</v>
      </c>
      <c r="C53" s="778"/>
      <c r="D53" s="778"/>
      <c r="E53" s="733"/>
      <c r="F53" s="542"/>
      <c r="G53" s="733"/>
      <c r="H53" s="736"/>
      <c r="I53" s="721"/>
      <c r="J53" s="721"/>
      <c r="K53" s="541"/>
      <c r="L53" s="541"/>
      <c r="M53" s="541"/>
      <c r="N53" s="541"/>
      <c r="O53" s="541"/>
      <c r="P53" s="541"/>
      <c r="Q53" s="541"/>
      <c r="R53" s="541"/>
      <c r="S53" s="541"/>
      <c r="T53" s="541"/>
      <c r="U53" s="541"/>
      <c r="V53" s="541"/>
      <c r="W53" s="541"/>
      <c r="X53" s="541"/>
      <c r="Y53" s="541"/>
      <c r="Z53" s="541"/>
      <c r="AA53" s="541"/>
      <c r="AB53" s="541"/>
      <c r="AC53" s="541"/>
      <c r="AD53" s="541"/>
      <c r="AE53" s="541"/>
      <c r="AF53" s="541"/>
      <c r="AG53" s="541"/>
      <c r="AH53" s="541"/>
    </row>
    <row r="54" spans="1:34" ht="40.5" customHeight="1">
      <c r="A54" s="541"/>
      <c r="B54" s="779" t="s">
        <v>290</v>
      </c>
      <c r="C54" s="779"/>
      <c r="D54" s="779"/>
      <c r="E54" s="755"/>
      <c r="F54" s="736"/>
      <c r="G54" s="542"/>
      <c r="H54" s="736"/>
      <c r="I54" s="541"/>
      <c r="J54" s="721"/>
      <c r="K54" s="541"/>
      <c r="L54" s="541"/>
      <c r="M54" s="541"/>
      <c r="N54" s="541"/>
      <c r="O54" s="541"/>
      <c r="P54" s="541"/>
      <c r="Q54" s="541"/>
      <c r="R54" s="541"/>
      <c r="S54" s="541"/>
      <c r="T54" s="541"/>
      <c r="U54" s="541"/>
      <c r="V54" s="541"/>
      <c r="W54" s="541"/>
      <c r="X54" s="541"/>
      <c r="Y54" s="541"/>
      <c r="Z54" s="541"/>
      <c r="AA54" s="541"/>
      <c r="AB54" s="541"/>
      <c r="AC54" s="541"/>
      <c r="AD54" s="541"/>
      <c r="AE54" s="541"/>
      <c r="AF54" s="541"/>
      <c r="AG54" s="541"/>
      <c r="AH54" s="541"/>
    </row>
    <row r="55" spans="1:34" ht="6" customHeight="1">
      <c r="A55" s="541"/>
      <c r="B55" s="774"/>
      <c r="C55" s="774"/>
      <c r="D55" s="774"/>
      <c r="E55" s="769"/>
      <c r="F55" s="733"/>
      <c r="G55" s="770"/>
      <c r="H55" s="733"/>
      <c r="I55" s="541"/>
      <c r="J55" s="721"/>
      <c r="K55" s="541"/>
      <c r="L55" s="541"/>
      <c r="M55" s="541"/>
      <c r="N55" s="541"/>
      <c r="O55" s="541"/>
      <c r="P55" s="541"/>
      <c r="Q55" s="541"/>
      <c r="R55" s="541"/>
      <c r="S55" s="541"/>
      <c r="T55" s="541"/>
      <c r="U55" s="541"/>
      <c r="V55" s="541"/>
      <c r="W55" s="541"/>
      <c r="X55" s="541"/>
      <c r="Y55" s="541"/>
      <c r="Z55" s="541"/>
      <c r="AA55" s="541"/>
      <c r="AB55" s="541"/>
      <c r="AC55" s="541"/>
      <c r="AD55" s="541"/>
      <c r="AE55" s="541"/>
      <c r="AF55" s="541"/>
      <c r="AG55" s="541"/>
      <c r="AH55" s="541"/>
    </row>
    <row r="56" spans="1:34">
      <c r="A56" s="541"/>
      <c r="B56" s="718"/>
      <c r="C56" s="718"/>
      <c r="D56" s="718"/>
      <c r="E56" s="733"/>
      <c r="F56" s="733"/>
      <c r="G56" s="542"/>
      <c r="H56" s="733"/>
      <c r="I56" s="541"/>
      <c r="J56" s="721"/>
      <c r="K56" s="541"/>
      <c r="L56" s="541"/>
      <c r="M56" s="541"/>
      <c r="N56" s="541"/>
      <c r="O56" s="541"/>
      <c r="P56" s="541"/>
      <c r="Q56" s="541"/>
      <c r="R56" s="541"/>
      <c r="S56" s="541"/>
      <c r="T56" s="541"/>
      <c r="U56" s="541"/>
      <c r="V56" s="541"/>
      <c r="W56" s="541"/>
      <c r="X56" s="541"/>
      <c r="Y56" s="541"/>
      <c r="Z56" s="541"/>
      <c r="AA56" s="541"/>
      <c r="AB56" s="541"/>
      <c r="AC56" s="541"/>
      <c r="AD56" s="541"/>
      <c r="AE56" s="541"/>
      <c r="AF56" s="541"/>
      <c r="AG56" s="541"/>
      <c r="AH56" s="541"/>
    </row>
    <row r="57" spans="1:34">
      <c r="A57" s="541"/>
      <c r="B57" s="733"/>
      <c r="C57" s="733"/>
      <c r="D57" s="733"/>
      <c r="E57" s="733"/>
      <c r="F57" s="733"/>
      <c r="G57" s="542"/>
      <c r="H57" s="733"/>
      <c r="I57" s="541"/>
      <c r="J57" s="721"/>
      <c r="K57" s="541"/>
      <c r="L57" s="541"/>
      <c r="M57" s="541"/>
      <c r="N57" s="541"/>
      <c r="O57" s="541"/>
      <c r="P57" s="541"/>
      <c r="Q57" s="541"/>
      <c r="R57" s="541"/>
      <c r="S57" s="541"/>
      <c r="T57" s="541"/>
      <c r="U57" s="541"/>
      <c r="V57" s="541"/>
      <c r="W57" s="541"/>
      <c r="X57" s="541"/>
      <c r="Y57" s="541"/>
      <c r="Z57" s="541"/>
      <c r="AA57" s="541"/>
      <c r="AB57" s="541"/>
      <c r="AC57" s="541"/>
      <c r="AD57" s="541"/>
      <c r="AE57" s="541"/>
      <c r="AF57" s="541"/>
      <c r="AG57" s="541"/>
      <c r="AH57" s="541"/>
    </row>
    <row r="58" spans="1:34">
      <c r="A58" s="541"/>
      <c r="B58" s="733"/>
      <c r="C58" s="733"/>
      <c r="D58" s="733"/>
      <c r="E58" s="733"/>
      <c r="F58" s="733"/>
      <c r="G58" s="542"/>
      <c r="H58" s="733"/>
      <c r="I58" s="541"/>
      <c r="J58" s="721"/>
      <c r="K58" s="541"/>
      <c r="L58" s="541"/>
      <c r="M58" s="541"/>
      <c r="N58" s="541"/>
      <c r="O58" s="541"/>
      <c r="P58" s="541"/>
      <c r="Q58" s="541"/>
      <c r="R58" s="541"/>
      <c r="S58" s="541"/>
      <c r="T58" s="541"/>
      <c r="U58" s="541"/>
      <c r="V58" s="541"/>
      <c r="W58" s="541"/>
      <c r="X58" s="541"/>
      <c r="Y58" s="541"/>
      <c r="Z58" s="541"/>
      <c r="AA58" s="541"/>
      <c r="AB58" s="541"/>
      <c r="AC58" s="541"/>
      <c r="AD58" s="541"/>
      <c r="AE58" s="541"/>
      <c r="AF58" s="541"/>
      <c r="AG58" s="541"/>
      <c r="AH58" s="541"/>
    </row>
    <row r="59" spans="1:34">
      <c r="A59" s="541"/>
      <c r="B59" s="733"/>
      <c r="C59" s="733"/>
      <c r="D59" s="733"/>
      <c r="E59" s="733"/>
      <c r="F59" s="733"/>
      <c r="G59" s="542"/>
      <c r="H59" s="733"/>
      <c r="I59" s="541"/>
      <c r="J59" s="721"/>
      <c r="K59" s="541"/>
      <c r="L59" s="541"/>
      <c r="M59" s="541"/>
      <c r="N59" s="541"/>
      <c r="O59" s="541"/>
      <c r="P59" s="541"/>
      <c r="Q59" s="541"/>
      <c r="R59" s="541"/>
      <c r="S59" s="541"/>
      <c r="T59" s="541"/>
      <c r="U59" s="541"/>
      <c r="V59" s="541"/>
      <c r="W59" s="541"/>
      <c r="X59" s="541"/>
      <c r="Y59" s="541"/>
      <c r="Z59" s="541"/>
      <c r="AA59" s="541"/>
      <c r="AB59" s="541"/>
      <c r="AC59" s="541"/>
      <c r="AD59" s="541"/>
      <c r="AE59" s="541"/>
      <c r="AF59" s="541"/>
      <c r="AG59" s="541"/>
      <c r="AH59" s="541"/>
    </row>
    <row r="60" spans="1:34">
      <c r="A60" s="541"/>
      <c r="B60" s="733"/>
      <c r="C60" s="733"/>
      <c r="D60" s="733"/>
      <c r="E60" s="733"/>
      <c r="F60" s="733"/>
      <c r="G60" s="542"/>
      <c r="H60" s="733"/>
      <c r="I60" s="541"/>
      <c r="J60" s="721"/>
      <c r="K60" s="541"/>
      <c r="L60" s="541"/>
      <c r="M60" s="541"/>
      <c r="N60" s="541"/>
      <c r="O60" s="541"/>
      <c r="P60" s="541"/>
      <c r="Q60" s="541"/>
      <c r="R60" s="541"/>
      <c r="S60" s="541"/>
      <c r="T60" s="541"/>
      <c r="U60" s="541"/>
      <c r="V60" s="541"/>
      <c r="W60" s="541"/>
      <c r="X60" s="541"/>
      <c r="Y60" s="541"/>
      <c r="Z60" s="541"/>
      <c r="AA60" s="541"/>
      <c r="AB60" s="541"/>
      <c r="AC60" s="541"/>
      <c r="AD60" s="541"/>
      <c r="AE60" s="541"/>
      <c r="AF60" s="541"/>
      <c r="AG60" s="541"/>
      <c r="AH60" s="541"/>
    </row>
    <row r="61" spans="1:34">
      <c r="A61" s="541"/>
      <c r="B61" s="733"/>
      <c r="C61" s="733"/>
      <c r="D61" s="733"/>
      <c r="E61" s="733"/>
      <c r="F61" s="733"/>
      <c r="G61" s="542"/>
      <c r="H61" s="733"/>
      <c r="I61" s="541"/>
      <c r="J61" s="721"/>
      <c r="K61" s="541"/>
      <c r="L61" s="541"/>
      <c r="M61" s="541"/>
      <c r="N61" s="541"/>
      <c r="O61" s="541"/>
      <c r="P61" s="541"/>
      <c r="Q61" s="541"/>
      <c r="R61" s="541"/>
      <c r="S61" s="541"/>
      <c r="T61" s="541"/>
      <c r="U61" s="541"/>
      <c r="V61" s="541"/>
      <c r="W61" s="541"/>
      <c r="X61" s="541"/>
      <c r="Y61" s="541"/>
      <c r="Z61" s="541"/>
      <c r="AA61" s="541"/>
      <c r="AB61" s="541"/>
      <c r="AC61" s="541"/>
      <c r="AD61" s="541"/>
      <c r="AE61" s="541"/>
      <c r="AF61" s="541"/>
      <c r="AG61" s="541"/>
      <c r="AH61" s="541"/>
    </row>
    <row r="62" spans="1:34">
      <c r="A62" s="541"/>
      <c r="B62" s="733"/>
      <c r="C62" s="733"/>
      <c r="D62" s="733"/>
      <c r="E62" s="733"/>
      <c r="F62" s="733"/>
      <c r="G62" s="542"/>
      <c r="H62" s="733"/>
      <c r="I62" s="541"/>
      <c r="J62" s="721"/>
      <c r="K62" s="541"/>
      <c r="L62" s="541"/>
      <c r="M62" s="541"/>
      <c r="N62" s="541"/>
      <c r="O62" s="541"/>
      <c r="P62" s="541"/>
      <c r="Q62" s="541"/>
      <c r="R62" s="541"/>
      <c r="S62" s="541"/>
      <c r="T62" s="541"/>
      <c r="U62" s="541"/>
      <c r="V62" s="541"/>
      <c r="W62" s="541"/>
      <c r="X62" s="541"/>
      <c r="Y62" s="541"/>
      <c r="Z62" s="541"/>
      <c r="AA62" s="541"/>
      <c r="AB62" s="541"/>
      <c r="AC62" s="541"/>
      <c r="AD62" s="541"/>
      <c r="AE62" s="541"/>
      <c r="AF62" s="541"/>
      <c r="AG62" s="541"/>
      <c r="AH62" s="541"/>
    </row>
    <row r="63" spans="1:34">
      <c r="A63" s="541"/>
      <c r="B63" s="733"/>
      <c r="C63" s="733"/>
      <c r="D63" s="733"/>
      <c r="E63" s="733"/>
      <c r="F63" s="733"/>
      <c r="G63" s="542"/>
      <c r="H63" s="733"/>
      <c r="I63" s="541"/>
      <c r="J63" s="721"/>
      <c r="K63" s="541"/>
      <c r="L63" s="541"/>
      <c r="M63" s="541"/>
      <c r="N63" s="541"/>
      <c r="O63" s="541"/>
      <c r="P63" s="541"/>
      <c r="Q63" s="541"/>
      <c r="R63" s="541"/>
      <c r="S63" s="541"/>
      <c r="T63" s="541"/>
      <c r="U63" s="541"/>
      <c r="V63" s="541"/>
      <c r="W63" s="541"/>
      <c r="X63" s="541"/>
      <c r="Y63" s="541"/>
      <c r="Z63" s="541"/>
      <c r="AA63" s="541"/>
      <c r="AB63" s="541"/>
      <c r="AC63" s="541"/>
      <c r="AD63" s="541"/>
      <c r="AE63" s="541"/>
      <c r="AF63" s="541"/>
      <c r="AG63" s="541"/>
      <c r="AH63" s="541"/>
    </row>
    <row r="64" spans="1:34">
      <c r="A64" s="541"/>
      <c r="B64" s="733"/>
      <c r="C64" s="733"/>
      <c r="D64" s="733"/>
      <c r="E64" s="733"/>
      <c r="F64" s="733"/>
      <c r="G64" s="542"/>
      <c r="H64" s="733"/>
      <c r="I64" s="541"/>
      <c r="J64" s="721"/>
      <c r="K64" s="541"/>
      <c r="L64" s="541"/>
      <c r="M64" s="541"/>
      <c r="N64" s="541"/>
      <c r="O64" s="541"/>
      <c r="P64" s="541"/>
      <c r="Q64" s="541"/>
      <c r="R64" s="541"/>
      <c r="S64" s="541"/>
      <c r="T64" s="541"/>
      <c r="U64" s="541"/>
      <c r="V64" s="541"/>
      <c r="W64" s="541"/>
      <c r="X64" s="541"/>
      <c r="Y64" s="541"/>
      <c r="Z64" s="541"/>
      <c r="AA64" s="541"/>
      <c r="AB64" s="541"/>
      <c r="AC64" s="541"/>
      <c r="AD64" s="541"/>
      <c r="AE64" s="541"/>
      <c r="AF64" s="541"/>
      <c r="AG64" s="541"/>
      <c r="AH64" s="541"/>
    </row>
    <row r="65" spans="1:34">
      <c r="A65" s="541"/>
      <c r="B65" s="733"/>
      <c r="C65" s="733"/>
      <c r="D65" s="733"/>
      <c r="E65" s="733"/>
      <c r="F65" s="733"/>
      <c r="G65" s="542"/>
      <c r="H65" s="733"/>
      <c r="I65" s="541"/>
      <c r="J65" s="721"/>
      <c r="K65" s="541"/>
      <c r="L65" s="541"/>
      <c r="M65" s="541"/>
      <c r="N65" s="541"/>
      <c r="O65" s="541"/>
      <c r="P65" s="541"/>
      <c r="Q65" s="541"/>
      <c r="R65" s="541"/>
      <c r="S65" s="541"/>
      <c r="T65" s="541"/>
      <c r="U65" s="541"/>
      <c r="V65" s="541"/>
      <c r="W65" s="541"/>
      <c r="X65" s="541"/>
      <c r="Y65" s="541"/>
      <c r="Z65" s="541"/>
      <c r="AA65" s="541"/>
      <c r="AB65" s="541"/>
      <c r="AC65" s="541"/>
      <c r="AD65" s="541"/>
      <c r="AE65" s="541"/>
      <c r="AF65" s="541"/>
      <c r="AG65" s="541"/>
      <c r="AH65" s="541"/>
    </row>
    <row r="66" spans="1:34">
      <c r="A66" s="541"/>
      <c r="B66" s="733"/>
      <c r="C66" s="733"/>
      <c r="D66" s="733"/>
      <c r="E66" s="733"/>
      <c r="F66" s="733"/>
      <c r="G66" s="542"/>
      <c r="H66" s="733"/>
      <c r="I66" s="541"/>
      <c r="J66" s="721"/>
      <c r="K66" s="541"/>
      <c r="L66" s="541"/>
      <c r="M66" s="541"/>
      <c r="N66" s="541"/>
      <c r="O66" s="541"/>
      <c r="P66" s="541"/>
      <c r="Q66" s="541"/>
      <c r="R66" s="541"/>
      <c r="S66" s="541"/>
      <c r="T66" s="541"/>
      <c r="U66" s="541"/>
      <c r="V66" s="541"/>
      <c r="W66" s="541"/>
      <c r="X66" s="541"/>
      <c r="Y66" s="541"/>
      <c r="Z66" s="541"/>
      <c r="AA66" s="541"/>
      <c r="AB66" s="541"/>
      <c r="AC66" s="541"/>
      <c r="AD66" s="541"/>
      <c r="AE66" s="541"/>
      <c r="AF66" s="541"/>
      <c r="AG66" s="541"/>
      <c r="AH66" s="541"/>
    </row>
    <row r="67" spans="1:34">
      <c r="A67" s="541"/>
      <c r="B67" s="733"/>
      <c r="C67" s="733"/>
      <c r="D67" s="733"/>
      <c r="E67" s="733"/>
      <c r="F67" s="733"/>
      <c r="G67" s="542"/>
      <c r="H67" s="733"/>
      <c r="I67" s="541"/>
      <c r="J67" s="721"/>
      <c r="K67" s="541"/>
      <c r="L67" s="541"/>
      <c r="M67" s="541"/>
      <c r="N67" s="541"/>
      <c r="O67" s="541"/>
      <c r="P67" s="541"/>
      <c r="Q67" s="541"/>
      <c r="R67" s="541"/>
      <c r="S67" s="541"/>
      <c r="T67" s="541"/>
      <c r="U67" s="541"/>
      <c r="V67" s="541"/>
      <c r="W67" s="541"/>
      <c r="X67" s="541"/>
      <c r="Y67" s="541"/>
      <c r="Z67" s="541"/>
      <c r="AA67" s="541"/>
      <c r="AB67" s="541"/>
      <c r="AC67" s="541"/>
      <c r="AD67" s="541"/>
      <c r="AE67" s="541"/>
      <c r="AF67" s="541"/>
      <c r="AG67" s="541"/>
      <c r="AH67" s="541"/>
    </row>
    <row r="68" spans="1:34">
      <c r="A68" s="541"/>
      <c r="B68" s="733"/>
      <c r="C68" s="733"/>
      <c r="D68" s="733"/>
      <c r="E68" s="733"/>
      <c r="F68" s="733"/>
      <c r="G68" s="542"/>
      <c r="H68" s="733"/>
      <c r="I68" s="541"/>
      <c r="J68" s="721"/>
      <c r="K68" s="541"/>
      <c r="L68" s="541"/>
      <c r="M68" s="541"/>
      <c r="N68" s="541"/>
      <c r="O68" s="541"/>
      <c r="P68" s="541"/>
      <c r="Q68" s="541"/>
      <c r="R68" s="541"/>
      <c r="S68" s="541"/>
      <c r="T68" s="541"/>
      <c r="U68" s="541"/>
      <c r="V68" s="541"/>
      <c r="W68" s="541"/>
      <c r="X68" s="541"/>
      <c r="Y68" s="541"/>
      <c r="Z68" s="541"/>
      <c r="AA68" s="541"/>
      <c r="AB68" s="541"/>
      <c r="AC68" s="541"/>
      <c r="AD68" s="541"/>
      <c r="AE68" s="541"/>
      <c r="AF68" s="541"/>
      <c r="AG68" s="541"/>
      <c r="AH68" s="541"/>
    </row>
    <row r="69" spans="1:34">
      <c r="A69" s="541"/>
      <c r="B69" s="541"/>
      <c r="C69" s="541"/>
      <c r="D69" s="541"/>
      <c r="E69" s="541"/>
      <c r="F69" s="541"/>
      <c r="G69" s="721"/>
      <c r="H69" s="541"/>
      <c r="I69" s="541"/>
      <c r="J69" s="721"/>
      <c r="K69" s="541"/>
      <c r="L69" s="541"/>
      <c r="M69" s="541"/>
      <c r="N69" s="541"/>
      <c r="O69" s="541"/>
      <c r="P69" s="541"/>
      <c r="Q69" s="541"/>
      <c r="R69" s="541"/>
      <c r="S69" s="541"/>
      <c r="T69" s="541"/>
      <c r="U69" s="541"/>
      <c r="V69" s="541"/>
      <c r="W69" s="541"/>
      <c r="X69" s="541"/>
      <c r="Y69" s="541"/>
      <c r="Z69" s="541"/>
      <c r="AA69" s="541"/>
      <c r="AB69" s="541"/>
      <c r="AC69" s="541"/>
      <c r="AD69" s="541"/>
      <c r="AE69" s="541"/>
      <c r="AF69" s="541"/>
      <c r="AG69" s="541"/>
      <c r="AH69" s="541"/>
    </row>
    <row r="70" spans="1:34">
      <c r="A70" s="541"/>
      <c r="B70" s="541"/>
      <c r="C70" s="541"/>
      <c r="D70" s="541"/>
      <c r="E70" s="541"/>
      <c r="F70" s="541"/>
      <c r="G70" s="721"/>
      <c r="H70" s="541"/>
      <c r="I70" s="541"/>
      <c r="J70" s="721"/>
      <c r="K70" s="541"/>
      <c r="L70" s="541"/>
      <c r="M70" s="541"/>
      <c r="N70" s="541"/>
      <c r="O70" s="541"/>
      <c r="P70" s="541"/>
      <c r="Q70" s="541"/>
      <c r="R70" s="541"/>
      <c r="S70" s="541"/>
      <c r="T70" s="541"/>
      <c r="U70" s="541"/>
      <c r="V70" s="541"/>
      <c r="W70" s="541"/>
      <c r="X70" s="541"/>
      <c r="Y70" s="541"/>
      <c r="Z70" s="541"/>
      <c r="AA70" s="541"/>
      <c r="AB70" s="541"/>
      <c r="AC70" s="541"/>
      <c r="AD70" s="541"/>
      <c r="AE70" s="541"/>
      <c r="AF70" s="541"/>
      <c r="AG70" s="541"/>
      <c r="AH70" s="541"/>
    </row>
    <row r="71" spans="1:34">
      <c r="A71" s="541"/>
      <c r="B71" s="541"/>
      <c r="C71" s="541"/>
      <c r="D71" s="541"/>
      <c r="E71" s="541"/>
      <c r="F71" s="541"/>
      <c r="G71" s="721"/>
      <c r="H71" s="541"/>
      <c r="I71" s="541"/>
      <c r="J71" s="721"/>
      <c r="K71" s="541"/>
      <c r="L71" s="541"/>
      <c r="M71" s="541"/>
      <c r="N71" s="541"/>
      <c r="O71" s="541"/>
      <c r="P71" s="541"/>
      <c r="Q71" s="541"/>
      <c r="R71" s="541"/>
      <c r="S71" s="541"/>
      <c r="T71" s="541"/>
      <c r="U71" s="541"/>
      <c r="V71" s="541"/>
      <c r="W71" s="541"/>
      <c r="X71" s="541"/>
      <c r="Y71" s="541"/>
      <c r="Z71" s="541"/>
    </row>
    <row r="72" spans="1:34">
      <c r="A72" s="541"/>
      <c r="B72" s="541"/>
      <c r="C72" s="541"/>
      <c r="D72" s="541"/>
      <c r="E72" s="541"/>
      <c r="F72" s="541"/>
      <c r="G72" s="721"/>
      <c r="H72" s="541"/>
      <c r="I72" s="541"/>
      <c r="J72" s="721"/>
      <c r="K72" s="541"/>
      <c r="L72" s="541"/>
      <c r="M72" s="541"/>
      <c r="N72" s="541"/>
      <c r="O72" s="541"/>
      <c r="P72" s="541"/>
      <c r="Q72" s="541"/>
      <c r="R72" s="541"/>
      <c r="S72" s="541"/>
      <c r="T72" s="541"/>
      <c r="U72" s="541"/>
      <c r="V72" s="541"/>
      <c r="W72" s="541"/>
      <c r="X72" s="541"/>
      <c r="Y72" s="541"/>
      <c r="Z72" s="541"/>
    </row>
    <row r="73" spans="1:34">
      <c r="A73" s="541"/>
      <c r="B73" s="541"/>
      <c r="C73" s="541"/>
      <c r="D73" s="541"/>
      <c r="E73" s="541"/>
      <c r="F73" s="541"/>
      <c r="G73" s="721"/>
      <c r="H73" s="541"/>
      <c r="I73" s="541"/>
      <c r="J73" s="721"/>
      <c r="K73" s="541"/>
      <c r="L73" s="541"/>
      <c r="M73" s="541"/>
      <c r="N73" s="541"/>
      <c r="O73" s="541"/>
      <c r="P73" s="541"/>
      <c r="Q73" s="541"/>
      <c r="R73" s="541"/>
      <c r="S73" s="541"/>
      <c r="T73" s="541"/>
      <c r="U73" s="541"/>
      <c r="V73" s="541"/>
      <c r="W73" s="541"/>
      <c r="X73" s="541"/>
      <c r="Y73" s="541"/>
      <c r="Z73" s="541"/>
    </row>
    <row r="74" spans="1:34">
      <c r="A74" s="541"/>
      <c r="B74" s="541"/>
      <c r="C74" s="541"/>
      <c r="D74" s="541"/>
      <c r="E74" s="541"/>
      <c r="F74" s="541"/>
      <c r="G74" s="721"/>
      <c r="H74" s="541"/>
      <c r="I74" s="541"/>
      <c r="J74" s="721"/>
      <c r="K74" s="541"/>
      <c r="L74" s="541"/>
      <c r="M74" s="541"/>
      <c r="N74" s="541"/>
      <c r="O74" s="541"/>
      <c r="P74" s="541"/>
      <c r="Q74" s="541"/>
      <c r="R74" s="541"/>
      <c r="S74" s="541"/>
      <c r="T74" s="541"/>
      <c r="U74" s="541"/>
      <c r="V74" s="541"/>
      <c r="W74" s="541"/>
      <c r="X74" s="541"/>
      <c r="Y74" s="541"/>
      <c r="Z74" s="541"/>
    </row>
    <row r="75" spans="1:34">
      <c r="A75" s="541"/>
      <c r="B75" s="541"/>
      <c r="C75" s="541"/>
      <c r="D75" s="541"/>
      <c r="E75" s="541"/>
      <c r="F75" s="541"/>
      <c r="G75" s="721"/>
      <c r="H75" s="541"/>
      <c r="I75" s="541"/>
      <c r="J75" s="721"/>
      <c r="K75" s="541"/>
      <c r="L75" s="541"/>
      <c r="M75" s="541"/>
      <c r="N75" s="541"/>
      <c r="O75" s="541"/>
      <c r="P75" s="541"/>
      <c r="Q75" s="541"/>
      <c r="R75" s="541"/>
      <c r="S75" s="541"/>
      <c r="T75" s="541"/>
      <c r="U75" s="541"/>
      <c r="V75" s="541"/>
      <c r="W75" s="541"/>
      <c r="X75" s="541"/>
      <c r="Y75" s="541"/>
      <c r="Z75" s="541"/>
    </row>
    <row r="76" spans="1:34">
      <c r="A76" s="541"/>
      <c r="B76" s="541"/>
      <c r="C76" s="541"/>
      <c r="D76" s="541"/>
      <c r="E76" s="541"/>
      <c r="F76" s="541"/>
      <c r="G76" s="721"/>
      <c r="H76" s="541"/>
      <c r="I76" s="541"/>
      <c r="J76" s="721"/>
      <c r="K76" s="541"/>
      <c r="L76" s="541"/>
      <c r="M76" s="541"/>
      <c r="N76" s="541"/>
      <c r="O76" s="541"/>
      <c r="P76" s="541"/>
      <c r="Q76" s="541"/>
      <c r="R76" s="541"/>
      <c r="S76" s="541"/>
      <c r="T76" s="541"/>
      <c r="U76" s="541"/>
      <c r="V76" s="541"/>
      <c r="W76" s="541"/>
      <c r="X76" s="541"/>
      <c r="Y76" s="541"/>
      <c r="Z76" s="541"/>
    </row>
    <row r="77" spans="1:34">
      <c r="A77" s="541"/>
      <c r="B77" s="541"/>
      <c r="C77" s="541"/>
      <c r="D77" s="541"/>
      <c r="E77" s="541"/>
      <c r="F77" s="541"/>
      <c r="G77" s="721"/>
      <c r="H77" s="541"/>
      <c r="I77" s="541"/>
      <c r="J77" s="721"/>
      <c r="K77" s="541"/>
      <c r="L77" s="541"/>
      <c r="M77" s="541"/>
      <c r="N77" s="541"/>
      <c r="O77" s="541"/>
      <c r="P77" s="541"/>
      <c r="Q77" s="541"/>
      <c r="R77" s="541"/>
      <c r="S77" s="541"/>
      <c r="T77" s="541"/>
      <c r="U77" s="541"/>
      <c r="V77" s="541"/>
      <c r="W77" s="541"/>
      <c r="X77" s="541"/>
      <c r="Y77" s="541"/>
      <c r="Z77" s="541"/>
    </row>
    <row r="78" spans="1:34">
      <c r="A78" s="541"/>
      <c r="B78" s="541"/>
      <c r="C78" s="541"/>
      <c r="D78" s="541"/>
      <c r="E78" s="541"/>
      <c r="F78" s="541"/>
      <c r="G78" s="721"/>
      <c r="H78" s="541"/>
      <c r="I78" s="541"/>
      <c r="J78" s="721"/>
      <c r="K78" s="541"/>
      <c r="L78" s="541"/>
      <c r="M78" s="541"/>
      <c r="N78" s="541"/>
      <c r="O78" s="541"/>
      <c r="P78" s="541"/>
      <c r="Q78" s="541"/>
      <c r="R78" s="541"/>
      <c r="S78" s="541"/>
      <c r="T78" s="541"/>
      <c r="U78" s="541"/>
      <c r="V78" s="541"/>
      <c r="W78" s="541"/>
      <c r="X78" s="541"/>
      <c r="Y78" s="541"/>
      <c r="Z78" s="541"/>
    </row>
    <row r="79" spans="1:34">
      <c r="A79" s="541"/>
      <c r="B79" s="541"/>
      <c r="C79" s="541"/>
      <c r="D79" s="541"/>
      <c r="E79" s="541"/>
      <c r="F79" s="541"/>
      <c r="G79" s="721"/>
      <c r="H79" s="541"/>
      <c r="I79" s="541"/>
      <c r="J79" s="721"/>
      <c r="K79" s="541"/>
      <c r="L79" s="541"/>
      <c r="M79" s="541"/>
      <c r="N79" s="541"/>
      <c r="O79" s="541"/>
      <c r="P79" s="541"/>
      <c r="Q79" s="541"/>
      <c r="R79" s="541"/>
      <c r="S79" s="541"/>
      <c r="T79" s="541"/>
      <c r="U79" s="541"/>
      <c r="V79" s="541"/>
      <c r="W79" s="541"/>
      <c r="X79" s="541"/>
      <c r="Y79" s="541"/>
      <c r="Z79" s="541"/>
    </row>
    <row r="80" spans="1:34">
      <c r="A80" s="541"/>
      <c r="B80" s="541"/>
      <c r="C80" s="541"/>
      <c r="D80" s="541"/>
      <c r="E80" s="541"/>
      <c r="F80" s="541"/>
      <c r="G80" s="721"/>
      <c r="H80" s="541"/>
      <c r="I80" s="541"/>
      <c r="J80" s="721"/>
      <c r="K80" s="541"/>
      <c r="L80" s="541"/>
      <c r="M80" s="541"/>
      <c r="N80" s="541"/>
      <c r="O80" s="541"/>
      <c r="P80" s="541"/>
      <c r="Q80" s="541"/>
      <c r="R80" s="541"/>
      <c r="S80" s="541"/>
      <c r="T80" s="541"/>
      <c r="U80" s="541"/>
      <c r="V80" s="541"/>
      <c r="W80" s="541"/>
      <c r="X80" s="541"/>
      <c r="Y80" s="541"/>
      <c r="Z80" s="541"/>
    </row>
    <row r="81" spans="1:26">
      <c r="A81" s="541"/>
      <c r="B81" s="541"/>
      <c r="C81" s="541"/>
      <c r="D81" s="541"/>
      <c r="E81" s="541"/>
      <c r="F81" s="541"/>
      <c r="G81" s="721"/>
      <c r="H81" s="541"/>
      <c r="I81" s="541"/>
      <c r="J81" s="721"/>
      <c r="K81" s="541"/>
      <c r="L81" s="541"/>
      <c r="M81" s="541"/>
      <c r="N81" s="541"/>
      <c r="O81" s="541"/>
      <c r="P81" s="541"/>
      <c r="Q81" s="541"/>
      <c r="R81" s="541"/>
      <c r="S81" s="541"/>
      <c r="T81" s="541"/>
      <c r="U81" s="541"/>
      <c r="V81" s="541"/>
      <c r="W81" s="541"/>
      <c r="X81" s="541"/>
      <c r="Y81" s="541"/>
      <c r="Z81" s="541"/>
    </row>
    <row r="82" spans="1:26">
      <c r="A82" s="541"/>
      <c r="B82" s="541"/>
      <c r="C82" s="541"/>
      <c r="D82" s="541"/>
      <c r="E82" s="541"/>
      <c r="F82" s="541"/>
      <c r="G82" s="721"/>
      <c r="H82" s="541"/>
      <c r="I82" s="541"/>
      <c r="J82" s="721"/>
      <c r="K82" s="541"/>
      <c r="L82" s="541"/>
      <c r="M82" s="541"/>
      <c r="N82" s="541"/>
      <c r="O82" s="541"/>
      <c r="P82" s="541"/>
      <c r="Q82" s="541"/>
      <c r="R82" s="541"/>
      <c r="S82" s="541"/>
      <c r="T82" s="541"/>
      <c r="U82" s="541"/>
      <c r="V82" s="541"/>
      <c r="W82" s="541"/>
      <c r="X82" s="541"/>
      <c r="Y82" s="541"/>
      <c r="Z82" s="541"/>
    </row>
    <row r="83" spans="1:26">
      <c r="A83" s="541"/>
      <c r="B83" s="541"/>
      <c r="C83" s="541"/>
      <c r="D83" s="541"/>
      <c r="E83" s="541"/>
      <c r="F83" s="541"/>
      <c r="G83" s="721"/>
      <c r="H83" s="541"/>
      <c r="I83" s="541"/>
      <c r="J83" s="721"/>
      <c r="K83" s="541"/>
      <c r="L83" s="541"/>
      <c r="M83" s="541"/>
      <c r="N83" s="541"/>
      <c r="O83" s="541"/>
      <c r="P83" s="541"/>
      <c r="Q83" s="541"/>
      <c r="R83" s="541"/>
      <c r="S83" s="541"/>
      <c r="T83" s="541"/>
      <c r="U83" s="541"/>
      <c r="V83" s="541"/>
      <c r="W83" s="541"/>
      <c r="X83" s="541"/>
      <c r="Y83" s="541"/>
      <c r="Z83" s="541"/>
    </row>
    <row r="84" spans="1:26">
      <c r="A84" s="541"/>
      <c r="B84" s="541"/>
      <c r="C84" s="541"/>
      <c r="D84" s="541"/>
      <c r="E84" s="541"/>
      <c r="F84" s="541"/>
      <c r="G84" s="721"/>
      <c r="H84" s="541"/>
      <c r="I84" s="541"/>
      <c r="J84" s="721"/>
      <c r="K84" s="541"/>
      <c r="L84" s="541"/>
      <c r="M84" s="541"/>
      <c r="N84" s="541"/>
      <c r="O84" s="541"/>
      <c r="P84" s="541"/>
      <c r="Q84" s="541"/>
      <c r="R84" s="541"/>
      <c r="S84" s="541"/>
      <c r="T84" s="541"/>
      <c r="U84" s="541"/>
      <c r="V84" s="541"/>
      <c r="W84" s="541"/>
      <c r="X84" s="541"/>
      <c r="Y84" s="541"/>
      <c r="Z84" s="541"/>
    </row>
    <row r="85" spans="1:26">
      <c r="A85" s="541"/>
      <c r="B85" s="541"/>
      <c r="C85" s="541"/>
      <c r="D85" s="541"/>
      <c r="E85" s="541"/>
      <c r="F85" s="541"/>
      <c r="G85" s="721"/>
      <c r="H85" s="541"/>
      <c r="I85" s="541"/>
      <c r="J85" s="721"/>
      <c r="K85" s="541"/>
      <c r="L85" s="541"/>
      <c r="M85" s="541"/>
      <c r="N85" s="541"/>
      <c r="O85" s="541"/>
      <c r="P85" s="541"/>
      <c r="Q85" s="541"/>
      <c r="R85" s="541"/>
      <c r="S85" s="541"/>
      <c r="T85" s="541"/>
      <c r="U85" s="541"/>
      <c r="V85" s="541"/>
      <c r="W85" s="541"/>
      <c r="X85" s="541"/>
      <c r="Y85" s="541"/>
      <c r="Z85" s="541"/>
    </row>
    <row r="86" spans="1:26">
      <c r="A86" s="541"/>
      <c r="B86" s="541"/>
      <c r="C86" s="541"/>
      <c r="D86" s="541"/>
      <c r="E86" s="541"/>
      <c r="F86" s="541"/>
      <c r="G86" s="721"/>
      <c r="H86" s="541"/>
      <c r="I86" s="541"/>
      <c r="J86" s="721"/>
      <c r="K86" s="541"/>
      <c r="L86" s="541"/>
      <c r="M86" s="541"/>
      <c r="N86" s="541"/>
      <c r="O86" s="541"/>
      <c r="P86" s="541"/>
      <c r="Q86" s="541"/>
      <c r="R86" s="541"/>
      <c r="S86" s="541"/>
      <c r="T86" s="541"/>
      <c r="U86" s="541"/>
      <c r="V86" s="541"/>
      <c r="W86" s="541"/>
      <c r="X86" s="541"/>
      <c r="Y86" s="541"/>
      <c r="Z86" s="541"/>
    </row>
    <row r="87" spans="1:26">
      <c r="A87" s="541"/>
      <c r="B87" s="541"/>
      <c r="C87" s="541"/>
      <c r="D87" s="541"/>
      <c r="E87" s="541"/>
      <c r="F87" s="541"/>
      <c r="G87" s="721"/>
      <c r="H87" s="541"/>
      <c r="I87" s="541"/>
      <c r="J87" s="721"/>
      <c r="K87" s="541"/>
      <c r="L87" s="541"/>
      <c r="M87" s="541"/>
      <c r="N87" s="541"/>
      <c r="O87" s="541"/>
      <c r="P87" s="541"/>
      <c r="Q87" s="541"/>
      <c r="R87" s="541"/>
      <c r="S87" s="541"/>
      <c r="T87" s="541"/>
      <c r="U87" s="541"/>
      <c r="V87" s="541"/>
      <c r="W87" s="541"/>
      <c r="X87" s="541"/>
      <c r="Y87" s="541"/>
      <c r="Z87" s="541"/>
    </row>
    <row r="88" spans="1:26">
      <c r="A88" s="541"/>
      <c r="B88" s="541"/>
      <c r="C88" s="541"/>
      <c r="D88" s="541"/>
      <c r="E88" s="541"/>
      <c r="F88" s="541"/>
      <c r="G88" s="721"/>
      <c r="H88" s="541"/>
      <c r="I88" s="541"/>
      <c r="J88" s="721"/>
      <c r="K88" s="541"/>
      <c r="L88" s="541"/>
      <c r="M88" s="541"/>
      <c r="N88" s="541"/>
      <c r="O88" s="541"/>
      <c r="P88" s="541"/>
      <c r="Q88" s="541"/>
      <c r="R88" s="541"/>
      <c r="S88" s="541"/>
      <c r="T88" s="541"/>
      <c r="U88" s="541"/>
      <c r="V88" s="541"/>
      <c r="W88" s="541"/>
      <c r="X88" s="541"/>
      <c r="Y88" s="541"/>
      <c r="Z88" s="541"/>
    </row>
    <row r="89" spans="1:26">
      <c r="A89" s="541"/>
      <c r="B89" s="541"/>
      <c r="C89" s="541"/>
      <c r="D89" s="541"/>
      <c r="E89" s="541"/>
      <c r="F89" s="541"/>
      <c r="G89" s="721"/>
      <c r="H89" s="541"/>
      <c r="I89" s="541"/>
      <c r="J89" s="721"/>
      <c r="K89" s="541"/>
      <c r="L89" s="541"/>
      <c r="M89" s="541"/>
      <c r="N89" s="541"/>
      <c r="O89" s="541"/>
      <c r="P89" s="541"/>
      <c r="Q89" s="541"/>
      <c r="R89" s="541"/>
      <c r="S89" s="541"/>
      <c r="T89" s="541"/>
      <c r="U89" s="541"/>
      <c r="V89" s="541"/>
      <c r="W89" s="541"/>
      <c r="X89" s="541"/>
      <c r="Y89" s="541"/>
      <c r="Z89" s="541"/>
    </row>
    <row r="90" spans="1:26">
      <c r="A90" s="541"/>
      <c r="B90" s="541"/>
      <c r="C90" s="541"/>
      <c r="D90" s="541"/>
      <c r="E90" s="541"/>
      <c r="F90" s="541"/>
      <c r="G90" s="721"/>
      <c r="H90" s="541"/>
      <c r="I90" s="541"/>
      <c r="J90" s="721"/>
      <c r="K90" s="541"/>
      <c r="L90" s="541"/>
      <c r="M90" s="541"/>
      <c r="N90" s="541"/>
      <c r="O90" s="541"/>
      <c r="P90" s="541"/>
      <c r="Q90" s="541"/>
      <c r="R90" s="541"/>
      <c r="S90" s="541"/>
      <c r="T90" s="541"/>
      <c r="U90" s="541"/>
      <c r="V90" s="541"/>
      <c r="W90" s="541"/>
      <c r="X90" s="541"/>
      <c r="Y90" s="541"/>
      <c r="Z90" s="541"/>
    </row>
    <row r="91" spans="1:26">
      <c r="A91" s="541"/>
      <c r="B91" s="541"/>
      <c r="C91" s="541"/>
      <c r="D91" s="541"/>
      <c r="E91" s="541"/>
      <c r="F91" s="541"/>
      <c r="G91" s="721"/>
      <c r="H91" s="541"/>
      <c r="I91" s="541"/>
      <c r="J91" s="721"/>
      <c r="K91" s="541"/>
      <c r="L91" s="541"/>
      <c r="M91" s="541"/>
      <c r="N91" s="541"/>
      <c r="O91" s="541"/>
      <c r="P91" s="541"/>
      <c r="Q91" s="541"/>
      <c r="R91" s="541"/>
      <c r="S91" s="541"/>
      <c r="T91" s="541"/>
      <c r="U91" s="541"/>
      <c r="V91" s="541"/>
      <c r="W91" s="541"/>
      <c r="X91" s="541"/>
      <c r="Y91" s="541"/>
      <c r="Z91" s="541"/>
    </row>
    <row r="92" spans="1:26">
      <c r="A92" s="541"/>
      <c r="B92" s="541"/>
      <c r="C92" s="541"/>
      <c r="D92" s="541"/>
      <c r="E92" s="541"/>
      <c r="F92" s="541"/>
      <c r="G92" s="721"/>
      <c r="H92" s="541"/>
      <c r="I92" s="541"/>
      <c r="J92" s="721"/>
      <c r="K92" s="541"/>
      <c r="L92" s="541"/>
      <c r="M92" s="541"/>
      <c r="N92" s="541"/>
      <c r="O92" s="541"/>
      <c r="P92" s="541"/>
      <c r="Q92" s="541"/>
      <c r="R92" s="541"/>
      <c r="S92" s="541"/>
      <c r="T92" s="541"/>
      <c r="U92" s="541"/>
      <c r="V92" s="541"/>
      <c r="W92" s="541"/>
      <c r="X92" s="541"/>
      <c r="Y92" s="541"/>
      <c r="Z92" s="541"/>
    </row>
    <row r="93" spans="1:26">
      <c r="A93" s="541"/>
      <c r="B93" s="541"/>
      <c r="C93" s="541"/>
      <c r="D93" s="541"/>
      <c r="E93" s="541"/>
      <c r="F93" s="541"/>
      <c r="G93" s="721"/>
      <c r="H93" s="541"/>
      <c r="I93" s="541"/>
      <c r="J93" s="721"/>
      <c r="K93" s="541"/>
      <c r="L93" s="541"/>
      <c r="M93" s="541"/>
      <c r="N93" s="541"/>
      <c r="O93" s="541"/>
      <c r="P93" s="541"/>
      <c r="Q93" s="541"/>
      <c r="R93" s="541"/>
      <c r="S93" s="541"/>
      <c r="T93" s="541"/>
      <c r="U93" s="541"/>
      <c r="V93" s="541"/>
      <c r="W93" s="541"/>
      <c r="X93" s="541"/>
      <c r="Y93" s="541"/>
      <c r="Z93" s="541"/>
    </row>
    <row r="94" spans="1:26">
      <c r="A94" s="541"/>
      <c r="B94" s="541"/>
      <c r="C94" s="541"/>
      <c r="D94" s="541"/>
      <c r="E94" s="541"/>
      <c r="F94" s="541"/>
      <c r="G94" s="721"/>
      <c r="H94" s="541"/>
      <c r="I94" s="541"/>
      <c r="J94" s="721"/>
      <c r="K94" s="541"/>
      <c r="L94" s="541"/>
      <c r="M94" s="541"/>
      <c r="N94" s="541"/>
      <c r="O94" s="541"/>
      <c r="P94" s="541"/>
      <c r="Q94" s="541"/>
      <c r="R94" s="541"/>
      <c r="S94" s="541"/>
      <c r="T94" s="541"/>
      <c r="U94" s="541"/>
      <c r="V94" s="541"/>
      <c r="W94" s="541"/>
      <c r="X94" s="541"/>
      <c r="Y94" s="541"/>
      <c r="Z94" s="541"/>
    </row>
    <row r="95" spans="1:26">
      <c r="A95" s="541"/>
      <c r="B95" s="541"/>
      <c r="C95" s="541"/>
      <c r="D95" s="541"/>
      <c r="E95" s="541"/>
      <c r="F95" s="541"/>
      <c r="G95" s="721"/>
      <c r="H95" s="541"/>
      <c r="I95" s="541"/>
      <c r="J95" s="721"/>
      <c r="K95" s="541"/>
      <c r="L95" s="541"/>
      <c r="M95" s="541"/>
      <c r="N95" s="541"/>
      <c r="O95" s="541"/>
      <c r="P95" s="541"/>
      <c r="Q95" s="541"/>
      <c r="R95" s="541"/>
      <c r="S95" s="541"/>
      <c r="T95" s="541"/>
      <c r="U95" s="541"/>
      <c r="V95" s="541"/>
      <c r="W95" s="541"/>
      <c r="X95" s="541"/>
      <c r="Y95" s="541"/>
      <c r="Z95" s="541"/>
    </row>
    <row r="96" spans="1:26">
      <c r="A96" s="541"/>
      <c r="B96" s="541"/>
      <c r="C96" s="541"/>
      <c r="D96" s="541"/>
      <c r="E96" s="541"/>
      <c r="F96" s="541"/>
      <c r="G96" s="721"/>
      <c r="H96" s="541"/>
      <c r="I96" s="541"/>
      <c r="J96" s="721"/>
      <c r="K96" s="541"/>
      <c r="L96" s="541"/>
      <c r="M96" s="541"/>
      <c r="N96" s="541"/>
      <c r="O96" s="541"/>
      <c r="P96" s="541"/>
      <c r="Q96" s="541"/>
      <c r="R96" s="541"/>
      <c r="S96" s="541"/>
      <c r="T96" s="541"/>
      <c r="U96" s="541"/>
      <c r="V96" s="541"/>
      <c r="W96" s="541"/>
      <c r="X96" s="541"/>
      <c r="Y96" s="541"/>
      <c r="Z96" s="541"/>
    </row>
    <row r="97" spans="1:26">
      <c r="A97" s="541"/>
      <c r="B97" s="541"/>
      <c r="C97" s="541"/>
      <c r="D97" s="541"/>
      <c r="E97" s="541"/>
      <c r="F97" s="541"/>
      <c r="G97" s="721"/>
      <c r="H97" s="541"/>
      <c r="I97" s="541"/>
      <c r="J97" s="721"/>
      <c r="K97" s="541"/>
      <c r="L97" s="541"/>
      <c r="M97" s="541"/>
      <c r="N97" s="541"/>
      <c r="O97" s="541"/>
      <c r="P97" s="541"/>
      <c r="Q97" s="541"/>
      <c r="R97" s="541"/>
      <c r="S97" s="541"/>
      <c r="T97" s="541"/>
      <c r="U97" s="541"/>
      <c r="V97" s="541"/>
      <c r="W97" s="541"/>
      <c r="X97" s="541"/>
      <c r="Y97" s="541"/>
      <c r="Z97" s="541"/>
    </row>
    <row r="98" spans="1:26">
      <c r="A98" s="541"/>
      <c r="B98" s="541"/>
      <c r="C98" s="541"/>
      <c r="D98" s="541"/>
      <c r="E98" s="541"/>
      <c r="F98" s="541"/>
      <c r="G98" s="721"/>
      <c r="H98" s="541"/>
      <c r="I98" s="541"/>
      <c r="J98" s="721"/>
      <c r="K98" s="541"/>
      <c r="L98" s="541"/>
      <c r="M98" s="541"/>
      <c r="N98" s="541"/>
      <c r="O98" s="541"/>
      <c r="P98" s="541"/>
      <c r="Q98" s="541"/>
      <c r="R98" s="541"/>
      <c r="S98" s="541"/>
      <c r="T98" s="541"/>
      <c r="U98" s="541"/>
      <c r="V98" s="541"/>
      <c r="W98" s="541"/>
      <c r="X98" s="541"/>
      <c r="Y98" s="541"/>
      <c r="Z98" s="541"/>
    </row>
    <row r="99" spans="1:26">
      <c r="A99" s="541"/>
      <c r="B99" s="541"/>
      <c r="C99" s="541"/>
      <c r="D99" s="541"/>
      <c r="E99" s="541"/>
      <c r="F99" s="541"/>
      <c r="G99" s="721"/>
      <c r="H99" s="541"/>
      <c r="I99" s="541"/>
      <c r="J99" s="721"/>
      <c r="K99" s="541"/>
      <c r="L99" s="541"/>
      <c r="M99" s="541"/>
      <c r="N99" s="541"/>
      <c r="O99" s="541"/>
      <c r="P99" s="541"/>
      <c r="Q99" s="541"/>
      <c r="R99" s="541"/>
      <c r="S99" s="541"/>
      <c r="T99" s="541"/>
      <c r="U99" s="541"/>
      <c r="V99" s="541"/>
      <c r="W99" s="541"/>
      <c r="X99" s="541"/>
      <c r="Y99" s="541"/>
      <c r="Z99" s="541"/>
    </row>
    <row r="100" spans="1:26">
      <c r="A100" s="541"/>
      <c r="B100" s="541"/>
      <c r="C100" s="541"/>
      <c r="D100" s="541"/>
      <c r="E100" s="541"/>
      <c r="F100" s="541"/>
      <c r="G100" s="721"/>
      <c r="H100" s="541"/>
      <c r="I100" s="541"/>
      <c r="J100" s="721"/>
      <c r="K100" s="541"/>
      <c r="L100" s="541"/>
      <c r="M100" s="541"/>
      <c r="N100" s="541"/>
      <c r="O100" s="541"/>
      <c r="P100" s="541"/>
      <c r="Q100" s="541"/>
      <c r="R100" s="541"/>
      <c r="S100" s="541"/>
      <c r="T100" s="541"/>
      <c r="U100" s="541"/>
      <c r="V100" s="541"/>
      <c r="W100" s="541"/>
      <c r="X100" s="541"/>
      <c r="Y100" s="541"/>
      <c r="Z100" s="541"/>
    </row>
    <row r="101" spans="1:26">
      <c r="A101" s="541"/>
      <c r="B101" s="541"/>
      <c r="C101" s="541"/>
      <c r="D101" s="541"/>
      <c r="E101" s="541"/>
      <c r="F101" s="541"/>
      <c r="G101" s="721"/>
      <c r="H101" s="541"/>
      <c r="I101" s="541"/>
      <c r="J101" s="721"/>
      <c r="K101" s="541"/>
      <c r="L101" s="541"/>
      <c r="M101" s="541"/>
      <c r="N101" s="541"/>
      <c r="O101" s="541"/>
      <c r="P101" s="541"/>
      <c r="Q101" s="541"/>
      <c r="R101" s="541"/>
      <c r="S101" s="541"/>
      <c r="T101" s="541"/>
      <c r="U101" s="541"/>
      <c r="V101" s="541"/>
      <c r="W101" s="541"/>
      <c r="X101" s="541"/>
      <c r="Y101" s="541"/>
      <c r="Z101" s="541"/>
    </row>
    <row r="102" spans="1:26">
      <c r="A102" s="541"/>
      <c r="B102" s="541"/>
      <c r="C102" s="541"/>
      <c r="D102" s="541"/>
      <c r="E102" s="541"/>
      <c r="F102" s="541"/>
      <c r="G102" s="721"/>
      <c r="H102" s="541"/>
      <c r="I102" s="541"/>
      <c r="J102" s="721"/>
      <c r="K102" s="541"/>
      <c r="L102" s="541"/>
      <c r="M102" s="541"/>
      <c r="N102" s="541"/>
      <c r="O102" s="541"/>
      <c r="P102" s="541"/>
      <c r="Q102" s="541"/>
      <c r="R102" s="541"/>
      <c r="S102" s="541"/>
      <c r="T102" s="541"/>
      <c r="U102" s="541"/>
      <c r="V102" s="541"/>
      <c r="W102" s="541"/>
      <c r="X102" s="541"/>
      <c r="Y102" s="541"/>
      <c r="Z102" s="541"/>
    </row>
    <row r="103" spans="1:26">
      <c r="A103" s="541"/>
      <c r="B103" s="541"/>
      <c r="C103" s="541"/>
      <c r="D103" s="541"/>
      <c r="E103" s="541"/>
      <c r="F103" s="541"/>
      <c r="G103" s="721"/>
      <c r="H103" s="541"/>
      <c r="I103" s="541"/>
      <c r="J103" s="721"/>
      <c r="K103" s="541"/>
      <c r="L103" s="541"/>
      <c r="M103" s="541"/>
      <c r="N103" s="541"/>
      <c r="O103" s="541"/>
      <c r="P103" s="541"/>
      <c r="Q103" s="541"/>
      <c r="R103" s="541"/>
      <c r="S103" s="541"/>
      <c r="T103" s="541"/>
      <c r="U103" s="541"/>
      <c r="V103" s="541"/>
      <c r="W103" s="541"/>
      <c r="X103" s="541"/>
      <c r="Y103" s="541"/>
      <c r="Z103" s="541"/>
    </row>
    <row r="104" spans="1:26">
      <c r="A104" s="541"/>
      <c r="B104" s="541"/>
      <c r="C104" s="541"/>
      <c r="D104" s="541"/>
      <c r="E104" s="541"/>
      <c r="F104" s="541"/>
      <c r="G104" s="721"/>
      <c r="H104" s="541"/>
      <c r="I104" s="541"/>
      <c r="J104" s="721"/>
      <c r="K104" s="541"/>
      <c r="L104" s="541"/>
      <c r="M104" s="541"/>
      <c r="N104" s="541"/>
      <c r="O104" s="541"/>
      <c r="P104" s="541"/>
      <c r="Q104" s="541"/>
      <c r="R104" s="541"/>
      <c r="S104" s="541"/>
      <c r="T104" s="541"/>
      <c r="U104" s="541"/>
      <c r="V104" s="541"/>
      <c r="W104" s="541"/>
      <c r="X104" s="541"/>
      <c r="Y104" s="541"/>
      <c r="Z104" s="541"/>
    </row>
    <row r="105" spans="1:26">
      <c r="A105" s="541"/>
      <c r="B105" s="541"/>
      <c r="C105" s="541"/>
      <c r="D105" s="541"/>
      <c r="E105" s="541"/>
      <c r="F105" s="541"/>
      <c r="G105" s="721"/>
      <c r="H105" s="541"/>
      <c r="I105" s="541"/>
      <c r="J105" s="721"/>
      <c r="K105" s="541"/>
      <c r="L105" s="541"/>
      <c r="M105" s="541"/>
      <c r="N105" s="541"/>
      <c r="O105" s="541"/>
      <c r="P105" s="541"/>
      <c r="Q105" s="541"/>
      <c r="R105" s="541"/>
      <c r="S105" s="541"/>
      <c r="T105" s="541"/>
      <c r="U105" s="541"/>
      <c r="V105" s="541"/>
      <c r="W105" s="541"/>
      <c r="X105" s="541"/>
      <c r="Y105" s="541"/>
      <c r="Z105" s="541"/>
    </row>
    <row r="106" spans="1:26">
      <c r="A106" s="541"/>
      <c r="B106" s="541"/>
      <c r="C106" s="541"/>
      <c r="D106" s="541"/>
      <c r="E106" s="541"/>
      <c r="F106" s="541"/>
      <c r="G106" s="721"/>
      <c r="H106" s="541"/>
      <c r="I106" s="541"/>
      <c r="J106" s="721"/>
      <c r="K106" s="541"/>
      <c r="L106" s="541"/>
      <c r="M106" s="541"/>
      <c r="N106" s="541"/>
      <c r="O106" s="541"/>
      <c r="P106" s="541"/>
      <c r="Q106" s="541"/>
      <c r="R106" s="541"/>
      <c r="S106" s="541"/>
      <c r="T106" s="541"/>
      <c r="U106" s="541"/>
      <c r="V106" s="541"/>
      <c r="W106" s="541"/>
      <c r="X106" s="541"/>
      <c r="Y106" s="541"/>
      <c r="Z106" s="541"/>
    </row>
    <row r="107" spans="1:26">
      <c r="A107" s="541"/>
      <c r="B107" s="541"/>
      <c r="C107" s="541"/>
      <c r="D107" s="541"/>
      <c r="E107" s="541"/>
      <c r="F107" s="541"/>
      <c r="G107" s="721"/>
      <c r="H107" s="541"/>
      <c r="I107" s="541"/>
      <c r="J107" s="721"/>
      <c r="K107" s="541"/>
      <c r="L107" s="541"/>
      <c r="M107" s="541"/>
      <c r="N107" s="541"/>
      <c r="O107" s="541"/>
      <c r="P107" s="541"/>
      <c r="Q107" s="541"/>
      <c r="R107" s="541"/>
      <c r="S107" s="541"/>
      <c r="T107" s="541"/>
      <c r="U107" s="541"/>
      <c r="V107" s="541"/>
      <c r="W107" s="541"/>
      <c r="X107" s="541"/>
      <c r="Y107" s="541"/>
      <c r="Z107" s="541"/>
    </row>
    <row r="108" spans="1:26">
      <c r="A108" s="541"/>
      <c r="B108" s="541"/>
      <c r="C108" s="541"/>
      <c r="D108" s="541"/>
      <c r="E108" s="541"/>
      <c r="F108" s="541"/>
      <c r="G108" s="721"/>
      <c r="H108" s="541"/>
      <c r="I108" s="541"/>
      <c r="J108" s="721"/>
      <c r="K108" s="541"/>
      <c r="L108" s="541"/>
      <c r="M108" s="541"/>
      <c r="N108" s="541"/>
      <c r="O108" s="541"/>
      <c r="P108" s="541"/>
      <c r="Q108" s="541"/>
      <c r="R108" s="541"/>
      <c r="S108" s="541"/>
      <c r="T108" s="541"/>
      <c r="U108" s="541"/>
      <c r="V108" s="541"/>
      <c r="W108" s="541"/>
      <c r="X108" s="541"/>
      <c r="Y108" s="541"/>
      <c r="Z108" s="541"/>
    </row>
    <row r="109" spans="1:26">
      <c r="A109" s="541"/>
      <c r="B109" s="541"/>
      <c r="C109" s="541"/>
      <c r="D109" s="541"/>
      <c r="E109" s="541"/>
      <c r="F109" s="541"/>
      <c r="G109" s="721"/>
      <c r="H109" s="541"/>
      <c r="I109" s="541"/>
      <c r="J109" s="721"/>
      <c r="K109" s="541"/>
      <c r="L109" s="541"/>
      <c r="M109" s="541"/>
      <c r="N109" s="541"/>
      <c r="O109" s="541"/>
      <c r="P109" s="541"/>
      <c r="Q109" s="541"/>
      <c r="R109" s="541"/>
      <c r="S109" s="541"/>
      <c r="T109" s="541"/>
      <c r="U109" s="541"/>
      <c r="V109" s="541"/>
      <c r="W109" s="541"/>
      <c r="X109" s="541"/>
      <c r="Y109" s="541"/>
      <c r="Z109" s="541"/>
    </row>
    <row r="110" spans="1:26">
      <c r="A110" s="541"/>
      <c r="B110" s="541"/>
      <c r="C110" s="541"/>
      <c r="D110" s="541"/>
      <c r="E110" s="541"/>
      <c r="F110" s="541"/>
      <c r="G110" s="721"/>
      <c r="H110" s="541"/>
      <c r="I110" s="541"/>
      <c r="J110" s="721"/>
      <c r="K110" s="541"/>
      <c r="L110" s="541"/>
      <c r="M110" s="541"/>
      <c r="N110" s="541"/>
      <c r="O110" s="541"/>
      <c r="P110" s="541"/>
      <c r="Q110" s="541"/>
      <c r="R110" s="541"/>
      <c r="S110" s="541"/>
      <c r="T110" s="541"/>
      <c r="U110" s="541"/>
      <c r="V110" s="541"/>
      <c r="W110" s="541"/>
      <c r="X110" s="541"/>
      <c r="Y110" s="541"/>
      <c r="Z110" s="541"/>
    </row>
    <row r="111" spans="1:26">
      <c r="A111" s="541"/>
      <c r="B111" s="541"/>
      <c r="C111" s="541"/>
      <c r="D111" s="541"/>
      <c r="E111" s="541"/>
      <c r="F111" s="541"/>
      <c r="G111" s="721"/>
      <c r="H111" s="541"/>
      <c r="I111" s="541"/>
      <c r="J111" s="721"/>
      <c r="K111" s="541"/>
      <c r="L111" s="541"/>
      <c r="M111" s="541"/>
      <c r="N111" s="541"/>
      <c r="O111" s="541"/>
      <c r="P111" s="541"/>
      <c r="Q111" s="541"/>
      <c r="R111" s="541"/>
      <c r="S111" s="541"/>
      <c r="T111" s="541"/>
      <c r="U111" s="541"/>
      <c r="V111" s="541"/>
      <c r="W111" s="541"/>
      <c r="X111" s="541"/>
      <c r="Y111" s="541"/>
      <c r="Z111" s="541"/>
    </row>
    <row r="112" spans="1:26">
      <c r="A112" s="541"/>
      <c r="B112" s="541"/>
      <c r="C112" s="541"/>
      <c r="D112" s="541"/>
      <c r="E112" s="541"/>
      <c r="F112" s="541"/>
      <c r="G112" s="721"/>
      <c r="H112" s="541"/>
      <c r="I112" s="541"/>
      <c r="J112" s="721"/>
      <c r="K112" s="541"/>
      <c r="L112" s="541"/>
      <c r="M112" s="541"/>
      <c r="N112" s="541"/>
      <c r="O112" s="541"/>
      <c r="P112" s="541"/>
      <c r="Q112" s="541"/>
      <c r="R112" s="541"/>
      <c r="S112" s="541"/>
      <c r="T112" s="541"/>
      <c r="U112" s="541"/>
      <c r="V112" s="541"/>
      <c r="W112" s="541"/>
      <c r="X112" s="541"/>
      <c r="Y112" s="541"/>
      <c r="Z112" s="541"/>
    </row>
    <row r="113" spans="1:26">
      <c r="A113" s="541"/>
      <c r="B113" s="541"/>
      <c r="C113" s="541"/>
      <c r="D113" s="541"/>
      <c r="E113" s="541"/>
      <c r="F113" s="541"/>
      <c r="G113" s="721"/>
      <c r="H113" s="541"/>
      <c r="I113" s="541"/>
      <c r="J113" s="721"/>
      <c r="K113" s="541"/>
      <c r="L113" s="541"/>
      <c r="M113" s="541"/>
      <c r="N113" s="541"/>
      <c r="O113" s="541"/>
      <c r="P113" s="541"/>
      <c r="Q113" s="541"/>
      <c r="R113" s="541"/>
      <c r="S113" s="541"/>
      <c r="T113" s="541"/>
      <c r="U113" s="541"/>
      <c r="V113" s="541"/>
      <c r="W113" s="541"/>
      <c r="X113" s="541"/>
      <c r="Y113" s="541"/>
      <c r="Z113" s="541"/>
    </row>
    <row r="114" spans="1:26">
      <c r="A114" s="541"/>
      <c r="B114" s="541"/>
      <c r="C114" s="541"/>
      <c r="D114" s="541"/>
      <c r="E114" s="541"/>
      <c r="F114" s="541"/>
      <c r="G114" s="721"/>
      <c r="H114" s="541"/>
      <c r="I114" s="541"/>
      <c r="J114" s="721"/>
      <c r="K114" s="541"/>
      <c r="L114" s="541"/>
      <c r="M114" s="541"/>
      <c r="N114" s="541"/>
      <c r="O114" s="541"/>
      <c r="P114" s="541"/>
      <c r="Q114" s="541"/>
      <c r="R114" s="541"/>
      <c r="S114" s="541"/>
      <c r="T114" s="541"/>
      <c r="U114" s="541"/>
      <c r="V114" s="541"/>
      <c r="W114" s="541"/>
      <c r="X114" s="541"/>
      <c r="Y114" s="541"/>
      <c r="Z114" s="541"/>
    </row>
    <row r="115" spans="1:26">
      <c r="A115" s="541"/>
      <c r="B115" s="541"/>
      <c r="C115" s="541"/>
      <c r="D115" s="541"/>
      <c r="E115" s="541"/>
      <c r="F115" s="541"/>
      <c r="G115" s="721"/>
      <c r="H115" s="541"/>
      <c r="I115" s="541"/>
      <c r="J115" s="721"/>
      <c r="K115" s="541"/>
      <c r="L115" s="541"/>
      <c r="M115" s="541"/>
      <c r="N115" s="541"/>
      <c r="O115" s="541"/>
      <c r="P115" s="541"/>
      <c r="Q115" s="541"/>
      <c r="R115" s="541"/>
      <c r="S115" s="541"/>
      <c r="T115" s="541"/>
      <c r="U115" s="541"/>
      <c r="V115" s="541"/>
      <c r="W115" s="541"/>
      <c r="X115" s="541"/>
      <c r="Y115" s="541"/>
      <c r="Z115" s="541"/>
    </row>
    <row r="116" spans="1:26">
      <c r="A116" s="541"/>
      <c r="B116" s="541"/>
      <c r="C116" s="541"/>
      <c r="D116" s="541"/>
      <c r="E116" s="541"/>
      <c r="F116" s="541"/>
      <c r="G116" s="721"/>
      <c r="H116" s="541"/>
      <c r="I116" s="541"/>
      <c r="J116" s="721"/>
      <c r="K116" s="541"/>
      <c r="L116" s="541"/>
      <c r="M116" s="541"/>
      <c r="N116" s="541"/>
      <c r="O116" s="541"/>
      <c r="P116" s="541"/>
      <c r="Q116" s="541"/>
      <c r="R116" s="541"/>
      <c r="S116" s="541"/>
      <c r="T116" s="541"/>
      <c r="U116" s="541"/>
      <c r="V116" s="541"/>
      <c r="W116" s="541"/>
      <c r="X116" s="541"/>
      <c r="Y116" s="541"/>
      <c r="Z116" s="541"/>
    </row>
    <row r="117" spans="1:26">
      <c r="A117" s="541"/>
      <c r="B117" s="541"/>
      <c r="C117" s="541"/>
      <c r="D117" s="541"/>
      <c r="E117" s="541"/>
      <c r="F117" s="541"/>
      <c r="G117" s="721"/>
      <c r="H117" s="541"/>
      <c r="I117" s="541"/>
      <c r="J117" s="721"/>
      <c r="K117" s="541"/>
      <c r="L117" s="541"/>
      <c r="M117" s="541"/>
      <c r="N117" s="541"/>
      <c r="O117" s="541"/>
      <c r="P117" s="541"/>
      <c r="Q117" s="541"/>
      <c r="R117" s="541"/>
      <c r="S117" s="541"/>
      <c r="T117" s="541"/>
      <c r="U117" s="541"/>
      <c r="V117" s="541"/>
      <c r="W117" s="541"/>
      <c r="X117" s="541"/>
      <c r="Y117" s="541"/>
      <c r="Z117" s="541"/>
    </row>
    <row r="118" spans="1:26">
      <c r="A118" s="541"/>
      <c r="B118" s="541"/>
      <c r="C118" s="541"/>
      <c r="D118" s="541"/>
      <c r="E118" s="541"/>
      <c r="F118" s="541"/>
      <c r="G118" s="721"/>
      <c r="H118" s="541"/>
      <c r="I118" s="541"/>
      <c r="J118" s="721"/>
      <c r="K118" s="541"/>
      <c r="L118" s="541"/>
      <c r="M118" s="541"/>
      <c r="N118" s="541"/>
      <c r="O118" s="541"/>
      <c r="P118" s="541"/>
      <c r="Q118" s="541"/>
      <c r="R118" s="541"/>
      <c r="S118" s="541"/>
      <c r="T118" s="541"/>
      <c r="U118" s="541"/>
      <c r="V118" s="541"/>
      <c r="W118" s="541"/>
      <c r="X118" s="541"/>
      <c r="Y118" s="541"/>
      <c r="Z118" s="541"/>
    </row>
    <row r="119" spans="1:26">
      <c r="A119" s="541"/>
      <c r="B119" s="541"/>
      <c r="C119" s="541"/>
      <c r="D119" s="541"/>
      <c r="E119" s="541"/>
      <c r="F119" s="541"/>
      <c r="G119" s="721"/>
      <c r="H119" s="541"/>
      <c r="I119" s="541"/>
      <c r="J119" s="721"/>
      <c r="K119" s="541"/>
      <c r="L119" s="541"/>
      <c r="M119" s="541"/>
      <c r="N119" s="541"/>
      <c r="O119" s="541"/>
      <c r="P119" s="541"/>
      <c r="Q119" s="541"/>
      <c r="R119" s="541"/>
      <c r="S119" s="541"/>
      <c r="T119" s="541"/>
      <c r="U119" s="541"/>
      <c r="V119" s="541"/>
      <c r="W119" s="541"/>
      <c r="X119" s="541"/>
      <c r="Y119" s="541"/>
      <c r="Z119" s="541"/>
    </row>
    <row r="120" spans="1:26">
      <c r="A120" s="541"/>
      <c r="B120" s="541"/>
      <c r="C120" s="541"/>
      <c r="D120" s="541"/>
      <c r="E120" s="541"/>
      <c r="F120" s="541"/>
      <c r="G120" s="721"/>
      <c r="H120" s="541"/>
      <c r="I120" s="541"/>
      <c r="J120" s="721"/>
      <c r="K120" s="541"/>
      <c r="L120" s="541"/>
      <c r="M120" s="541"/>
      <c r="N120" s="541"/>
      <c r="O120" s="541"/>
      <c r="P120" s="541"/>
      <c r="Q120" s="541"/>
      <c r="R120" s="541"/>
      <c r="S120" s="541"/>
      <c r="T120" s="541"/>
      <c r="U120" s="541"/>
      <c r="V120" s="541"/>
      <c r="W120" s="541"/>
      <c r="X120" s="541"/>
      <c r="Y120" s="541"/>
      <c r="Z120" s="541"/>
    </row>
    <row r="121" spans="1:26">
      <c r="A121" s="541"/>
      <c r="B121" s="541"/>
      <c r="C121" s="541"/>
      <c r="D121" s="541"/>
      <c r="E121" s="541"/>
      <c r="F121" s="541"/>
      <c r="G121" s="721"/>
      <c r="H121" s="541"/>
      <c r="I121" s="541"/>
      <c r="J121" s="721"/>
      <c r="K121" s="541"/>
      <c r="L121" s="541"/>
      <c r="M121" s="541"/>
      <c r="N121" s="541"/>
      <c r="O121" s="541"/>
      <c r="P121" s="541"/>
      <c r="Q121" s="541"/>
      <c r="R121" s="541"/>
      <c r="S121" s="541"/>
      <c r="T121" s="541"/>
      <c r="U121" s="541"/>
      <c r="V121" s="541"/>
      <c r="W121" s="541"/>
      <c r="X121" s="541"/>
      <c r="Y121" s="541"/>
      <c r="Z121" s="541"/>
    </row>
    <row r="122" spans="1:26">
      <c r="A122" s="541"/>
      <c r="B122" s="541"/>
      <c r="C122" s="541"/>
      <c r="D122" s="541"/>
      <c r="E122" s="541"/>
      <c r="F122" s="541"/>
      <c r="G122" s="721"/>
      <c r="H122" s="541"/>
      <c r="I122" s="541"/>
      <c r="J122" s="721"/>
      <c r="K122" s="541"/>
      <c r="L122" s="541"/>
      <c r="M122" s="541"/>
      <c r="N122" s="541"/>
      <c r="O122" s="541"/>
      <c r="P122" s="541"/>
      <c r="Q122" s="541"/>
      <c r="R122" s="541"/>
      <c r="S122" s="541"/>
      <c r="T122" s="541"/>
      <c r="U122" s="541"/>
      <c r="V122" s="541"/>
      <c r="W122" s="541"/>
      <c r="X122" s="541"/>
      <c r="Y122" s="541"/>
      <c r="Z122" s="541"/>
    </row>
    <row r="123" spans="1:26">
      <c r="A123" s="541"/>
      <c r="B123" s="541"/>
      <c r="C123" s="541"/>
      <c r="D123" s="541"/>
      <c r="E123" s="541"/>
      <c r="F123" s="541"/>
      <c r="G123" s="721"/>
      <c r="H123" s="541"/>
      <c r="I123" s="541"/>
      <c r="J123" s="721"/>
      <c r="K123" s="541"/>
      <c r="L123" s="541"/>
      <c r="M123" s="541"/>
      <c r="N123" s="541"/>
      <c r="O123" s="541"/>
      <c r="P123" s="541"/>
      <c r="Q123" s="541"/>
      <c r="R123" s="541"/>
      <c r="S123" s="541"/>
      <c r="T123" s="541"/>
      <c r="U123" s="541"/>
      <c r="V123" s="541"/>
      <c r="W123" s="541"/>
      <c r="X123" s="541"/>
      <c r="Y123" s="541"/>
      <c r="Z123" s="541"/>
    </row>
    <row r="124" spans="1:26">
      <c r="A124" s="541"/>
      <c r="B124" s="541"/>
      <c r="C124" s="541"/>
      <c r="D124" s="541"/>
      <c r="E124" s="541"/>
      <c r="F124" s="541"/>
      <c r="G124" s="721"/>
      <c r="H124" s="541"/>
      <c r="I124" s="541"/>
      <c r="J124" s="721"/>
      <c r="K124" s="541"/>
      <c r="L124" s="541"/>
      <c r="M124" s="541"/>
      <c r="N124" s="541"/>
      <c r="O124" s="541"/>
      <c r="P124" s="541"/>
      <c r="Q124" s="541"/>
      <c r="R124" s="541"/>
      <c r="S124" s="541"/>
      <c r="T124" s="541"/>
      <c r="U124" s="541"/>
      <c r="V124" s="541"/>
      <c r="W124" s="541"/>
      <c r="X124" s="541"/>
      <c r="Y124" s="541"/>
      <c r="Z124" s="541"/>
    </row>
    <row r="125" spans="1:26">
      <c r="A125" s="541"/>
      <c r="B125" s="541"/>
      <c r="C125" s="541"/>
      <c r="D125" s="541"/>
      <c r="E125" s="541"/>
      <c r="F125" s="541"/>
      <c r="G125" s="721"/>
      <c r="H125" s="541"/>
      <c r="I125" s="541"/>
      <c r="J125" s="721"/>
      <c r="K125" s="541"/>
      <c r="L125" s="541"/>
      <c r="M125" s="541"/>
      <c r="N125" s="541"/>
      <c r="O125" s="541"/>
      <c r="P125" s="541"/>
      <c r="Q125" s="541"/>
      <c r="R125" s="541"/>
      <c r="S125" s="541"/>
      <c r="T125" s="541"/>
      <c r="U125" s="541"/>
      <c r="V125" s="541"/>
      <c r="W125" s="541"/>
      <c r="X125" s="541"/>
      <c r="Y125" s="541"/>
      <c r="Z125" s="541"/>
    </row>
    <row r="126" spans="1:26">
      <c r="A126" s="541"/>
      <c r="B126" s="541"/>
      <c r="C126" s="541"/>
      <c r="D126" s="541"/>
      <c r="E126" s="541"/>
      <c r="F126" s="541"/>
      <c r="G126" s="721"/>
      <c r="H126" s="541"/>
      <c r="I126" s="541"/>
      <c r="J126" s="721"/>
      <c r="K126" s="541"/>
      <c r="L126" s="541"/>
      <c r="M126" s="541"/>
      <c r="N126" s="541"/>
      <c r="O126" s="541"/>
      <c r="P126" s="541"/>
      <c r="Q126" s="541"/>
      <c r="R126" s="541"/>
      <c r="S126" s="541"/>
      <c r="T126" s="541"/>
      <c r="U126" s="541"/>
      <c r="V126" s="541"/>
      <c r="W126" s="541"/>
      <c r="X126" s="541"/>
      <c r="Y126" s="541"/>
      <c r="Z126" s="541"/>
    </row>
    <row r="127" spans="1:26">
      <c r="A127" s="541"/>
      <c r="B127" s="541"/>
      <c r="C127" s="541"/>
      <c r="D127" s="541"/>
      <c r="E127" s="541"/>
      <c r="F127" s="541"/>
      <c r="G127" s="721"/>
      <c r="H127" s="541"/>
      <c r="I127" s="541"/>
      <c r="J127" s="721"/>
      <c r="K127" s="541"/>
      <c r="L127" s="541"/>
      <c r="M127" s="541"/>
      <c r="N127" s="541"/>
      <c r="O127" s="541"/>
      <c r="P127" s="541"/>
      <c r="Q127" s="541"/>
      <c r="R127" s="541"/>
      <c r="S127" s="541"/>
      <c r="T127" s="541"/>
      <c r="U127" s="541"/>
      <c r="V127" s="541"/>
      <c r="W127" s="541"/>
      <c r="X127" s="541"/>
      <c r="Y127" s="541"/>
      <c r="Z127" s="541"/>
    </row>
    <row r="128" spans="1:26">
      <c r="A128" s="541"/>
      <c r="B128" s="541"/>
      <c r="C128" s="541"/>
      <c r="D128" s="541"/>
      <c r="E128" s="541"/>
      <c r="F128" s="541"/>
      <c r="G128" s="721"/>
      <c r="H128" s="541"/>
      <c r="I128" s="541"/>
      <c r="J128" s="721"/>
      <c r="K128" s="541"/>
      <c r="L128" s="541"/>
      <c r="M128" s="541"/>
      <c r="N128" s="541"/>
      <c r="O128" s="541"/>
      <c r="P128" s="541"/>
      <c r="Q128" s="541"/>
      <c r="R128" s="541"/>
      <c r="S128" s="541"/>
      <c r="T128" s="541"/>
      <c r="U128" s="541"/>
      <c r="V128" s="541"/>
      <c r="W128" s="541"/>
      <c r="X128" s="541"/>
      <c r="Y128" s="541"/>
      <c r="Z128" s="541"/>
    </row>
    <row r="129" spans="1:26">
      <c r="A129" s="541"/>
      <c r="B129" s="541"/>
      <c r="C129" s="541"/>
      <c r="D129" s="541"/>
      <c r="E129" s="541"/>
      <c r="F129" s="541"/>
      <c r="G129" s="721"/>
      <c r="H129" s="541"/>
      <c r="I129" s="541"/>
      <c r="J129" s="721"/>
      <c r="K129" s="541"/>
      <c r="L129" s="541"/>
      <c r="M129" s="541"/>
      <c r="N129" s="541"/>
      <c r="O129" s="541"/>
      <c r="P129" s="541"/>
      <c r="Q129" s="541"/>
      <c r="R129" s="541"/>
      <c r="S129" s="541"/>
      <c r="T129" s="541"/>
      <c r="U129" s="541"/>
      <c r="V129" s="541"/>
      <c r="W129" s="541"/>
      <c r="X129" s="541"/>
      <c r="Y129" s="541"/>
      <c r="Z129" s="541"/>
    </row>
    <row r="130" spans="1:26">
      <c r="A130" s="541"/>
      <c r="B130" s="541"/>
      <c r="C130" s="541"/>
      <c r="D130" s="541"/>
      <c r="E130" s="541"/>
      <c r="F130" s="541"/>
      <c r="G130" s="721"/>
      <c r="H130" s="541"/>
      <c r="I130" s="541"/>
      <c r="J130" s="721"/>
      <c r="K130" s="541"/>
      <c r="L130" s="541"/>
      <c r="M130" s="541"/>
      <c r="N130" s="541"/>
      <c r="O130" s="541"/>
      <c r="P130" s="541"/>
      <c r="Q130" s="541"/>
      <c r="R130" s="541"/>
      <c r="S130" s="541"/>
      <c r="T130" s="541"/>
      <c r="U130" s="541"/>
      <c r="V130" s="541"/>
      <c r="W130" s="541"/>
      <c r="X130" s="541"/>
      <c r="Y130" s="541"/>
      <c r="Z130" s="541"/>
    </row>
    <row r="131" spans="1:26">
      <c r="A131" s="541"/>
      <c r="B131" s="541"/>
      <c r="C131" s="541"/>
      <c r="D131" s="541"/>
      <c r="E131" s="541"/>
      <c r="F131" s="541"/>
      <c r="G131" s="721"/>
      <c r="H131" s="541"/>
      <c r="I131" s="541"/>
      <c r="J131" s="721"/>
      <c r="K131" s="541"/>
      <c r="L131" s="541"/>
      <c r="M131" s="541"/>
      <c r="N131" s="541"/>
      <c r="O131" s="541"/>
      <c r="P131" s="541"/>
      <c r="Q131" s="541"/>
      <c r="R131" s="541"/>
      <c r="S131" s="541"/>
      <c r="T131" s="541"/>
      <c r="U131" s="541"/>
      <c r="V131" s="541"/>
      <c r="W131" s="541"/>
      <c r="X131" s="541"/>
      <c r="Y131" s="541"/>
      <c r="Z131" s="541"/>
    </row>
    <row r="132" spans="1:26">
      <c r="A132" s="541"/>
      <c r="B132" s="541"/>
      <c r="C132" s="541"/>
      <c r="D132" s="541"/>
      <c r="E132" s="541"/>
      <c r="F132" s="541"/>
      <c r="G132" s="721"/>
      <c r="H132" s="541"/>
      <c r="I132" s="541"/>
      <c r="J132" s="721"/>
      <c r="K132" s="541"/>
      <c r="L132" s="541"/>
      <c r="M132" s="541"/>
      <c r="N132" s="541"/>
      <c r="O132" s="541"/>
      <c r="P132" s="541"/>
      <c r="Q132" s="541"/>
      <c r="R132" s="541"/>
      <c r="S132" s="541"/>
      <c r="T132" s="541"/>
      <c r="U132" s="541"/>
      <c r="V132" s="541"/>
      <c r="W132" s="541"/>
      <c r="X132" s="541"/>
      <c r="Y132" s="541"/>
      <c r="Z132" s="541"/>
    </row>
    <row r="133" spans="1:26">
      <c r="A133" s="541"/>
      <c r="B133" s="541"/>
      <c r="C133" s="541"/>
      <c r="D133" s="541"/>
      <c r="E133" s="541"/>
      <c r="F133" s="541"/>
      <c r="G133" s="721"/>
      <c r="H133" s="541"/>
      <c r="I133" s="541"/>
      <c r="J133" s="721"/>
      <c r="K133" s="541"/>
      <c r="L133" s="541"/>
      <c r="M133" s="541"/>
      <c r="N133" s="541"/>
      <c r="O133" s="541"/>
      <c r="P133" s="541"/>
      <c r="Q133" s="541"/>
      <c r="R133" s="541"/>
      <c r="S133" s="541"/>
      <c r="T133" s="541"/>
      <c r="U133" s="541"/>
      <c r="V133" s="541"/>
      <c r="W133" s="541"/>
      <c r="X133" s="541"/>
      <c r="Y133" s="541"/>
      <c r="Z133" s="541"/>
    </row>
    <row r="134" spans="1:26">
      <c r="A134" s="541"/>
      <c r="B134" s="541"/>
      <c r="C134" s="541"/>
      <c r="D134" s="541"/>
      <c r="E134" s="541"/>
      <c r="F134" s="541"/>
      <c r="G134" s="721"/>
      <c r="H134" s="541"/>
      <c r="I134" s="541"/>
      <c r="J134" s="721"/>
      <c r="K134" s="541"/>
      <c r="L134" s="541"/>
      <c r="M134" s="541"/>
      <c r="N134" s="541"/>
      <c r="O134" s="541"/>
      <c r="P134" s="541"/>
      <c r="Q134" s="541"/>
      <c r="R134" s="541"/>
      <c r="S134" s="541"/>
      <c r="T134" s="541"/>
      <c r="U134" s="541"/>
      <c r="V134" s="541"/>
      <c r="W134" s="541"/>
      <c r="X134" s="541"/>
      <c r="Y134" s="541"/>
      <c r="Z134" s="541"/>
    </row>
    <row r="135" spans="1:26">
      <c r="A135" s="541"/>
      <c r="B135" s="541"/>
      <c r="C135" s="541"/>
      <c r="D135" s="541"/>
      <c r="E135" s="541"/>
      <c r="F135" s="541"/>
      <c r="G135" s="721"/>
      <c r="H135" s="541"/>
      <c r="I135" s="541"/>
      <c r="J135" s="721"/>
      <c r="K135" s="541"/>
      <c r="L135" s="541"/>
      <c r="M135" s="541"/>
      <c r="N135" s="541"/>
      <c r="O135" s="541"/>
      <c r="P135" s="541"/>
      <c r="Q135" s="541"/>
      <c r="R135" s="541"/>
      <c r="S135" s="541"/>
      <c r="T135" s="541"/>
      <c r="U135" s="541"/>
      <c r="V135" s="541"/>
      <c r="W135" s="541"/>
      <c r="X135" s="541"/>
      <c r="Y135" s="541"/>
      <c r="Z135" s="541"/>
    </row>
    <row r="136" spans="1:26">
      <c r="A136" s="541"/>
      <c r="B136" s="541"/>
      <c r="C136" s="541"/>
      <c r="D136" s="541"/>
      <c r="E136" s="541"/>
      <c r="F136" s="541"/>
      <c r="G136" s="721"/>
      <c r="H136" s="541"/>
      <c r="I136" s="541"/>
      <c r="J136" s="721"/>
      <c r="K136" s="541"/>
      <c r="L136" s="541"/>
      <c r="M136" s="541"/>
      <c r="N136" s="541"/>
      <c r="O136" s="541"/>
      <c r="P136" s="541"/>
      <c r="Q136" s="541"/>
      <c r="R136" s="541"/>
      <c r="S136" s="541"/>
      <c r="T136" s="541"/>
      <c r="U136" s="541"/>
      <c r="V136" s="541"/>
      <c r="W136" s="541"/>
      <c r="X136" s="541"/>
      <c r="Y136" s="541"/>
      <c r="Z136" s="541"/>
    </row>
    <row r="137" spans="1:26">
      <c r="A137" s="541"/>
      <c r="B137" s="541"/>
      <c r="C137" s="541"/>
      <c r="D137" s="541"/>
      <c r="E137" s="541"/>
      <c r="F137" s="541"/>
      <c r="G137" s="721"/>
      <c r="H137" s="541"/>
      <c r="I137" s="541"/>
      <c r="J137" s="721"/>
      <c r="K137" s="541"/>
      <c r="L137" s="541"/>
      <c r="M137" s="541"/>
      <c r="N137" s="541"/>
      <c r="O137" s="541"/>
      <c r="P137" s="541"/>
      <c r="Q137" s="541"/>
      <c r="R137" s="541"/>
      <c r="S137" s="541"/>
      <c r="T137" s="541"/>
      <c r="U137" s="541"/>
      <c r="V137" s="541"/>
      <c r="W137" s="541"/>
      <c r="X137" s="541"/>
      <c r="Y137" s="541"/>
      <c r="Z137" s="541"/>
    </row>
    <row r="138" spans="1:26">
      <c r="A138" s="541"/>
      <c r="B138" s="541"/>
      <c r="C138" s="541"/>
      <c r="D138" s="541"/>
      <c r="E138" s="541"/>
      <c r="F138" s="541"/>
      <c r="G138" s="721"/>
      <c r="H138" s="541"/>
      <c r="I138" s="541"/>
      <c r="J138" s="721"/>
      <c r="K138" s="541"/>
      <c r="L138" s="541"/>
      <c r="M138" s="541"/>
      <c r="N138" s="541"/>
      <c r="O138" s="541"/>
      <c r="P138" s="541"/>
      <c r="Q138" s="541"/>
      <c r="R138" s="541"/>
      <c r="S138" s="541"/>
      <c r="T138" s="541"/>
      <c r="U138" s="541"/>
      <c r="V138" s="541"/>
      <c r="W138" s="541"/>
      <c r="X138" s="541"/>
      <c r="Y138" s="541"/>
      <c r="Z138" s="541"/>
    </row>
    <row r="139" spans="1:26">
      <c r="A139" s="541"/>
      <c r="B139" s="541"/>
      <c r="C139" s="541"/>
      <c r="D139" s="541"/>
      <c r="E139" s="541"/>
      <c r="F139" s="541"/>
      <c r="G139" s="721"/>
      <c r="H139" s="541"/>
      <c r="I139" s="541"/>
      <c r="J139" s="721"/>
      <c r="K139" s="541"/>
      <c r="L139" s="541"/>
      <c r="M139" s="541"/>
      <c r="N139" s="541"/>
      <c r="O139" s="541"/>
      <c r="P139" s="541"/>
      <c r="Q139" s="541"/>
      <c r="R139" s="541"/>
      <c r="S139" s="541"/>
      <c r="T139" s="541"/>
      <c r="U139" s="541"/>
      <c r="V139" s="541"/>
      <c r="W139" s="541"/>
      <c r="X139" s="541"/>
      <c r="Y139" s="541"/>
      <c r="Z139" s="541"/>
    </row>
    <row r="140" spans="1:26">
      <c r="A140" s="541"/>
      <c r="B140" s="541"/>
      <c r="C140" s="541"/>
      <c r="D140" s="541"/>
      <c r="E140" s="541"/>
      <c r="F140" s="541"/>
      <c r="G140" s="721"/>
      <c r="H140" s="541"/>
      <c r="I140" s="541"/>
      <c r="J140" s="721"/>
      <c r="K140" s="541"/>
      <c r="L140" s="541"/>
      <c r="M140" s="541"/>
      <c r="N140" s="541"/>
      <c r="O140" s="541"/>
      <c r="P140" s="541"/>
      <c r="Q140" s="541"/>
      <c r="R140" s="541"/>
      <c r="S140" s="541"/>
      <c r="T140" s="541"/>
      <c r="U140" s="541"/>
      <c r="V140" s="541"/>
      <c r="W140" s="541"/>
      <c r="X140" s="541"/>
      <c r="Y140" s="541"/>
      <c r="Z140" s="541"/>
    </row>
    <row r="141" spans="1:26">
      <c r="A141" s="541"/>
      <c r="B141" s="541"/>
      <c r="C141" s="541"/>
      <c r="D141" s="541"/>
      <c r="E141" s="541"/>
      <c r="F141" s="541"/>
      <c r="G141" s="721"/>
      <c r="H141" s="541"/>
      <c r="I141" s="541"/>
      <c r="J141" s="721"/>
      <c r="K141" s="541"/>
      <c r="L141" s="541"/>
      <c r="M141" s="541"/>
      <c r="N141" s="541"/>
      <c r="O141" s="541"/>
      <c r="P141" s="541"/>
      <c r="Q141" s="541"/>
      <c r="R141" s="541"/>
      <c r="S141" s="541"/>
      <c r="T141" s="541"/>
      <c r="U141" s="541"/>
      <c r="V141" s="541"/>
      <c r="W141" s="541"/>
      <c r="X141" s="541"/>
      <c r="Y141" s="541"/>
      <c r="Z141" s="541"/>
    </row>
    <row r="142" spans="1:26">
      <c r="A142" s="541"/>
      <c r="B142" s="541"/>
      <c r="C142" s="541"/>
      <c r="D142" s="541"/>
      <c r="E142" s="541"/>
      <c r="F142" s="541"/>
      <c r="G142" s="721"/>
      <c r="H142" s="541"/>
      <c r="I142" s="541"/>
      <c r="J142" s="721"/>
      <c r="K142" s="541"/>
      <c r="L142" s="541"/>
      <c r="M142" s="541"/>
      <c r="N142" s="541"/>
      <c r="O142" s="541"/>
      <c r="P142" s="541"/>
      <c r="Q142" s="541"/>
      <c r="R142" s="541"/>
      <c r="S142" s="541"/>
      <c r="T142" s="541"/>
      <c r="U142" s="541"/>
      <c r="V142" s="541"/>
      <c r="W142" s="541"/>
      <c r="X142" s="541"/>
      <c r="Y142" s="541"/>
      <c r="Z142" s="541"/>
    </row>
    <row r="143" spans="1:26">
      <c r="A143" s="541"/>
      <c r="B143" s="541"/>
      <c r="C143" s="541"/>
      <c r="D143" s="541"/>
      <c r="E143" s="541"/>
      <c r="F143" s="541"/>
      <c r="G143" s="721"/>
      <c r="H143" s="541"/>
      <c r="I143" s="541"/>
      <c r="J143" s="721"/>
      <c r="K143" s="541"/>
      <c r="L143" s="541"/>
      <c r="M143" s="541"/>
      <c r="N143" s="541"/>
      <c r="O143" s="541"/>
      <c r="P143" s="541"/>
      <c r="Q143" s="541"/>
      <c r="R143" s="541"/>
      <c r="S143" s="541"/>
      <c r="T143" s="541"/>
      <c r="U143" s="541"/>
      <c r="V143" s="541"/>
      <c r="W143" s="541"/>
      <c r="X143" s="541"/>
      <c r="Y143" s="541"/>
      <c r="Z143" s="541"/>
    </row>
    <row r="144" spans="1:26">
      <c r="A144" s="541"/>
      <c r="B144" s="541"/>
      <c r="C144" s="541"/>
      <c r="D144" s="541"/>
      <c r="E144" s="541"/>
      <c r="F144" s="541"/>
      <c r="G144" s="721"/>
      <c r="H144" s="541"/>
      <c r="I144" s="541"/>
      <c r="J144" s="721"/>
      <c r="K144" s="541"/>
      <c r="L144" s="541"/>
      <c r="M144" s="541"/>
      <c r="N144" s="541"/>
      <c r="O144" s="541"/>
      <c r="P144" s="541"/>
      <c r="Q144" s="541"/>
      <c r="R144" s="541"/>
      <c r="S144" s="541"/>
      <c r="T144" s="541"/>
      <c r="U144" s="541"/>
      <c r="V144" s="541"/>
      <c r="W144" s="541"/>
      <c r="X144" s="541"/>
      <c r="Y144" s="541"/>
      <c r="Z144" s="541"/>
    </row>
    <row r="145" spans="1:26">
      <c r="A145" s="541"/>
      <c r="B145" s="541"/>
      <c r="C145" s="541"/>
      <c r="D145" s="541"/>
      <c r="E145" s="541"/>
      <c r="F145" s="541"/>
      <c r="G145" s="721"/>
      <c r="H145" s="541"/>
      <c r="I145" s="541"/>
      <c r="J145" s="721"/>
      <c r="K145" s="541"/>
      <c r="L145" s="541"/>
      <c r="M145" s="541"/>
      <c r="N145" s="541"/>
      <c r="O145" s="541"/>
      <c r="P145" s="541"/>
      <c r="Q145" s="541"/>
      <c r="R145" s="541"/>
      <c r="S145" s="541"/>
      <c r="T145" s="541"/>
      <c r="U145" s="541"/>
      <c r="V145" s="541"/>
      <c r="W145" s="541"/>
      <c r="X145" s="541"/>
      <c r="Y145" s="541"/>
      <c r="Z145" s="541"/>
    </row>
    <row r="146" spans="1:26">
      <c r="A146" s="541"/>
      <c r="B146" s="541"/>
      <c r="C146" s="541"/>
      <c r="D146" s="541"/>
      <c r="E146" s="541"/>
      <c r="F146" s="541"/>
      <c r="G146" s="721"/>
      <c r="H146" s="541"/>
      <c r="I146" s="541"/>
      <c r="J146" s="721"/>
      <c r="K146" s="541"/>
      <c r="L146" s="541"/>
      <c r="M146" s="541"/>
      <c r="N146" s="541"/>
      <c r="O146" s="541"/>
      <c r="P146" s="541"/>
      <c r="Q146" s="541"/>
      <c r="R146" s="541"/>
      <c r="S146" s="541"/>
      <c r="T146" s="541"/>
      <c r="U146" s="541"/>
      <c r="V146" s="541"/>
      <c r="W146" s="541"/>
      <c r="X146" s="541"/>
      <c r="Y146" s="541"/>
      <c r="Z146" s="541"/>
    </row>
    <row r="147" spans="1:26">
      <c r="A147" s="541"/>
      <c r="B147" s="541"/>
      <c r="C147" s="541"/>
      <c r="D147" s="541"/>
      <c r="E147" s="541"/>
      <c r="F147" s="541"/>
      <c r="G147" s="721"/>
      <c r="H147" s="541"/>
      <c r="I147" s="541"/>
      <c r="J147" s="721"/>
      <c r="K147" s="541"/>
      <c r="L147" s="541"/>
      <c r="M147" s="541"/>
      <c r="N147" s="541"/>
      <c r="O147" s="541"/>
      <c r="P147" s="541"/>
      <c r="Q147" s="541"/>
      <c r="R147" s="541"/>
      <c r="S147" s="541"/>
      <c r="T147" s="541"/>
      <c r="U147" s="541"/>
      <c r="V147" s="541"/>
      <c r="W147" s="541"/>
      <c r="X147" s="541"/>
      <c r="Y147" s="541"/>
      <c r="Z147" s="541"/>
    </row>
    <row r="148" spans="1:26">
      <c r="A148" s="541"/>
      <c r="B148" s="541"/>
      <c r="C148" s="541"/>
      <c r="D148" s="541"/>
      <c r="E148" s="541"/>
      <c r="F148" s="541"/>
      <c r="G148" s="721"/>
      <c r="H148" s="541"/>
      <c r="I148" s="541"/>
      <c r="J148" s="721"/>
      <c r="K148" s="541"/>
      <c r="L148" s="541"/>
      <c r="M148" s="541"/>
      <c r="N148" s="541"/>
      <c r="O148" s="541"/>
      <c r="P148" s="541"/>
      <c r="Q148" s="541"/>
      <c r="R148" s="541"/>
      <c r="S148" s="541"/>
      <c r="T148" s="541"/>
      <c r="U148" s="541"/>
      <c r="V148" s="541"/>
      <c r="W148" s="541"/>
      <c r="X148" s="541"/>
      <c r="Y148" s="541"/>
      <c r="Z148" s="541"/>
    </row>
    <row r="149" spans="1:26">
      <c r="A149" s="541"/>
      <c r="B149" s="541"/>
      <c r="C149" s="541"/>
      <c r="D149" s="541"/>
      <c r="E149" s="541"/>
      <c r="F149" s="541"/>
      <c r="G149" s="721"/>
      <c r="H149" s="541"/>
      <c r="I149" s="541"/>
      <c r="J149" s="721"/>
      <c r="K149" s="541"/>
      <c r="L149" s="541"/>
      <c r="M149" s="541"/>
      <c r="N149" s="541"/>
      <c r="O149" s="541"/>
      <c r="P149" s="541"/>
      <c r="Q149" s="541"/>
      <c r="R149" s="541"/>
      <c r="S149" s="541"/>
      <c r="T149" s="541"/>
      <c r="U149" s="541"/>
      <c r="V149" s="541"/>
      <c r="W149" s="541"/>
      <c r="X149" s="541"/>
      <c r="Y149" s="541"/>
      <c r="Z149" s="541"/>
    </row>
    <row r="150" spans="1:26">
      <c r="A150" s="541"/>
      <c r="B150" s="541"/>
      <c r="C150" s="541"/>
      <c r="D150" s="541"/>
      <c r="E150" s="541"/>
      <c r="F150" s="541"/>
      <c r="G150" s="721"/>
      <c r="H150" s="541"/>
      <c r="I150" s="541"/>
      <c r="J150" s="721"/>
      <c r="K150" s="541"/>
      <c r="L150" s="541"/>
      <c r="M150" s="541"/>
      <c r="N150" s="541"/>
      <c r="O150" s="541"/>
      <c r="P150" s="541"/>
      <c r="Q150" s="541"/>
      <c r="R150" s="541"/>
      <c r="S150" s="541"/>
      <c r="T150" s="541"/>
      <c r="U150" s="541"/>
      <c r="V150" s="541"/>
      <c r="W150" s="541"/>
      <c r="X150" s="541"/>
      <c r="Y150" s="541"/>
      <c r="Z150" s="541"/>
    </row>
    <row r="151" spans="1:26">
      <c r="A151" s="541"/>
      <c r="B151" s="541"/>
      <c r="C151" s="541"/>
      <c r="D151" s="541"/>
      <c r="E151" s="541"/>
      <c r="F151" s="541"/>
      <c r="G151" s="721"/>
      <c r="H151" s="541"/>
      <c r="I151" s="541"/>
      <c r="J151" s="721"/>
      <c r="K151" s="541"/>
      <c r="L151" s="541"/>
      <c r="M151" s="541"/>
      <c r="N151" s="541"/>
      <c r="O151" s="541"/>
      <c r="P151" s="541"/>
      <c r="Q151" s="541"/>
      <c r="R151" s="541"/>
      <c r="S151" s="541"/>
      <c r="T151" s="541"/>
      <c r="U151" s="541"/>
      <c r="V151" s="541"/>
      <c r="W151" s="541"/>
      <c r="X151" s="541"/>
      <c r="Y151" s="541"/>
      <c r="Z151" s="541"/>
    </row>
    <row r="152" spans="1:26">
      <c r="A152" s="541"/>
      <c r="B152" s="541"/>
      <c r="C152" s="541"/>
      <c r="D152" s="541"/>
      <c r="E152" s="541"/>
      <c r="F152" s="541"/>
      <c r="G152" s="721"/>
      <c r="H152" s="541"/>
      <c r="I152" s="541"/>
      <c r="J152" s="721"/>
      <c r="K152" s="541"/>
      <c r="L152" s="541"/>
      <c r="M152" s="541"/>
      <c r="N152" s="541"/>
      <c r="O152" s="541"/>
      <c r="P152" s="541"/>
      <c r="Q152" s="541"/>
      <c r="R152" s="541"/>
      <c r="S152" s="541"/>
      <c r="T152" s="541"/>
      <c r="U152" s="541"/>
      <c r="V152" s="541"/>
      <c r="W152" s="541"/>
      <c r="X152" s="541"/>
      <c r="Y152" s="541"/>
      <c r="Z152" s="541"/>
    </row>
    <row r="153" spans="1:26">
      <c r="A153" s="541"/>
      <c r="B153" s="541"/>
      <c r="C153" s="541"/>
      <c r="D153" s="541"/>
      <c r="E153" s="541"/>
      <c r="F153" s="541"/>
      <c r="G153" s="721"/>
      <c r="H153" s="541"/>
      <c r="I153" s="541"/>
      <c r="J153" s="721"/>
      <c r="K153" s="541"/>
      <c r="L153" s="541"/>
      <c r="M153" s="541"/>
      <c r="N153" s="541"/>
      <c r="O153" s="541"/>
      <c r="P153" s="541"/>
      <c r="Q153" s="541"/>
      <c r="R153" s="541"/>
      <c r="S153" s="541"/>
      <c r="T153" s="541"/>
      <c r="U153" s="541"/>
      <c r="V153" s="541"/>
      <c r="W153" s="541"/>
      <c r="X153" s="541"/>
      <c r="Y153" s="541"/>
      <c r="Z153" s="541"/>
    </row>
    <row r="154" spans="1:26">
      <c r="A154" s="541"/>
      <c r="B154" s="541"/>
      <c r="C154" s="541"/>
      <c r="D154" s="541"/>
      <c r="E154" s="541"/>
      <c r="F154" s="541"/>
      <c r="G154" s="721"/>
      <c r="H154" s="541"/>
      <c r="I154" s="541"/>
      <c r="J154" s="721"/>
      <c r="K154" s="541"/>
      <c r="L154" s="541"/>
      <c r="M154" s="541"/>
      <c r="N154" s="541"/>
      <c r="O154" s="541"/>
      <c r="P154" s="541"/>
      <c r="Q154" s="541"/>
      <c r="R154" s="541"/>
      <c r="S154" s="541"/>
      <c r="T154" s="541"/>
      <c r="U154" s="541"/>
      <c r="V154" s="541"/>
      <c r="W154" s="541"/>
      <c r="X154" s="541"/>
      <c r="Y154" s="541"/>
      <c r="Z154" s="541"/>
    </row>
    <row r="155" spans="1:26">
      <c r="A155" s="541"/>
      <c r="B155" s="541"/>
      <c r="C155" s="541"/>
      <c r="D155" s="541"/>
      <c r="E155" s="541"/>
      <c r="F155" s="541"/>
      <c r="G155" s="721"/>
      <c r="H155" s="541"/>
      <c r="I155" s="541"/>
      <c r="J155" s="721"/>
      <c r="K155" s="541"/>
      <c r="L155" s="541"/>
      <c r="M155" s="541"/>
      <c r="N155" s="541"/>
      <c r="O155" s="541"/>
      <c r="P155" s="541"/>
      <c r="Q155" s="541"/>
      <c r="R155" s="541"/>
      <c r="S155" s="541"/>
      <c r="T155" s="541"/>
      <c r="U155" s="541"/>
      <c r="V155" s="541"/>
      <c r="W155" s="541"/>
      <c r="X155" s="541"/>
      <c r="Y155" s="541"/>
      <c r="Z155" s="541"/>
    </row>
    <row r="156" spans="1:26">
      <c r="A156" s="541"/>
      <c r="B156" s="541"/>
      <c r="C156" s="541"/>
      <c r="D156" s="541"/>
      <c r="E156" s="541"/>
      <c r="F156" s="541"/>
      <c r="G156" s="721"/>
      <c r="H156" s="541"/>
      <c r="I156" s="541"/>
      <c r="J156" s="721"/>
      <c r="K156" s="541"/>
      <c r="L156" s="541"/>
      <c r="M156" s="541"/>
      <c r="N156" s="541"/>
      <c r="O156" s="541"/>
      <c r="P156" s="541"/>
      <c r="Q156" s="541"/>
      <c r="R156" s="541"/>
      <c r="S156" s="541"/>
      <c r="T156" s="541"/>
      <c r="U156" s="541"/>
      <c r="V156" s="541"/>
      <c r="W156" s="541"/>
      <c r="X156" s="541"/>
      <c r="Y156" s="541"/>
      <c r="Z156" s="541"/>
    </row>
    <row r="157" spans="1:26">
      <c r="A157" s="541"/>
      <c r="B157" s="541"/>
      <c r="C157" s="541"/>
      <c r="D157" s="541"/>
      <c r="E157" s="541"/>
      <c r="F157" s="541"/>
      <c r="G157" s="721"/>
      <c r="H157" s="541"/>
      <c r="I157" s="541"/>
      <c r="J157" s="721"/>
      <c r="K157" s="541"/>
      <c r="L157" s="541"/>
      <c r="M157" s="541"/>
      <c r="N157" s="541"/>
      <c r="O157" s="541"/>
      <c r="P157" s="541"/>
      <c r="Q157" s="541"/>
      <c r="R157" s="541"/>
      <c r="S157" s="541"/>
      <c r="T157" s="541"/>
      <c r="U157" s="541"/>
      <c r="V157" s="541"/>
      <c r="W157" s="541"/>
      <c r="X157" s="541"/>
      <c r="Y157" s="541"/>
      <c r="Z157" s="541"/>
    </row>
    <row r="158" spans="1:26">
      <c r="A158" s="541"/>
      <c r="B158" s="541"/>
      <c r="C158" s="541"/>
      <c r="D158" s="541"/>
      <c r="E158" s="541"/>
      <c r="F158" s="541"/>
      <c r="G158" s="721"/>
      <c r="H158" s="541"/>
      <c r="I158" s="541"/>
      <c r="J158" s="721"/>
      <c r="K158" s="541"/>
      <c r="L158" s="541"/>
      <c r="M158" s="541"/>
      <c r="N158" s="541"/>
      <c r="O158" s="541"/>
      <c r="P158" s="541"/>
      <c r="Q158" s="541"/>
      <c r="R158" s="541"/>
      <c r="S158" s="541"/>
      <c r="T158" s="541"/>
      <c r="U158" s="541"/>
      <c r="V158" s="541"/>
      <c r="W158" s="541"/>
      <c r="X158" s="541"/>
      <c r="Y158" s="541"/>
      <c r="Z158" s="541"/>
    </row>
    <row r="159" spans="1:26">
      <c r="A159" s="541"/>
      <c r="B159" s="541"/>
      <c r="C159" s="541"/>
      <c r="D159" s="541"/>
      <c r="E159" s="541"/>
      <c r="F159" s="541"/>
      <c r="G159" s="721"/>
      <c r="H159" s="541"/>
      <c r="I159" s="541"/>
      <c r="J159" s="721"/>
      <c r="K159" s="541"/>
      <c r="L159" s="541"/>
      <c r="M159" s="541"/>
      <c r="N159" s="541"/>
      <c r="O159" s="541"/>
      <c r="P159" s="541"/>
      <c r="Q159" s="541"/>
      <c r="R159" s="541"/>
      <c r="S159" s="541"/>
      <c r="T159" s="541"/>
      <c r="U159" s="541"/>
      <c r="V159" s="541"/>
      <c r="W159" s="541"/>
      <c r="X159" s="541"/>
      <c r="Y159" s="541"/>
      <c r="Z159" s="541"/>
    </row>
    <row r="160" spans="1:26">
      <c r="A160" s="541"/>
      <c r="B160" s="541"/>
      <c r="C160" s="541"/>
      <c r="D160" s="541"/>
      <c r="E160" s="541"/>
      <c r="F160" s="541"/>
      <c r="G160" s="721"/>
      <c r="H160" s="541"/>
      <c r="I160" s="541"/>
      <c r="J160" s="721"/>
      <c r="K160" s="541"/>
      <c r="L160" s="541"/>
      <c r="M160" s="541"/>
      <c r="N160" s="541"/>
      <c r="O160" s="541"/>
      <c r="P160" s="541"/>
      <c r="Q160" s="541"/>
      <c r="R160" s="541"/>
      <c r="S160" s="541"/>
      <c r="T160" s="541"/>
      <c r="U160" s="541"/>
      <c r="V160" s="541"/>
      <c r="W160" s="541"/>
      <c r="X160" s="541"/>
      <c r="Y160" s="541"/>
      <c r="Z160" s="541"/>
    </row>
    <row r="161" spans="1:26">
      <c r="A161" s="541"/>
      <c r="B161" s="541"/>
      <c r="C161" s="541"/>
      <c r="D161" s="541"/>
      <c r="E161" s="541"/>
      <c r="F161" s="541"/>
      <c r="G161" s="721"/>
      <c r="H161" s="541"/>
      <c r="I161" s="541"/>
      <c r="J161" s="721"/>
      <c r="K161" s="541"/>
      <c r="L161" s="541"/>
      <c r="M161" s="541"/>
      <c r="N161" s="541"/>
      <c r="O161" s="541"/>
      <c r="P161" s="541"/>
      <c r="Q161" s="541"/>
      <c r="R161" s="541"/>
      <c r="S161" s="541"/>
      <c r="T161" s="541"/>
      <c r="U161" s="541"/>
      <c r="V161" s="541"/>
      <c r="W161" s="541"/>
      <c r="X161" s="541"/>
      <c r="Y161" s="541"/>
      <c r="Z161" s="541"/>
    </row>
    <row r="162" spans="1:26">
      <c r="A162" s="541"/>
      <c r="B162" s="541"/>
      <c r="C162" s="541"/>
      <c r="D162" s="541"/>
      <c r="E162" s="541"/>
      <c r="F162" s="541"/>
      <c r="G162" s="721"/>
      <c r="H162" s="541"/>
      <c r="I162" s="541"/>
      <c r="J162" s="721"/>
      <c r="K162" s="541"/>
      <c r="L162" s="541"/>
      <c r="M162" s="541"/>
      <c r="N162" s="541"/>
      <c r="O162" s="541"/>
      <c r="P162" s="541"/>
      <c r="Q162" s="541"/>
      <c r="R162" s="541"/>
      <c r="S162" s="541"/>
      <c r="T162" s="541"/>
      <c r="U162" s="541"/>
      <c r="V162" s="541"/>
      <c r="W162" s="541"/>
      <c r="X162" s="541"/>
      <c r="Y162" s="541"/>
      <c r="Z162" s="541"/>
    </row>
    <row r="163" spans="1:26">
      <c r="A163" s="541"/>
      <c r="B163" s="541"/>
      <c r="C163" s="541"/>
      <c r="D163" s="541"/>
      <c r="E163" s="541"/>
      <c r="F163" s="541"/>
      <c r="G163" s="721"/>
      <c r="H163" s="541"/>
      <c r="I163" s="541"/>
      <c r="J163" s="721"/>
      <c r="K163" s="541"/>
      <c r="L163" s="541"/>
      <c r="M163" s="541"/>
      <c r="N163" s="541"/>
      <c r="O163" s="541"/>
      <c r="P163" s="541"/>
      <c r="Q163" s="541"/>
      <c r="R163" s="541"/>
      <c r="S163" s="541"/>
      <c r="T163" s="541"/>
      <c r="U163" s="541"/>
      <c r="V163" s="541"/>
      <c r="W163" s="541"/>
      <c r="X163" s="541"/>
      <c r="Y163" s="541"/>
      <c r="Z163" s="541"/>
    </row>
    <row r="164" spans="1:26">
      <c r="A164" s="541"/>
      <c r="B164" s="541"/>
      <c r="C164" s="541"/>
      <c r="D164" s="541"/>
      <c r="E164" s="541"/>
      <c r="F164" s="541"/>
      <c r="G164" s="721"/>
      <c r="H164" s="541"/>
      <c r="I164" s="541"/>
      <c r="J164" s="721"/>
      <c r="K164" s="541"/>
      <c r="L164" s="541"/>
      <c r="M164" s="541"/>
      <c r="N164" s="541"/>
      <c r="O164" s="541"/>
      <c r="P164" s="541"/>
      <c r="Q164" s="541"/>
      <c r="R164" s="541"/>
      <c r="S164" s="541"/>
      <c r="T164" s="541"/>
      <c r="U164" s="541"/>
      <c r="V164" s="541"/>
      <c r="W164" s="541"/>
      <c r="X164" s="541"/>
      <c r="Y164" s="541"/>
      <c r="Z164" s="541"/>
    </row>
    <row r="165" spans="1:26">
      <c r="A165" s="541"/>
      <c r="B165" s="541"/>
      <c r="C165" s="541"/>
      <c r="D165" s="541"/>
      <c r="E165" s="541"/>
      <c r="F165" s="541"/>
      <c r="G165" s="721"/>
      <c r="H165" s="541"/>
      <c r="I165" s="541"/>
      <c r="J165" s="721"/>
      <c r="K165" s="541"/>
      <c r="L165" s="541"/>
      <c r="M165" s="541"/>
      <c r="N165" s="541"/>
      <c r="O165" s="541"/>
      <c r="P165" s="541"/>
      <c r="Q165" s="541"/>
      <c r="R165" s="541"/>
      <c r="S165" s="541"/>
      <c r="T165" s="541"/>
      <c r="U165" s="541"/>
      <c r="V165" s="541"/>
      <c r="W165" s="541"/>
      <c r="X165" s="541"/>
      <c r="Y165" s="541"/>
      <c r="Z165" s="541"/>
    </row>
    <row r="166" spans="1:26">
      <c r="A166" s="541"/>
      <c r="B166" s="541"/>
      <c r="C166" s="541"/>
      <c r="D166" s="541"/>
      <c r="E166" s="541"/>
      <c r="F166" s="541"/>
      <c r="G166" s="721"/>
      <c r="H166" s="541"/>
      <c r="I166" s="541"/>
      <c r="J166" s="721"/>
      <c r="K166" s="541"/>
      <c r="L166" s="541"/>
      <c r="M166" s="541"/>
      <c r="N166" s="541"/>
      <c r="O166" s="541"/>
      <c r="P166" s="541"/>
      <c r="Q166" s="541"/>
      <c r="R166" s="541"/>
      <c r="S166" s="541"/>
      <c r="T166" s="541"/>
      <c r="U166" s="541"/>
      <c r="V166" s="541"/>
      <c r="W166" s="541"/>
      <c r="X166" s="541"/>
      <c r="Y166" s="541"/>
      <c r="Z166" s="541"/>
    </row>
    <row r="167" spans="1:26">
      <c r="A167" s="541"/>
      <c r="B167" s="541"/>
      <c r="C167" s="541"/>
      <c r="D167" s="541"/>
      <c r="E167" s="541"/>
      <c r="F167" s="541"/>
      <c r="G167" s="721"/>
      <c r="H167" s="541"/>
      <c r="I167" s="541"/>
      <c r="J167" s="721"/>
      <c r="K167" s="541"/>
      <c r="L167" s="541"/>
      <c r="M167" s="541"/>
      <c r="N167" s="541"/>
      <c r="O167" s="541"/>
      <c r="P167" s="541"/>
      <c r="Q167" s="541"/>
      <c r="R167" s="541"/>
      <c r="S167" s="541"/>
      <c r="T167" s="541"/>
      <c r="U167" s="541"/>
      <c r="V167" s="541"/>
      <c r="W167" s="541"/>
      <c r="X167" s="541"/>
      <c r="Y167" s="541"/>
      <c r="Z167" s="541"/>
    </row>
    <row r="168" spans="1:26">
      <c r="A168" s="541"/>
      <c r="B168" s="541"/>
      <c r="C168" s="541"/>
      <c r="D168" s="541"/>
      <c r="E168" s="541"/>
      <c r="F168" s="541"/>
      <c r="G168" s="721"/>
      <c r="H168" s="541"/>
      <c r="I168" s="541"/>
      <c r="J168" s="721"/>
      <c r="K168" s="541"/>
      <c r="L168" s="541"/>
      <c r="M168" s="541"/>
      <c r="N168" s="541"/>
      <c r="O168" s="541"/>
      <c r="P168" s="541"/>
      <c r="Q168" s="541"/>
      <c r="R168" s="541"/>
      <c r="S168" s="541"/>
      <c r="T168" s="541"/>
      <c r="U168" s="541"/>
      <c r="V168" s="541"/>
      <c r="W168" s="541"/>
      <c r="X168" s="541"/>
      <c r="Y168" s="541"/>
      <c r="Z168" s="541"/>
    </row>
    <row r="169" spans="1:26">
      <c r="A169" s="541"/>
      <c r="B169" s="541"/>
      <c r="C169" s="541"/>
      <c r="D169" s="541"/>
      <c r="E169" s="541"/>
      <c r="F169" s="541"/>
      <c r="G169" s="721"/>
      <c r="H169" s="541"/>
      <c r="I169" s="541"/>
      <c r="J169" s="721"/>
      <c r="K169" s="541"/>
      <c r="L169" s="541"/>
      <c r="M169" s="541"/>
      <c r="N169" s="541"/>
      <c r="O169" s="541"/>
      <c r="P169" s="541"/>
      <c r="Q169" s="541"/>
      <c r="R169" s="541"/>
      <c r="S169" s="541"/>
      <c r="T169" s="541"/>
      <c r="U169" s="541"/>
      <c r="V169" s="541"/>
      <c r="W169" s="541"/>
      <c r="X169" s="541"/>
      <c r="Y169" s="541"/>
      <c r="Z169" s="541"/>
    </row>
    <row r="170" spans="1:26">
      <c r="A170" s="541"/>
      <c r="B170" s="541"/>
      <c r="C170" s="541"/>
      <c r="D170" s="541"/>
      <c r="E170" s="541"/>
      <c r="F170" s="541"/>
      <c r="G170" s="721"/>
      <c r="H170" s="541"/>
      <c r="I170" s="541"/>
      <c r="J170" s="721"/>
      <c r="K170" s="541"/>
      <c r="L170" s="541"/>
      <c r="M170" s="541"/>
      <c r="N170" s="541"/>
      <c r="O170" s="541"/>
      <c r="P170" s="541"/>
      <c r="Q170" s="541"/>
      <c r="R170" s="541"/>
      <c r="S170" s="541"/>
      <c r="T170" s="541"/>
      <c r="U170" s="541"/>
      <c r="V170" s="541"/>
      <c r="W170" s="541"/>
      <c r="X170" s="541"/>
      <c r="Y170" s="541"/>
      <c r="Z170" s="541"/>
    </row>
    <row r="171" spans="1:26">
      <c r="A171" s="541"/>
      <c r="B171" s="541"/>
      <c r="C171" s="541"/>
      <c r="D171" s="541"/>
      <c r="E171" s="541"/>
      <c r="F171" s="541"/>
      <c r="G171" s="721"/>
      <c r="H171" s="541"/>
      <c r="I171" s="541"/>
      <c r="J171" s="721"/>
      <c r="K171" s="541"/>
      <c r="L171" s="541"/>
      <c r="M171" s="541"/>
      <c r="N171" s="541"/>
      <c r="O171" s="541"/>
      <c r="P171" s="541"/>
      <c r="Q171" s="541"/>
      <c r="R171" s="541"/>
      <c r="S171" s="541"/>
      <c r="T171" s="541"/>
      <c r="U171" s="541"/>
      <c r="V171" s="541"/>
      <c r="W171" s="541"/>
      <c r="X171" s="541"/>
      <c r="Y171" s="541"/>
      <c r="Z171" s="541"/>
    </row>
    <row r="172" spans="1:26">
      <c r="A172" s="541"/>
      <c r="B172" s="541"/>
      <c r="C172" s="541"/>
      <c r="D172" s="541"/>
      <c r="E172" s="541"/>
      <c r="F172" s="541"/>
      <c r="G172" s="721"/>
      <c r="H172" s="541"/>
      <c r="I172" s="541"/>
      <c r="J172" s="721"/>
      <c r="K172" s="541"/>
      <c r="L172" s="541"/>
      <c r="M172" s="541"/>
      <c r="N172" s="541"/>
      <c r="O172" s="541"/>
      <c r="P172" s="541"/>
      <c r="Q172" s="541"/>
      <c r="R172" s="541"/>
      <c r="S172" s="541"/>
      <c r="T172" s="541"/>
      <c r="U172" s="541"/>
      <c r="V172" s="541"/>
      <c r="W172" s="541"/>
      <c r="X172" s="541"/>
      <c r="Y172" s="541"/>
      <c r="Z172" s="541"/>
    </row>
    <row r="173" spans="1:26">
      <c r="A173" s="541"/>
      <c r="B173" s="541"/>
      <c r="C173" s="541"/>
      <c r="D173" s="541"/>
      <c r="E173" s="541"/>
      <c r="F173" s="541"/>
      <c r="G173" s="721"/>
      <c r="H173" s="541"/>
      <c r="I173" s="541"/>
      <c r="J173" s="721"/>
      <c r="K173" s="541"/>
      <c r="L173" s="541"/>
      <c r="M173" s="541"/>
      <c r="N173" s="541"/>
      <c r="O173" s="541"/>
      <c r="P173" s="541"/>
      <c r="Q173" s="541"/>
      <c r="R173" s="541"/>
      <c r="S173" s="541"/>
      <c r="T173" s="541"/>
      <c r="U173" s="541"/>
      <c r="V173" s="541"/>
      <c r="W173" s="541"/>
      <c r="X173" s="541"/>
      <c r="Y173" s="541"/>
      <c r="Z173" s="541"/>
    </row>
    <row r="174" spans="1:26">
      <c r="A174" s="541"/>
      <c r="B174" s="541"/>
      <c r="C174" s="541"/>
      <c r="D174" s="541"/>
      <c r="E174" s="541"/>
      <c r="F174" s="541"/>
      <c r="G174" s="721"/>
      <c r="H174" s="541"/>
      <c r="I174" s="541"/>
      <c r="J174" s="721"/>
      <c r="K174" s="541"/>
      <c r="L174" s="541"/>
      <c r="M174" s="541"/>
      <c r="N174" s="541"/>
      <c r="O174" s="541"/>
      <c r="P174" s="541"/>
      <c r="Q174" s="541"/>
      <c r="R174" s="541"/>
      <c r="S174" s="541"/>
      <c r="T174" s="541"/>
      <c r="U174" s="541"/>
      <c r="V174" s="541"/>
      <c r="W174" s="541"/>
      <c r="X174" s="541"/>
      <c r="Y174" s="541"/>
      <c r="Z174" s="541"/>
    </row>
    <row r="175" spans="1:26">
      <c r="A175" s="541"/>
      <c r="B175" s="541"/>
      <c r="C175" s="541"/>
      <c r="D175" s="541"/>
      <c r="E175" s="541"/>
      <c r="F175" s="541"/>
      <c r="G175" s="721"/>
      <c r="H175" s="541"/>
      <c r="I175" s="541"/>
      <c r="J175" s="721"/>
      <c r="K175" s="541"/>
      <c r="L175" s="541"/>
      <c r="M175" s="541"/>
      <c r="N175" s="541"/>
      <c r="O175" s="541"/>
      <c r="P175" s="541"/>
      <c r="Q175" s="541"/>
      <c r="R175" s="541"/>
      <c r="S175" s="541"/>
      <c r="T175" s="541"/>
      <c r="U175" s="541"/>
      <c r="V175" s="541"/>
      <c r="W175" s="541"/>
      <c r="X175" s="541"/>
      <c r="Y175" s="541"/>
      <c r="Z175" s="541"/>
    </row>
    <row r="176" spans="1:26">
      <c r="A176" s="541"/>
      <c r="B176" s="541"/>
      <c r="C176" s="541"/>
      <c r="D176" s="541"/>
      <c r="E176" s="541"/>
      <c r="F176" s="541"/>
      <c r="G176" s="721"/>
      <c r="H176" s="541"/>
      <c r="I176" s="541"/>
      <c r="J176" s="721"/>
      <c r="K176" s="541"/>
      <c r="L176" s="541"/>
      <c r="M176" s="541"/>
      <c r="N176" s="541"/>
      <c r="O176" s="541"/>
      <c r="P176" s="541"/>
      <c r="Q176" s="541"/>
      <c r="R176" s="541"/>
      <c r="S176" s="541"/>
      <c r="T176" s="541"/>
      <c r="U176" s="541"/>
      <c r="V176" s="541"/>
      <c r="W176" s="541"/>
      <c r="X176" s="541"/>
      <c r="Y176" s="541"/>
      <c r="Z176" s="541"/>
    </row>
    <row r="177" spans="1:26">
      <c r="A177" s="541"/>
      <c r="B177" s="541"/>
      <c r="C177" s="541"/>
      <c r="D177" s="541"/>
      <c r="E177" s="541"/>
      <c r="F177" s="541"/>
      <c r="G177" s="721"/>
      <c r="H177" s="541"/>
      <c r="I177" s="541"/>
      <c r="J177" s="721"/>
      <c r="K177" s="541"/>
      <c r="L177" s="541"/>
      <c r="M177" s="541"/>
      <c r="N177" s="541"/>
      <c r="O177" s="541"/>
      <c r="P177" s="541"/>
      <c r="Q177" s="541"/>
      <c r="R177" s="541"/>
      <c r="S177" s="541"/>
      <c r="T177" s="541"/>
      <c r="U177" s="541"/>
      <c r="V177" s="541"/>
      <c r="W177" s="541"/>
      <c r="X177" s="541"/>
      <c r="Y177" s="541"/>
      <c r="Z177" s="541"/>
    </row>
    <row r="178" spans="1:26">
      <c r="A178" s="541"/>
      <c r="B178" s="541"/>
      <c r="C178" s="541"/>
      <c r="D178" s="541"/>
      <c r="E178" s="541"/>
      <c r="F178" s="541"/>
      <c r="G178" s="721"/>
      <c r="H178" s="541"/>
      <c r="I178" s="541"/>
      <c r="J178" s="721"/>
      <c r="K178" s="541"/>
      <c r="L178" s="541"/>
      <c r="M178" s="541"/>
      <c r="N178" s="541"/>
      <c r="O178" s="541"/>
      <c r="P178" s="541"/>
      <c r="Q178" s="541"/>
      <c r="R178" s="541"/>
      <c r="S178" s="541"/>
      <c r="T178" s="541"/>
      <c r="U178" s="541"/>
      <c r="V178" s="541"/>
      <c r="W178" s="541"/>
      <c r="X178" s="541"/>
      <c r="Y178" s="541"/>
      <c r="Z178" s="541"/>
    </row>
    <row r="179" spans="1:26">
      <c r="A179" s="541"/>
      <c r="B179" s="541"/>
      <c r="C179" s="541"/>
      <c r="D179" s="541"/>
      <c r="E179" s="541"/>
      <c r="F179" s="541"/>
      <c r="G179" s="721"/>
      <c r="H179" s="541"/>
      <c r="I179" s="541"/>
      <c r="J179" s="721"/>
      <c r="K179" s="541"/>
      <c r="L179" s="541"/>
      <c r="M179" s="541"/>
      <c r="N179" s="541"/>
      <c r="O179" s="541"/>
      <c r="P179" s="541"/>
      <c r="Q179" s="541"/>
      <c r="R179" s="541"/>
      <c r="S179" s="541"/>
      <c r="T179" s="541"/>
      <c r="U179" s="541"/>
      <c r="V179" s="541"/>
      <c r="W179" s="541"/>
      <c r="X179" s="541"/>
      <c r="Y179" s="541"/>
      <c r="Z179" s="541"/>
    </row>
    <row r="180" spans="1:26">
      <c r="A180" s="541"/>
      <c r="B180" s="541"/>
      <c r="C180" s="541"/>
      <c r="D180" s="541"/>
      <c r="E180" s="541"/>
      <c r="F180" s="541"/>
      <c r="G180" s="721"/>
      <c r="H180" s="541"/>
      <c r="I180" s="541"/>
      <c r="J180" s="721"/>
      <c r="K180" s="541"/>
      <c r="L180" s="541"/>
      <c r="M180" s="541"/>
      <c r="N180" s="541"/>
      <c r="O180" s="541"/>
      <c r="P180" s="541"/>
      <c r="Q180" s="541"/>
      <c r="R180" s="541"/>
      <c r="S180" s="541"/>
      <c r="T180" s="541"/>
      <c r="U180" s="541"/>
      <c r="V180" s="541"/>
      <c r="W180" s="541"/>
      <c r="X180" s="541"/>
      <c r="Y180" s="541"/>
      <c r="Z180" s="541"/>
    </row>
    <row r="181" spans="1:26">
      <c r="A181" s="541"/>
      <c r="B181" s="541"/>
      <c r="C181" s="541"/>
      <c r="D181" s="541"/>
      <c r="E181" s="541"/>
      <c r="F181" s="541"/>
      <c r="G181" s="721"/>
      <c r="H181" s="541"/>
      <c r="I181" s="541"/>
      <c r="J181" s="721"/>
      <c r="K181" s="541"/>
      <c r="L181" s="541"/>
      <c r="M181" s="541"/>
      <c r="N181" s="541"/>
      <c r="O181" s="541"/>
      <c r="P181" s="541"/>
      <c r="Q181" s="541"/>
      <c r="R181" s="541"/>
      <c r="S181" s="541"/>
      <c r="T181" s="541"/>
      <c r="U181" s="541"/>
      <c r="V181" s="541"/>
      <c r="W181" s="541"/>
      <c r="X181" s="541"/>
      <c r="Y181" s="541"/>
      <c r="Z181" s="541"/>
    </row>
    <row r="182" spans="1:26">
      <c r="A182" s="541"/>
      <c r="B182" s="541"/>
      <c r="C182" s="541"/>
      <c r="D182" s="541"/>
      <c r="E182" s="541"/>
      <c r="F182" s="541"/>
      <c r="G182" s="721"/>
      <c r="H182" s="541"/>
      <c r="I182" s="541"/>
      <c r="J182" s="721"/>
      <c r="K182" s="541"/>
      <c r="L182" s="541"/>
      <c r="M182" s="541"/>
      <c r="N182" s="541"/>
      <c r="O182" s="541"/>
      <c r="P182" s="541"/>
      <c r="Q182" s="541"/>
      <c r="R182" s="541"/>
      <c r="S182" s="541"/>
      <c r="T182" s="541"/>
      <c r="U182" s="541"/>
      <c r="V182" s="541"/>
      <c r="W182" s="541"/>
      <c r="X182" s="541"/>
      <c r="Y182" s="541"/>
      <c r="Z182" s="541"/>
    </row>
    <row r="183" spans="1:26">
      <c r="A183" s="541"/>
      <c r="B183" s="541"/>
      <c r="C183" s="541"/>
      <c r="D183" s="541"/>
      <c r="E183" s="541"/>
      <c r="F183" s="541"/>
      <c r="G183" s="721"/>
      <c r="H183" s="541"/>
      <c r="I183" s="541"/>
      <c r="J183" s="721"/>
      <c r="K183" s="541"/>
      <c r="L183" s="541"/>
      <c r="M183" s="541"/>
      <c r="N183" s="541"/>
      <c r="O183" s="541"/>
      <c r="P183" s="541"/>
      <c r="Q183" s="541"/>
      <c r="R183" s="541"/>
      <c r="S183" s="541"/>
      <c r="T183" s="541"/>
      <c r="U183" s="541"/>
      <c r="V183" s="541"/>
      <c r="W183" s="541"/>
      <c r="X183" s="541"/>
      <c r="Y183" s="541"/>
      <c r="Z183" s="541"/>
    </row>
    <row r="184" spans="1:26">
      <c r="A184" s="541"/>
      <c r="B184" s="541"/>
      <c r="C184" s="541"/>
      <c r="D184" s="541"/>
      <c r="E184" s="541"/>
      <c r="F184" s="541"/>
      <c r="G184" s="721"/>
      <c r="H184" s="541"/>
      <c r="I184" s="541"/>
      <c r="J184" s="721"/>
      <c r="K184" s="541"/>
      <c r="L184" s="541"/>
      <c r="M184" s="541"/>
      <c r="N184" s="541"/>
      <c r="O184" s="541"/>
      <c r="P184" s="541"/>
      <c r="Q184" s="541"/>
      <c r="R184" s="541"/>
      <c r="S184" s="541"/>
      <c r="T184" s="541"/>
      <c r="U184" s="541"/>
      <c r="V184" s="541"/>
      <c r="W184" s="541"/>
      <c r="X184" s="541"/>
      <c r="Y184" s="541"/>
      <c r="Z184" s="541"/>
    </row>
    <row r="185" spans="1:26">
      <c r="A185" s="541"/>
      <c r="B185" s="541"/>
      <c r="C185" s="541"/>
      <c r="D185" s="541"/>
      <c r="E185" s="541"/>
      <c r="F185" s="541"/>
      <c r="G185" s="721"/>
      <c r="H185" s="541"/>
      <c r="I185" s="541"/>
      <c r="J185" s="721"/>
      <c r="K185" s="541"/>
      <c r="L185" s="541"/>
      <c r="M185" s="541"/>
      <c r="N185" s="541"/>
      <c r="O185" s="541"/>
      <c r="P185" s="541"/>
      <c r="Q185" s="541"/>
      <c r="R185" s="541"/>
      <c r="S185" s="541"/>
      <c r="T185" s="541"/>
      <c r="U185" s="541"/>
      <c r="V185" s="541"/>
      <c r="W185" s="541"/>
      <c r="X185" s="541"/>
      <c r="Y185" s="541"/>
      <c r="Z185" s="541"/>
    </row>
    <row r="186" spans="1:26">
      <c r="A186" s="541"/>
      <c r="B186" s="541"/>
      <c r="C186" s="541"/>
      <c r="D186" s="541"/>
      <c r="E186" s="541"/>
      <c r="F186" s="541"/>
      <c r="G186" s="721"/>
      <c r="H186" s="541"/>
      <c r="I186" s="541"/>
      <c r="J186" s="721"/>
      <c r="K186" s="541"/>
      <c r="L186" s="541"/>
      <c r="M186" s="541"/>
      <c r="N186" s="541"/>
      <c r="O186" s="541"/>
      <c r="P186" s="541"/>
      <c r="Q186" s="541"/>
      <c r="R186" s="541"/>
      <c r="S186" s="541"/>
      <c r="T186" s="541"/>
      <c r="U186" s="541"/>
      <c r="V186" s="541"/>
      <c r="W186" s="541"/>
      <c r="X186" s="541"/>
      <c r="Y186" s="541"/>
      <c r="Z186" s="541"/>
    </row>
    <row r="187" spans="1:26">
      <c r="A187" s="541"/>
      <c r="B187" s="541"/>
      <c r="C187" s="541"/>
      <c r="D187" s="541"/>
      <c r="E187" s="541"/>
      <c r="F187" s="541"/>
      <c r="G187" s="721"/>
      <c r="H187" s="541"/>
      <c r="I187" s="541"/>
      <c r="J187" s="721"/>
      <c r="K187" s="541"/>
      <c r="L187" s="541"/>
      <c r="M187" s="541"/>
      <c r="N187" s="541"/>
      <c r="O187" s="541"/>
      <c r="P187" s="541"/>
      <c r="Q187" s="541"/>
      <c r="R187" s="541"/>
      <c r="S187" s="541"/>
      <c r="T187" s="541"/>
      <c r="U187" s="541"/>
      <c r="V187" s="541"/>
      <c r="W187" s="541"/>
      <c r="X187" s="541"/>
      <c r="Y187" s="541"/>
      <c r="Z187" s="541"/>
    </row>
    <row r="188" spans="1:26">
      <c r="A188" s="541"/>
      <c r="B188" s="541"/>
      <c r="C188" s="541"/>
      <c r="D188" s="541"/>
      <c r="E188" s="541"/>
      <c r="F188" s="541"/>
      <c r="G188" s="721"/>
      <c r="H188" s="541"/>
      <c r="I188" s="541"/>
      <c r="J188" s="721"/>
      <c r="K188" s="541"/>
      <c r="L188" s="541"/>
      <c r="M188" s="541"/>
      <c r="N188" s="541"/>
      <c r="O188" s="541"/>
      <c r="P188" s="541"/>
      <c r="Q188" s="541"/>
      <c r="R188" s="541"/>
      <c r="S188" s="541"/>
      <c r="T188" s="541"/>
      <c r="U188" s="541"/>
      <c r="V188" s="541"/>
      <c r="W188" s="541"/>
      <c r="X188" s="541"/>
      <c r="Y188" s="541"/>
      <c r="Z188" s="541"/>
    </row>
    <row r="189" spans="1:26">
      <c r="A189" s="541"/>
      <c r="B189" s="541"/>
      <c r="C189" s="541"/>
      <c r="D189" s="541"/>
      <c r="E189" s="541"/>
      <c r="F189" s="541"/>
      <c r="G189" s="721"/>
      <c r="H189" s="541"/>
      <c r="I189" s="541"/>
      <c r="J189" s="721"/>
      <c r="K189" s="541"/>
      <c r="L189" s="541"/>
      <c r="M189" s="541"/>
      <c r="N189" s="541"/>
      <c r="O189" s="541"/>
      <c r="P189" s="541"/>
      <c r="Q189" s="541"/>
      <c r="R189" s="541"/>
      <c r="S189" s="541"/>
      <c r="T189" s="541"/>
      <c r="U189" s="541"/>
      <c r="V189" s="541"/>
      <c r="W189" s="541"/>
      <c r="X189" s="541"/>
      <c r="Y189" s="541"/>
      <c r="Z189" s="541"/>
    </row>
    <row r="190" spans="1:26">
      <c r="A190" s="541"/>
      <c r="B190" s="541"/>
      <c r="C190" s="541"/>
      <c r="D190" s="541"/>
      <c r="E190" s="541"/>
      <c r="F190" s="541"/>
      <c r="G190" s="721"/>
      <c r="H190" s="541"/>
      <c r="I190" s="541"/>
      <c r="J190" s="721"/>
      <c r="K190" s="541"/>
      <c r="L190" s="541"/>
      <c r="M190" s="541"/>
      <c r="N190" s="541"/>
      <c r="O190" s="541"/>
      <c r="P190" s="541"/>
      <c r="Q190" s="541"/>
      <c r="R190" s="541"/>
      <c r="S190" s="541"/>
      <c r="T190" s="541"/>
      <c r="U190" s="541"/>
      <c r="V190" s="541"/>
      <c r="W190" s="541"/>
      <c r="X190" s="541"/>
      <c r="Y190" s="541"/>
      <c r="Z190" s="541"/>
    </row>
    <row r="191" spans="1:26">
      <c r="A191" s="541"/>
      <c r="B191" s="541"/>
      <c r="C191" s="541"/>
      <c r="D191" s="541"/>
      <c r="E191" s="541"/>
      <c r="F191" s="541"/>
      <c r="G191" s="721"/>
      <c r="H191" s="541"/>
      <c r="I191" s="541"/>
      <c r="J191" s="721"/>
      <c r="K191" s="541"/>
      <c r="L191" s="541"/>
      <c r="M191" s="541"/>
      <c r="N191" s="541"/>
      <c r="O191" s="541"/>
      <c r="P191" s="541"/>
      <c r="Q191" s="541"/>
      <c r="R191" s="541"/>
      <c r="S191" s="541"/>
      <c r="T191" s="541"/>
      <c r="U191" s="541"/>
      <c r="V191" s="541"/>
      <c r="W191" s="541"/>
      <c r="X191" s="541"/>
      <c r="Y191" s="541"/>
      <c r="Z191" s="541"/>
    </row>
    <row r="192" spans="1:26">
      <c r="A192" s="541"/>
      <c r="B192" s="541"/>
      <c r="C192" s="541"/>
      <c r="D192" s="541"/>
      <c r="E192" s="541"/>
      <c r="F192" s="541"/>
      <c r="G192" s="721"/>
      <c r="H192" s="541"/>
      <c r="I192" s="541"/>
      <c r="J192" s="721"/>
      <c r="K192" s="541"/>
      <c r="L192" s="541"/>
      <c r="M192" s="541"/>
      <c r="N192" s="541"/>
      <c r="O192" s="541"/>
      <c r="P192" s="541"/>
      <c r="Q192" s="541"/>
      <c r="R192" s="541"/>
      <c r="S192" s="541"/>
      <c r="T192" s="541"/>
      <c r="U192" s="541"/>
      <c r="V192" s="541"/>
      <c r="W192" s="541"/>
      <c r="X192" s="541"/>
      <c r="Y192" s="541"/>
      <c r="Z192" s="541"/>
    </row>
    <row r="193" spans="1:26">
      <c r="A193" s="541"/>
      <c r="B193" s="541"/>
      <c r="C193" s="541"/>
      <c r="D193" s="541"/>
      <c r="E193" s="541"/>
      <c r="F193" s="541"/>
      <c r="G193" s="721"/>
      <c r="H193" s="541"/>
      <c r="I193" s="541"/>
      <c r="J193" s="721"/>
      <c r="K193" s="541"/>
      <c r="L193" s="541"/>
      <c r="M193" s="541"/>
      <c r="N193" s="541"/>
      <c r="O193" s="541"/>
      <c r="P193" s="541"/>
      <c r="Q193" s="541"/>
      <c r="R193" s="541"/>
      <c r="S193" s="541"/>
      <c r="T193" s="541"/>
      <c r="U193" s="541"/>
      <c r="V193" s="541"/>
      <c r="W193" s="541"/>
      <c r="X193" s="541"/>
      <c r="Y193" s="541"/>
      <c r="Z193" s="541"/>
    </row>
    <row r="194" spans="1:26">
      <c r="A194" s="541"/>
      <c r="B194" s="541"/>
      <c r="C194" s="541"/>
      <c r="D194" s="541"/>
      <c r="E194" s="541"/>
      <c r="F194" s="541"/>
      <c r="G194" s="721"/>
      <c r="H194" s="541"/>
      <c r="I194" s="541"/>
      <c r="J194" s="721"/>
      <c r="K194" s="541"/>
      <c r="L194" s="541"/>
      <c r="M194" s="541"/>
      <c r="N194" s="541"/>
      <c r="O194" s="541"/>
      <c r="P194" s="541"/>
      <c r="Q194" s="541"/>
      <c r="R194" s="541"/>
      <c r="S194" s="541"/>
      <c r="T194" s="541"/>
      <c r="U194" s="541"/>
      <c r="V194" s="541"/>
      <c r="W194" s="541"/>
      <c r="X194" s="541"/>
      <c r="Y194" s="541"/>
      <c r="Z194" s="541"/>
    </row>
    <row r="195" spans="1:26">
      <c r="A195" s="541"/>
      <c r="B195" s="541"/>
      <c r="C195" s="541"/>
      <c r="D195" s="541"/>
      <c r="E195" s="541"/>
      <c r="F195" s="541"/>
      <c r="G195" s="721"/>
      <c r="H195" s="541"/>
      <c r="I195" s="541"/>
      <c r="J195" s="721"/>
      <c r="K195" s="541"/>
      <c r="L195" s="541"/>
      <c r="M195" s="541"/>
      <c r="N195" s="541"/>
      <c r="O195" s="541"/>
      <c r="P195" s="541"/>
      <c r="Q195" s="541"/>
      <c r="R195" s="541"/>
      <c r="S195" s="541"/>
      <c r="T195" s="541"/>
      <c r="U195" s="541"/>
      <c r="V195" s="541"/>
      <c r="W195" s="541"/>
      <c r="X195" s="541"/>
      <c r="Y195" s="541"/>
      <c r="Z195" s="541"/>
    </row>
    <row r="196" spans="1:26">
      <c r="A196" s="541"/>
      <c r="B196" s="541"/>
      <c r="C196" s="541"/>
      <c r="D196" s="541"/>
      <c r="E196" s="541"/>
      <c r="F196" s="541"/>
      <c r="G196" s="721"/>
      <c r="H196" s="541"/>
      <c r="I196" s="541"/>
      <c r="J196" s="721"/>
      <c r="K196" s="541"/>
      <c r="L196" s="541"/>
      <c r="M196" s="541"/>
      <c r="N196" s="541"/>
      <c r="O196" s="541"/>
      <c r="P196" s="541"/>
      <c r="Q196" s="541"/>
      <c r="R196" s="541"/>
      <c r="S196" s="541"/>
      <c r="T196" s="541"/>
      <c r="U196" s="541"/>
      <c r="V196" s="541"/>
      <c r="W196" s="541"/>
      <c r="X196" s="541"/>
      <c r="Y196" s="541"/>
      <c r="Z196" s="541"/>
    </row>
    <row r="197" spans="1:26">
      <c r="A197" s="541"/>
      <c r="B197" s="541"/>
      <c r="C197" s="541"/>
      <c r="D197" s="541"/>
      <c r="E197" s="541"/>
      <c r="F197" s="541"/>
      <c r="G197" s="721"/>
      <c r="H197" s="541"/>
      <c r="I197" s="541"/>
      <c r="J197" s="721"/>
      <c r="K197" s="541"/>
      <c r="L197" s="541"/>
      <c r="M197" s="541"/>
      <c r="N197" s="541"/>
      <c r="O197" s="541"/>
      <c r="P197" s="541"/>
      <c r="Q197" s="541"/>
      <c r="R197" s="541"/>
      <c r="S197" s="541"/>
      <c r="T197" s="541"/>
      <c r="U197" s="541"/>
      <c r="V197" s="541"/>
      <c r="W197" s="541"/>
      <c r="X197" s="541"/>
      <c r="Y197" s="541"/>
      <c r="Z197" s="541"/>
    </row>
    <row r="198" spans="1:26">
      <c r="A198" s="541"/>
      <c r="B198" s="541"/>
      <c r="C198" s="541"/>
      <c r="D198" s="541"/>
      <c r="E198" s="541"/>
      <c r="F198" s="541"/>
      <c r="G198" s="721"/>
      <c r="H198" s="541"/>
      <c r="I198" s="541"/>
      <c r="J198" s="721"/>
      <c r="K198" s="541"/>
      <c r="L198" s="541"/>
      <c r="M198" s="541"/>
      <c r="N198" s="541"/>
      <c r="O198" s="541"/>
      <c r="P198" s="541"/>
      <c r="Q198" s="541"/>
      <c r="R198" s="541"/>
      <c r="S198" s="541"/>
      <c r="T198" s="541"/>
      <c r="U198" s="541"/>
      <c r="V198" s="541"/>
      <c r="W198" s="541"/>
      <c r="X198" s="541"/>
      <c r="Y198" s="541"/>
      <c r="Z198" s="541"/>
    </row>
    <row r="199" spans="1:26">
      <c r="A199" s="541"/>
      <c r="B199" s="541"/>
      <c r="C199" s="541"/>
      <c r="D199" s="541"/>
      <c r="E199" s="541"/>
      <c r="F199" s="541"/>
      <c r="G199" s="721"/>
      <c r="H199" s="541"/>
      <c r="I199" s="541"/>
      <c r="J199" s="721"/>
      <c r="K199" s="541"/>
      <c r="L199" s="541"/>
      <c r="M199" s="541"/>
      <c r="N199" s="541"/>
      <c r="O199" s="541"/>
      <c r="P199" s="541"/>
      <c r="Q199" s="541"/>
      <c r="R199" s="541"/>
      <c r="S199" s="541"/>
      <c r="T199" s="541"/>
      <c r="U199" s="541"/>
      <c r="V199" s="541"/>
      <c r="W199" s="541"/>
      <c r="X199" s="541"/>
      <c r="Y199" s="541"/>
      <c r="Z199" s="541"/>
    </row>
    <row r="200" spans="1:26">
      <c r="A200" s="541"/>
      <c r="B200" s="541"/>
      <c r="C200" s="541"/>
      <c r="D200" s="541"/>
      <c r="E200" s="541"/>
      <c r="F200" s="541"/>
      <c r="G200" s="721"/>
      <c r="H200" s="541"/>
      <c r="I200" s="541"/>
      <c r="J200" s="721"/>
      <c r="K200" s="541"/>
      <c r="L200" s="541"/>
      <c r="M200" s="541"/>
      <c r="N200" s="541"/>
      <c r="O200" s="541"/>
      <c r="P200" s="541"/>
      <c r="Q200" s="541"/>
      <c r="R200" s="541"/>
      <c r="S200" s="541"/>
      <c r="T200" s="541"/>
      <c r="U200" s="541"/>
      <c r="V200" s="541"/>
      <c r="W200" s="541"/>
      <c r="X200" s="541"/>
      <c r="Y200" s="541"/>
      <c r="Z200" s="541"/>
    </row>
    <row r="201" spans="1:26">
      <c r="A201" s="541"/>
      <c r="B201" s="541"/>
      <c r="C201" s="541"/>
      <c r="D201" s="541"/>
      <c r="E201" s="541"/>
      <c r="F201" s="541"/>
      <c r="G201" s="721"/>
      <c r="H201" s="541"/>
      <c r="I201" s="541"/>
      <c r="J201" s="721"/>
      <c r="K201" s="541"/>
      <c r="L201" s="541"/>
      <c r="M201" s="541"/>
      <c r="N201" s="541"/>
      <c r="O201" s="541"/>
      <c r="P201" s="541"/>
      <c r="Q201" s="541"/>
      <c r="R201" s="541"/>
      <c r="S201" s="541"/>
      <c r="T201" s="541"/>
      <c r="U201" s="541"/>
      <c r="V201" s="541"/>
      <c r="W201" s="541"/>
      <c r="X201" s="541"/>
      <c r="Y201" s="541"/>
      <c r="Z201" s="541"/>
    </row>
    <row r="202" spans="1:26">
      <c r="A202" s="541"/>
      <c r="B202" s="541"/>
      <c r="C202" s="541"/>
      <c r="D202" s="541"/>
      <c r="E202" s="541"/>
      <c r="F202" s="541"/>
      <c r="G202" s="721"/>
      <c r="H202" s="541"/>
      <c r="I202" s="541"/>
      <c r="J202" s="721"/>
      <c r="K202" s="541"/>
      <c r="L202" s="541"/>
      <c r="M202" s="541"/>
      <c r="N202" s="541"/>
      <c r="O202" s="541"/>
      <c r="P202" s="541"/>
      <c r="Q202" s="541"/>
      <c r="R202" s="541"/>
      <c r="S202" s="541"/>
      <c r="T202" s="541"/>
      <c r="U202" s="541"/>
      <c r="V202" s="541"/>
      <c r="W202" s="541"/>
      <c r="X202" s="541"/>
      <c r="Y202" s="541"/>
      <c r="Z202" s="541"/>
    </row>
    <row r="203" spans="1:26">
      <c r="A203" s="541"/>
      <c r="B203" s="541"/>
      <c r="C203" s="541"/>
      <c r="D203" s="541"/>
      <c r="E203" s="541"/>
      <c r="F203" s="541"/>
      <c r="G203" s="721"/>
      <c r="H203" s="541"/>
      <c r="I203" s="541"/>
      <c r="J203" s="721"/>
      <c r="K203" s="541"/>
      <c r="L203" s="541"/>
      <c r="M203" s="541"/>
      <c r="N203" s="541"/>
      <c r="O203" s="541"/>
      <c r="P203" s="541"/>
      <c r="Q203" s="541"/>
      <c r="R203" s="541"/>
      <c r="S203" s="541"/>
      <c r="T203" s="541"/>
      <c r="U203" s="541"/>
      <c r="V203" s="541"/>
      <c r="W203" s="541"/>
      <c r="X203" s="541"/>
      <c r="Y203" s="541"/>
      <c r="Z203" s="541"/>
    </row>
    <row r="204" spans="1:26">
      <c r="A204" s="541"/>
      <c r="B204" s="541"/>
      <c r="C204" s="541"/>
      <c r="D204" s="541"/>
      <c r="E204" s="541"/>
      <c r="F204" s="541"/>
      <c r="G204" s="721"/>
      <c r="H204" s="541"/>
      <c r="I204" s="541"/>
      <c r="J204" s="721"/>
      <c r="K204" s="541"/>
      <c r="L204" s="541"/>
      <c r="M204" s="541"/>
      <c r="N204" s="541"/>
      <c r="O204" s="541"/>
      <c r="P204" s="541"/>
      <c r="Q204" s="541"/>
      <c r="R204" s="541"/>
      <c r="S204" s="541"/>
      <c r="T204" s="541"/>
      <c r="U204" s="541"/>
      <c r="V204" s="541"/>
      <c r="W204" s="541"/>
      <c r="X204" s="541"/>
      <c r="Y204" s="541"/>
      <c r="Z204" s="541"/>
    </row>
    <row r="205" spans="1:26">
      <c r="A205" s="541"/>
      <c r="B205" s="541"/>
      <c r="C205" s="541"/>
      <c r="D205" s="541"/>
      <c r="E205" s="541"/>
      <c r="F205" s="541"/>
      <c r="G205" s="721"/>
      <c r="H205" s="541"/>
      <c r="I205" s="541"/>
      <c r="J205" s="721"/>
      <c r="K205" s="541"/>
      <c r="L205" s="541"/>
      <c r="M205" s="541"/>
      <c r="N205" s="541"/>
      <c r="O205" s="541"/>
      <c r="P205" s="541"/>
      <c r="Q205" s="541"/>
      <c r="R205" s="541"/>
      <c r="S205" s="541"/>
      <c r="T205" s="541"/>
      <c r="U205" s="541"/>
      <c r="V205" s="541"/>
      <c r="W205" s="541"/>
      <c r="X205" s="541"/>
      <c r="Y205" s="541"/>
      <c r="Z205" s="541"/>
    </row>
    <row r="206" spans="1:26">
      <c r="A206" s="541"/>
      <c r="B206" s="541"/>
      <c r="C206" s="541"/>
      <c r="D206" s="541"/>
      <c r="E206" s="541"/>
      <c r="F206" s="541"/>
      <c r="G206" s="721"/>
      <c r="H206" s="541"/>
      <c r="I206" s="541"/>
      <c r="J206" s="721"/>
      <c r="K206" s="541"/>
      <c r="L206" s="541"/>
      <c r="M206" s="541"/>
      <c r="N206" s="541"/>
      <c r="O206" s="541"/>
      <c r="P206" s="541"/>
      <c r="Q206" s="541"/>
      <c r="R206" s="541"/>
      <c r="S206" s="541"/>
      <c r="T206" s="541"/>
      <c r="U206" s="541"/>
      <c r="V206" s="541"/>
      <c r="W206" s="541"/>
      <c r="X206" s="541"/>
      <c r="Y206" s="541"/>
      <c r="Z206" s="541"/>
    </row>
    <row r="207" spans="1:26">
      <c r="A207" s="541"/>
      <c r="B207" s="541"/>
      <c r="C207" s="541"/>
      <c r="D207" s="541"/>
      <c r="E207" s="541"/>
      <c r="F207" s="541"/>
      <c r="G207" s="721"/>
      <c r="H207" s="541"/>
      <c r="I207" s="541"/>
      <c r="J207" s="721"/>
      <c r="K207" s="541"/>
      <c r="L207" s="541"/>
      <c r="M207" s="541"/>
      <c r="N207" s="541"/>
      <c r="O207" s="541"/>
      <c r="P207" s="541"/>
      <c r="Q207" s="541"/>
      <c r="R207" s="541"/>
      <c r="S207" s="541"/>
      <c r="T207" s="541"/>
      <c r="U207" s="541"/>
      <c r="V207" s="541"/>
      <c r="W207" s="541"/>
      <c r="X207" s="541"/>
      <c r="Y207" s="541"/>
      <c r="Z207" s="541"/>
    </row>
    <row r="208" spans="1:26">
      <c r="A208" s="541"/>
      <c r="B208" s="541"/>
      <c r="C208" s="541"/>
      <c r="D208" s="541"/>
      <c r="E208" s="541"/>
      <c r="F208" s="541"/>
      <c r="G208" s="721"/>
      <c r="H208" s="541"/>
      <c r="I208" s="541"/>
      <c r="J208" s="721"/>
      <c r="K208" s="541"/>
      <c r="L208" s="541"/>
      <c r="M208" s="541"/>
      <c r="N208" s="541"/>
      <c r="O208" s="541"/>
      <c r="P208" s="541"/>
      <c r="Q208" s="541"/>
      <c r="R208" s="541"/>
      <c r="S208" s="541"/>
      <c r="T208" s="541"/>
      <c r="U208" s="541"/>
      <c r="V208" s="541"/>
      <c r="W208" s="541"/>
      <c r="X208" s="541"/>
      <c r="Y208" s="541"/>
      <c r="Z208" s="541"/>
    </row>
    <row r="209" spans="1:26">
      <c r="A209" s="541"/>
      <c r="B209" s="541"/>
      <c r="C209" s="541"/>
      <c r="D209" s="541"/>
      <c r="E209" s="541"/>
      <c r="F209" s="541"/>
      <c r="G209" s="721"/>
      <c r="H209" s="541"/>
      <c r="I209" s="541"/>
      <c r="J209" s="721"/>
      <c r="K209" s="541"/>
      <c r="L209" s="541"/>
      <c r="M209" s="541"/>
      <c r="N209" s="541"/>
      <c r="O209" s="541"/>
      <c r="P209" s="541"/>
      <c r="Q209" s="541"/>
      <c r="R209" s="541"/>
      <c r="S209" s="541"/>
      <c r="T209" s="541"/>
      <c r="U209" s="541"/>
      <c r="V209" s="541"/>
      <c r="W209" s="541"/>
      <c r="X209" s="541"/>
      <c r="Y209" s="541"/>
      <c r="Z209" s="541"/>
    </row>
    <row r="210" spans="1:26">
      <c r="A210" s="541"/>
      <c r="B210" s="541"/>
      <c r="C210" s="541"/>
      <c r="D210" s="541"/>
      <c r="E210" s="541"/>
      <c r="F210" s="541"/>
      <c r="G210" s="721"/>
      <c r="H210" s="541"/>
      <c r="I210" s="541"/>
      <c r="J210" s="721"/>
      <c r="K210" s="541"/>
      <c r="L210" s="541"/>
      <c r="M210" s="541"/>
      <c r="N210" s="541"/>
      <c r="O210" s="541"/>
      <c r="P210" s="541"/>
      <c r="Q210" s="541"/>
      <c r="R210" s="541"/>
      <c r="S210" s="541"/>
      <c r="T210" s="541"/>
      <c r="U210" s="541"/>
      <c r="V210" s="541"/>
      <c r="W210" s="541"/>
      <c r="X210" s="541"/>
      <c r="Y210" s="541"/>
      <c r="Z210" s="541"/>
    </row>
    <row r="211" spans="1:26">
      <c r="A211" s="541"/>
      <c r="B211" s="541"/>
      <c r="C211" s="541"/>
      <c r="D211" s="541"/>
      <c r="E211" s="541"/>
      <c r="F211" s="541"/>
      <c r="G211" s="721"/>
      <c r="H211" s="541"/>
      <c r="I211" s="541"/>
      <c r="J211" s="721"/>
      <c r="K211" s="541"/>
      <c r="L211" s="541"/>
      <c r="M211" s="541"/>
      <c r="N211" s="541"/>
      <c r="O211" s="541"/>
      <c r="P211" s="541"/>
      <c r="Q211" s="541"/>
      <c r="R211" s="541"/>
      <c r="S211" s="541"/>
      <c r="T211" s="541"/>
      <c r="U211" s="541"/>
      <c r="V211" s="541"/>
      <c r="W211" s="541"/>
      <c r="X211" s="541"/>
      <c r="Y211" s="541"/>
      <c r="Z211" s="541"/>
    </row>
    <row r="212" spans="1:26">
      <c r="A212" s="541"/>
      <c r="B212" s="541"/>
      <c r="C212" s="541"/>
      <c r="D212" s="541"/>
      <c r="E212" s="541"/>
      <c r="F212" s="541"/>
      <c r="G212" s="721"/>
      <c r="H212" s="541"/>
      <c r="I212" s="541"/>
      <c r="J212" s="721"/>
      <c r="K212" s="541"/>
      <c r="L212" s="541"/>
      <c r="M212" s="541"/>
      <c r="N212" s="541"/>
      <c r="O212" s="541"/>
      <c r="P212" s="541"/>
      <c r="Q212" s="541"/>
      <c r="R212" s="541"/>
      <c r="S212" s="541"/>
      <c r="T212" s="541"/>
      <c r="U212" s="541"/>
      <c r="V212" s="541"/>
      <c r="W212" s="541"/>
      <c r="X212" s="541"/>
      <c r="Y212" s="541"/>
      <c r="Z212" s="541"/>
    </row>
    <row r="213" spans="1:26">
      <c r="A213" s="541"/>
      <c r="B213" s="541"/>
      <c r="C213" s="541"/>
      <c r="D213" s="541"/>
      <c r="E213" s="541"/>
      <c r="F213" s="541"/>
      <c r="G213" s="721"/>
      <c r="H213" s="541"/>
      <c r="I213" s="541"/>
      <c r="J213" s="721"/>
      <c r="K213" s="541"/>
      <c r="L213" s="541"/>
      <c r="M213" s="541"/>
      <c r="N213" s="541"/>
      <c r="O213" s="541"/>
      <c r="P213" s="541"/>
      <c r="Q213" s="541"/>
      <c r="R213" s="541"/>
      <c r="S213" s="541"/>
      <c r="T213" s="541"/>
      <c r="U213" s="541"/>
      <c r="V213" s="541"/>
      <c r="W213" s="541"/>
      <c r="X213" s="541"/>
      <c r="Y213" s="541"/>
      <c r="Z213" s="541"/>
    </row>
    <row r="214" spans="1:26">
      <c r="A214" s="541"/>
      <c r="B214" s="541"/>
      <c r="C214" s="541"/>
      <c r="D214" s="541"/>
      <c r="E214" s="541"/>
      <c r="F214" s="541"/>
      <c r="G214" s="721"/>
      <c r="H214" s="541"/>
      <c r="I214" s="541"/>
      <c r="J214" s="721"/>
      <c r="K214" s="541"/>
      <c r="L214" s="541"/>
      <c r="M214" s="541"/>
      <c r="N214" s="541"/>
      <c r="O214" s="541"/>
      <c r="P214" s="541"/>
      <c r="Q214" s="541"/>
      <c r="R214" s="541"/>
      <c r="S214" s="541"/>
      <c r="T214" s="541"/>
      <c r="U214" s="541"/>
      <c r="V214" s="541"/>
      <c r="W214" s="541"/>
      <c r="X214" s="541"/>
      <c r="Y214" s="541"/>
      <c r="Z214" s="541"/>
    </row>
    <row r="215" spans="1:26">
      <c r="A215" s="541"/>
      <c r="B215" s="541"/>
      <c r="C215" s="541"/>
      <c r="D215" s="541"/>
      <c r="E215" s="541"/>
      <c r="F215" s="541"/>
      <c r="G215" s="721"/>
      <c r="H215" s="541"/>
      <c r="I215" s="541"/>
      <c r="J215" s="721"/>
      <c r="K215" s="541"/>
      <c r="L215" s="541"/>
      <c r="M215" s="541"/>
      <c r="N215" s="541"/>
      <c r="O215" s="541"/>
      <c r="P215" s="541"/>
      <c r="Q215" s="541"/>
      <c r="R215" s="541"/>
      <c r="S215" s="541"/>
      <c r="T215" s="541"/>
      <c r="U215" s="541"/>
      <c r="V215" s="541"/>
      <c r="W215" s="541"/>
      <c r="X215" s="541"/>
      <c r="Y215" s="541"/>
      <c r="Z215" s="541"/>
    </row>
    <row r="216" spans="1:26">
      <c r="A216" s="541"/>
      <c r="B216" s="541"/>
      <c r="C216" s="541"/>
      <c r="D216" s="541"/>
      <c r="E216" s="541"/>
      <c r="F216" s="541"/>
      <c r="G216" s="721"/>
      <c r="H216" s="541"/>
      <c r="I216" s="541"/>
      <c r="J216" s="721"/>
      <c r="K216" s="541"/>
      <c r="L216" s="541"/>
      <c r="M216" s="541"/>
      <c r="N216" s="541"/>
      <c r="O216" s="541"/>
      <c r="P216" s="541"/>
      <c r="Q216" s="541"/>
      <c r="R216" s="541"/>
      <c r="S216" s="541"/>
      <c r="T216" s="541"/>
      <c r="U216" s="541"/>
      <c r="V216" s="541"/>
      <c r="W216" s="541"/>
      <c r="X216" s="541"/>
      <c r="Y216" s="541"/>
      <c r="Z216" s="541"/>
    </row>
    <row r="217" spans="1:26">
      <c r="A217" s="541"/>
      <c r="B217" s="541"/>
      <c r="C217" s="541"/>
      <c r="D217" s="541"/>
      <c r="E217" s="541"/>
      <c r="F217" s="541"/>
      <c r="G217" s="721"/>
      <c r="H217" s="541"/>
      <c r="I217" s="541"/>
      <c r="J217" s="721"/>
      <c r="K217" s="541"/>
      <c r="L217" s="541"/>
      <c r="M217" s="541"/>
      <c r="N217" s="541"/>
      <c r="O217" s="541"/>
      <c r="P217" s="541"/>
      <c r="Q217" s="541"/>
      <c r="R217" s="541"/>
      <c r="S217" s="541"/>
      <c r="T217" s="541"/>
      <c r="U217" s="541"/>
      <c r="V217" s="541"/>
      <c r="W217" s="541"/>
      <c r="X217" s="541"/>
      <c r="Y217" s="541"/>
      <c r="Z217" s="541"/>
    </row>
    <row r="218" spans="1:26">
      <c r="A218" s="541"/>
      <c r="B218" s="541"/>
      <c r="C218" s="541"/>
      <c r="D218" s="541"/>
      <c r="E218" s="541"/>
      <c r="F218" s="541"/>
      <c r="G218" s="721"/>
      <c r="H218" s="541"/>
      <c r="I218" s="541"/>
      <c r="J218" s="721"/>
      <c r="K218" s="541"/>
      <c r="L218" s="541"/>
      <c r="M218" s="541"/>
      <c r="N218" s="541"/>
      <c r="O218" s="541"/>
      <c r="P218" s="541"/>
      <c r="Q218" s="541"/>
      <c r="R218" s="541"/>
      <c r="S218" s="541"/>
      <c r="T218" s="541"/>
      <c r="U218" s="541"/>
      <c r="V218" s="541"/>
      <c r="W218" s="541"/>
      <c r="X218" s="541"/>
      <c r="Y218" s="541"/>
      <c r="Z218" s="541"/>
    </row>
    <row r="219" spans="1:26">
      <c r="A219" s="541"/>
      <c r="B219" s="541"/>
      <c r="C219" s="541"/>
      <c r="D219" s="541"/>
      <c r="E219" s="541"/>
      <c r="F219" s="541"/>
      <c r="G219" s="721"/>
      <c r="H219" s="541"/>
      <c r="I219" s="541"/>
      <c r="J219" s="721"/>
      <c r="K219" s="541"/>
      <c r="L219" s="541"/>
      <c r="M219" s="541"/>
      <c r="N219" s="541"/>
      <c r="O219" s="541"/>
      <c r="P219" s="541"/>
      <c r="Q219" s="541"/>
      <c r="R219" s="541"/>
      <c r="S219" s="541"/>
      <c r="T219" s="541"/>
      <c r="U219" s="541"/>
      <c r="V219" s="541"/>
      <c r="W219" s="541"/>
      <c r="X219" s="541"/>
      <c r="Y219" s="541"/>
      <c r="Z219" s="541"/>
    </row>
    <row r="220" spans="1:26">
      <c r="A220" s="541"/>
      <c r="B220" s="541"/>
      <c r="C220" s="541"/>
      <c r="D220" s="541"/>
      <c r="E220" s="541"/>
      <c r="F220" s="541"/>
      <c r="G220" s="721"/>
      <c r="H220" s="541"/>
      <c r="I220" s="541"/>
      <c r="J220" s="721"/>
      <c r="K220" s="541"/>
      <c r="L220" s="541"/>
      <c r="M220" s="541"/>
      <c r="N220" s="541"/>
      <c r="O220" s="541"/>
      <c r="P220" s="541"/>
      <c r="Q220" s="541"/>
      <c r="R220" s="541"/>
      <c r="S220" s="541"/>
      <c r="T220" s="541"/>
      <c r="U220" s="541"/>
      <c r="V220" s="541"/>
      <c r="W220" s="541"/>
      <c r="X220" s="541"/>
      <c r="Y220" s="541"/>
      <c r="Z220" s="541"/>
    </row>
    <row r="221" spans="1:26">
      <c r="A221" s="541"/>
      <c r="B221" s="541"/>
      <c r="C221" s="541"/>
      <c r="D221" s="541"/>
      <c r="E221" s="541"/>
      <c r="F221" s="541"/>
      <c r="G221" s="721"/>
      <c r="H221" s="541"/>
      <c r="I221" s="541"/>
      <c r="J221" s="721"/>
      <c r="K221" s="541"/>
      <c r="L221" s="541"/>
      <c r="M221" s="541"/>
      <c r="N221" s="541"/>
      <c r="O221" s="541"/>
      <c r="P221" s="541"/>
      <c r="Q221" s="541"/>
      <c r="R221" s="541"/>
      <c r="S221" s="541"/>
      <c r="T221" s="541"/>
      <c r="U221" s="541"/>
      <c r="V221" s="541"/>
      <c r="W221" s="541"/>
      <c r="X221" s="541"/>
      <c r="Y221" s="541"/>
      <c r="Z221" s="541"/>
    </row>
    <row r="222" spans="1:26">
      <c r="A222" s="541"/>
      <c r="B222" s="541"/>
      <c r="C222" s="541"/>
      <c r="D222" s="541"/>
      <c r="E222" s="541"/>
      <c r="F222" s="541"/>
      <c r="G222" s="721"/>
      <c r="H222" s="541"/>
      <c r="I222" s="541"/>
      <c r="J222" s="721"/>
      <c r="K222" s="541"/>
      <c r="L222" s="541"/>
      <c r="M222" s="541"/>
      <c r="N222" s="541"/>
      <c r="O222" s="541"/>
      <c r="P222" s="541"/>
      <c r="Q222" s="541"/>
      <c r="R222" s="541"/>
      <c r="S222" s="541"/>
      <c r="T222" s="541"/>
      <c r="U222" s="541"/>
      <c r="V222" s="541"/>
      <c r="W222" s="541"/>
      <c r="X222" s="541"/>
      <c r="Y222" s="541"/>
      <c r="Z222" s="541"/>
    </row>
    <row r="223" spans="1:26">
      <c r="A223" s="541"/>
      <c r="B223" s="541"/>
      <c r="C223" s="541"/>
      <c r="D223" s="541"/>
      <c r="E223" s="541"/>
      <c r="F223" s="541"/>
      <c r="G223" s="721"/>
      <c r="H223" s="541"/>
      <c r="I223" s="541"/>
      <c r="J223" s="721"/>
      <c r="K223" s="541"/>
      <c r="L223" s="541"/>
      <c r="M223" s="541"/>
      <c r="N223" s="541"/>
      <c r="O223" s="541"/>
      <c r="P223" s="541"/>
      <c r="Q223" s="541"/>
      <c r="R223" s="541"/>
      <c r="S223" s="541"/>
      <c r="T223" s="541"/>
      <c r="U223" s="541"/>
      <c r="V223" s="541"/>
      <c r="W223" s="541"/>
      <c r="X223" s="541"/>
      <c r="Y223" s="541"/>
      <c r="Z223" s="541"/>
    </row>
    <row r="224" spans="1:26">
      <c r="A224" s="541"/>
      <c r="B224" s="541"/>
      <c r="C224" s="541"/>
      <c r="D224" s="541"/>
      <c r="E224" s="541"/>
      <c r="F224" s="541"/>
      <c r="G224" s="721"/>
      <c r="H224" s="541"/>
      <c r="I224" s="541"/>
      <c r="J224" s="721"/>
      <c r="K224" s="541"/>
      <c r="L224" s="541"/>
      <c r="M224" s="541"/>
      <c r="N224" s="541"/>
      <c r="O224" s="541"/>
      <c r="P224" s="541"/>
      <c r="Q224" s="541"/>
      <c r="R224" s="541"/>
      <c r="S224" s="541"/>
      <c r="T224" s="541"/>
      <c r="U224" s="541"/>
      <c r="V224" s="541"/>
      <c r="W224" s="541"/>
      <c r="X224" s="541"/>
      <c r="Y224" s="541"/>
      <c r="Z224" s="541"/>
    </row>
    <row r="225" spans="1:26">
      <c r="A225" s="541"/>
      <c r="B225" s="541"/>
      <c r="C225" s="541"/>
      <c r="D225" s="541"/>
      <c r="E225" s="541"/>
      <c r="F225" s="541"/>
      <c r="G225" s="721"/>
      <c r="H225" s="541"/>
      <c r="I225" s="541"/>
      <c r="J225" s="721"/>
      <c r="K225" s="541"/>
      <c r="L225" s="541"/>
      <c r="M225" s="541"/>
      <c r="N225" s="541"/>
      <c r="O225" s="541"/>
      <c r="P225" s="541"/>
      <c r="Q225" s="541"/>
      <c r="R225" s="541"/>
      <c r="S225" s="541"/>
      <c r="T225" s="541"/>
      <c r="U225" s="541"/>
      <c r="V225" s="541"/>
      <c r="W225" s="541"/>
      <c r="X225" s="541"/>
      <c r="Y225" s="541"/>
      <c r="Z225" s="541"/>
    </row>
    <row r="226" spans="1:26">
      <c r="A226" s="541"/>
      <c r="B226" s="541"/>
      <c r="C226" s="541"/>
      <c r="D226" s="541"/>
      <c r="E226" s="541"/>
      <c r="F226" s="541"/>
      <c r="G226" s="721"/>
      <c r="H226" s="541"/>
      <c r="I226" s="541"/>
      <c r="J226" s="721"/>
      <c r="K226" s="541"/>
      <c r="L226" s="541"/>
      <c r="M226" s="541"/>
      <c r="N226" s="541"/>
      <c r="O226" s="541"/>
      <c r="P226" s="541"/>
      <c r="Q226" s="541"/>
      <c r="R226" s="541"/>
      <c r="S226" s="541"/>
      <c r="T226" s="541"/>
      <c r="U226" s="541"/>
      <c r="V226" s="541"/>
      <c r="W226" s="541"/>
      <c r="X226" s="541"/>
      <c r="Y226" s="541"/>
      <c r="Z226" s="541"/>
    </row>
    <row r="227" spans="1:26">
      <c r="A227" s="541"/>
      <c r="B227" s="541"/>
      <c r="C227" s="541"/>
      <c r="D227" s="541"/>
      <c r="E227" s="541"/>
      <c r="F227" s="541"/>
      <c r="G227" s="721"/>
      <c r="H227" s="541"/>
      <c r="I227" s="541"/>
      <c r="J227" s="721"/>
      <c r="K227" s="541"/>
      <c r="L227" s="541"/>
      <c r="M227" s="541"/>
      <c r="N227" s="541"/>
      <c r="O227" s="541"/>
      <c r="P227" s="541"/>
      <c r="Q227" s="541"/>
      <c r="R227" s="541"/>
      <c r="S227" s="541"/>
      <c r="T227" s="541"/>
      <c r="U227" s="541"/>
      <c r="V227" s="541"/>
      <c r="W227" s="541"/>
      <c r="X227" s="541"/>
      <c r="Y227" s="541"/>
      <c r="Z227" s="541"/>
    </row>
    <row r="228" spans="1:26">
      <c r="A228" s="541"/>
      <c r="B228" s="541"/>
      <c r="C228" s="541"/>
      <c r="D228" s="541"/>
      <c r="E228" s="541"/>
      <c r="F228" s="541"/>
      <c r="G228" s="721"/>
      <c r="H228" s="541"/>
      <c r="I228" s="541"/>
      <c r="J228" s="721"/>
      <c r="K228" s="541"/>
      <c r="L228" s="541"/>
      <c r="M228" s="541"/>
      <c r="N228" s="541"/>
      <c r="O228" s="541"/>
      <c r="P228" s="541"/>
      <c r="Q228" s="541"/>
      <c r="R228" s="541"/>
      <c r="S228" s="541"/>
      <c r="T228" s="541"/>
      <c r="U228" s="541"/>
      <c r="V228" s="541"/>
      <c r="W228" s="541"/>
      <c r="X228" s="541"/>
      <c r="Y228" s="541"/>
      <c r="Z228" s="541"/>
    </row>
    <row r="229" spans="1:26">
      <c r="A229" s="541"/>
      <c r="B229" s="541"/>
      <c r="C229" s="541"/>
      <c r="D229" s="541"/>
      <c r="E229" s="541"/>
      <c r="F229" s="541"/>
      <c r="G229" s="721"/>
      <c r="H229" s="541"/>
      <c r="I229" s="541"/>
      <c r="J229" s="721"/>
      <c r="K229" s="541"/>
      <c r="L229" s="541"/>
      <c r="M229" s="541"/>
      <c r="N229" s="541"/>
      <c r="O229" s="541"/>
      <c r="P229" s="541"/>
      <c r="Q229" s="541"/>
      <c r="R229" s="541"/>
      <c r="S229" s="541"/>
      <c r="T229" s="541"/>
      <c r="U229" s="541"/>
      <c r="V229" s="541"/>
      <c r="W229" s="541"/>
      <c r="X229" s="541"/>
      <c r="Y229" s="541"/>
      <c r="Z229" s="541"/>
    </row>
    <row r="230" spans="1:26">
      <c r="A230" s="541"/>
      <c r="B230" s="541"/>
      <c r="C230" s="541"/>
      <c r="D230" s="541"/>
      <c r="E230" s="541"/>
      <c r="F230" s="541"/>
      <c r="G230" s="721"/>
      <c r="H230" s="541"/>
      <c r="I230" s="541"/>
      <c r="J230" s="721"/>
      <c r="K230" s="541"/>
      <c r="L230" s="541"/>
      <c r="M230" s="541"/>
      <c r="N230" s="541"/>
      <c r="O230" s="541"/>
      <c r="P230" s="541"/>
      <c r="Q230" s="541"/>
      <c r="R230" s="541"/>
      <c r="S230" s="541"/>
      <c r="T230" s="541"/>
      <c r="U230" s="541"/>
      <c r="V230" s="541"/>
      <c r="W230" s="541"/>
      <c r="X230" s="541"/>
      <c r="Y230" s="541"/>
      <c r="Z230" s="541"/>
    </row>
    <row r="231" spans="1:26">
      <c r="A231" s="541"/>
      <c r="B231" s="541"/>
      <c r="C231" s="541"/>
      <c r="D231" s="541"/>
      <c r="E231" s="541"/>
      <c r="F231" s="541"/>
      <c r="G231" s="721"/>
      <c r="H231" s="541"/>
      <c r="I231" s="541"/>
      <c r="J231" s="721"/>
      <c r="K231" s="541"/>
      <c r="L231" s="541"/>
      <c r="M231" s="541"/>
      <c r="N231" s="541"/>
      <c r="O231" s="541"/>
      <c r="P231" s="541"/>
      <c r="Q231" s="541"/>
      <c r="R231" s="541"/>
      <c r="S231" s="541"/>
      <c r="T231" s="541"/>
      <c r="U231" s="541"/>
      <c r="V231" s="541"/>
      <c r="W231" s="541"/>
      <c r="X231" s="541"/>
      <c r="Y231" s="541"/>
      <c r="Z231" s="541"/>
    </row>
    <row r="232" spans="1:26">
      <c r="A232" s="541"/>
      <c r="B232" s="541"/>
      <c r="C232" s="541"/>
      <c r="D232" s="541"/>
      <c r="E232" s="541"/>
      <c r="F232" s="541"/>
      <c r="G232" s="721"/>
      <c r="H232" s="541"/>
      <c r="I232" s="541"/>
      <c r="J232" s="721"/>
      <c r="K232" s="541"/>
      <c r="L232" s="541"/>
      <c r="M232" s="541"/>
      <c r="N232" s="541"/>
      <c r="O232" s="541"/>
      <c r="P232" s="541"/>
      <c r="Q232" s="541"/>
      <c r="R232" s="541"/>
      <c r="S232" s="541"/>
      <c r="T232" s="541"/>
      <c r="U232" s="541"/>
      <c r="V232" s="541"/>
      <c r="W232" s="541"/>
      <c r="X232" s="541"/>
      <c r="Y232" s="541"/>
      <c r="Z232" s="541"/>
    </row>
    <row r="233" spans="1:26">
      <c r="A233" s="541"/>
      <c r="B233" s="541"/>
      <c r="C233" s="541"/>
      <c r="D233" s="541"/>
      <c r="E233" s="541"/>
      <c r="F233" s="541"/>
      <c r="G233" s="721"/>
      <c r="H233" s="541"/>
      <c r="I233" s="541"/>
      <c r="J233" s="721"/>
      <c r="K233" s="541"/>
      <c r="L233" s="541"/>
      <c r="M233" s="541"/>
      <c r="N233" s="541"/>
      <c r="O233" s="541"/>
      <c r="P233" s="541"/>
      <c r="Q233" s="541"/>
      <c r="R233" s="541"/>
      <c r="S233" s="541"/>
      <c r="T233" s="541"/>
      <c r="U233" s="541"/>
      <c r="V233" s="541"/>
      <c r="W233" s="541"/>
      <c r="X233" s="541"/>
      <c r="Y233" s="541"/>
      <c r="Z233" s="541"/>
    </row>
    <row r="234" spans="1:26">
      <c r="A234" s="541"/>
      <c r="B234" s="541"/>
      <c r="C234" s="541"/>
      <c r="D234" s="541"/>
      <c r="E234" s="541"/>
      <c r="F234" s="541"/>
      <c r="G234" s="721"/>
      <c r="H234" s="541"/>
      <c r="I234" s="541"/>
      <c r="J234" s="721"/>
      <c r="K234" s="541"/>
      <c r="L234" s="541"/>
      <c r="M234" s="541"/>
      <c r="N234" s="541"/>
      <c r="O234" s="541"/>
      <c r="P234" s="541"/>
      <c r="Q234" s="541"/>
      <c r="R234" s="541"/>
      <c r="S234" s="541"/>
      <c r="T234" s="541"/>
      <c r="U234" s="541"/>
      <c r="V234" s="541"/>
      <c r="W234" s="541"/>
      <c r="X234" s="541"/>
      <c r="Y234" s="541"/>
      <c r="Z234" s="541"/>
    </row>
    <row r="235" spans="1:26">
      <c r="A235" s="541"/>
      <c r="B235" s="541"/>
      <c r="C235" s="541"/>
      <c r="D235" s="541"/>
      <c r="E235" s="541"/>
      <c r="F235" s="541"/>
      <c r="G235" s="721"/>
      <c r="H235" s="541"/>
      <c r="I235" s="541"/>
      <c r="J235" s="721"/>
      <c r="K235" s="541"/>
      <c r="L235" s="541"/>
      <c r="M235" s="541"/>
      <c r="N235" s="541"/>
      <c r="O235" s="541"/>
      <c r="P235" s="541"/>
      <c r="Q235" s="541"/>
      <c r="R235" s="541"/>
      <c r="S235" s="541"/>
      <c r="T235" s="541"/>
      <c r="U235" s="541"/>
      <c r="V235" s="541"/>
      <c r="W235" s="541"/>
      <c r="X235" s="541"/>
      <c r="Y235" s="541"/>
      <c r="Z235" s="541"/>
    </row>
    <row r="236" spans="1:26">
      <c r="A236" s="541"/>
      <c r="B236" s="541"/>
      <c r="C236" s="541"/>
      <c r="D236" s="541"/>
      <c r="E236" s="541"/>
      <c r="F236" s="541"/>
      <c r="G236" s="721"/>
      <c r="H236" s="541"/>
      <c r="I236" s="541"/>
      <c r="J236" s="721"/>
      <c r="K236" s="541"/>
      <c r="L236" s="541"/>
      <c r="M236" s="541"/>
      <c r="N236" s="541"/>
      <c r="O236" s="541"/>
      <c r="P236" s="541"/>
      <c r="Q236" s="541"/>
      <c r="R236" s="541"/>
      <c r="S236" s="541"/>
      <c r="T236" s="541"/>
      <c r="U236" s="541"/>
      <c r="V236" s="541"/>
      <c r="W236" s="541"/>
      <c r="X236" s="541"/>
      <c r="Y236" s="541"/>
      <c r="Z236" s="541"/>
    </row>
    <row r="237" spans="1:26">
      <c r="A237" s="541"/>
      <c r="B237" s="541"/>
      <c r="C237" s="541"/>
      <c r="D237" s="541"/>
      <c r="E237" s="541"/>
      <c r="F237" s="541"/>
      <c r="G237" s="721"/>
      <c r="H237" s="541"/>
      <c r="I237" s="541"/>
      <c r="J237" s="721"/>
      <c r="K237" s="541"/>
      <c r="L237" s="541"/>
      <c r="M237" s="541"/>
      <c r="N237" s="541"/>
      <c r="O237" s="541"/>
      <c r="P237" s="541"/>
      <c r="Q237" s="541"/>
      <c r="R237" s="541"/>
      <c r="S237" s="541"/>
      <c r="T237" s="541"/>
      <c r="U237" s="541"/>
      <c r="V237" s="541"/>
      <c r="W237" s="541"/>
      <c r="X237" s="541"/>
      <c r="Y237" s="541"/>
      <c r="Z237" s="541"/>
    </row>
    <row r="238" spans="1:26">
      <c r="A238" s="541"/>
      <c r="B238" s="541"/>
      <c r="C238" s="541"/>
      <c r="D238" s="541"/>
      <c r="E238" s="541"/>
      <c r="F238" s="541"/>
      <c r="G238" s="721"/>
      <c r="H238" s="541"/>
      <c r="I238" s="541"/>
      <c r="J238" s="721"/>
      <c r="K238" s="541"/>
      <c r="L238" s="541"/>
      <c r="M238" s="541"/>
      <c r="N238" s="541"/>
      <c r="O238" s="541"/>
      <c r="P238" s="541"/>
      <c r="Q238" s="541"/>
      <c r="R238" s="541"/>
      <c r="S238" s="541"/>
      <c r="T238" s="541"/>
      <c r="U238" s="541"/>
      <c r="V238" s="541"/>
      <c r="W238" s="541"/>
      <c r="X238" s="541"/>
      <c r="Y238" s="541"/>
      <c r="Z238" s="541"/>
    </row>
    <row r="239" spans="1:26">
      <c r="A239" s="541"/>
      <c r="B239" s="541"/>
      <c r="C239" s="541"/>
      <c r="D239" s="541"/>
      <c r="E239" s="541"/>
      <c r="F239" s="541"/>
      <c r="G239" s="721"/>
      <c r="H239" s="541"/>
      <c r="I239" s="541"/>
      <c r="J239" s="721"/>
      <c r="K239" s="541"/>
      <c r="L239" s="541"/>
      <c r="M239" s="541"/>
      <c r="N239" s="541"/>
      <c r="O239" s="541"/>
      <c r="P239" s="541"/>
      <c r="Q239" s="541"/>
      <c r="R239" s="541"/>
      <c r="S239" s="541"/>
      <c r="T239" s="541"/>
      <c r="U239" s="541"/>
      <c r="V239" s="541"/>
      <c r="W239" s="541"/>
      <c r="X239" s="541"/>
      <c r="Y239" s="541"/>
      <c r="Z239" s="541"/>
    </row>
    <row r="240" spans="1:26">
      <c r="A240" s="541"/>
      <c r="B240" s="541"/>
      <c r="C240" s="541"/>
      <c r="D240" s="541"/>
      <c r="E240" s="541"/>
      <c r="F240" s="541"/>
      <c r="G240" s="721"/>
      <c r="H240" s="541"/>
      <c r="I240" s="541"/>
      <c r="J240" s="721"/>
      <c r="K240" s="541"/>
      <c r="L240" s="541"/>
      <c r="M240" s="541"/>
      <c r="N240" s="541"/>
      <c r="O240" s="541"/>
      <c r="P240" s="541"/>
      <c r="Q240" s="541"/>
      <c r="R240" s="541"/>
      <c r="S240" s="541"/>
      <c r="T240" s="541"/>
      <c r="U240" s="541"/>
      <c r="V240" s="541"/>
      <c r="W240" s="541"/>
      <c r="X240" s="541"/>
      <c r="Y240" s="541"/>
      <c r="Z240" s="541"/>
    </row>
    <row r="241" spans="1:26">
      <c r="A241" s="541"/>
      <c r="B241" s="541"/>
      <c r="C241" s="541"/>
      <c r="D241" s="541"/>
      <c r="E241" s="541"/>
      <c r="F241" s="541"/>
      <c r="G241" s="721"/>
      <c r="H241" s="541"/>
      <c r="I241" s="541"/>
      <c r="J241" s="721"/>
      <c r="K241" s="541"/>
      <c r="L241" s="541"/>
      <c r="M241" s="541"/>
      <c r="N241" s="541"/>
      <c r="O241" s="541"/>
      <c r="P241" s="541"/>
      <c r="Q241" s="541"/>
      <c r="R241" s="541"/>
      <c r="S241" s="541"/>
      <c r="T241" s="541"/>
      <c r="U241" s="541"/>
      <c r="V241" s="541"/>
      <c r="W241" s="541"/>
      <c r="X241" s="541"/>
      <c r="Y241" s="541"/>
      <c r="Z241" s="541"/>
    </row>
    <row r="242" spans="1:26">
      <c r="A242" s="541"/>
      <c r="B242" s="541"/>
      <c r="C242" s="541"/>
      <c r="D242" s="541"/>
      <c r="E242" s="541"/>
      <c r="F242" s="541"/>
      <c r="G242" s="721"/>
      <c r="H242" s="541"/>
      <c r="I242" s="541"/>
      <c r="J242" s="721"/>
      <c r="K242" s="541"/>
      <c r="L242" s="541"/>
      <c r="M242" s="541"/>
      <c r="N242" s="541"/>
      <c r="O242" s="541"/>
      <c r="P242" s="541"/>
      <c r="Q242" s="541"/>
      <c r="R242" s="541"/>
      <c r="S242" s="541"/>
      <c r="T242" s="541"/>
      <c r="U242" s="541"/>
      <c r="V242" s="541"/>
      <c r="W242" s="541"/>
      <c r="X242" s="541"/>
      <c r="Y242" s="541"/>
      <c r="Z242" s="541"/>
    </row>
    <row r="243" spans="1:26">
      <c r="A243" s="541"/>
      <c r="B243" s="541"/>
      <c r="C243" s="541"/>
      <c r="D243" s="541"/>
      <c r="E243" s="541"/>
      <c r="F243" s="541"/>
      <c r="G243" s="721"/>
      <c r="H243" s="541"/>
      <c r="I243" s="541"/>
      <c r="J243" s="721"/>
      <c r="K243" s="541"/>
      <c r="L243" s="541"/>
      <c r="M243" s="541"/>
      <c r="N243" s="541"/>
      <c r="O243" s="541"/>
      <c r="P243" s="541"/>
      <c r="Q243" s="541"/>
      <c r="R243" s="541"/>
      <c r="S243" s="541"/>
      <c r="T243" s="541"/>
      <c r="U243" s="541"/>
      <c r="V243" s="541"/>
      <c r="W243" s="541"/>
      <c r="X243" s="541"/>
      <c r="Y243" s="541"/>
      <c r="Z243" s="541"/>
    </row>
    <row r="244" spans="1:26">
      <c r="A244" s="541"/>
      <c r="B244" s="541"/>
      <c r="C244" s="541"/>
      <c r="D244" s="541"/>
      <c r="E244" s="541"/>
      <c r="F244" s="541"/>
      <c r="G244" s="721"/>
      <c r="H244" s="541"/>
      <c r="I244" s="541"/>
      <c r="J244" s="721"/>
      <c r="K244" s="541"/>
      <c r="L244" s="541"/>
      <c r="M244" s="541"/>
      <c r="N244" s="541"/>
      <c r="O244" s="541"/>
      <c r="P244" s="541"/>
      <c r="Q244" s="541"/>
      <c r="R244" s="541"/>
      <c r="S244" s="541"/>
      <c r="T244" s="541"/>
      <c r="U244" s="541"/>
      <c r="V244" s="541"/>
      <c r="W244" s="541"/>
      <c r="X244" s="541"/>
      <c r="Y244" s="541"/>
      <c r="Z244" s="541"/>
    </row>
    <row r="245" spans="1:26">
      <c r="A245" s="541"/>
      <c r="B245" s="541"/>
      <c r="C245" s="541"/>
      <c r="D245" s="541"/>
      <c r="E245" s="541"/>
      <c r="F245" s="541"/>
      <c r="G245" s="721"/>
      <c r="H245" s="541"/>
      <c r="I245" s="541"/>
      <c r="J245" s="721"/>
      <c r="K245" s="541"/>
      <c r="L245" s="541"/>
      <c r="M245" s="541"/>
      <c r="N245" s="541"/>
      <c r="O245" s="541"/>
      <c r="P245" s="541"/>
      <c r="Q245" s="541"/>
      <c r="R245" s="541"/>
      <c r="S245" s="541"/>
      <c r="T245" s="541"/>
      <c r="U245" s="541"/>
      <c r="V245" s="541"/>
      <c r="W245" s="541"/>
      <c r="X245" s="541"/>
      <c r="Y245" s="541"/>
      <c r="Z245" s="541"/>
    </row>
    <row r="246" spans="1:26">
      <c r="A246" s="541"/>
      <c r="B246" s="541"/>
      <c r="C246" s="541"/>
      <c r="D246" s="541"/>
      <c r="E246" s="541"/>
      <c r="F246" s="541"/>
      <c r="G246" s="721"/>
      <c r="H246" s="541"/>
      <c r="I246" s="541"/>
      <c r="J246" s="721"/>
      <c r="K246" s="541"/>
      <c r="L246" s="541"/>
      <c r="M246" s="541"/>
      <c r="N246" s="541"/>
      <c r="O246" s="541"/>
      <c r="P246" s="541"/>
      <c r="Q246" s="541"/>
      <c r="R246" s="541"/>
      <c r="S246" s="541"/>
      <c r="T246" s="541"/>
      <c r="U246" s="541"/>
      <c r="V246" s="541"/>
      <c r="W246" s="541"/>
      <c r="X246" s="541"/>
      <c r="Y246" s="541"/>
      <c r="Z246" s="541"/>
    </row>
    <row r="247" spans="1:26">
      <c r="A247" s="541"/>
      <c r="B247" s="541"/>
      <c r="C247" s="541"/>
      <c r="D247" s="541"/>
      <c r="E247" s="541"/>
      <c r="F247" s="541"/>
      <c r="G247" s="721"/>
      <c r="H247" s="541"/>
      <c r="I247" s="541"/>
      <c r="J247" s="721"/>
      <c r="K247" s="541"/>
      <c r="L247" s="541"/>
      <c r="M247" s="541"/>
      <c r="N247" s="541"/>
      <c r="O247" s="541"/>
      <c r="P247" s="541"/>
      <c r="Q247" s="541"/>
      <c r="R247" s="541"/>
      <c r="S247" s="541"/>
      <c r="T247" s="541"/>
      <c r="U247" s="541"/>
      <c r="V247" s="541"/>
      <c r="W247" s="541"/>
      <c r="X247" s="541"/>
      <c r="Y247" s="541"/>
      <c r="Z247" s="541"/>
    </row>
    <row r="248" spans="1:26">
      <c r="A248" s="541"/>
      <c r="B248" s="541"/>
      <c r="C248" s="541"/>
      <c r="D248" s="541"/>
      <c r="E248" s="541"/>
      <c r="F248" s="541"/>
      <c r="G248" s="721"/>
      <c r="H248" s="541"/>
      <c r="I248" s="541"/>
      <c r="J248" s="721"/>
      <c r="K248" s="541"/>
      <c r="L248" s="541"/>
      <c r="M248" s="541"/>
      <c r="N248" s="541"/>
      <c r="O248" s="541"/>
      <c r="P248" s="541"/>
      <c r="Q248" s="541"/>
      <c r="R248" s="541"/>
      <c r="S248" s="541"/>
      <c r="T248" s="541"/>
      <c r="U248" s="541"/>
      <c r="V248" s="541"/>
      <c r="W248" s="541"/>
      <c r="X248" s="541"/>
      <c r="Y248" s="541"/>
      <c r="Z248" s="541"/>
    </row>
    <row r="249" spans="1:26">
      <c r="A249" s="541"/>
      <c r="B249" s="541"/>
      <c r="C249" s="541"/>
      <c r="D249" s="541"/>
      <c r="E249" s="541"/>
      <c r="F249" s="541"/>
      <c r="G249" s="721"/>
      <c r="H249" s="541"/>
      <c r="I249" s="541"/>
      <c r="J249" s="721"/>
      <c r="K249" s="541"/>
      <c r="L249" s="541"/>
      <c r="M249" s="541"/>
      <c r="N249" s="541"/>
      <c r="O249" s="541"/>
      <c r="P249" s="541"/>
      <c r="Q249" s="541"/>
      <c r="R249" s="541"/>
      <c r="S249" s="541"/>
      <c r="T249" s="541"/>
      <c r="U249" s="541"/>
      <c r="V249" s="541"/>
      <c r="W249" s="541"/>
      <c r="X249" s="541"/>
      <c r="Y249" s="541"/>
      <c r="Z249" s="541"/>
    </row>
    <row r="250" spans="1:26">
      <c r="A250" s="541"/>
      <c r="B250" s="541"/>
      <c r="C250" s="541"/>
      <c r="D250" s="541"/>
      <c r="E250" s="541"/>
      <c r="F250" s="541"/>
      <c r="G250" s="721"/>
      <c r="H250" s="541"/>
      <c r="I250" s="541"/>
      <c r="J250" s="721"/>
      <c r="K250" s="541"/>
      <c r="L250" s="541"/>
      <c r="M250" s="541"/>
      <c r="N250" s="541"/>
      <c r="O250" s="541"/>
      <c r="P250" s="541"/>
      <c r="Q250" s="541"/>
      <c r="R250" s="541"/>
      <c r="S250" s="541"/>
      <c r="T250" s="541"/>
      <c r="U250" s="541"/>
      <c r="V250" s="541"/>
      <c r="W250" s="541"/>
      <c r="X250" s="541"/>
      <c r="Y250" s="541"/>
      <c r="Z250" s="541"/>
    </row>
    <row r="251" spans="1:26">
      <c r="A251" s="541"/>
      <c r="B251" s="541"/>
      <c r="C251" s="541"/>
      <c r="D251" s="541"/>
      <c r="E251" s="541"/>
      <c r="F251" s="541"/>
      <c r="G251" s="721"/>
      <c r="H251" s="541"/>
      <c r="I251" s="541"/>
      <c r="J251" s="721"/>
      <c r="K251" s="541"/>
      <c r="L251" s="541"/>
      <c r="M251" s="541"/>
      <c r="N251" s="541"/>
      <c r="O251" s="541"/>
      <c r="P251" s="541"/>
      <c r="Q251" s="541"/>
      <c r="R251" s="541"/>
      <c r="S251" s="541"/>
      <c r="T251" s="541"/>
      <c r="U251" s="541"/>
      <c r="V251" s="541"/>
      <c r="W251" s="541"/>
      <c r="X251" s="541"/>
      <c r="Y251" s="541"/>
      <c r="Z251" s="541"/>
    </row>
    <row r="252" spans="1:26">
      <c r="A252" s="541"/>
      <c r="B252" s="541"/>
      <c r="C252" s="541"/>
      <c r="D252" s="541"/>
      <c r="E252" s="541"/>
      <c r="F252" s="541"/>
      <c r="G252" s="721"/>
      <c r="H252" s="541"/>
      <c r="I252" s="541"/>
      <c r="J252" s="721"/>
      <c r="K252" s="541"/>
      <c r="L252" s="541"/>
      <c r="M252" s="541"/>
      <c r="N252" s="541"/>
      <c r="O252" s="541"/>
      <c r="P252" s="541"/>
      <c r="Q252" s="541"/>
      <c r="R252" s="541"/>
      <c r="S252" s="541"/>
      <c r="T252" s="541"/>
      <c r="U252" s="541"/>
      <c r="V252" s="541"/>
      <c r="W252" s="541"/>
      <c r="X252" s="541"/>
      <c r="Y252" s="541"/>
      <c r="Z252" s="541"/>
    </row>
    <row r="253" spans="1:26">
      <c r="A253" s="541"/>
      <c r="B253" s="541"/>
      <c r="C253" s="541"/>
      <c r="D253" s="541"/>
      <c r="E253" s="541"/>
      <c r="F253" s="541"/>
      <c r="G253" s="721"/>
      <c r="H253" s="541"/>
      <c r="I253" s="541"/>
      <c r="J253" s="721"/>
      <c r="K253" s="541"/>
      <c r="L253" s="541"/>
      <c r="M253" s="541"/>
      <c r="N253" s="541"/>
      <c r="O253" s="541"/>
      <c r="P253" s="541"/>
      <c r="Q253" s="541"/>
      <c r="R253" s="541"/>
      <c r="S253" s="541"/>
      <c r="T253" s="541"/>
      <c r="U253" s="541"/>
      <c r="V253" s="541"/>
      <c r="W253" s="541"/>
      <c r="X253" s="541"/>
      <c r="Y253" s="541"/>
      <c r="Z253" s="541"/>
    </row>
    <row r="254" spans="1:26">
      <c r="A254" s="541"/>
      <c r="B254" s="541"/>
      <c r="C254" s="541"/>
      <c r="D254" s="541"/>
      <c r="E254" s="541"/>
      <c r="F254" s="541"/>
      <c r="G254" s="721"/>
      <c r="H254" s="541"/>
      <c r="I254" s="541"/>
      <c r="J254" s="721"/>
      <c r="K254" s="541"/>
      <c r="L254" s="541"/>
      <c r="M254" s="541"/>
      <c r="N254" s="541"/>
      <c r="O254" s="541"/>
      <c r="P254" s="541"/>
      <c r="Q254" s="541"/>
      <c r="R254" s="541"/>
      <c r="S254" s="541"/>
      <c r="T254" s="541"/>
      <c r="U254" s="541"/>
      <c r="V254" s="541"/>
      <c r="W254" s="541"/>
      <c r="X254" s="541"/>
      <c r="Y254" s="541"/>
      <c r="Z254" s="541"/>
    </row>
    <row r="255" spans="1:26">
      <c r="A255" s="541"/>
      <c r="B255" s="541"/>
      <c r="C255" s="541"/>
      <c r="D255" s="541"/>
      <c r="E255" s="541"/>
      <c r="F255" s="541"/>
      <c r="G255" s="721"/>
      <c r="H255" s="541"/>
      <c r="I255" s="541"/>
      <c r="J255" s="721"/>
      <c r="K255" s="541"/>
      <c r="L255" s="541"/>
      <c r="M255" s="541"/>
      <c r="N255" s="541"/>
      <c r="O255" s="541"/>
      <c r="P255" s="541"/>
      <c r="Q255" s="541"/>
      <c r="R255" s="541"/>
      <c r="S255" s="541"/>
      <c r="T255" s="541"/>
      <c r="U255" s="541"/>
      <c r="V255" s="541"/>
      <c r="W255" s="541"/>
      <c r="X255" s="541"/>
      <c r="Y255" s="541"/>
      <c r="Z255" s="541"/>
    </row>
    <row r="256" spans="1:26">
      <c r="A256" s="541"/>
      <c r="B256" s="541"/>
      <c r="C256" s="541"/>
      <c r="D256" s="541"/>
      <c r="E256" s="541"/>
      <c r="F256" s="541"/>
      <c r="G256" s="721"/>
      <c r="H256" s="541"/>
      <c r="I256" s="541"/>
      <c r="J256" s="721"/>
      <c r="K256" s="541"/>
      <c r="L256" s="541"/>
      <c r="M256" s="541"/>
      <c r="N256" s="541"/>
      <c r="O256" s="541"/>
      <c r="P256" s="541"/>
      <c r="Q256" s="541"/>
      <c r="R256" s="541"/>
      <c r="S256" s="541"/>
      <c r="T256" s="541"/>
      <c r="U256" s="541"/>
      <c r="V256" s="541"/>
      <c r="W256" s="541"/>
      <c r="X256" s="541"/>
      <c r="Y256" s="541"/>
      <c r="Z256" s="541"/>
    </row>
    <row r="257" spans="1:26">
      <c r="A257" s="541"/>
      <c r="B257" s="541"/>
      <c r="C257" s="541"/>
      <c r="D257" s="541"/>
      <c r="E257" s="541"/>
      <c r="F257" s="541"/>
      <c r="G257" s="721"/>
      <c r="H257" s="541"/>
      <c r="I257" s="541"/>
      <c r="J257" s="721"/>
      <c r="K257" s="541"/>
      <c r="L257" s="541"/>
      <c r="M257" s="541"/>
      <c r="N257" s="541"/>
      <c r="O257" s="541"/>
      <c r="P257" s="541"/>
      <c r="Q257" s="541"/>
      <c r="R257" s="541"/>
      <c r="S257" s="541"/>
      <c r="T257" s="541"/>
      <c r="U257" s="541"/>
      <c r="V257" s="541"/>
      <c r="W257" s="541"/>
      <c r="X257" s="541"/>
      <c r="Y257" s="541"/>
      <c r="Z257" s="541"/>
    </row>
    <row r="258" spans="1:26">
      <c r="A258" s="541"/>
      <c r="B258" s="541"/>
      <c r="C258" s="541"/>
      <c r="D258" s="541"/>
      <c r="E258" s="541"/>
      <c r="F258" s="541"/>
      <c r="G258" s="721"/>
      <c r="H258" s="541"/>
      <c r="I258" s="541"/>
      <c r="J258" s="721"/>
      <c r="K258" s="541"/>
      <c r="L258" s="541"/>
      <c r="M258" s="541"/>
      <c r="N258" s="541"/>
      <c r="O258" s="541"/>
      <c r="P258" s="541"/>
      <c r="Q258" s="541"/>
      <c r="R258" s="541"/>
      <c r="S258" s="541"/>
      <c r="T258" s="541"/>
      <c r="U258" s="541"/>
      <c r="V258" s="541"/>
      <c r="W258" s="541"/>
      <c r="X258" s="541"/>
      <c r="Y258" s="541"/>
      <c r="Z258" s="541"/>
    </row>
    <row r="259" spans="1:26">
      <c r="A259" s="541"/>
      <c r="B259" s="541"/>
      <c r="C259" s="541"/>
      <c r="D259" s="541"/>
      <c r="E259" s="541"/>
      <c r="F259" s="541"/>
      <c r="G259" s="721"/>
      <c r="H259" s="541"/>
      <c r="I259" s="541"/>
      <c r="J259" s="721"/>
      <c r="K259" s="541"/>
      <c r="L259" s="541"/>
      <c r="M259" s="541"/>
      <c r="N259" s="541"/>
      <c r="O259" s="541"/>
      <c r="P259" s="541"/>
      <c r="Q259" s="541"/>
      <c r="R259" s="541"/>
      <c r="S259" s="541"/>
      <c r="T259" s="541"/>
      <c r="U259" s="541"/>
      <c r="V259" s="541"/>
      <c r="W259" s="541"/>
      <c r="X259" s="541"/>
      <c r="Y259" s="541"/>
      <c r="Z259" s="541"/>
    </row>
    <row r="260" spans="1:26">
      <c r="A260" s="541"/>
      <c r="B260" s="541"/>
      <c r="C260" s="541"/>
      <c r="D260" s="541"/>
      <c r="E260" s="541"/>
      <c r="F260" s="541"/>
      <c r="G260" s="721"/>
      <c r="H260" s="541"/>
      <c r="I260" s="541"/>
      <c r="J260" s="721"/>
      <c r="K260" s="541"/>
      <c r="L260" s="541"/>
      <c r="M260" s="541"/>
      <c r="N260" s="541"/>
      <c r="O260" s="541"/>
      <c r="P260" s="541"/>
      <c r="Q260" s="541"/>
      <c r="R260" s="541"/>
      <c r="S260" s="541"/>
      <c r="T260" s="541"/>
      <c r="U260" s="541"/>
      <c r="V260" s="541"/>
      <c r="W260" s="541"/>
      <c r="X260" s="541"/>
      <c r="Y260" s="541"/>
      <c r="Z260" s="541"/>
    </row>
    <row r="261" spans="1:26">
      <c r="A261" s="541"/>
      <c r="B261" s="541"/>
      <c r="C261" s="541"/>
      <c r="D261" s="541"/>
      <c r="E261" s="541"/>
      <c r="F261" s="541"/>
      <c r="G261" s="721"/>
      <c r="H261" s="541"/>
      <c r="I261" s="541"/>
      <c r="J261" s="721"/>
      <c r="K261" s="541"/>
      <c r="L261" s="541"/>
      <c r="M261" s="541"/>
      <c r="N261" s="541"/>
      <c r="O261" s="541"/>
      <c r="P261" s="541"/>
      <c r="Q261" s="541"/>
      <c r="R261" s="541"/>
      <c r="S261" s="541"/>
      <c r="T261" s="541"/>
      <c r="U261" s="541"/>
      <c r="V261" s="541"/>
      <c r="W261" s="541"/>
      <c r="X261" s="541"/>
      <c r="Y261" s="541"/>
      <c r="Z261" s="541"/>
    </row>
    <row r="262" spans="1:26">
      <c r="A262" s="541"/>
      <c r="B262" s="541"/>
      <c r="C262" s="541"/>
      <c r="D262" s="541"/>
      <c r="E262" s="541"/>
      <c r="F262" s="541"/>
      <c r="G262" s="721"/>
      <c r="H262" s="541"/>
      <c r="I262" s="541"/>
      <c r="J262" s="721"/>
      <c r="K262" s="541"/>
      <c r="L262" s="541"/>
      <c r="M262" s="541"/>
      <c r="N262" s="541"/>
      <c r="O262" s="541"/>
      <c r="P262" s="541"/>
      <c r="Q262" s="541"/>
      <c r="R262" s="541"/>
      <c r="S262" s="541"/>
      <c r="T262" s="541"/>
      <c r="U262" s="541"/>
      <c r="V262" s="541"/>
      <c r="W262" s="541"/>
      <c r="X262" s="541"/>
      <c r="Y262" s="541"/>
      <c r="Z262" s="541"/>
    </row>
    <row r="263" spans="1:26">
      <c r="A263" s="541"/>
      <c r="B263" s="541"/>
      <c r="C263" s="541"/>
      <c r="D263" s="541"/>
      <c r="E263" s="541"/>
      <c r="F263" s="541"/>
      <c r="G263" s="721"/>
      <c r="H263" s="541"/>
      <c r="I263" s="541"/>
      <c r="J263" s="721"/>
      <c r="K263" s="541"/>
      <c r="L263" s="541"/>
      <c r="M263" s="541"/>
      <c r="N263" s="541"/>
      <c r="O263" s="541"/>
      <c r="P263" s="541"/>
      <c r="Q263" s="541"/>
      <c r="R263" s="541"/>
      <c r="S263" s="541"/>
      <c r="T263" s="541"/>
      <c r="U263" s="541"/>
      <c r="V263" s="541"/>
      <c r="W263" s="541"/>
      <c r="X263" s="541"/>
      <c r="Y263" s="541"/>
      <c r="Z263" s="541"/>
    </row>
    <row r="264" spans="1:26">
      <c r="A264" s="541"/>
      <c r="B264" s="541"/>
      <c r="C264" s="541"/>
      <c r="D264" s="541"/>
      <c r="E264" s="541"/>
      <c r="F264" s="541"/>
      <c r="G264" s="721"/>
      <c r="H264" s="541"/>
      <c r="I264" s="541"/>
      <c r="J264" s="721"/>
      <c r="K264" s="541"/>
      <c r="L264" s="541"/>
      <c r="M264" s="541"/>
      <c r="N264" s="541"/>
      <c r="O264" s="541"/>
      <c r="P264" s="541"/>
      <c r="Q264" s="541"/>
      <c r="R264" s="541"/>
      <c r="S264" s="541"/>
      <c r="T264" s="541"/>
      <c r="U264" s="541"/>
      <c r="V264" s="541"/>
      <c r="W264" s="541"/>
      <c r="X264" s="541"/>
      <c r="Y264" s="541"/>
      <c r="Z264" s="541"/>
    </row>
    <row r="265" spans="1:26">
      <c r="A265" s="541"/>
      <c r="B265" s="541"/>
      <c r="C265" s="541"/>
      <c r="D265" s="541"/>
      <c r="E265" s="541"/>
      <c r="F265" s="541"/>
      <c r="G265" s="721"/>
      <c r="H265" s="541"/>
      <c r="I265" s="541"/>
      <c r="J265" s="721"/>
      <c r="K265" s="541"/>
      <c r="L265" s="541"/>
      <c r="M265" s="541"/>
      <c r="N265" s="541"/>
      <c r="O265" s="541"/>
      <c r="P265" s="541"/>
      <c r="Q265" s="541"/>
      <c r="R265" s="541"/>
      <c r="S265" s="541"/>
      <c r="T265" s="541"/>
      <c r="U265" s="541"/>
      <c r="V265" s="541"/>
      <c r="W265" s="541"/>
      <c r="X265" s="541"/>
      <c r="Y265" s="541"/>
      <c r="Z265" s="541"/>
    </row>
    <row r="266" spans="1:26">
      <c r="A266" s="541"/>
      <c r="B266" s="541"/>
      <c r="C266" s="541"/>
      <c r="D266" s="541"/>
      <c r="E266" s="541"/>
      <c r="F266" s="541"/>
      <c r="G266" s="721"/>
      <c r="H266" s="541"/>
      <c r="I266" s="541"/>
      <c r="J266" s="721"/>
      <c r="K266" s="541"/>
      <c r="L266" s="541"/>
      <c r="M266" s="541"/>
      <c r="N266" s="541"/>
      <c r="O266" s="541"/>
      <c r="P266" s="541"/>
      <c r="Q266" s="541"/>
      <c r="R266" s="541"/>
      <c r="S266" s="541"/>
      <c r="T266" s="541"/>
      <c r="U266" s="541"/>
      <c r="V266" s="541"/>
      <c r="W266" s="541"/>
      <c r="X266" s="541"/>
      <c r="Y266" s="541"/>
      <c r="Z266" s="541"/>
    </row>
    <row r="267" spans="1:26">
      <c r="A267" s="541"/>
      <c r="B267" s="541"/>
      <c r="C267" s="541"/>
      <c r="D267" s="541"/>
      <c r="E267" s="541"/>
      <c r="F267" s="541"/>
      <c r="G267" s="721"/>
      <c r="H267" s="541"/>
      <c r="I267" s="541"/>
      <c r="J267" s="721"/>
      <c r="K267" s="541"/>
      <c r="L267" s="541"/>
      <c r="M267" s="541"/>
      <c r="N267" s="541"/>
      <c r="O267" s="541"/>
      <c r="P267" s="541"/>
      <c r="Q267" s="541"/>
      <c r="R267" s="541"/>
      <c r="S267" s="541"/>
      <c r="T267" s="541"/>
      <c r="U267" s="541"/>
      <c r="V267" s="541"/>
      <c r="W267" s="541"/>
      <c r="X267" s="541"/>
      <c r="Y267" s="541"/>
      <c r="Z267" s="541"/>
    </row>
    <row r="268" spans="1:26">
      <c r="A268" s="541"/>
      <c r="B268" s="541"/>
      <c r="C268" s="541"/>
      <c r="D268" s="541"/>
      <c r="E268" s="541"/>
      <c r="F268" s="541"/>
      <c r="G268" s="721"/>
      <c r="H268" s="541"/>
      <c r="I268" s="541"/>
      <c r="J268" s="721"/>
      <c r="K268" s="541"/>
      <c r="L268" s="541"/>
      <c r="M268" s="541"/>
      <c r="N268" s="541"/>
      <c r="O268" s="541"/>
      <c r="P268" s="541"/>
      <c r="Q268" s="541"/>
      <c r="R268" s="541"/>
      <c r="S268" s="541"/>
      <c r="T268" s="541"/>
      <c r="U268" s="541"/>
      <c r="V268" s="541"/>
      <c r="W268" s="541"/>
      <c r="X268" s="541"/>
      <c r="Y268" s="541"/>
      <c r="Z268" s="541"/>
    </row>
    <row r="269" spans="1:26">
      <c r="A269" s="541"/>
      <c r="B269" s="541"/>
      <c r="C269" s="541"/>
      <c r="D269" s="541"/>
      <c r="E269" s="541"/>
      <c r="F269" s="541"/>
      <c r="G269" s="721"/>
      <c r="H269" s="541"/>
      <c r="I269" s="541"/>
      <c r="J269" s="721"/>
      <c r="K269" s="541"/>
      <c r="L269" s="541"/>
      <c r="M269" s="541"/>
      <c r="N269" s="541"/>
      <c r="O269" s="541"/>
      <c r="P269" s="541"/>
      <c r="Q269" s="541"/>
      <c r="R269" s="541"/>
      <c r="S269" s="541"/>
      <c r="T269" s="541"/>
      <c r="U269" s="541"/>
      <c r="V269" s="541"/>
      <c r="W269" s="541"/>
      <c r="X269" s="541"/>
      <c r="Y269" s="541"/>
      <c r="Z269" s="541"/>
    </row>
    <row r="270" spans="1:26">
      <c r="A270" s="541"/>
      <c r="B270" s="541"/>
      <c r="C270" s="541"/>
      <c r="D270" s="541"/>
      <c r="E270" s="541"/>
      <c r="F270" s="541"/>
      <c r="G270" s="721"/>
      <c r="H270" s="541"/>
      <c r="I270" s="541"/>
      <c r="J270" s="721"/>
      <c r="K270" s="541"/>
      <c r="L270" s="541"/>
      <c r="M270" s="541"/>
      <c r="N270" s="541"/>
      <c r="O270" s="541"/>
      <c r="P270" s="541"/>
      <c r="Q270" s="541"/>
      <c r="R270" s="541"/>
      <c r="S270" s="541"/>
      <c r="T270" s="541"/>
      <c r="U270" s="541"/>
      <c r="V270" s="541"/>
      <c r="W270" s="541"/>
      <c r="X270" s="541"/>
      <c r="Y270" s="541"/>
      <c r="Z270" s="541"/>
    </row>
    <row r="271" spans="1:26">
      <c r="A271" s="541"/>
      <c r="B271" s="541"/>
      <c r="C271" s="541"/>
      <c r="D271" s="541"/>
      <c r="E271" s="541"/>
      <c r="F271" s="541"/>
      <c r="G271" s="721"/>
      <c r="H271" s="541"/>
      <c r="I271" s="541"/>
      <c r="J271" s="721"/>
      <c r="K271" s="541"/>
      <c r="L271" s="541"/>
      <c r="M271" s="541"/>
      <c r="N271" s="541"/>
      <c r="O271" s="541"/>
      <c r="P271" s="541"/>
      <c r="Q271" s="541"/>
      <c r="R271" s="541"/>
      <c r="S271" s="541"/>
      <c r="T271" s="541"/>
      <c r="U271" s="541"/>
      <c r="V271" s="541"/>
      <c r="W271" s="541"/>
      <c r="X271" s="541"/>
      <c r="Y271" s="541"/>
      <c r="Z271" s="541"/>
    </row>
    <row r="272" spans="1:26">
      <c r="A272" s="541"/>
      <c r="B272" s="541"/>
      <c r="C272" s="541"/>
      <c r="D272" s="541"/>
      <c r="E272" s="541"/>
      <c r="F272" s="541"/>
      <c r="G272" s="721"/>
      <c r="H272" s="541"/>
      <c r="I272" s="541"/>
      <c r="J272" s="721"/>
      <c r="K272" s="541"/>
      <c r="L272" s="541"/>
      <c r="M272" s="541"/>
      <c r="N272" s="541"/>
      <c r="O272" s="541"/>
      <c r="P272" s="541"/>
      <c r="Q272" s="541"/>
      <c r="R272" s="541"/>
      <c r="S272" s="541"/>
      <c r="T272" s="541"/>
      <c r="U272" s="541"/>
      <c r="V272" s="541"/>
      <c r="W272" s="541"/>
      <c r="X272" s="541"/>
      <c r="Y272" s="541"/>
      <c r="Z272" s="541"/>
    </row>
  </sheetData>
  <mergeCells count="6">
    <mergeCell ref="B55:D55"/>
    <mergeCell ref="B6:D6"/>
    <mergeCell ref="B7:D7"/>
    <mergeCell ref="B8:D8"/>
    <mergeCell ref="B53:D53"/>
    <mergeCell ref="B54:D54"/>
  </mergeCells>
  <printOptions horizontalCentered="1"/>
  <pageMargins left="0.11811023622047245" right="0.11811023622047245" top="0.27559055118110237" bottom="0.19685039370078741" header="0.27559055118110237" footer="0.11811023622047245"/>
  <pageSetup scale="8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A6303-87B9-421D-B541-7AD7BAF748DD}">
  <sheetPr>
    <pageSetUpPr fitToPage="1"/>
  </sheetPr>
  <dimension ref="A1:G66"/>
  <sheetViews>
    <sheetView topLeftCell="A43" zoomScale="113" zoomScaleNormal="160" workbookViewId="0">
      <selection activeCell="D14" sqref="D14"/>
    </sheetView>
  </sheetViews>
  <sheetFormatPr defaultRowHeight="14.5"/>
  <cols>
    <col min="1" max="1" width="30.7265625" customWidth="1"/>
    <col min="2" max="6" width="20.7265625" customWidth="1"/>
  </cols>
  <sheetData>
    <row r="1" spans="1:7" ht="18">
      <c r="A1" s="430" t="str">
        <f>[1]Status!C1</f>
        <v>UNEP/OzL.Pro/ExCom/94/3</v>
      </c>
      <c r="B1" s="430"/>
      <c r="C1" s="14"/>
      <c r="D1" s="14"/>
      <c r="E1" s="799"/>
      <c r="F1" s="799"/>
      <c r="G1" s="430"/>
    </row>
    <row r="2" spans="1:7" ht="18">
      <c r="A2" s="35" t="s">
        <v>0</v>
      </c>
      <c r="B2" s="14"/>
      <c r="C2" s="14"/>
      <c r="D2" s="14"/>
      <c r="E2" s="14"/>
    </row>
    <row r="3" spans="1:7" ht="18">
      <c r="A3" s="8" t="s">
        <v>139</v>
      </c>
      <c r="B3" s="14"/>
      <c r="C3" s="14"/>
      <c r="D3" s="14"/>
      <c r="E3" s="14"/>
    </row>
    <row r="4" spans="1:7" ht="15.5">
      <c r="A4" s="1"/>
      <c r="B4" s="14"/>
      <c r="C4" s="14"/>
      <c r="D4" s="14"/>
      <c r="E4" s="14"/>
      <c r="F4" s="14"/>
    </row>
    <row r="5" spans="1:7" ht="16.5" customHeight="1">
      <c r="A5" s="794" t="s">
        <v>2</v>
      </c>
      <c r="B5" s="794"/>
      <c r="C5" s="794"/>
      <c r="D5" s="794"/>
      <c r="E5" s="794"/>
      <c r="F5" s="794"/>
    </row>
    <row r="6" spans="1:7" ht="15.5">
      <c r="A6" s="795" t="s">
        <v>268</v>
      </c>
      <c r="B6" s="795"/>
      <c r="C6" s="795"/>
      <c r="D6" s="795"/>
      <c r="E6" s="795"/>
      <c r="F6" s="795"/>
    </row>
    <row r="7" spans="1:7" ht="16.5" thickBot="1">
      <c r="A7" s="796" t="str">
        <f>[1]Status!A6</f>
        <v>As at 24/05/2024</v>
      </c>
      <c r="B7" s="796"/>
      <c r="C7" s="796"/>
      <c r="D7" s="798"/>
      <c r="E7" s="798"/>
      <c r="F7" s="798"/>
    </row>
    <row r="8" spans="1:7" ht="27" thickBot="1">
      <c r="A8" s="19" t="s">
        <v>59</v>
      </c>
      <c r="B8" s="20" t="s">
        <v>60</v>
      </c>
      <c r="C8" s="20" t="s">
        <v>61</v>
      </c>
      <c r="D8" s="504" t="s">
        <v>62</v>
      </c>
      <c r="E8" s="20" t="s">
        <v>63</v>
      </c>
      <c r="F8" s="21" t="s">
        <v>64</v>
      </c>
    </row>
    <row r="9" spans="1:7">
      <c r="A9" s="436" t="s">
        <v>65</v>
      </c>
      <c r="B9" s="498">
        <f>'YR2018'!B9+'YR2019'!B9+'YR2020'!B9</f>
        <v>45501</v>
      </c>
      <c r="C9" s="498">
        <f>'YR2018'!C9+'YR2019'!C9+'YR2020'!C9</f>
        <v>45501</v>
      </c>
      <c r="D9" s="498">
        <f>'YR2018'!D9+'YR2019'!D9+'YR2020'!D9</f>
        <v>0</v>
      </c>
      <c r="E9" s="498">
        <f>'YR2018'!E9+'YR2019'!E9+'YR2020'!E9</f>
        <v>0</v>
      </c>
      <c r="F9" s="522">
        <f>B9-C9-D9-E9</f>
        <v>0</v>
      </c>
      <c r="G9" s="445"/>
    </row>
    <row r="10" spans="1:7">
      <c r="A10" s="440" t="s">
        <v>124</v>
      </c>
      <c r="B10" s="463">
        <f>'YR2018'!B10+'YR2019'!B10+'YR2020'!B10</f>
        <v>17669001</v>
      </c>
      <c r="C10" s="463">
        <f>'YR2018'!C10+'YR2019'!C10+'YR2020'!C10</f>
        <v>17247737</v>
      </c>
      <c r="D10" s="463">
        <f>'YR2018'!D10+'YR2019'!D10+'YR2020'!D10</f>
        <v>421264</v>
      </c>
      <c r="E10" s="463">
        <f>'YR2018'!E10+'YR2019'!E10+'YR2020'!E10</f>
        <v>0</v>
      </c>
      <c r="F10" s="444">
        <f t="shared" ref="F10:F57" si="0">B10-C10-D10-E10</f>
        <v>0</v>
      </c>
      <c r="G10" s="445"/>
    </row>
    <row r="11" spans="1:7">
      <c r="A11" s="440" t="s">
        <v>67</v>
      </c>
      <c r="B11" s="463">
        <f>'YR2018'!B11+'YR2019'!B11+'YR2020'!B11</f>
        <v>5443500</v>
      </c>
      <c r="C11" s="463">
        <f>'YR2018'!C11+'YR2019'!C11+'YR2020'!C11</f>
        <v>5443500</v>
      </c>
      <c r="D11" s="463">
        <f>'YR2018'!D11+'YR2019'!D11+'YR2020'!D11</f>
        <v>0</v>
      </c>
      <c r="E11" s="463">
        <f>'YR2018'!E11+'YR2019'!E11+'YR2020'!E11</f>
        <v>0</v>
      </c>
      <c r="F11" s="444">
        <f t="shared" si="0"/>
        <v>0</v>
      </c>
      <c r="G11" s="445"/>
    </row>
    <row r="12" spans="1:7">
      <c r="A12" s="446" t="s">
        <v>68</v>
      </c>
      <c r="B12" s="463">
        <f>'YR2018'!B12+'YR2019'!B12+'YR2020'!B12</f>
        <v>453501</v>
      </c>
      <c r="C12" s="463">
        <f>'YR2018'!C12+'YR2019'!C12+'YR2020'!C12</f>
        <v>0</v>
      </c>
      <c r="D12" s="463">
        <f>'YR2018'!D12+'YR2019'!D12+'YR2020'!D12</f>
        <v>0</v>
      </c>
      <c r="E12" s="463">
        <f>'YR2018'!E12+'YR2019'!E12+'YR2020'!E12</f>
        <v>0</v>
      </c>
      <c r="F12" s="444">
        <f t="shared" si="0"/>
        <v>453501</v>
      </c>
      <c r="G12" s="445"/>
    </row>
    <row r="13" spans="1:7">
      <c r="A13" s="440" t="s">
        <v>69</v>
      </c>
      <c r="B13" s="463">
        <f>'YR2018'!B13+'YR2019'!B13+'YR2020'!B13</f>
        <v>423501</v>
      </c>
      <c r="C13" s="463">
        <f>'YR2018'!C13+'YR2019'!C13+'YR2020'!C13</f>
        <v>359334</v>
      </c>
      <c r="D13" s="463">
        <f>'YR2018'!D13+'YR2019'!D13+'YR2020'!D13</f>
        <v>0</v>
      </c>
      <c r="E13" s="463">
        <f>'YR2018'!E13+'YR2019'!E13+'YR2020'!E13</f>
        <v>0</v>
      </c>
      <c r="F13" s="444">
        <f t="shared" si="0"/>
        <v>64167</v>
      </c>
      <c r="G13" s="445"/>
    </row>
    <row r="14" spans="1:7">
      <c r="A14" s="440" t="s">
        <v>70</v>
      </c>
      <c r="B14" s="463">
        <f>'YR2018'!B14+'YR2019'!B14+'YR2020'!B14</f>
        <v>6690999</v>
      </c>
      <c r="C14" s="463">
        <f>'YR2018'!C14+'YR2019'!C14+'YR2020'!C14</f>
        <v>6690999</v>
      </c>
      <c r="D14" s="463">
        <f>'YR2018'!D14+'YR2019'!D14+'YR2020'!D14</f>
        <v>0</v>
      </c>
      <c r="E14" s="463">
        <f>'YR2018'!E14+'YR2019'!E14+'YR2020'!E14</f>
        <v>0</v>
      </c>
      <c r="F14" s="444">
        <f t="shared" si="0"/>
        <v>0</v>
      </c>
      <c r="G14" s="445"/>
    </row>
    <row r="15" spans="1:7">
      <c r="A15" s="440" t="s">
        <v>71</v>
      </c>
      <c r="B15" s="463">
        <f>'YR2018'!B15+'YR2019'!B15+'YR2020'!B15</f>
        <v>339999</v>
      </c>
      <c r="C15" s="463">
        <f>'YR2018'!C15+'YR2019'!C15+'YR2020'!C15</f>
        <v>339999</v>
      </c>
      <c r="D15" s="463">
        <f>'YR2018'!D15+'YR2019'!D15+'YR2020'!D15</f>
        <v>0</v>
      </c>
      <c r="E15" s="463">
        <f>'YR2018'!E15+'YR2019'!E15+'YR2020'!E15</f>
        <v>0</v>
      </c>
      <c r="F15" s="444">
        <f>B15-C15-D15-E15</f>
        <v>0</v>
      </c>
      <c r="G15" s="445"/>
    </row>
    <row r="16" spans="1:7">
      <c r="A16" s="440" t="s">
        <v>125</v>
      </c>
      <c r="B16" s="463">
        <f>'YR2018'!B16+'YR2019'!B16+'YR2020'!B16</f>
        <v>22083999</v>
      </c>
      <c r="C16" s="463">
        <f>'YR2018'!C16+'YR2019'!C16+'YR2020'!C16</f>
        <v>21029237.009999998</v>
      </c>
      <c r="D16" s="463">
        <f>'YR2018'!D16+'YR2019'!D16+'YR2020'!D16</f>
        <v>1054762</v>
      </c>
      <c r="E16" s="463">
        <f>'YR2018'!E16+'YR2019'!E16+'YR2020'!E16</f>
        <v>0</v>
      </c>
      <c r="F16" s="444">
        <f t="shared" si="0"/>
        <v>-9.9999979138374329E-3</v>
      </c>
      <c r="G16" s="445"/>
    </row>
    <row r="17" spans="1:7">
      <c r="A17" s="440" t="s">
        <v>73</v>
      </c>
      <c r="B17" s="463">
        <f>'YR2018'!B17+'YR2019'!B17+'YR2020'!B17</f>
        <v>748500</v>
      </c>
      <c r="C17" s="463">
        <f>'YR2018'!C17+'YR2019'!C17+'YR2020'!C17</f>
        <v>748500</v>
      </c>
      <c r="D17" s="463">
        <f>'YR2018'!D17+'YR2019'!D17+'YR2020'!D17</f>
        <v>0</v>
      </c>
      <c r="E17" s="463">
        <f>'YR2018'!E17+'YR2019'!E17+'YR2020'!E17</f>
        <v>0</v>
      </c>
      <c r="F17" s="444">
        <f t="shared" si="0"/>
        <v>0</v>
      </c>
      <c r="G17" s="445"/>
    </row>
    <row r="18" spans="1:7">
      <c r="A18" s="440" t="s">
        <v>74</v>
      </c>
      <c r="B18" s="463">
        <f>'YR2018'!B18+'YR2019'!B18+'YR2020'!B18</f>
        <v>324999</v>
      </c>
      <c r="C18" s="463">
        <f>'YR2018'!C18+'YR2019'!C18+'YR2020'!C18</f>
        <v>324999</v>
      </c>
      <c r="D18" s="463">
        <f>'YR2018'!D18+'YR2019'!D18+'YR2020'!D18</f>
        <v>0</v>
      </c>
      <c r="E18" s="463">
        <f>'YR2018'!E18+'YR2019'!E18+'YR2020'!E18</f>
        <v>0</v>
      </c>
      <c r="F18" s="444">
        <f t="shared" si="0"/>
        <v>0</v>
      </c>
      <c r="G18" s="445"/>
    </row>
    <row r="19" spans="1:7">
      <c r="A19" s="440" t="s">
        <v>75</v>
      </c>
      <c r="B19" s="463">
        <f>'YR2018'!B19+'YR2019'!B19+'YR2020'!B19</f>
        <v>2601000</v>
      </c>
      <c r="C19" s="463">
        <f>'YR2018'!C19+'YR2019'!C19+'YR2020'!C19</f>
        <v>2601000</v>
      </c>
      <c r="D19" s="463">
        <f>'YR2018'!D19+'YR2019'!D19+'YR2020'!D19</f>
        <v>0</v>
      </c>
      <c r="E19" s="463">
        <f>'YR2018'!E19+'YR2019'!E19+'YR2020'!E19</f>
        <v>0</v>
      </c>
      <c r="F19" s="444">
        <f t="shared" si="0"/>
        <v>0</v>
      </c>
      <c r="G19" s="445"/>
    </row>
    <row r="20" spans="1:7">
      <c r="A20" s="440" t="s">
        <v>76</v>
      </c>
      <c r="B20" s="463">
        <f>'YR2018'!B20+'YR2019'!B20+'YR2020'!B20</f>
        <v>4415499</v>
      </c>
      <c r="C20" s="463">
        <f>'YR2018'!C20+'YR2019'!C20+'YR2020'!C20</f>
        <v>4415499</v>
      </c>
      <c r="D20" s="463">
        <f>'YR2018'!D20+'YR2019'!D20+'YR2020'!D20</f>
        <v>0</v>
      </c>
      <c r="E20" s="463">
        <f>'YR2018'!E20+'YR2019'!E20+'YR2020'!E20</f>
        <v>0</v>
      </c>
      <c r="F20" s="444">
        <f t="shared" si="0"/>
        <v>0</v>
      </c>
      <c r="G20" s="445"/>
    </row>
    <row r="21" spans="1:7">
      <c r="A21" s="440" t="s">
        <v>77</v>
      </c>
      <c r="B21" s="463">
        <f>'YR2018'!B21+'YR2019'!B21+'YR2020'!B21</f>
        <v>287499</v>
      </c>
      <c r="C21" s="463">
        <f>'YR2018'!C21+'YR2019'!C21+'YR2020'!C21</f>
        <v>287498.96999999997</v>
      </c>
      <c r="D21" s="463">
        <f>'YR2018'!D21+'YR2019'!D21+'YR2020'!D21</f>
        <v>0</v>
      </c>
      <c r="E21" s="463">
        <f>'YR2018'!E21+'YR2019'!E21+'YR2020'!E21</f>
        <v>0</v>
      </c>
      <c r="F21" s="444">
        <f t="shared" si="0"/>
        <v>3.0000000027939677E-2</v>
      </c>
      <c r="G21" s="445"/>
    </row>
    <row r="22" spans="1:7">
      <c r="A22" s="440" t="s">
        <v>78</v>
      </c>
      <c r="B22" s="463">
        <f>'YR2018'!B22+'YR2019'!B22+'YR2020'!B22</f>
        <v>3447501</v>
      </c>
      <c r="C22" s="463">
        <f>'YR2018'!C22+'YR2019'!C22+'YR2020'!C22</f>
        <v>3447501</v>
      </c>
      <c r="D22" s="463">
        <f>'YR2018'!D22+'YR2019'!D22+'YR2020'!D22</f>
        <v>0</v>
      </c>
      <c r="E22" s="463">
        <f>'YR2018'!E22+'YR2019'!E22+'YR2020'!E22</f>
        <v>0</v>
      </c>
      <c r="F22" s="444">
        <f t="shared" si="0"/>
        <v>0</v>
      </c>
      <c r="G22" s="445"/>
    </row>
    <row r="23" spans="1:7">
      <c r="A23" s="440" t="s">
        <v>126</v>
      </c>
      <c r="B23" s="463">
        <f>'YR2018'!B23+'YR2019'!B23+'YR2020'!B23</f>
        <v>36736500</v>
      </c>
      <c r="C23" s="463">
        <f>'YR2018'!C23+'YR2019'!C23+'YR2020'!C23</f>
        <v>36596945</v>
      </c>
      <c r="D23" s="463">
        <f>'YR2018'!D23+'YR2019'!D23+'YR2020'!D23</f>
        <v>139555</v>
      </c>
      <c r="E23" s="463">
        <f>'YR2018'!E23+'YR2019'!E23+'YR2020'!E23</f>
        <v>0</v>
      </c>
      <c r="F23" s="444">
        <f t="shared" si="0"/>
        <v>0</v>
      </c>
      <c r="G23" s="445"/>
    </row>
    <row r="24" spans="1:7">
      <c r="A24" s="440" t="s">
        <v>127</v>
      </c>
      <c r="B24" s="463">
        <f>'YR2018'!B24+'YR2019'!B24+'YR2020'!B24</f>
        <v>48303999</v>
      </c>
      <c r="C24" s="463">
        <f>'YR2018'!C24+'YR2019'!C24+'YR2020'!C24</f>
        <v>38948148.700000003</v>
      </c>
      <c r="D24" s="463">
        <f>'YR2018'!D24+'YR2019'!D24+'YR2020'!D24</f>
        <v>9660801</v>
      </c>
      <c r="E24" s="463">
        <f>'YR2018'!E24+'YR2019'!E24+'YR2020'!E24</f>
        <v>0</v>
      </c>
      <c r="F24" s="444">
        <f t="shared" si="0"/>
        <v>-304950.70000000298</v>
      </c>
      <c r="G24" s="445"/>
    </row>
    <row r="25" spans="1:7">
      <c r="A25" s="440" t="s">
        <v>81</v>
      </c>
      <c r="B25" s="463">
        <f>'YR2018'!B25+'YR2019'!B25+'YR2020'!B25</f>
        <v>3561000</v>
      </c>
      <c r="C25" s="463">
        <f>'YR2018'!C25+'YR2019'!C25+'YR2020'!C25</f>
        <v>3561000</v>
      </c>
      <c r="D25" s="463">
        <f>'YR2018'!D25+'YR2019'!D25+'YR2020'!D25</f>
        <v>0</v>
      </c>
      <c r="E25" s="463">
        <f>'YR2018'!E25+'YR2019'!E25+'YR2020'!E25</f>
        <v>0</v>
      </c>
      <c r="F25" s="444">
        <f t="shared" si="0"/>
        <v>0</v>
      </c>
      <c r="G25" s="445"/>
    </row>
    <row r="26" spans="1:7">
      <c r="A26" s="440" t="s">
        <v>82</v>
      </c>
      <c r="B26" s="463">
        <f>'YR2018'!B26+'YR2019'!B26+'YR2020'!B26</f>
        <v>7500</v>
      </c>
      <c r="C26" s="463">
        <f>'YR2018'!C26+'YR2019'!C26+'YR2020'!C26</f>
        <v>7500</v>
      </c>
      <c r="D26" s="463">
        <f>'YR2018'!D26+'YR2019'!D26+'YR2020'!D26</f>
        <v>0</v>
      </c>
      <c r="E26" s="463">
        <f>'YR2018'!E26+'YR2019'!E26+'YR2020'!E26</f>
        <v>0</v>
      </c>
      <c r="F26" s="444">
        <f t="shared" si="0"/>
        <v>0</v>
      </c>
      <c r="G26" s="445"/>
    </row>
    <row r="27" spans="1:7">
      <c r="A27" s="440" t="s">
        <v>83</v>
      </c>
      <c r="B27" s="463">
        <f>'YR2018'!B27+'YR2019'!B27+'YR2020'!B27</f>
        <v>1217001</v>
      </c>
      <c r="C27" s="463">
        <f>'YR2018'!C27+'YR2019'!C27+'YR2020'!C27</f>
        <v>1217001</v>
      </c>
      <c r="D27" s="463">
        <f>'YR2018'!D27+'YR2019'!D27+'YR2020'!D27</f>
        <v>0</v>
      </c>
      <c r="E27" s="463">
        <f>'YR2018'!E27+'YR2019'!E27+'YR2020'!E27</f>
        <v>0</v>
      </c>
      <c r="F27" s="444">
        <f t="shared" si="0"/>
        <v>0</v>
      </c>
      <c r="G27" s="445"/>
    </row>
    <row r="28" spans="1:7">
      <c r="A28" s="440" t="s">
        <v>84</v>
      </c>
      <c r="B28" s="463">
        <f>'YR2018'!B28+'YR2019'!B28+'YR2020'!B28</f>
        <v>174000</v>
      </c>
      <c r="C28" s="463">
        <f>'YR2018'!C28+'YR2019'!C28+'YR2020'!C28</f>
        <v>174000</v>
      </c>
      <c r="D28" s="463">
        <f>'YR2018'!D28+'YR2019'!D28+'YR2020'!D28</f>
        <v>0</v>
      </c>
      <c r="E28" s="463">
        <f>'YR2018'!E28+'YR2019'!E28+'YR2020'!E28</f>
        <v>0</v>
      </c>
      <c r="F28" s="444">
        <f t="shared" si="0"/>
        <v>0</v>
      </c>
      <c r="G28" s="445"/>
    </row>
    <row r="29" spans="1:7">
      <c r="A29" s="440" t="s">
        <v>128</v>
      </c>
      <c r="B29" s="463">
        <f>'YR2018'!B29+'YR2019'!B29+'YR2020'!B29</f>
        <v>2532999</v>
      </c>
      <c r="C29" s="463">
        <f>'YR2018'!C29+'YR2019'!C29+'YR2020'!C29</f>
        <v>2532999</v>
      </c>
      <c r="D29" s="463">
        <f>'YR2018'!D29+'YR2019'!D29+'YR2020'!D29</f>
        <v>0</v>
      </c>
      <c r="E29" s="463">
        <f>'YR2018'!E29+'YR2019'!E29+'YR2020'!E29</f>
        <v>0</v>
      </c>
      <c r="F29" s="444">
        <f t="shared" si="0"/>
        <v>0</v>
      </c>
      <c r="G29" s="445"/>
    </row>
    <row r="30" spans="1:7">
      <c r="A30" s="440" t="s">
        <v>86</v>
      </c>
      <c r="B30" s="463">
        <f>'YR2018'!B30+'YR2019'!B30+'YR2020'!B30</f>
        <v>3251001</v>
      </c>
      <c r="C30" s="463">
        <f>'YR2018'!C30+'YR2019'!C30+'YR2020'!C30</f>
        <v>0</v>
      </c>
      <c r="D30" s="463">
        <f>'YR2018'!D30+'YR2019'!D30+'YR2020'!D30</f>
        <v>0</v>
      </c>
      <c r="E30" s="463">
        <f>'YR2018'!E30+'YR2019'!E30+'YR2020'!E30</f>
        <v>0</v>
      </c>
      <c r="F30" s="444">
        <f t="shared" si="0"/>
        <v>3251001</v>
      </c>
      <c r="G30" s="445"/>
    </row>
    <row r="31" spans="1:7">
      <c r="A31" s="440" t="s">
        <v>87</v>
      </c>
      <c r="B31" s="463">
        <f>'YR2018'!B31+'YR2019'!B31+'YR2020'!B31</f>
        <v>28336500</v>
      </c>
      <c r="C31" s="463">
        <f>'YR2018'!C31+'YR2019'!C31+'YR2020'!C31</f>
        <v>27399737.609999999</v>
      </c>
      <c r="D31" s="463">
        <f>'YR2018'!D31+'YR2019'!D31+'YR2020'!D31</f>
        <v>936762</v>
      </c>
      <c r="E31" s="463">
        <f>'YR2018'!E31+'YR2019'!E31+'YR2020'!E31</f>
        <v>0</v>
      </c>
      <c r="F31" s="444">
        <f t="shared" si="0"/>
        <v>0.39000000059604645</v>
      </c>
      <c r="G31" s="445"/>
    </row>
    <row r="32" spans="1:7">
      <c r="A32" s="440" t="s">
        <v>129</v>
      </c>
      <c r="B32" s="463">
        <f>'YR2018'!B32+'YR2019'!B32+'YR2020'!B32</f>
        <v>71890118</v>
      </c>
      <c r="C32" s="463">
        <f>'YR2018'!C32+'YR2019'!C32+'YR2020'!C32</f>
        <v>71614421</v>
      </c>
      <c r="D32" s="463">
        <f>'YR2018'!D32+'YR2019'!D32+'YR2020'!D32</f>
        <v>275697</v>
      </c>
      <c r="E32" s="463">
        <f>'YR2018'!E32+'YR2019'!E32+'YR2020'!E32</f>
        <v>0</v>
      </c>
      <c r="F32" s="444">
        <f t="shared" si="0"/>
        <v>0</v>
      </c>
      <c r="G32" s="445"/>
    </row>
    <row r="33" spans="1:7">
      <c r="A33" s="440" t="s">
        <v>89</v>
      </c>
      <c r="B33" s="463">
        <f>'YR2018'!B33+'YR2019'!B33+'YR2020'!B33</f>
        <v>1443999</v>
      </c>
      <c r="C33" s="463">
        <f>'YR2018'!C33+'YR2019'!C33+'YR2020'!C33</f>
        <v>1443999</v>
      </c>
      <c r="D33" s="463">
        <f>'YR2018'!D33+'YR2019'!D33+'YR2020'!D33</f>
        <v>0</v>
      </c>
      <c r="E33" s="463">
        <f>'YR2018'!E33+'YR2019'!E33+'YR2020'!E33</f>
        <v>0</v>
      </c>
      <c r="F33" s="444">
        <f t="shared" si="0"/>
        <v>0</v>
      </c>
      <c r="G33" s="445"/>
    </row>
    <row r="34" spans="1:7">
      <c r="A34" s="440" t="s">
        <v>91</v>
      </c>
      <c r="B34" s="463">
        <f>'YR2018'!B34+'YR2019'!B34+'YR2020'!B34</f>
        <v>378000</v>
      </c>
      <c r="C34" s="463">
        <f>'YR2018'!C34+'YR2019'!C34+'YR2020'!C34</f>
        <v>378000</v>
      </c>
      <c r="D34" s="463">
        <f>'YR2018'!D34+'YR2019'!D34+'YR2020'!D34</f>
        <v>0</v>
      </c>
      <c r="E34" s="463">
        <f>'YR2018'!E34+'YR2019'!E34+'YR2020'!E34</f>
        <v>0</v>
      </c>
      <c r="F34" s="444">
        <f t="shared" si="0"/>
        <v>0</v>
      </c>
      <c r="G34" s="445"/>
    </row>
    <row r="35" spans="1:7">
      <c r="A35" s="440" t="s">
        <v>92</v>
      </c>
      <c r="B35" s="463">
        <f>'YR2018'!B35+'YR2019'!B35+'YR2020'!B35</f>
        <v>53001</v>
      </c>
      <c r="C35" s="463">
        <f>'YR2018'!C35+'YR2019'!C35+'YR2020'!C35</f>
        <v>53001</v>
      </c>
      <c r="D35" s="463">
        <f>'YR2018'!D35+'YR2019'!D35+'YR2020'!D35</f>
        <v>0</v>
      </c>
      <c r="E35" s="463">
        <f>'YR2018'!E35+'YR2019'!E35+'YR2020'!E35</f>
        <v>0</v>
      </c>
      <c r="F35" s="444">
        <f t="shared" si="0"/>
        <v>0</v>
      </c>
      <c r="G35" s="445"/>
    </row>
    <row r="36" spans="1:7">
      <c r="A36" s="440" t="s">
        <v>93</v>
      </c>
      <c r="B36" s="463">
        <f>'YR2018'!B36+'YR2019'!B36+'YR2020'!B36</f>
        <v>544500</v>
      </c>
      <c r="C36" s="463">
        <f>'YR2018'!C36+'YR2019'!C36+'YR2020'!C36</f>
        <v>544499.67999999993</v>
      </c>
      <c r="D36" s="463">
        <f>'YR2018'!D36+'YR2019'!D36+'YR2020'!D36</f>
        <v>0</v>
      </c>
      <c r="E36" s="463">
        <f>'YR2018'!E36+'YR2019'!E36+'YR2020'!E36</f>
        <v>0</v>
      </c>
      <c r="F36" s="444">
        <f t="shared" si="0"/>
        <v>0.32000000006519258</v>
      </c>
      <c r="G36" s="445"/>
    </row>
    <row r="37" spans="1:7">
      <c r="A37" s="440" t="s">
        <v>94</v>
      </c>
      <c r="B37" s="463">
        <f>'YR2018'!B37+'YR2019'!B37+'YR2020'!B37</f>
        <v>483999</v>
      </c>
      <c r="C37" s="463">
        <f>'YR2018'!C37+'YR2019'!C37+'YR2020'!C37</f>
        <v>483999</v>
      </c>
      <c r="D37" s="463">
        <f>'YR2018'!D37+'YR2019'!D37+'YR2020'!D37</f>
        <v>0</v>
      </c>
      <c r="E37" s="463">
        <f>'YR2018'!E37+'YR2019'!E37+'YR2020'!E37</f>
        <v>0</v>
      </c>
      <c r="F37" s="444">
        <f t="shared" si="0"/>
        <v>0</v>
      </c>
      <c r="G37" s="445"/>
    </row>
    <row r="38" spans="1:7">
      <c r="A38" s="440" t="s">
        <v>95</v>
      </c>
      <c r="B38" s="463">
        <f>'YR2018'!B38+'YR2019'!B38+'YR2020'!B38</f>
        <v>120999</v>
      </c>
      <c r="C38" s="463">
        <f>'YR2018'!C38+'YR2019'!C38+'YR2020'!C38</f>
        <v>0</v>
      </c>
      <c r="D38" s="463">
        <f>'YR2018'!D38+'YR2019'!D38+'YR2020'!D38</f>
        <v>0</v>
      </c>
      <c r="E38" s="463">
        <f>'YR2018'!E38+'YR2019'!E38+'YR2020'!E38</f>
        <v>0</v>
      </c>
      <c r="F38" s="444">
        <f t="shared" si="0"/>
        <v>120999</v>
      </c>
      <c r="G38" s="445"/>
    </row>
    <row r="39" spans="1:7">
      <c r="A39" s="440" t="s">
        <v>96</v>
      </c>
      <c r="B39" s="463">
        <f>'YR2018'!B39+'YR2019'!B39+'YR2020'!B39</f>
        <v>75501</v>
      </c>
      <c r="C39" s="463">
        <f>'YR2018'!C39+'YR2019'!C39+'YR2020'!C39</f>
        <v>75501</v>
      </c>
      <c r="D39" s="463">
        <f>'YR2018'!D39+'YR2019'!D39+'YR2020'!D39</f>
        <v>0</v>
      </c>
      <c r="E39" s="463">
        <f>'YR2018'!E39+'YR2019'!E39+'YR2020'!E39</f>
        <v>0</v>
      </c>
      <c r="F39" s="444">
        <f t="shared" si="0"/>
        <v>0</v>
      </c>
      <c r="G39" s="445"/>
    </row>
    <row r="40" spans="1:7">
      <c r="A40" s="440" t="s">
        <v>97</v>
      </c>
      <c r="B40" s="463">
        <f>'YR2018'!B40+'YR2019'!B40+'YR2020'!B40</f>
        <v>11204499</v>
      </c>
      <c r="C40" s="463">
        <f>'YR2018'!C40+'YR2019'!C40+'YR2020'!C40</f>
        <v>11204499</v>
      </c>
      <c r="D40" s="463">
        <f>'YR2018'!D40+'YR2019'!D40+'YR2020'!D40</f>
        <v>0</v>
      </c>
      <c r="E40" s="463">
        <f>'YR2018'!E40+'YR2019'!E40+'YR2020'!E40</f>
        <v>0</v>
      </c>
      <c r="F40" s="444">
        <f t="shared" si="0"/>
        <v>0</v>
      </c>
      <c r="G40" s="445"/>
    </row>
    <row r="41" spans="1:7">
      <c r="A41" s="440" t="s">
        <v>98</v>
      </c>
      <c r="B41" s="463">
        <f>'YR2018'!B41+'YR2019'!B41+'YR2020'!B41</f>
        <v>2025999</v>
      </c>
      <c r="C41" s="463">
        <f>'YR2018'!C41+'YR2019'!C41+'YR2020'!C41</f>
        <v>2025999</v>
      </c>
      <c r="D41" s="463">
        <f>'YR2018'!D41+'YR2019'!D41+'YR2020'!D41</f>
        <v>0</v>
      </c>
      <c r="E41" s="463">
        <f>'YR2018'!E41+'YR2019'!E41+'YR2020'!E41</f>
        <v>0</v>
      </c>
      <c r="F41" s="444">
        <f t="shared" si="0"/>
        <v>0</v>
      </c>
      <c r="G41" s="445"/>
    </row>
    <row r="42" spans="1:7">
      <c r="A42" s="440" t="s">
        <v>99</v>
      </c>
      <c r="B42" s="463">
        <f>'YR2018'!B42+'YR2019'!B42+'YR2020'!B42</f>
        <v>6419001</v>
      </c>
      <c r="C42" s="463">
        <f>'YR2018'!C42+'YR2019'!C42+'YR2020'!C42</f>
        <v>6419001</v>
      </c>
      <c r="D42" s="463">
        <f>'YR2018'!D42+'YR2019'!D42+'YR2020'!D42</f>
        <v>0</v>
      </c>
      <c r="E42" s="463">
        <f>'YR2018'!E42+'YR2019'!E42+'YR2020'!E42</f>
        <v>0</v>
      </c>
      <c r="F42" s="444">
        <f t="shared" si="0"/>
        <v>0</v>
      </c>
      <c r="G42" s="445"/>
    </row>
    <row r="43" spans="1:7">
      <c r="A43" s="440" t="s">
        <v>101</v>
      </c>
      <c r="B43" s="463">
        <f>'YR2018'!B43+'YR2019'!B43+'YR2020'!B43</f>
        <v>6358500</v>
      </c>
      <c r="C43" s="463">
        <f>'YR2018'!C43+'YR2019'!C43+'YR2020'!C43</f>
        <v>6358500</v>
      </c>
      <c r="D43" s="463">
        <f>'YR2018'!D43+'YR2019'!D43+'YR2020'!D43</f>
        <v>0</v>
      </c>
      <c r="E43" s="463">
        <f>'YR2018'!E43+'YR2019'!E43+'YR2020'!E43</f>
        <v>0</v>
      </c>
      <c r="F43" s="444">
        <f t="shared" si="0"/>
        <v>0</v>
      </c>
      <c r="G43" s="445"/>
    </row>
    <row r="44" spans="1:7">
      <c r="A44" s="440" t="s">
        <v>102</v>
      </c>
      <c r="B44" s="463">
        <f>'YR2018'!B44+'YR2019'!B44+'YR2020'!B44</f>
        <v>2963499</v>
      </c>
      <c r="C44" s="463">
        <f>'YR2018'!C44+'YR2019'!C44+'YR2020'!C44</f>
        <v>2963499</v>
      </c>
      <c r="D44" s="463">
        <f>'YR2018'!D44+'YR2019'!D44+'YR2020'!D44</f>
        <v>0</v>
      </c>
      <c r="E44" s="463">
        <f>'YR2018'!E44+'YR2019'!E44+'YR2020'!E44</f>
        <v>0</v>
      </c>
      <c r="F44" s="444">
        <f t="shared" si="0"/>
        <v>0</v>
      </c>
      <c r="G44" s="445"/>
    </row>
    <row r="45" spans="1:7">
      <c r="A45" s="440" t="s">
        <v>103</v>
      </c>
      <c r="B45" s="463">
        <f>'YR2018'!B45+'YR2019'!B45+'YR2020'!B45</f>
        <v>1391001</v>
      </c>
      <c r="C45" s="463">
        <f>'YR2018'!C45+'YR2019'!C45+'YR2020'!C45</f>
        <v>1390991</v>
      </c>
      <c r="D45" s="463">
        <f>'YR2018'!D45+'YR2019'!D45+'YR2020'!D45</f>
        <v>0</v>
      </c>
      <c r="E45" s="463">
        <f>'YR2018'!E45+'YR2019'!E45+'YR2020'!E45</f>
        <v>0</v>
      </c>
      <c r="F45" s="444">
        <f t="shared" si="0"/>
        <v>10</v>
      </c>
      <c r="G45" s="445"/>
    </row>
    <row r="46" spans="1:7">
      <c r="A46" s="440" t="s">
        <v>104</v>
      </c>
      <c r="B46" s="463">
        <f>'YR2018'!B46+'YR2019'!B46+'YR2020'!B46</f>
        <v>23346999</v>
      </c>
      <c r="C46" s="463">
        <f>'YR2018'!C46+'YR2019'!C46+'YR2020'!C46</f>
        <v>23346999</v>
      </c>
      <c r="D46" s="463">
        <f>'YR2018'!D46+'YR2019'!D46+'YR2020'!D46</f>
        <v>0</v>
      </c>
      <c r="E46" s="463">
        <f>'YR2018'!E46+'YR2019'!E46+'YR2020'!E46</f>
        <v>0</v>
      </c>
      <c r="F46" s="444">
        <f t="shared" si="0"/>
        <v>0</v>
      </c>
      <c r="G46" s="445"/>
    </row>
    <row r="47" spans="1:7">
      <c r="A47" s="440" t="s">
        <v>105</v>
      </c>
      <c r="B47" s="463">
        <f>'YR2018'!B47+'YR2019'!B47+'YR2020'!B47</f>
        <v>22500</v>
      </c>
      <c r="C47" s="463">
        <f>'YR2018'!C47+'YR2019'!C47+'YR2020'!C47</f>
        <v>22500</v>
      </c>
      <c r="D47" s="463">
        <f>'YR2018'!D47+'YR2019'!D47+'YR2020'!D47</f>
        <v>0</v>
      </c>
      <c r="E47" s="463">
        <f>'YR2018'!E47+'YR2019'!E47+'YR2020'!E47</f>
        <v>0</v>
      </c>
      <c r="F47" s="444">
        <f t="shared" si="0"/>
        <v>0</v>
      </c>
      <c r="G47" s="445"/>
    </row>
    <row r="48" spans="1:7">
      <c r="A48" s="440" t="s">
        <v>107</v>
      </c>
      <c r="B48" s="463">
        <f>'YR2018'!B48+'YR2019'!B48+'YR2020'!B48</f>
        <v>1209501</v>
      </c>
      <c r="C48" s="463">
        <f>'YR2018'!C48+'YR2019'!C48+'YR2020'!C48</f>
        <v>1209501</v>
      </c>
      <c r="D48" s="463">
        <f>'YR2018'!D48+'YR2019'!D48+'YR2020'!D48</f>
        <v>0</v>
      </c>
      <c r="E48" s="463">
        <f>'YR2018'!E48+'YR2019'!E48+'YR2020'!E48</f>
        <v>0</v>
      </c>
      <c r="F48" s="444">
        <f t="shared" si="0"/>
        <v>0</v>
      </c>
      <c r="G48" s="445"/>
    </row>
    <row r="49" spans="1:7">
      <c r="A49" s="440" t="s">
        <v>108</v>
      </c>
      <c r="B49" s="463">
        <f>'YR2018'!B49+'YR2019'!B49+'YR2020'!B49</f>
        <v>635001</v>
      </c>
      <c r="C49" s="463">
        <f>'YR2018'!C49+'YR2019'!C49+'YR2020'!C49</f>
        <v>635001</v>
      </c>
      <c r="D49" s="463">
        <f>'YR2018'!D49+'YR2019'!D49+'YR2020'!D49</f>
        <v>0</v>
      </c>
      <c r="E49" s="463">
        <f>'YR2018'!E49+'YR2019'!E49+'YR2020'!E49</f>
        <v>0</v>
      </c>
      <c r="F49" s="444">
        <f t="shared" si="0"/>
        <v>0</v>
      </c>
      <c r="G49" s="445"/>
    </row>
    <row r="50" spans="1:7">
      <c r="A50" s="440" t="s">
        <v>110</v>
      </c>
      <c r="B50" s="463">
        <f>'YR2018'!B50+'YR2019'!B50+'YR2020'!B50</f>
        <v>18470499</v>
      </c>
      <c r="C50" s="463">
        <f>'YR2018'!C50+'YR2019'!C50+'YR2020'!C50</f>
        <v>17277768</v>
      </c>
      <c r="D50" s="463">
        <f>'YR2018'!D50+'YR2019'!D50+'YR2020'!D50</f>
        <v>1192731</v>
      </c>
      <c r="E50" s="463">
        <f>'YR2018'!E50+'YR2019'!E50+'YR2020'!E50</f>
        <v>0</v>
      </c>
      <c r="F50" s="444">
        <f t="shared" si="0"/>
        <v>0</v>
      </c>
      <c r="G50" s="445"/>
    </row>
    <row r="51" spans="1:7">
      <c r="A51" s="440" t="s">
        <v>130</v>
      </c>
      <c r="B51" s="463">
        <f>'YR2018'!B51+'YR2019'!B51+'YR2020'!B51</f>
        <v>7227999</v>
      </c>
      <c r="C51" s="463">
        <f>'YR2018'!C51+'YR2019'!C51+'YR2020'!C51</f>
        <v>7227999</v>
      </c>
      <c r="D51" s="463">
        <f>'YR2018'!D51+'YR2019'!D51+'YR2020'!D51</f>
        <v>0</v>
      </c>
      <c r="E51" s="463">
        <f>'YR2018'!E51+'YR2019'!E51+'YR2020'!E51</f>
        <v>0</v>
      </c>
      <c r="F51" s="444">
        <f t="shared" si="0"/>
        <v>0</v>
      </c>
      <c r="G51" s="445"/>
    </row>
    <row r="52" spans="1:7">
      <c r="A52" s="440" t="s">
        <v>112</v>
      </c>
      <c r="B52" s="463">
        <f>'YR2018'!B52+'YR2019'!B52+'YR2020'!B52</f>
        <v>8619000</v>
      </c>
      <c r="C52" s="463">
        <f>'YR2018'!C52+'YR2019'!C52+'YR2020'!C52</f>
        <v>8618999.6699999999</v>
      </c>
      <c r="D52" s="463">
        <f>'YR2018'!D52+'YR2019'!D52+'YR2020'!D52</f>
        <v>0</v>
      </c>
      <c r="E52" s="463">
        <f>'YR2018'!E52+'YR2019'!E52+'YR2020'!E52</f>
        <v>0</v>
      </c>
      <c r="F52" s="444">
        <f t="shared" si="0"/>
        <v>0.33000000007450581</v>
      </c>
      <c r="G52" s="445"/>
    </row>
    <row r="53" spans="1:7" ht="18" customHeight="1">
      <c r="A53" s="440" t="s">
        <v>113</v>
      </c>
      <c r="B53" s="463">
        <f>'YR2018'!B53+'YR2019'!B53+'YR2020'!B53</f>
        <v>30000</v>
      </c>
      <c r="C53" s="463">
        <f>'YR2018'!C53+'YR2019'!C53+'YR2020'!C53</f>
        <v>0</v>
      </c>
      <c r="D53" s="463">
        <f>'YR2018'!D53+'YR2019'!D53+'YR2020'!D53</f>
        <v>0</v>
      </c>
      <c r="E53" s="463">
        <f>'YR2018'!E53+'YR2019'!E53+'YR2020'!E53</f>
        <v>0</v>
      </c>
      <c r="F53" s="444">
        <f t="shared" si="0"/>
        <v>30000</v>
      </c>
      <c r="G53" s="445"/>
    </row>
    <row r="54" spans="1:7">
      <c r="A54" s="440" t="s">
        <v>115</v>
      </c>
      <c r="B54" s="463">
        <f>'YR2018'!B54+'YR2019'!B54+'YR2020'!B54</f>
        <v>778500</v>
      </c>
      <c r="C54" s="463">
        <f>'YR2018'!C54+'YR2019'!C54+'YR2020'!C54</f>
        <v>0</v>
      </c>
      <c r="D54" s="463">
        <f>'YR2018'!D54+'YR2019'!D54+'YR2020'!D54</f>
        <v>0</v>
      </c>
      <c r="E54" s="463">
        <f>'YR2018'!E54+'YR2019'!E54+'YR2020'!E54</f>
        <v>0</v>
      </c>
      <c r="F54" s="444">
        <f t="shared" si="0"/>
        <v>778500</v>
      </c>
      <c r="G54" s="445"/>
    </row>
    <row r="55" spans="1:7">
      <c r="A55" s="440" t="s">
        <v>117</v>
      </c>
      <c r="B55" s="463">
        <f>'YR2018'!B55+'YR2019'!B55+'YR2020'!B55</f>
        <v>33742500</v>
      </c>
      <c r="C55" s="463">
        <f>'YR2018'!C55+'YR2019'!C55+'YR2020'!C55</f>
        <v>33742500</v>
      </c>
      <c r="D55" s="463">
        <f>'YR2018'!D55+'YR2019'!D55+'YR2020'!D55</f>
        <v>0</v>
      </c>
      <c r="E55" s="463">
        <f>'YR2018'!E55+'YR2019'!E55+'YR2020'!E55</f>
        <v>0</v>
      </c>
      <c r="F55" s="444">
        <f t="shared" si="0"/>
        <v>0</v>
      </c>
      <c r="G55" s="445"/>
    </row>
    <row r="56" spans="1:7">
      <c r="A56" s="440" t="s">
        <v>118</v>
      </c>
      <c r="B56" s="463">
        <f>'YR2018'!B56+'YR2019'!B56+'YR2020'!B56</f>
        <v>107570053</v>
      </c>
      <c r="C56" s="463">
        <f>'YR2018'!C56+'YR2019'!C56+'YR2020'!C56</f>
        <v>107570053</v>
      </c>
      <c r="D56" s="463">
        <f>'YR2018'!D56+'YR2019'!D56+'YR2020'!D56</f>
        <v>0</v>
      </c>
      <c r="E56" s="463">
        <f>'YR2018'!E56+'YR2019'!E56+'YR2020'!E56</f>
        <v>0</v>
      </c>
      <c r="F56" s="444">
        <f t="shared" si="0"/>
        <v>0</v>
      </c>
      <c r="G56" s="445"/>
    </row>
    <row r="57" spans="1:7" ht="15" thickBot="1">
      <c r="A57" s="449" t="s">
        <v>119</v>
      </c>
      <c r="B57" s="492">
        <f>'YR2018'!B57+'YR2019'!B57+'YR2020'!B57</f>
        <v>174000</v>
      </c>
      <c r="C57" s="492">
        <f>'YR2018'!C57+'YR2019'!C57+'YR2020'!C57</f>
        <v>116000</v>
      </c>
      <c r="D57" s="492">
        <f>'YR2018'!D57+'YR2019'!D57+'YR2020'!D57</f>
        <v>0</v>
      </c>
      <c r="E57" s="492">
        <f>'YR2018'!E57+'YR2019'!E57+'YR2020'!E57</f>
        <v>0</v>
      </c>
      <c r="F57" s="493">
        <f t="shared" si="0"/>
        <v>58000</v>
      </c>
      <c r="G57" s="445"/>
    </row>
    <row r="58" spans="1:7" ht="15" thickBot="1">
      <c r="A58" s="443" t="s">
        <v>122</v>
      </c>
      <c r="B58" s="31">
        <f>SUM(B9:B57)</f>
        <v>496274667</v>
      </c>
      <c r="C58" s="31">
        <f>SUM(C9:C57)</f>
        <v>478141866.64000005</v>
      </c>
      <c r="D58" s="31">
        <f>SUM(D9:D57)</f>
        <v>13681572</v>
      </c>
      <c r="E58" s="31">
        <f>SUM(E9:E57)</f>
        <v>0</v>
      </c>
      <c r="F58" s="85">
        <f>SUM(F9:F57)</f>
        <v>4451228.3600000003</v>
      </c>
      <c r="G58" s="445"/>
    </row>
    <row r="59" spans="1:7" ht="15" thickBot="1">
      <c r="A59" s="450" t="s">
        <v>131</v>
      </c>
      <c r="B59" s="109">
        <f>'YR2018'!B59+'YR2019'!B59+'YR2020'!B59</f>
        <v>3725331</v>
      </c>
      <c r="C59" s="451">
        <v>0</v>
      </c>
      <c r="D59" s="451">
        <v>0</v>
      </c>
      <c r="E59" s="451">
        <v>0</v>
      </c>
      <c r="F59" s="110">
        <f>B59-C59-D59-E59</f>
        <v>3725331</v>
      </c>
      <c r="G59" s="445"/>
    </row>
    <row r="60" spans="1:7" ht="15" thickBot="1">
      <c r="A60" s="452" t="s">
        <v>132</v>
      </c>
      <c r="B60" s="32">
        <f>B58+B59</f>
        <v>499999998</v>
      </c>
      <c r="C60" s="32">
        <f>C58+C59</f>
        <v>478141866.64000005</v>
      </c>
      <c r="D60" s="32">
        <f>D58+D59</f>
        <v>13681572</v>
      </c>
      <c r="E60" s="32">
        <f>E58+E59</f>
        <v>0</v>
      </c>
      <c r="F60" s="111">
        <f>F58+F59</f>
        <v>8176559.3600000003</v>
      </c>
      <c r="G60" s="445"/>
    </row>
    <row r="61" spans="1:7" ht="15" hidden="1" thickBot="1">
      <c r="A61" s="445"/>
      <c r="B61" s="109">
        <v>1631906</v>
      </c>
      <c r="C61" s="445"/>
      <c r="D61" s="445"/>
      <c r="E61" s="445"/>
      <c r="F61" s="445"/>
      <c r="G61" s="445"/>
    </row>
    <row r="62" spans="1:7">
      <c r="A62" s="475" t="s">
        <v>257</v>
      </c>
      <c r="B62" s="496"/>
      <c r="C62" s="496"/>
      <c r="D62" s="496"/>
      <c r="E62" s="496"/>
      <c r="F62" s="496"/>
      <c r="G62" s="445"/>
    </row>
    <row r="63" spans="1:7" ht="15" thickBot="1">
      <c r="A63" s="445"/>
      <c r="B63" s="445"/>
      <c r="C63" s="445"/>
      <c r="D63" s="445"/>
      <c r="E63" s="445"/>
      <c r="F63" s="445"/>
      <c r="G63" s="445"/>
    </row>
    <row r="64" spans="1:7" ht="15" thickBot="1">
      <c r="A64" s="455" t="s">
        <v>133</v>
      </c>
      <c r="B64" s="456">
        <f>B12+B13+B15+B19+B21+B27+B33+B34+B36+B43+B46+B48+B49+B53+B54+B57</f>
        <v>40221501</v>
      </c>
      <c r="C64" s="456">
        <f>C12+C13+C15+C19+C21+C26+C34+C36+C43+C46+C48+C49+C53+C54+C57</f>
        <v>36183832.649999999</v>
      </c>
      <c r="D64" s="456">
        <f>D12+D13+D15+D19+D21+D26+D34+D36+D43+D46+D48+D49+D53+D54+D57</f>
        <v>0</v>
      </c>
      <c r="E64" s="456">
        <f>E12+E13+E15+E19+E21+E26+E34+E36+E43+E46+E48+E49+E53+E54+E57</f>
        <v>0</v>
      </c>
      <c r="F64" s="457">
        <f>B64-C64-D64-E64</f>
        <v>4037668.3500000015</v>
      </c>
      <c r="G64" s="445"/>
    </row>
    <row r="65" spans="1:7">
      <c r="A65" s="445"/>
      <c r="B65" s="445"/>
      <c r="C65" s="445"/>
      <c r="D65" s="445"/>
      <c r="E65" s="445"/>
      <c r="F65" s="445"/>
      <c r="G65" s="445"/>
    </row>
    <row r="66" spans="1:7">
      <c r="A66" s="445"/>
      <c r="B66" s="445"/>
      <c r="C66" s="445"/>
      <c r="D66" s="445"/>
      <c r="E66" s="445"/>
      <c r="F66" s="445"/>
      <c r="G66" s="445"/>
    </row>
  </sheetData>
  <mergeCells count="4">
    <mergeCell ref="A5:F5"/>
    <mergeCell ref="A6:F6"/>
    <mergeCell ref="A7:F7"/>
    <mergeCell ref="E1:F1"/>
  </mergeCells>
  <printOptions horizontalCentered="1"/>
  <pageMargins left="0.11811023622047245" right="0.11811023622047245" top="0.27559055118110237" bottom="0.19685039370078741" header="0.27559055118110237" footer="0.11811023622047245"/>
  <pageSetup scale="77"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A1B6-919E-4DAD-8F7F-E9066F0F3CF0}">
  <sheetPr>
    <pageSetUpPr fitToPage="1"/>
  </sheetPr>
  <dimension ref="A1:G66"/>
  <sheetViews>
    <sheetView workbookViewId="0">
      <selection activeCell="D14" sqref="D14"/>
    </sheetView>
  </sheetViews>
  <sheetFormatPr defaultRowHeight="14.5"/>
  <cols>
    <col min="1" max="1" width="30.7265625" customWidth="1"/>
    <col min="2" max="6" width="20.7265625" customWidth="1"/>
  </cols>
  <sheetData>
    <row r="1" spans="1:7" ht="18">
      <c r="B1" s="430"/>
      <c r="C1" s="14"/>
      <c r="D1" s="14"/>
      <c r="E1" s="799" t="str">
        <f>[1]Status!C1</f>
        <v>UNEP/OzL.Pro/ExCom/94/3</v>
      </c>
      <c r="F1" s="799"/>
    </row>
    <row r="2" spans="1:7" ht="18">
      <c r="B2" s="14"/>
      <c r="C2" s="14"/>
      <c r="D2" s="14"/>
      <c r="E2" s="16"/>
      <c r="F2" s="16" t="s">
        <v>0</v>
      </c>
    </row>
    <row r="3" spans="1:7" ht="18">
      <c r="B3" s="14"/>
      <c r="C3" s="14"/>
      <c r="D3" s="14"/>
      <c r="E3" s="16"/>
      <c r="F3" s="16" t="s">
        <v>140</v>
      </c>
    </row>
    <row r="4" spans="1:7" ht="15.5">
      <c r="A4" s="1"/>
      <c r="B4" s="14"/>
      <c r="C4" s="14"/>
      <c r="D4" s="14"/>
      <c r="E4" s="18"/>
      <c r="F4" s="18"/>
    </row>
    <row r="5" spans="1:7" ht="16">
      <c r="A5" s="794" t="s">
        <v>2</v>
      </c>
      <c r="B5" s="794"/>
      <c r="C5" s="794"/>
      <c r="D5" s="794"/>
      <c r="E5" s="794"/>
      <c r="F5" s="794"/>
    </row>
    <row r="6" spans="1:7" ht="15.5">
      <c r="A6" s="795" t="s">
        <v>269</v>
      </c>
      <c r="B6" s="795"/>
      <c r="C6" s="795"/>
      <c r="D6" s="795"/>
      <c r="E6" s="795"/>
      <c r="F6" s="795"/>
    </row>
    <row r="7" spans="1:7" ht="16.5" thickBot="1">
      <c r="A7" s="796" t="str">
        <f>[1]Status!A6</f>
        <v>As at 24/05/2024</v>
      </c>
      <c r="B7" s="796"/>
      <c r="C7" s="796"/>
      <c r="D7" s="796"/>
      <c r="E7" s="796"/>
      <c r="F7" s="796"/>
    </row>
    <row r="8" spans="1:7" ht="31.5" customHeight="1" thickBot="1">
      <c r="A8" s="19" t="s">
        <v>59</v>
      </c>
      <c r="B8" s="20" t="s">
        <v>60</v>
      </c>
      <c r="C8" s="20" t="s">
        <v>61</v>
      </c>
      <c r="D8" s="504" t="s">
        <v>62</v>
      </c>
      <c r="E8" s="20" t="s">
        <v>63</v>
      </c>
      <c r="F8" s="21" t="s">
        <v>64</v>
      </c>
    </row>
    <row r="9" spans="1:7">
      <c r="A9" s="497" t="s">
        <v>65</v>
      </c>
      <c r="B9" s="498">
        <v>15167</v>
      </c>
      <c r="C9" s="498">
        <v>15167</v>
      </c>
      <c r="D9" s="495"/>
      <c r="E9" s="495"/>
      <c r="F9" s="493">
        <f t="shared" ref="F9:F59" si="0">B9-C9-D9-E9</f>
        <v>0</v>
      </c>
      <c r="G9" s="445"/>
    </row>
    <row r="10" spans="1:7">
      <c r="A10" s="437" t="s">
        <v>124</v>
      </c>
      <c r="B10" s="463">
        <v>5889667</v>
      </c>
      <c r="C10" s="463">
        <f>5889667-423603+2339</f>
        <v>5468403</v>
      </c>
      <c r="D10" s="438">
        <f>423603-2339</f>
        <v>421264</v>
      </c>
      <c r="E10" s="438"/>
      <c r="F10" s="444">
        <f t="shared" si="0"/>
        <v>0</v>
      </c>
      <c r="G10" s="445"/>
    </row>
    <row r="11" spans="1:7">
      <c r="A11" s="437" t="s">
        <v>67</v>
      </c>
      <c r="B11" s="463">
        <v>1814500</v>
      </c>
      <c r="C11" s="463">
        <v>1814500</v>
      </c>
      <c r="D11" s="438"/>
      <c r="E11" s="438"/>
      <c r="F11" s="444">
        <f t="shared" si="0"/>
        <v>0</v>
      </c>
      <c r="G11" s="445"/>
    </row>
    <row r="12" spans="1:7">
      <c r="A12" s="439" t="s">
        <v>68</v>
      </c>
      <c r="B12" s="463">
        <v>151167</v>
      </c>
      <c r="C12" s="463"/>
      <c r="D12" s="438"/>
      <c r="E12" s="438"/>
      <c r="F12" s="444">
        <f t="shared" si="0"/>
        <v>151167</v>
      </c>
      <c r="G12" s="445"/>
    </row>
    <row r="13" spans="1:7">
      <c r="A13" s="437" t="s">
        <v>69</v>
      </c>
      <c r="B13" s="463">
        <v>141167</v>
      </c>
      <c r="C13" s="463">
        <v>141167</v>
      </c>
      <c r="D13" s="438"/>
      <c r="E13" s="438"/>
      <c r="F13" s="444">
        <f t="shared" si="0"/>
        <v>0</v>
      </c>
      <c r="G13" s="445"/>
    </row>
    <row r="14" spans="1:7">
      <c r="A14" s="437" t="s">
        <v>70</v>
      </c>
      <c r="B14" s="463">
        <v>2230333</v>
      </c>
      <c r="C14" s="463">
        <v>2230333</v>
      </c>
      <c r="D14" s="438"/>
      <c r="E14" s="438"/>
      <c r="F14" s="444">
        <f t="shared" si="0"/>
        <v>0</v>
      </c>
      <c r="G14" s="445"/>
    </row>
    <row r="15" spans="1:7">
      <c r="A15" s="437" t="s">
        <v>71</v>
      </c>
      <c r="B15" s="463">
        <v>113333</v>
      </c>
      <c r="C15" s="463">
        <v>113333</v>
      </c>
      <c r="D15" s="438"/>
      <c r="E15" s="438"/>
      <c r="F15" s="444">
        <f t="shared" si="0"/>
        <v>0</v>
      </c>
      <c r="G15" s="445"/>
    </row>
    <row r="16" spans="1:7">
      <c r="A16" s="437" t="s">
        <v>125</v>
      </c>
      <c r="B16" s="463">
        <v>7361333</v>
      </c>
      <c r="C16" s="463">
        <f>5889066+1047504.6</f>
        <v>6936570.5999999996</v>
      </c>
      <c r="D16" s="438">
        <f>411962-30000+42800</f>
        <v>424762</v>
      </c>
      <c r="E16" s="438"/>
      <c r="F16" s="444">
        <f t="shared" si="0"/>
        <v>0.40000000037252903</v>
      </c>
      <c r="G16" s="445"/>
    </row>
    <row r="17" spans="1:7">
      <c r="A17" s="437" t="s">
        <v>73</v>
      </c>
      <c r="B17" s="463">
        <v>249500</v>
      </c>
      <c r="C17" s="463">
        <v>249500</v>
      </c>
      <c r="D17" s="438"/>
      <c r="E17" s="438"/>
      <c r="F17" s="444">
        <f t="shared" si="0"/>
        <v>0</v>
      </c>
      <c r="G17" s="445"/>
    </row>
    <row r="18" spans="1:7">
      <c r="A18" s="437" t="s">
        <v>74</v>
      </c>
      <c r="B18" s="463">
        <v>108333</v>
      </c>
      <c r="C18" s="463">
        <v>108333</v>
      </c>
      <c r="D18" s="438"/>
      <c r="E18" s="438"/>
      <c r="F18" s="444">
        <f t="shared" si="0"/>
        <v>0</v>
      </c>
      <c r="G18" s="445"/>
    </row>
    <row r="19" spans="1:7">
      <c r="A19" s="437" t="s">
        <v>75</v>
      </c>
      <c r="B19" s="463">
        <v>867000</v>
      </c>
      <c r="C19" s="463">
        <v>867000</v>
      </c>
      <c r="D19" s="438"/>
      <c r="E19" s="438"/>
      <c r="F19" s="444">
        <f t="shared" si="0"/>
        <v>0</v>
      </c>
      <c r="G19" s="445"/>
    </row>
    <row r="20" spans="1:7">
      <c r="A20" s="437" t="s">
        <v>76</v>
      </c>
      <c r="B20" s="463">
        <v>1471833</v>
      </c>
      <c r="C20" s="463">
        <v>1471833</v>
      </c>
      <c r="D20" s="438"/>
      <c r="E20" s="438"/>
      <c r="F20" s="444">
        <f t="shared" si="0"/>
        <v>0</v>
      </c>
      <c r="G20" s="445"/>
    </row>
    <row r="21" spans="1:7">
      <c r="A21" s="437" t="s">
        <v>77</v>
      </c>
      <c r="B21" s="463">
        <v>95833</v>
      </c>
      <c r="C21" s="463">
        <v>95833</v>
      </c>
      <c r="D21" s="438"/>
      <c r="E21" s="438"/>
      <c r="F21" s="444">
        <f t="shared" si="0"/>
        <v>0</v>
      </c>
      <c r="G21" s="445"/>
    </row>
    <row r="22" spans="1:7">
      <c r="A22" s="437" t="s">
        <v>78</v>
      </c>
      <c r="B22" s="463">
        <v>1149167</v>
      </c>
      <c r="C22" s="463">
        <v>1149167</v>
      </c>
      <c r="D22" s="438"/>
      <c r="E22" s="438"/>
      <c r="F22" s="444">
        <f t="shared" si="0"/>
        <v>0</v>
      </c>
      <c r="G22" s="445"/>
    </row>
    <row r="23" spans="1:7">
      <c r="A23" s="437" t="s">
        <v>126</v>
      </c>
      <c r="B23" s="463">
        <v>12245500</v>
      </c>
      <c r="C23" s="463">
        <f>12224030-5085</f>
        <v>12218945</v>
      </c>
      <c r="D23" s="438">
        <f>21470+5085</f>
        <v>26555</v>
      </c>
      <c r="E23" s="438"/>
      <c r="F23" s="444">
        <f t="shared" si="0"/>
        <v>0</v>
      </c>
      <c r="G23" s="445"/>
    </row>
    <row r="24" spans="1:7">
      <c r="A24" s="437" t="s">
        <v>127</v>
      </c>
      <c r="B24" s="463">
        <v>16101333</v>
      </c>
      <c r="C24" s="463">
        <f>12881066.4+32642</f>
        <v>12913708.4</v>
      </c>
      <c r="D24" s="438">
        <f>101135+3227427-140937</f>
        <v>3187625</v>
      </c>
      <c r="E24" s="463"/>
      <c r="F24" s="444">
        <f>B24-C24-D24-E24</f>
        <v>-0.40000000037252903</v>
      </c>
      <c r="G24" s="445"/>
    </row>
    <row r="25" spans="1:7">
      <c r="A25" s="437" t="s">
        <v>81</v>
      </c>
      <c r="B25" s="463">
        <v>1187000</v>
      </c>
      <c r="C25" s="463">
        <v>1187000</v>
      </c>
      <c r="D25" s="438"/>
      <c r="E25" s="438"/>
      <c r="F25" s="444">
        <f t="shared" si="0"/>
        <v>0</v>
      </c>
      <c r="G25" s="445"/>
    </row>
    <row r="26" spans="1:7">
      <c r="A26" s="437" t="s">
        <v>82</v>
      </c>
      <c r="B26" s="463">
        <v>2500</v>
      </c>
      <c r="C26" s="463">
        <v>2500</v>
      </c>
      <c r="D26" s="438"/>
      <c r="E26" s="438"/>
      <c r="F26" s="444">
        <f t="shared" si="0"/>
        <v>0</v>
      </c>
      <c r="G26" s="445"/>
    </row>
    <row r="27" spans="1:7">
      <c r="A27" s="437" t="s">
        <v>83</v>
      </c>
      <c r="B27" s="463">
        <v>405667</v>
      </c>
      <c r="C27" s="463">
        <v>405667</v>
      </c>
      <c r="D27" s="438"/>
      <c r="E27" s="438"/>
      <c r="F27" s="444">
        <f t="shared" si="0"/>
        <v>0</v>
      </c>
      <c r="G27" s="445"/>
    </row>
    <row r="28" spans="1:7">
      <c r="A28" s="437" t="s">
        <v>84</v>
      </c>
      <c r="B28" s="463">
        <v>58000</v>
      </c>
      <c r="C28" s="463">
        <v>58000</v>
      </c>
      <c r="D28" s="438"/>
      <c r="E28" s="438"/>
      <c r="F28" s="444">
        <f t="shared" si="0"/>
        <v>0</v>
      </c>
      <c r="G28" s="445"/>
    </row>
    <row r="29" spans="1:7">
      <c r="A29" s="437" t="s">
        <v>128</v>
      </c>
      <c r="B29" s="463">
        <v>844333</v>
      </c>
      <c r="C29" s="463">
        <v>844333</v>
      </c>
      <c r="D29" s="438"/>
      <c r="E29" s="438"/>
      <c r="F29" s="444">
        <f t="shared" si="0"/>
        <v>0</v>
      </c>
      <c r="G29" s="445"/>
    </row>
    <row r="30" spans="1:7">
      <c r="A30" s="437" t="s">
        <v>86</v>
      </c>
      <c r="B30" s="463">
        <v>1083667</v>
      </c>
      <c r="C30" s="463"/>
      <c r="D30" s="438"/>
      <c r="E30" s="438"/>
      <c r="F30" s="444">
        <f t="shared" si="0"/>
        <v>1083667</v>
      </c>
      <c r="G30" s="445"/>
    </row>
    <row r="31" spans="1:7">
      <c r="A31" s="437" t="s">
        <v>87</v>
      </c>
      <c r="B31" s="463">
        <v>9445500</v>
      </c>
      <c r="C31" s="463">
        <f>9445500</f>
        <v>9445500</v>
      </c>
      <c r="D31" s="438"/>
      <c r="E31" s="438"/>
      <c r="F31" s="444">
        <f t="shared" si="0"/>
        <v>0</v>
      </c>
      <c r="G31" s="445"/>
    </row>
    <row r="32" spans="1:7">
      <c r="A32" s="437" t="s">
        <v>129</v>
      </c>
      <c r="B32" s="463">
        <f>24395167</f>
        <v>24395167</v>
      </c>
      <c r="C32" s="463">
        <f>7541533+16201620+431798+220216</f>
        <v>24395167</v>
      </c>
      <c r="D32" s="438"/>
      <c r="E32" s="438"/>
      <c r="F32" s="444">
        <f t="shared" si="0"/>
        <v>0</v>
      </c>
      <c r="G32" s="445"/>
    </row>
    <row r="33" spans="1:7">
      <c r="A33" s="437" t="s">
        <v>89</v>
      </c>
      <c r="B33" s="463">
        <v>481333</v>
      </c>
      <c r="C33" s="463">
        <v>481333</v>
      </c>
      <c r="D33" s="438"/>
      <c r="E33" s="438"/>
      <c r="F33" s="444">
        <f t="shared" si="0"/>
        <v>0</v>
      </c>
      <c r="G33" s="445"/>
    </row>
    <row r="34" spans="1:7">
      <c r="A34" s="437" t="s">
        <v>91</v>
      </c>
      <c r="B34" s="463">
        <v>126000</v>
      </c>
      <c r="C34" s="463">
        <v>126000</v>
      </c>
      <c r="D34" s="438"/>
      <c r="E34" s="438"/>
      <c r="F34" s="444">
        <f t="shared" si="0"/>
        <v>0</v>
      </c>
      <c r="G34" s="445"/>
    </row>
    <row r="35" spans="1:7">
      <c r="A35" s="437" t="s">
        <v>92</v>
      </c>
      <c r="B35" s="463">
        <v>17667</v>
      </c>
      <c r="C35" s="463">
        <v>17667</v>
      </c>
      <c r="D35" s="438"/>
      <c r="E35" s="438"/>
      <c r="F35" s="444">
        <f t="shared" si="0"/>
        <v>0</v>
      </c>
      <c r="G35" s="445"/>
    </row>
    <row r="36" spans="1:7">
      <c r="A36" s="437" t="s">
        <v>93</v>
      </c>
      <c r="B36" s="463">
        <v>181500</v>
      </c>
      <c r="C36" s="463">
        <f>133448+48051.68</f>
        <v>181499.68</v>
      </c>
      <c r="D36" s="438"/>
      <c r="E36" s="438"/>
      <c r="F36" s="444">
        <f t="shared" si="0"/>
        <v>0.32000000000698492</v>
      </c>
      <c r="G36" s="445"/>
    </row>
    <row r="37" spans="1:7">
      <c r="A37" s="437" t="s">
        <v>94</v>
      </c>
      <c r="B37" s="463">
        <v>161333</v>
      </c>
      <c r="C37" s="463">
        <v>161333</v>
      </c>
      <c r="D37" s="438"/>
      <c r="E37" s="438"/>
      <c r="F37" s="444">
        <f t="shared" si="0"/>
        <v>0</v>
      </c>
      <c r="G37" s="445"/>
    </row>
    <row r="38" spans="1:7">
      <c r="A38" s="437" t="s">
        <v>95</v>
      </c>
      <c r="B38" s="463">
        <v>40333</v>
      </c>
      <c r="C38" s="463"/>
      <c r="D38" s="438"/>
      <c r="E38" s="438"/>
      <c r="F38" s="444">
        <f t="shared" si="0"/>
        <v>40333</v>
      </c>
      <c r="G38" s="445"/>
    </row>
    <row r="39" spans="1:7">
      <c r="A39" s="437" t="s">
        <v>96</v>
      </c>
      <c r="B39" s="463">
        <v>25167</v>
      </c>
      <c r="C39" s="463">
        <v>25167</v>
      </c>
      <c r="D39" s="438"/>
      <c r="E39" s="438"/>
      <c r="F39" s="444">
        <f t="shared" si="0"/>
        <v>0</v>
      </c>
      <c r="G39" s="445"/>
    </row>
    <row r="40" spans="1:7">
      <c r="A40" s="437" t="s">
        <v>97</v>
      </c>
      <c r="B40" s="463">
        <v>3734833</v>
      </c>
      <c r="C40" s="463">
        <v>3734833</v>
      </c>
      <c r="D40" s="438"/>
      <c r="E40" s="438"/>
      <c r="F40" s="444">
        <f t="shared" si="0"/>
        <v>0</v>
      </c>
      <c r="G40" s="445"/>
    </row>
    <row r="41" spans="1:7">
      <c r="A41" s="437" t="s">
        <v>98</v>
      </c>
      <c r="B41" s="463">
        <v>675333</v>
      </c>
      <c r="C41" s="463">
        <v>675333</v>
      </c>
      <c r="D41" s="438"/>
      <c r="E41" s="438"/>
      <c r="F41" s="444">
        <f t="shared" si="0"/>
        <v>0</v>
      </c>
      <c r="G41" s="445"/>
    </row>
    <row r="42" spans="1:7">
      <c r="A42" s="437" t="s">
        <v>99</v>
      </c>
      <c r="B42" s="463">
        <v>2139667</v>
      </c>
      <c r="C42" s="463">
        <v>2139667</v>
      </c>
      <c r="D42" s="438"/>
      <c r="E42" s="438"/>
      <c r="F42" s="444">
        <f t="shared" si="0"/>
        <v>0</v>
      </c>
      <c r="G42" s="445"/>
    </row>
    <row r="43" spans="1:7">
      <c r="A43" s="437" t="s">
        <v>101</v>
      </c>
      <c r="B43" s="463">
        <v>2119500</v>
      </c>
      <c r="C43" s="463">
        <v>2119500</v>
      </c>
      <c r="D43" s="438"/>
      <c r="E43" s="438"/>
      <c r="F43" s="444">
        <f t="shared" si="0"/>
        <v>0</v>
      </c>
      <c r="G43" s="445"/>
    </row>
    <row r="44" spans="1:7">
      <c r="A44" s="437" t="s">
        <v>102</v>
      </c>
      <c r="B44" s="463">
        <v>987833</v>
      </c>
      <c r="C44" s="463">
        <v>987833</v>
      </c>
      <c r="D44" s="438"/>
      <c r="E44" s="438"/>
      <c r="F44" s="444">
        <f t="shared" si="0"/>
        <v>0</v>
      </c>
      <c r="G44" s="445"/>
    </row>
    <row r="45" spans="1:7">
      <c r="A45" s="437" t="s">
        <v>103</v>
      </c>
      <c r="B45" s="463">
        <v>463667</v>
      </c>
      <c r="C45" s="463">
        <v>463667</v>
      </c>
      <c r="D45" s="438"/>
      <c r="E45" s="438"/>
      <c r="F45" s="444">
        <f t="shared" si="0"/>
        <v>0</v>
      </c>
      <c r="G45" s="445"/>
    </row>
    <row r="46" spans="1:7">
      <c r="A46" s="437" t="s">
        <v>104</v>
      </c>
      <c r="B46" s="463">
        <v>7782333</v>
      </c>
      <c r="C46" s="463">
        <v>7782333</v>
      </c>
      <c r="D46" s="438"/>
      <c r="E46" s="438"/>
      <c r="F46" s="444">
        <f t="shared" si="0"/>
        <v>0</v>
      </c>
      <c r="G46" s="445"/>
    </row>
    <row r="47" spans="1:7">
      <c r="A47" s="437" t="s">
        <v>105</v>
      </c>
      <c r="B47" s="463">
        <v>7500</v>
      </c>
      <c r="C47" s="463">
        <v>7500</v>
      </c>
      <c r="D47" s="438"/>
      <c r="E47" s="438"/>
      <c r="F47" s="444">
        <f t="shared" si="0"/>
        <v>0</v>
      </c>
      <c r="G47" s="445"/>
    </row>
    <row r="48" spans="1:7">
      <c r="A48" s="437" t="s">
        <v>107</v>
      </c>
      <c r="B48" s="463">
        <v>403167</v>
      </c>
      <c r="C48" s="463">
        <v>403167</v>
      </c>
      <c r="D48" s="438"/>
      <c r="E48" s="438"/>
      <c r="F48" s="444">
        <f t="shared" si="0"/>
        <v>0</v>
      </c>
      <c r="G48" s="445"/>
    </row>
    <row r="49" spans="1:7">
      <c r="A49" s="437" t="s">
        <v>108</v>
      </c>
      <c r="B49" s="463">
        <v>211667</v>
      </c>
      <c r="C49" s="463">
        <v>211667</v>
      </c>
      <c r="D49" s="438"/>
      <c r="E49" s="438"/>
      <c r="F49" s="444">
        <f t="shared" si="0"/>
        <v>0</v>
      </c>
      <c r="G49" s="445"/>
    </row>
    <row r="50" spans="1:7">
      <c r="A50" s="437" t="s">
        <v>110</v>
      </c>
      <c r="B50" s="463">
        <v>6156833</v>
      </c>
      <c r="C50" s="463">
        <v>6156833</v>
      </c>
      <c r="D50" s="438"/>
      <c r="E50" s="438"/>
      <c r="F50" s="444">
        <f t="shared" si="0"/>
        <v>0</v>
      </c>
      <c r="G50" s="445"/>
    </row>
    <row r="51" spans="1:7">
      <c r="A51" s="437" t="s">
        <v>130</v>
      </c>
      <c r="B51" s="463">
        <v>2409333</v>
      </c>
      <c r="C51" s="463">
        <v>2409333</v>
      </c>
      <c r="D51" s="438"/>
      <c r="E51" s="438"/>
      <c r="F51" s="444">
        <f t="shared" si="0"/>
        <v>0</v>
      </c>
      <c r="G51" s="445"/>
    </row>
    <row r="52" spans="1:7">
      <c r="A52" s="437" t="s">
        <v>112</v>
      </c>
      <c r="B52" s="438">
        <v>2873000</v>
      </c>
      <c r="C52" s="463">
        <v>2873000</v>
      </c>
      <c r="D52" s="438"/>
      <c r="E52" s="438"/>
      <c r="F52" s="444">
        <f t="shared" si="0"/>
        <v>0</v>
      </c>
      <c r="G52" s="445"/>
    </row>
    <row r="53" spans="1:7" ht="18" customHeight="1">
      <c r="A53" s="437" t="s">
        <v>113</v>
      </c>
      <c r="B53" s="438">
        <v>10000</v>
      </c>
      <c r="C53" s="463"/>
      <c r="D53" s="438"/>
      <c r="E53" s="438"/>
      <c r="F53" s="444">
        <f t="shared" si="0"/>
        <v>10000</v>
      </c>
      <c r="G53" s="445"/>
    </row>
    <row r="54" spans="1:7">
      <c r="A54" s="437" t="s">
        <v>115</v>
      </c>
      <c r="B54" s="438">
        <v>259500</v>
      </c>
      <c r="C54" s="463"/>
      <c r="D54" s="438"/>
      <c r="E54" s="438"/>
      <c r="F54" s="444">
        <f t="shared" si="0"/>
        <v>259500</v>
      </c>
      <c r="G54" s="445"/>
    </row>
    <row r="55" spans="1:7">
      <c r="A55" s="437" t="s">
        <v>117</v>
      </c>
      <c r="B55" s="463">
        <v>11247500</v>
      </c>
      <c r="C55" s="463">
        <v>11247500</v>
      </c>
      <c r="D55" s="438"/>
      <c r="E55" s="463"/>
      <c r="F55" s="444">
        <f t="shared" si="0"/>
        <v>0</v>
      </c>
      <c r="G55" s="445"/>
    </row>
    <row r="56" spans="1:7">
      <c r="A56" s="437" t="s">
        <v>118</v>
      </c>
      <c r="B56" s="463">
        <f>36666667-13244-798042-375490</f>
        <v>35479891</v>
      </c>
      <c r="C56" s="463">
        <f>608076+156099+24950000+728743+8326000+4650000+26000000+488779+4800000-34054274-798042-375490</f>
        <v>35479891</v>
      </c>
      <c r="D56" s="438"/>
      <c r="E56" s="438"/>
      <c r="F56" s="444">
        <f t="shared" si="0"/>
        <v>0</v>
      </c>
      <c r="G56" s="445"/>
    </row>
    <row r="57" spans="1:7">
      <c r="A57" s="437" t="s">
        <v>119</v>
      </c>
      <c r="B57" s="463">
        <v>58000</v>
      </c>
      <c r="C57" s="463">
        <v>58000</v>
      </c>
      <c r="D57" s="438"/>
      <c r="E57" s="438"/>
      <c r="F57" s="444">
        <f t="shared" si="0"/>
        <v>0</v>
      </c>
      <c r="G57" s="445"/>
    </row>
    <row r="58" spans="1:7" ht="15" thickBot="1">
      <c r="A58" s="465" t="s">
        <v>122</v>
      </c>
      <c r="B58" s="466">
        <f>SUM(B9:B57)</f>
        <v>165479890</v>
      </c>
      <c r="C58" s="466">
        <f>SUM(C9:C57)</f>
        <v>159875016.68000001</v>
      </c>
      <c r="D58" s="466">
        <f>SUM(D9:D57)</f>
        <v>4060206</v>
      </c>
      <c r="E58" s="466">
        <f>SUM(E9:E57)</f>
        <v>0</v>
      </c>
      <c r="F58" s="467">
        <f>SUM(F9:F57)</f>
        <v>1544667.32</v>
      </c>
      <c r="G58" s="445"/>
    </row>
    <row r="59" spans="1:7" ht="15" thickBot="1">
      <c r="A59" s="468" t="s">
        <v>131</v>
      </c>
      <c r="B59" s="454">
        <f>811286+375490</f>
        <v>1186776</v>
      </c>
      <c r="C59" s="454"/>
      <c r="D59" s="454"/>
      <c r="E59" s="454"/>
      <c r="F59" s="444">
        <f t="shared" si="0"/>
        <v>1186776</v>
      </c>
      <c r="G59" s="445"/>
    </row>
    <row r="60" spans="1:7" ht="15" thickBot="1">
      <c r="A60" s="452" t="s">
        <v>132</v>
      </c>
      <c r="B60" s="470">
        <f>B58+B59</f>
        <v>166666666</v>
      </c>
      <c r="C60" s="470">
        <f t="shared" ref="C60:F60" si="1">C58+C59</f>
        <v>159875016.68000001</v>
      </c>
      <c r="D60" s="470">
        <f t="shared" si="1"/>
        <v>4060206</v>
      </c>
      <c r="E60" s="470">
        <f t="shared" si="1"/>
        <v>0</v>
      </c>
      <c r="F60" s="471">
        <f t="shared" si="1"/>
        <v>2731443.3200000003</v>
      </c>
      <c r="G60" s="445"/>
    </row>
    <row r="61" spans="1:7">
      <c r="A61" s="475" t="s">
        <v>249</v>
      </c>
      <c r="B61" s="454"/>
      <c r="C61" s="454"/>
      <c r="D61" s="454"/>
      <c r="E61" s="454"/>
      <c r="F61" s="454"/>
      <c r="G61" s="445"/>
    </row>
    <row r="62" spans="1:7" ht="15" thickBot="1">
      <c r="A62" s="475"/>
      <c r="B62" s="454"/>
      <c r="C62" s="454"/>
      <c r="D62" s="454"/>
      <c r="E62" s="454"/>
      <c r="F62" s="454"/>
      <c r="G62" s="445"/>
    </row>
    <row r="63" spans="1:7" ht="15" thickBot="1">
      <c r="A63" s="455" t="s">
        <v>133</v>
      </c>
      <c r="B63" s="456">
        <f>B12+B13+B15+B19+B21+B27+B33+B36+B43+B46+B48+B49+B53+B54+B57</f>
        <v>13281167</v>
      </c>
      <c r="C63" s="456">
        <f>C12+C13+C15+C19+C21+C26+C34+C36+C43+C46+C48+C49+C53+C54+C57</f>
        <v>12101999.68</v>
      </c>
      <c r="D63" s="456">
        <f>D12+D13+D15+D19+D21+D26+D34+D36+D43+D46+D48+D49+D53+D54+D57</f>
        <v>0</v>
      </c>
      <c r="E63" s="456">
        <f>E12+E13+E15+E19+E21+E26+E34+E36+E43+E46+E48+E49+E53+E54+E57</f>
        <v>0</v>
      </c>
      <c r="F63" s="457">
        <f>B63-C63-D63-E63</f>
        <v>1179167.3200000003</v>
      </c>
      <c r="G63" s="445"/>
    </row>
    <row r="64" spans="1:7">
      <c r="A64" s="445"/>
      <c r="B64" s="445"/>
      <c r="C64" s="445"/>
      <c r="D64" s="445"/>
      <c r="E64" s="445"/>
      <c r="F64" s="445"/>
      <c r="G64" s="445"/>
    </row>
    <row r="65" spans="1:7">
      <c r="A65" s="445"/>
      <c r="B65" s="445"/>
      <c r="C65" s="445"/>
      <c r="D65" s="445"/>
      <c r="E65" s="445"/>
      <c r="F65" s="445"/>
      <c r="G65" s="445"/>
    </row>
    <row r="66" spans="1:7">
      <c r="A66" s="445"/>
      <c r="B66" s="445"/>
      <c r="C66" s="445"/>
      <c r="D66" s="445"/>
      <c r="E66" s="445"/>
      <c r="F66" s="445"/>
      <c r="G66" s="445"/>
    </row>
  </sheetData>
  <mergeCells count="4">
    <mergeCell ref="A5:F5"/>
    <mergeCell ref="A6:F6"/>
    <mergeCell ref="A7:F7"/>
    <mergeCell ref="E1:F1"/>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0A94-5DB0-4049-8DDD-FB25DD77636F}">
  <sheetPr>
    <pageSetUpPr fitToPage="1"/>
  </sheetPr>
  <dimension ref="A1:G66"/>
  <sheetViews>
    <sheetView topLeftCell="A30" workbookViewId="0">
      <selection activeCell="D14" sqref="D14"/>
    </sheetView>
  </sheetViews>
  <sheetFormatPr defaultRowHeight="14.5"/>
  <cols>
    <col min="1" max="1" width="30.7265625" customWidth="1"/>
    <col min="2" max="6" width="20.7265625" customWidth="1"/>
  </cols>
  <sheetData>
    <row r="1" spans="1:7" ht="18">
      <c r="A1" s="15" t="str">
        <f>[1]Status!C1</f>
        <v>UNEP/OzL.Pro/ExCom/94/3</v>
      </c>
      <c r="B1" s="16"/>
      <c r="C1" s="14"/>
      <c r="D1" s="14"/>
      <c r="E1" s="15"/>
      <c r="F1" s="16"/>
    </row>
    <row r="2" spans="1:7" ht="18">
      <c r="A2" s="431" t="s">
        <v>0</v>
      </c>
      <c r="C2" s="14"/>
      <c r="D2" s="14"/>
      <c r="E2" s="15"/>
      <c r="F2" s="16"/>
    </row>
    <row r="3" spans="1:7" ht="18">
      <c r="A3" s="431" t="s">
        <v>141</v>
      </c>
      <c r="C3" s="14"/>
      <c r="D3" s="14"/>
      <c r="E3" s="16"/>
      <c r="F3" s="16"/>
    </row>
    <row r="4" spans="1:7" ht="15.5">
      <c r="A4" s="1"/>
      <c r="B4" s="14"/>
      <c r="C4" s="14"/>
      <c r="D4" s="14"/>
      <c r="E4" s="14"/>
      <c r="F4" s="14"/>
    </row>
    <row r="5" spans="1:7" ht="16">
      <c r="A5" s="794" t="s">
        <v>2</v>
      </c>
      <c r="B5" s="794"/>
      <c r="C5" s="794"/>
      <c r="D5" s="794"/>
      <c r="E5" s="794"/>
      <c r="F5" s="794"/>
    </row>
    <row r="6" spans="1:7" ht="15.5">
      <c r="A6" s="795" t="s">
        <v>270</v>
      </c>
      <c r="B6" s="795"/>
      <c r="C6" s="795"/>
      <c r="D6" s="795"/>
      <c r="E6" s="795"/>
      <c r="F6" s="795"/>
    </row>
    <row r="7" spans="1:7" ht="16.5" thickBot="1">
      <c r="A7" s="798" t="str">
        <f>[1]Status!A6</f>
        <v>As at 24/05/2024</v>
      </c>
      <c r="B7" s="798"/>
      <c r="C7" s="798"/>
      <c r="D7" s="798"/>
      <c r="E7" s="798"/>
      <c r="F7" s="798"/>
    </row>
    <row r="8" spans="1:7" ht="30.75" customHeight="1" thickBot="1">
      <c r="A8" s="19" t="s">
        <v>59</v>
      </c>
      <c r="B8" s="20" t="s">
        <v>60</v>
      </c>
      <c r="C8" s="20" t="s">
        <v>61</v>
      </c>
      <c r="D8" s="504" t="s">
        <v>62</v>
      </c>
      <c r="E8" s="20" t="s">
        <v>63</v>
      </c>
      <c r="F8" s="21" t="s">
        <v>64</v>
      </c>
    </row>
    <row r="9" spans="1:7">
      <c r="A9" s="436" t="s">
        <v>65</v>
      </c>
      <c r="B9" s="498">
        <v>15167</v>
      </c>
      <c r="C9" s="498">
        <v>15167</v>
      </c>
      <c r="D9" s="495"/>
      <c r="E9" s="495"/>
      <c r="F9" s="493">
        <f t="shared" ref="F9:F59" si="0">B9-C9-D9-E9</f>
        <v>0</v>
      </c>
      <c r="G9" s="445"/>
    </row>
    <row r="10" spans="1:7">
      <c r="A10" s="440" t="s">
        <v>124</v>
      </c>
      <c r="B10" s="463">
        <v>5889667</v>
      </c>
      <c r="C10" s="463">
        <v>5889667</v>
      </c>
      <c r="D10" s="438"/>
      <c r="E10" s="438"/>
      <c r="F10" s="444">
        <f t="shared" si="0"/>
        <v>0</v>
      </c>
      <c r="G10" s="445"/>
    </row>
    <row r="11" spans="1:7">
      <c r="A11" s="440" t="s">
        <v>67</v>
      </c>
      <c r="B11" s="463">
        <v>1814500</v>
      </c>
      <c r="C11" s="463">
        <v>1814500</v>
      </c>
      <c r="D11" s="438"/>
      <c r="E11" s="438"/>
      <c r="F11" s="444">
        <f t="shared" si="0"/>
        <v>0</v>
      </c>
      <c r="G11" s="445"/>
    </row>
    <row r="12" spans="1:7">
      <c r="A12" s="446" t="s">
        <v>68</v>
      </c>
      <c r="B12" s="463">
        <v>151167</v>
      </c>
      <c r="C12" s="463"/>
      <c r="D12" s="438"/>
      <c r="E12" s="438"/>
      <c r="F12" s="444">
        <f t="shared" si="0"/>
        <v>151167</v>
      </c>
      <c r="G12" s="445"/>
    </row>
    <row r="13" spans="1:7">
      <c r="A13" s="440" t="s">
        <v>69</v>
      </c>
      <c r="B13" s="463">
        <v>141167</v>
      </c>
      <c r="C13" s="463">
        <v>141167</v>
      </c>
      <c r="D13" s="438"/>
      <c r="E13" s="438"/>
      <c r="F13" s="444">
        <f t="shared" si="0"/>
        <v>0</v>
      </c>
      <c r="G13" s="445"/>
    </row>
    <row r="14" spans="1:7">
      <c r="A14" s="440" t="s">
        <v>70</v>
      </c>
      <c r="B14" s="463">
        <v>2230333</v>
      </c>
      <c r="C14" s="463">
        <v>2230333</v>
      </c>
      <c r="D14" s="438"/>
      <c r="E14" s="438"/>
      <c r="F14" s="444">
        <f t="shared" si="0"/>
        <v>0</v>
      </c>
      <c r="G14" s="445"/>
    </row>
    <row r="15" spans="1:7">
      <c r="A15" s="440" t="s">
        <v>71</v>
      </c>
      <c r="B15" s="463">
        <v>113333</v>
      </c>
      <c r="C15" s="463">
        <v>113333</v>
      </c>
      <c r="D15" s="438"/>
      <c r="E15" s="438"/>
      <c r="F15" s="444">
        <f t="shared" si="0"/>
        <v>0</v>
      </c>
      <c r="G15" s="445"/>
    </row>
    <row r="16" spans="1:7">
      <c r="A16" s="440" t="s">
        <v>125</v>
      </c>
      <c r="B16" s="463">
        <v>7361333</v>
      </c>
      <c r="C16" s="463">
        <f>5889066+1142267</f>
        <v>7031333</v>
      </c>
      <c r="D16" s="438">
        <f>300000+30000</f>
        <v>330000</v>
      </c>
      <c r="E16" s="438"/>
      <c r="F16" s="444">
        <f t="shared" si="0"/>
        <v>0</v>
      </c>
      <c r="G16" s="445"/>
    </row>
    <row r="17" spans="1:7">
      <c r="A17" s="440" t="s">
        <v>73</v>
      </c>
      <c r="B17" s="463">
        <v>249500</v>
      </c>
      <c r="C17" s="463">
        <v>249500</v>
      </c>
      <c r="D17" s="438"/>
      <c r="E17" s="438"/>
      <c r="F17" s="444">
        <f t="shared" si="0"/>
        <v>0</v>
      </c>
      <c r="G17" s="445"/>
    </row>
    <row r="18" spans="1:7">
      <c r="A18" s="440" t="s">
        <v>74</v>
      </c>
      <c r="B18" s="463">
        <v>108333</v>
      </c>
      <c r="C18" s="463">
        <v>108333</v>
      </c>
      <c r="D18" s="438"/>
      <c r="E18" s="438"/>
      <c r="F18" s="444">
        <f t="shared" si="0"/>
        <v>0</v>
      </c>
      <c r="G18" s="445"/>
    </row>
    <row r="19" spans="1:7">
      <c r="A19" s="440" t="s">
        <v>75</v>
      </c>
      <c r="B19" s="463">
        <v>867000</v>
      </c>
      <c r="C19" s="463">
        <v>867000</v>
      </c>
      <c r="D19" s="438"/>
      <c r="E19" s="438"/>
      <c r="F19" s="444">
        <f t="shared" si="0"/>
        <v>0</v>
      </c>
      <c r="G19" s="445"/>
    </row>
    <row r="20" spans="1:7">
      <c r="A20" s="440" t="s">
        <v>76</v>
      </c>
      <c r="B20" s="463">
        <v>1471833</v>
      </c>
      <c r="C20" s="463">
        <v>1471833</v>
      </c>
      <c r="D20" s="438"/>
      <c r="E20" s="438"/>
      <c r="F20" s="444">
        <f t="shared" si="0"/>
        <v>0</v>
      </c>
      <c r="G20" s="445"/>
    </row>
    <row r="21" spans="1:7">
      <c r="A21" s="440" t="s">
        <v>77</v>
      </c>
      <c r="B21" s="463">
        <v>95833</v>
      </c>
      <c r="C21" s="463">
        <v>95833</v>
      </c>
      <c r="D21" s="438"/>
      <c r="E21" s="438"/>
      <c r="F21" s="444">
        <f t="shared" si="0"/>
        <v>0</v>
      </c>
      <c r="G21" s="445"/>
    </row>
    <row r="22" spans="1:7">
      <c r="A22" s="440" t="s">
        <v>78</v>
      </c>
      <c r="B22" s="463">
        <v>1149167</v>
      </c>
      <c r="C22" s="463">
        <v>1149167</v>
      </c>
      <c r="D22" s="438"/>
      <c r="E22" s="438"/>
      <c r="F22" s="444">
        <f t="shared" si="0"/>
        <v>0</v>
      </c>
      <c r="G22" s="445"/>
    </row>
    <row r="23" spans="1:7">
      <c r="A23" s="440" t="s">
        <v>126</v>
      </c>
      <c r="B23" s="463">
        <v>12245500</v>
      </c>
      <c r="C23" s="463">
        <f>113000+12132500</f>
        <v>12245500</v>
      </c>
      <c r="D23" s="438"/>
      <c r="E23" s="438"/>
      <c r="F23" s="444">
        <f t="shared" si="0"/>
        <v>0</v>
      </c>
      <c r="G23" s="445"/>
    </row>
    <row r="24" spans="1:7">
      <c r="A24" s="440" t="s">
        <v>127</v>
      </c>
      <c r="B24" s="463">
        <v>16101333</v>
      </c>
      <c r="C24" s="463">
        <f>304950+6440533+6440533+1819891</f>
        <v>15005907</v>
      </c>
      <c r="D24" s="438">
        <f>1852533.4+1367733.6-1819891</f>
        <v>1400376</v>
      </c>
      <c r="E24" s="463"/>
      <c r="F24" s="444">
        <f>B24-C24-D24-E24</f>
        <v>-304950</v>
      </c>
      <c r="G24" s="445"/>
    </row>
    <row r="25" spans="1:7">
      <c r="A25" s="440" t="s">
        <v>81</v>
      </c>
      <c r="B25" s="463">
        <v>1187000</v>
      </c>
      <c r="C25" s="463">
        <v>1187000</v>
      </c>
      <c r="D25" s="438"/>
      <c r="E25" s="438"/>
      <c r="F25" s="444">
        <f t="shared" si="0"/>
        <v>0</v>
      </c>
      <c r="G25" s="445"/>
    </row>
    <row r="26" spans="1:7">
      <c r="A26" s="440" t="s">
        <v>82</v>
      </c>
      <c r="B26" s="463">
        <v>2500</v>
      </c>
      <c r="C26" s="463">
        <v>2500</v>
      </c>
      <c r="D26" s="438"/>
      <c r="E26" s="438"/>
      <c r="F26" s="444">
        <f t="shared" si="0"/>
        <v>0</v>
      </c>
      <c r="G26" s="445"/>
    </row>
    <row r="27" spans="1:7">
      <c r="A27" s="440" t="s">
        <v>83</v>
      </c>
      <c r="B27" s="463">
        <v>405667</v>
      </c>
      <c r="C27" s="463">
        <v>405667</v>
      </c>
      <c r="D27" s="438"/>
      <c r="E27" s="438"/>
      <c r="F27" s="444">
        <f t="shared" si="0"/>
        <v>0</v>
      </c>
      <c r="G27" s="445"/>
    </row>
    <row r="28" spans="1:7">
      <c r="A28" s="440" t="s">
        <v>84</v>
      </c>
      <c r="B28" s="463">
        <v>58000</v>
      </c>
      <c r="C28" s="463">
        <v>58000</v>
      </c>
      <c r="D28" s="438"/>
      <c r="E28" s="438"/>
      <c r="F28" s="444">
        <f t="shared" si="0"/>
        <v>0</v>
      </c>
      <c r="G28" s="445"/>
    </row>
    <row r="29" spans="1:7">
      <c r="A29" s="440" t="s">
        <v>128</v>
      </c>
      <c r="B29" s="463">
        <v>844333</v>
      </c>
      <c r="C29" s="463">
        <v>844333</v>
      </c>
      <c r="D29" s="438"/>
      <c r="E29" s="438"/>
      <c r="F29" s="444">
        <f t="shared" si="0"/>
        <v>0</v>
      </c>
      <c r="G29" s="445"/>
    </row>
    <row r="30" spans="1:7">
      <c r="A30" s="440" t="s">
        <v>86</v>
      </c>
      <c r="B30" s="463">
        <v>1083667</v>
      </c>
      <c r="C30" s="463"/>
      <c r="D30" s="438"/>
      <c r="E30" s="438"/>
      <c r="F30" s="444">
        <f t="shared" si="0"/>
        <v>1083667</v>
      </c>
      <c r="G30" s="445"/>
    </row>
    <row r="31" spans="1:7">
      <c r="A31" s="440" t="s">
        <v>87</v>
      </c>
      <c r="B31" s="463">
        <v>9445500</v>
      </c>
      <c r="C31" s="463">
        <f>2982199.75+6463300.25-565000</f>
        <v>8880500</v>
      </c>
      <c r="D31" s="438">
        <v>565000</v>
      </c>
      <c r="E31" s="438"/>
      <c r="F31" s="444">
        <f t="shared" si="0"/>
        <v>0</v>
      </c>
      <c r="G31" s="445"/>
    </row>
    <row r="32" spans="1:7">
      <c r="A32" s="440" t="s">
        <v>129</v>
      </c>
      <c r="B32" s="463">
        <f>24395167</f>
        <v>24395167</v>
      </c>
      <c r="C32" s="463">
        <f>7450853+220216+16292300+431798-185297</f>
        <v>24209870</v>
      </c>
      <c r="D32" s="438">
        <v>185297</v>
      </c>
      <c r="E32" s="438"/>
      <c r="F32" s="444">
        <f>B32-C32-D32-E32</f>
        <v>0</v>
      </c>
      <c r="G32" s="445"/>
    </row>
    <row r="33" spans="1:7">
      <c r="A33" s="440" t="s">
        <v>89</v>
      </c>
      <c r="B33" s="463">
        <v>481333</v>
      </c>
      <c r="C33" s="463">
        <v>481333</v>
      </c>
      <c r="D33" s="438"/>
      <c r="E33" s="438"/>
      <c r="F33" s="444">
        <f t="shared" si="0"/>
        <v>0</v>
      </c>
      <c r="G33" s="445"/>
    </row>
    <row r="34" spans="1:7">
      <c r="A34" s="440" t="s">
        <v>91</v>
      </c>
      <c r="B34" s="463">
        <v>126000</v>
      </c>
      <c r="C34" s="463">
        <v>126000</v>
      </c>
      <c r="D34" s="438"/>
      <c r="E34" s="438"/>
      <c r="F34" s="444">
        <f t="shared" si="0"/>
        <v>0</v>
      </c>
      <c r="G34" s="445"/>
    </row>
    <row r="35" spans="1:7">
      <c r="A35" s="440" t="s">
        <v>92</v>
      </c>
      <c r="B35" s="463">
        <v>17667</v>
      </c>
      <c r="C35" s="463">
        <v>17667</v>
      </c>
      <c r="D35" s="438"/>
      <c r="E35" s="438"/>
      <c r="F35" s="444">
        <f t="shared" si="0"/>
        <v>0</v>
      </c>
      <c r="G35" s="445"/>
    </row>
    <row r="36" spans="1:7">
      <c r="A36" s="440" t="s">
        <v>93</v>
      </c>
      <c r="B36" s="463">
        <v>181500</v>
      </c>
      <c r="C36" s="463">
        <f>64855.24+116644.76</f>
        <v>181500</v>
      </c>
      <c r="D36" s="438"/>
      <c r="E36" s="438"/>
      <c r="F36" s="444">
        <f t="shared" si="0"/>
        <v>0</v>
      </c>
      <c r="G36" s="445"/>
    </row>
    <row r="37" spans="1:7">
      <c r="A37" s="440" t="s">
        <v>94</v>
      </c>
      <c r="B37" s="463">
        <v>161333</v>
      </c>
      <c r="C37" s="463">
        <v>161333</v>
      </c>
      <c r="D37" s="438"/>
      <c r="E37" s="438"/>
      <c r="F37" s="444">
        <f t="shared" si="0"/>
        <v>0</v>
      </c>
      <c r="G37" s="445"/>
    </row>
    <row r="38" spans="1:7">
      <c r="A38" s="440" t="s">
        <v>95</v>
      </c>
      <c r="B38" s="463">
        <v>40333</v>
      </c>
      <c r="C38" s="463"/>
      <c r="D38" s="438"/>
      <c r="E38" s="438"/>
      <c r="F38" s="444">
        <f t="shared" si="0"/>
        <v>40333</v>
      </c>
      <c r="G38" s="445"/>
    </row>
    <row r="39" spans="1:7">
      <c r="A39" s="440" t="s">
        <v>96</v>
      </c>
      <c r="B39" s="463">
        <v>25167</v>
      </c>
      <c r="C39" s="463">
        <v>25167</v>
      </c>
      <c r="D39" s="438"/>
      <c r="E39" s="438"/>
      <c r="F39" s="444">
        <f t="shared" si="0"/>
        <v>0</v>
      </c>
      <c r="G39" s="445"/>
    </row>
    <row r="40" spans="1:7">
      <c r="A40" s="440" t="s">
        <v>97</v>
      </c>
      <c r="B40" s="463">
        <v>3734833</v>
      </c>
      <c r="C40" s="463">
        <v>3734833</v>
      </c>
      <c r="D40" s="438"/>
      <c r="E40" s="438"/>
      <c r="F40" s="444">
        <f t="shared" si="0"/>
        <v>0</v>
      </c>
      <c r="G40" s="445"/>
    </row>
    <row r="41" spans="1:7">
      <c r="A41" s="440" t="s">
        <v>98</v>
      </c>
      <c r="B41" s="463">
        <v>675333</v>
      </c>
      <c r="C41" s="463">
        <v>675333</v>
      </c>
      <c r="D41" s="438"/>
      <c r="E41" s="438"/>
      <c r="F41" s="444">
        <f t="shared" si="0"/>
        <v>0</v>
      </c>
      <c r="G41" s="445"/>
    </row>
    <row r="42" spans="1:7">
      <c r="A42" s="440" t="s">
        <v>99</v>
      </c>
      <c r="B42" s="463">
        <v>2139667</v>
      </c>
      <c r="C42" s="463">
        <v>2139667</v>
      </c>
      <c r="D42" s="438"/>
      <c r="E42" s="438"/>
      <c r="F42" s="444">
        <f t="shared" si="0"/>
        <v>0</v>
      </c>
      <c r="G42" s="445"/>
    </row>
    <row r="43" spans="1:7">
      <c r="A43" s="440" t="s">
        <v>101</v>
      </c>
      <c r="B43" s="463">
        <v>2119500</v>
      </c>
      <c r="C43" s="463">
        <v>2119500</v>
      </c>
      <c r="D43" s="438"/>
      <c r="E43" s="438"/>
      <c r="F43" s="444">
        <f t="shared" si="0"/>
        <v>0</v>
      </c>
      <c r="G43" s="445"/>
    </row>
    <row r="44" spans="1:7">
      <c r="A44" s="440" t="s">
        <v>102</v>
      </c>
      <c r="B44" s="463">
        <v>987833</v>
      </c>
      <c r="C44" s="463">
        <v>987833</v>
      </c>
      <c r="D44" s="438"/>
      <c r="E44" s="438"/>
      <c r="F44" s="444">
        <f t="shared" si="0"/>
        <v>0</v>
      </c>
      <c r="G44" s="445"/>
    </row>
    <row r="45" spans="1:7">
      <c r="A45" s="440" t="s">
        <v>103</v>
      </c>
      <c r="B45" s="463">
        <v>463667</v>
      </c>
      <c r="C45" s="463">
        <f>20767.64+442889.36</f>
        <v>463657</v>
      </c>
      <c r="D45" s="438"/>
      <c r="E45" s="438"/>
      <c r="F45" s="444">
        <f t="shared" si="0"/>
        <v>10</v>
      </c>
      <c r="G45" s="445"/>
    </row>
    <row r="46" spans="1:7">
      <c r="A46" s="440" t="s">
        <v>104</v>
      </c>
      <c r="B46" s="463">
        <v>7782333</v>
      </c>
      <c r="C46" s="463">
        <f>7682960+99373</f>
        <v>7782333</v>
      </c>
      <c r="D46" s="438"/>
      <c r="E46" s="438"/>
      <c r="F46" s="444">
        <f t="shared" si="0"/>
        <v>0</v>
      </c>
      <c r="G46" s="445"/>
    </row>
    <row r="47" spans="1:7">
      <c r="A47" s="440" t="s">
        <v>105</v>
      </c>
      <c r="B47" s="463">
        <v>7500</v>
      </c>
      <c r="C47" s="463">
        <v>7500</v>
      </c>
      <c r="D47" s="438"/>
      <c r="E47" s="438"/>
      <c r="F47" s="444">
        <f t="shared" si="0"/>
        <v>0</v>
      </c>
      <c r="G47" s="445"/>
    </row>
    <row r="48" spans="1:7">
      <c r="A48" s="440" t="s">
        <v>107</v>
      </c>
      <c r="B48" s="463">
        <v>403167</v>
      </c>
      <c r="C48" s="463">
        <v>403167</v>
      </c>
      <c r="D48" s="438"/>
      <c r="E48" s="438"/>
      <c r="F48" s="444">
        <f t="shared" si="0"/>
        <v>0</v>
      </c>
      <c r="G48" s="445"/>
    </row>
    <row r="49" spans="1:7">
      <c r="A49" s="440" t="s">
        <v>108</v>
      </c>
      <c r="B49" s="463">
        <v>211667</v>
      </c>
      <c r="C49" s="463">
        <v>211667</v>
      </c>
      <c r="D49" s="438"/>
      <c r="E49" s="438"/>
      <c r="F49" s="444">
        <f t="shared" si="0"/>
        <v>0</v>
      </c>
      <c r="G49" s="445"/>
    </row>
    <row r="50" spans="1:7">
      <c r="A50" s="440" t="s">
        <v>110</v>
      </c>
      <c r="B50" s="463">
        <v>6156833</v>
      </c>
      <c r="C50" s="463">
        <v>6156833</v>
      </c>
      <c r="D50" s="438"/>
      <c r="E50" s="438"/>
      <c r="F50" s="444">
        <f t="shared" si="0"/>
        <v>0</v>
      </c>
      <c r="G50" s="445"/>
    </row>
    <row r="51" spans="1:7">
      <c r="A51" s="440" t="s">
        <v>130</v>
      </c>
      <c r="B51" s="463">
        <v>2409333</v>
      </c>
      <c r="C51" s="463">
        <v>2409333</v>
      </c>
      <c r="D51" s="438"/>
      <c r="E51" s="438"/>
      <c r="F51" s="444">
        <f t="shared" si="0"/>
        <v>0</v>
      </c>
      <c r="G51" s="445"/>
    </row>
    <row r="52" spans="1:7">
      <c r="A52" s="440" t="s">
        <v>112</v>
      </c>
      <c r="B52" s="438">
        <v>2873000</v>
      </c>
      <c r="C52" s="463">
        <v>2873000</v>
      </c>
      <c r="D52" s="438"/>
      <c r="E52" s="438"/>
      <c r="F52" s="444">
        <f t="shared" si="0"/>
        <v>0</v>
      </c>
      <c r="G52" s="445"/>
    </row>
    <row r="53" spans="1:7" ht="18" customHeight="1">
      <c r="A53" s="440" t="s">
        <v>113</v>
      </c>
      <c r="B53" s="438">
        <v>10000</v>
      </c>
      <c r="C53" s="463"/>
      <c r="D53" s="438"/>
      <c r="E53" s="438"/>
      <c r="F53" s="444">
        <f t="shared" si="0"/>
        <v>10000</v>
      </c>
      <c r="G53" s="445"/>
    </row>
    <row r="54" spans="1:7">
      <c r="A54" s="440" t="s">
        <v>115</v>
      </c>
      <c r="B54" s="438">
        <v>259500</v>
      </c>
      <c r="C54" s="463"/>
      <c r="D54" s="438"/>
      <c r="E54" s="438"/>
      <c r="F54" s="444">
        <f t="shared" si="0"/>
        <v>259500</v>
      </c>
      <c r="G54" s="445"/>
    </row>
    <row r="55" spans="1:7">
      <c r="A55" s="440" t="s">
        <v>117</v>
      </c>
      <c r="B55" s="463">
        <v>11247500</v>
      </c>
      <c r="C55" s="463">
        <f>2200000+9047500</f>
        <v>11247500</v>
      </c>
      <c r="D55" s="438"/>
      <c r="E55" s="463"/>
      <c r="F55" s="444">
        <f t="shared" si="0"/>
        <v>0</v>
      </c>
      <c r="G55" s="445"/>
    </row>
    <row r="56" spans="1:7">
      <c r="A56" s="440" t="s">
        <v>118</v>
      </c>
      <c r="B56" s="463">
        <f>36666667-1051763</f>
        <v>35614904</v>
      </c>
      <c r="C56" s="463">
        <f>27710571+1238172+8326000-608076-1051763</f>
        <v>35614904</v>
      </c>
      <c r="D56" s="438"/>
      <c r="E56" s="438"/>
      <c r="F56" s="444">
        <f t="shared" si="0"/>
        <v>0</v>
      </c>
      <c r="G56" s="445"/>
    </row>
    <row r="57" spans="1:7">
      <c r="A57" s="440" t="s">
        <v>119</v>
      </c>
      <c r="B57" s="463">
        <v>58000</v>
      </c>
      <c r="C57" s="463">
        <v>58000</v>
      </c>
      <c r="D57" s="438"/>
      <c r="E57" s="438"/>
      <c r="F57" s="444">
        <f t="shared" si="0"/>
        <v>0</v>
      </c>
      <c r="G57" s="445"/>
    </row>
    <row r="58" spans="1:7" ht="15" thickBot="1">
      <c r="A58" s="465" t="s">
        <v>122</v>
      </c>
      <c r="B58" s="466">
        <f>SUM(B9:B57)</f>
        <v>165614903</v>
      </c>
      <c r="C58" s="466">
        <f>SUM(C9:C57)</f>
        <v>161894503</v>
      </c>
      <c r="D58" s="466">
        <f>SUM(D9:D57)</f>
        <v>2480673</v>
      </c>
      <c r="E58" s="466">
        <f>SUM(E9:E57)</f>
        <v>0</v>
      </c>
      <c r="F58" s="467">
        <f>SUM(F9:F57)</f>
        <v>1239727</v>
      </c>
      <c r="G58" s="445"/>
    </row>
    <row r="59" spans="1:7" ht="15" thickBot="1">
      <c r="A59" s="468" t="s">
        <v>131</v>
      </c>
      <c r="B59" s="454">
        <f>1051763</f>
        <v>1051763</v>
      </c>
      <c r="C59" s="454"/>
      <c r="D59" s="454"/>
      <c r="E59" s="454"/>
      <c r="F59" s="444">
        <f t="shared" si="0"/>
        <v>1051763</v>
      </c>
      <c r="G59" s="445"/>
    </row>
    <row r="60" spans="1:7" ht="15" thickBot="1">
      <c r="A60" s="452" t="s">
        <v>132</v>
      </c>
      <c r="B60" s="470">
        <f>B58+B59</f>
        <v>166666666</v>
      </c>
      <c r="C60" s="470">
        <f t="shared" ref="C60:F60" si="1">C58+C59</f>
        <v>161894503</v>
      </c>
      <c r="D60" s="470">
        <f t="shared" si="1"/>
        <v>2480673</v>
      </c>
      <c r="E60" s="470">
        <f t="shared" si="1"/>
        <v>0</v>
      </c>
      <c r="F60" s="471">
        <f t="shared" si="1"/>
        <v>2291490</v>
      </c>
      <c r="G60" s="445"/>
    </row>
    <row r="61" spans="1:7">
      <c r="A61" s="453" t="s">
        <v>249</v>
      </c>
      <c r="B61" s="472"/>
      <c r="C61" s="472"/>
      <c r="D61" s="472"/>
      <c r="E61" s="472"/>
      <c r="F61" s="472"/>
      <c r="G61" s="445"/>
    </row>
    <row r="62" spans="1:7" ht="15" thickBot="1">
      <c r="A62" s="454"/>
      <c r="B62" s="454"/>
      <c r="C62" s="454"/>
      <c r="D62" s="454"/>
      <c r="E62" s="454"/>
      <c r="F62" s="454"/>
      <c r="G62" s="445"/>
    </row>
    <row r="63" spans="1:7" ht="15" thickBot="1">
      <c r="A63" s="455" t="s">
        <v>133</v>
      </c>
      <c r="B63" s="456">
        <f>B12+B13+B15+B19+B21+B27+B33+B36+B43+B46+B48+B49+B53+B54+B57</f>
        <v>13281167</v>
      </c>
      <c r="C63" s="456">
        <f>C12+C13+C15+C19+C21+C26+C34+C36+C43+C46+C48+C49+C53+C54+C57</f>
        <v>12102000</v>
      </c>
      <c r="D63" s="456">
        <f>D12+D13+D15+D19+D21+D26+D34+D36+D43+D46+D48+D49+D53+D54+D57</f>
        <v>0</v>
      </c>
      <c r="E63" s="456">
        <f>E12+E13+E15+E19+E21+E26+E34+E36+E43+E46+E48+E49+E53+E54+E57</f>
        <v>0</v>
      </c>
      <c r="F63" s="457">
        <f>B63-C63-D63-E63</f>
        <v>1179167</v>
      </c>
      <c r="G63" s="445"/>
    </row>
    <row r="64" spans="1:7">
      <c r="A64" s="445"/>
      <c r="B64" s="445"/>
      <c r="C64" s="445"/>
      <c r="D64" s="445"/>
      <c r="E64" s="445"/>
      <c r="F64" s="445"/>
      <c r="G64" s="445"/>
    </row>
    <row r="65" spans="1:7" s="428" customFormat="1" ht="13">
      <c r="A65" s="474"/>
      <c r="B65" s="474"/>
      <c r="C65" s="474"/>
      <c r="D65" s="474"/>
      <c r="E65" s="474"/>
      <c r="F65" s="474"/>
      <c r="G65" s="474"/>
    </row>
    <row r="66" spans="1:7">
      <c r="A66" s="445"/>
      <c r="B66" s="445"/>
      <c r="C66" s="445"/>
      <c r="D66" s="445"/>
      <c r="E66" s="445"/>
      <c r="F66" s="445"/>
      <c r="G66" s="445"/>
    </row>
  </sheetData>
  <mergeCells count="3">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9BA9-B8F3-4639-82D2-2407C5E5783A}">
  <sheetPr>
    <pageSetUpPr fitToPage="1"/>
  </sheetPr>
  <dimension ref="A1:G66"/>
  <sheetViews>
    <sheetView workbookViewId="0">
      <selection activeCell="D14" sqref="D14"/>
    </sheetView>
  </sheetViews>
  <sheetFormatPr defaultRowHeight="14.5"/>
  <cols>
    <col min="1" max="1" width="30.7265625" customWidth="1"/>
    <col min="2" max="6" width="20.7265625" customWidth="1"/>
  </cols>
  <sheetData>
    <row r="1" spans="1:7" ht="18">
      <c r="C1" s="14"/>
      <c r="D1" s="14"/>
      <c r="E1" s="799" t="str">
        <f>[1]Status!C1</f>
        <v>UNEP/OzL.Pro/ExCom/94/3</v>
      </c>
      <c r="F1" s="799"/>
    </row>
    <row r="2" spans="1:7" ht="18">
      <c r="C2" s="14"/>
      <c r="D2" s="14"/>
      <c r="E2" s="800" t="s">
        <v>0</v>
      </c>
      <c r="F2" s="800"/>
    </row>
    <row r="3" spans="1:7" ht="18">
      <c r="C3" s="14"/>
      <c r="D3" s="14"/>
      <c r="E3" s="800" t="s">
        <v>142</v>
      </c>
      <c r="F3" s="800"/>
    </row>
    <row r="4" spans="1:7" ht="15.5">
      <c r="A4" s="1"/>
      <c r="B4" s="14"/>
      <c r="C4" s="14"/>
      <c r="D4" s="14"/>
      <c r="E4" s="14"/>
      <c r="F4" s="14"/>
    </row>
    <row r="5" spans="1:7" ht="16">
      <c r="A5" s="794" t="s">
        <v>2</v>
      </c>
      <c r="B5" s="794"/>
      <c r="C5" s="794"/>
      <c r="D5" s="794"/>
      <c r="E5" s="794"/>
      <c r="F5" s="794"/>
    </row>
    <row r="6" spans="1:7" ht="15.5">
      <c r="A6" s="795" t="s">
        <v>271</v>
      </c>
      <c r="B6" s="795"/>
      <c r="C6" s="795"/>
      <c r="D6" s="795"/>
      <c r="E6" s="795"/>
      <c r="F6" s="795"/>
    </row>
    <row r="7" spans="1:7" ht="16.5" thickBot="1">
      <c r="A7" s="796" t="str">
        <f>[1]Status!A6</f>
        <v>As at 24/05/2024</v>
      </c>
      <c r="B7" s="796"/>
      <c r="C7" s="796"/>
      <c r="D7" s="796"/>
      <c r="E7" s="796"/>
      <c r="F7" s="796"/>
    </row>
    <row r="8" spans="1:7" ht="27" thickBot="1">
      <c r="A8" s="19" t="s">
        <v>59</v>
      </c>
      <c r="B8" s="20" t="s">
        <v>60</v>
      </c>
      <c r="C8" s="20" t="s">
        <v>61</v>
      </c>
      <c r="D8" s="504" t="s">
        <v>62</v>
      </c>
      <c r="E8" s="20" t="s">
        <v>63</v>
      </c>
      <c r="F8" s="21" t="s">
        <v>64</v>
      </c>
    </row>
    <row r="9" spans="1:7">
      <c r="A9" s="436" t="s">
        <v>65</v>
      </c>
      <c r="B9" s="498">
        <v>15167</v>
      </c>
      <c r="C9" s="498">
        <v>15167</v>
      </c>
      <c r="D9" s="495"/>
      <c r="E9" s="495"/>
      <c r="F9" s="493">
        <f t="shared" ref="F9:F59" si="0">B9-C9-D9-E9</f>
        <v>0</v>
      </c>
      <c r="G9" s="445"/>
    </row>
    <row r="10" spans="1:7">
      <c r="A10" s="440" t="s">
        <v>124</v>
      </c>
      <c r="B10" s="463">
        <v>5889667</v>
      </c>
      <c r="C10" s="463">
        <v>5889667</v>
      </c>
      <c r="D10" s="438"/>
      <c r="E10" s="438"/>
      <c r="F10" s="444">
        <f t="shared" si="0"/>
        <v>0</v>
      </c>
      <c r="G10" s="445"/>
    </row>
    <row r="11" spans="1:7">
      <c r="A11" s="440" t="s">
        <v>67</v>
      </c>
      <c r="B11" s="463">
        <v>1814500</v>
      </c>
      <c r="C11" s="463">
        <f>1250000+564500</f>
        <v>1814500</v>
      </c>
      <c r="D11" s="438"/>
      <c r="E11" s="438"/>
      <c r="F11" s="444">
        <f t="shared" si="0"/>
        <v>0</v>
      </c>
      <c r="G11" s="445"/>
    </row>
    <row r="12" spans="1:7">
      <c r="A12" s="446" t="s">
        <v>68</v>
      </c>
      <c r="B12" s="463">
        <v>151167</v>
      </c>
      <c r="C12" s="463"/>
      <c r="D12" s="438"/>
      <c r="E12" s="438"/>
      <c r="F12" s="444">
        <f t="shared" si="0"/>
        <v>151167</v>
      </c>
      <c r="G12" s="445"/>
    </row>
    <row r="13" spans="1:7">
      <c r="A13" s="440" t="s">
        <v>69</v>
      </c>
      <c r="B13" s="463">
        <v>141167</v>
      </c>
      <c r="C13" s="463">
        <v>77000</v>
      </c>
      <c r="D13" s="438"/>
      <c r="E13" s="438"/>
      <c r="F13" s="444">
        <f t="shared" si="0"/>
        <v>64167</v>
      </c>
      <c r="G13" s="445"/>
    </row>
    <row r="14" spans="1:7">
      <c r="A14" s="440" t="s">
        <v>70</v>
      </c>
      <c r="B14" s="463">
        <v>2230333</v>
      </c>
      <c r="C14" s="463">
        <v>2230333</v>
      </c>
      <c r="D14" s="438"/>
      <c r="E14" s="438"/>
      <c r="F14" s="444">
        <f t="shared" si="0"/>
        <v>0</v>
      </c>
      <c r="G14" s="445"/>
    </row>
    <row r="15" spans="1:7">
      <c r="A15" s="440" t="s">
        <v>71</v>
      </c>
      <c r="B15" s="463">
        <v>113333</v>
      </c>
      <c r="C15" s="463">
        <v>113333</v>
      </c>
      <c r="D15" s="438"/>
      <c r="E15" s="438"/>
      <c r="F15" s="444">
        <f>B15-C15-D15-E15</f>
        <v>0</v>
      </c>
      <c r="G15" s="445"/>
    </row>
    <row r="16" spans="1:7">
      <c r="A16" s="440" t="s">
        <v>125</v>
      </c>
      <c r="B16" s="463">
        <v>7361333</v>
      </c>
      <c r="C16" s="463">
        <f>5889066.41+1172267</f>
        <v>7061333.4100000001</v>
      </c>
      <c r="D16" s="438">
        <v>300000</v>
      </c>
      <c r="E16" s="438"/>
      <c r="F16" s="444">
        <f t="shared" si="0"/>
        <v>-0.41000000014901161</v>
      </c>
      <c r="G16" s="445"/>
    </row>
    <row r="17" spans="1:7">
      <c r="A17" s="440" t="s">
        <v>73</v>
      </c>
      <c r="B17" s="463">
        <v>249500</v>
      </c>
      <c r="C17" s="463">
        <v>249500</v>
      </c>
      <c r="D17" s="438"/>
      <c r="E17" s="438"/>
      <c r="F17" s="444">
        <f t="shared" si="0"/>
        <v>0</v>
      </c>
      <c r="G17" s="445"/>
    </row>
    <row r="18" spans="1:7">
      <c r="A18" s="440" t="s">
        <v>74</v>
      </c>
      <c r="B18" s="463">
        <v>108333</v>
      </c>
      <c r="C18" s="463">
        <v>108333</v>
      </c>
      <c r="D18" s="438"/>
      <c r="E18" s="438"/>
      <c r="F18" s="444">
        <f t="shared" si="0"/>
        <v>0</v>
      </c>
      <c r="G18" s="445"/>
    </row>
    <row r="19" spans="1:7">
      <c r="A19" s="440" t="s">
        <v>75</v>
      </c>
      <c r="B19" s="463">
        <v>867000</v>
      </c>
      <c r="C19" s="463">
        <v>867000</v>
      </c>
      <c r="D19" s="438"/>
      <c r="E19" s="438"/>
      <c r="F19" s="444">
        <f t="shared" si="0"/>
        <v>0</v>
      </c>
      <c r="G19" s="445"/>
    </row>
    <row r="20" spans="1:7">
      <c r="A20" s="440" t="s">
        <v>76</v>
      </c>
      <c r="B20" s="463">
        <v>1471833</v>
      </c>
      <c r="C20" s="463">
        <v>1471833</v>
      </c>
      <c r="D20" s="438"/>
      <c r="E20" s="438"/>
      <c r="F20" s="444">
        <f t="shared" si="0"/>
        <v>0</v>
      </c>
      <c r="G20" s="445"/>
    </row>
    <row r="21" spans="1:7">
      <c r="A21" s="440" t="s">
        <v>77</v>
      </c>
      <c r="B21" s="463">
        <v>95833</v>
      </c>
      <c r="C21" s="463">
        <v>95832.97</v>
      </c>
      <c r="D21" s="438"/>
      <c r="E21" s="438"/>
      <c r="F21" s="444">
        <f t="shared" si="0"/>
        <v>2.9999999998835847E-2</v>
      </c>
      <c r="G21" s="445"/>
    </row>
    <row r="22" spans="1:7">
      <c r="A22" s="440" t="s">
        <v>78</v>
      </c>
      <c r="B22" s="463">
        <v>1149167</v>
      </c>
      <c r="C22" s="463">
        <v>1149167</v>
      </c>
      <c r="D22" s="438"/>
      <c r="E22" s="438"/>
      <c r="F22" s="444">
        <f t="shared" si="0"/>
        <v>0</v>
      </c>
      <c r="G22" s="445"/>
    </row>
    <row r="23" spans="1:7">
      <c r="A23" s="440" t="s">
        <v>126</v>
      </c>
      <c r="B23" s="463">
        <v>12245500</v>
      </c>
      <c r="C23" s="463">
        <f>12245500-113000</f>
        <v>12132500</v>
      </c>
      <c r="D23" s="438">
        <f>113000</f>
        <v>113000</v>
      </c>
      <c r="E23" s="438"/>
      <c r="F23" s="444">
        <f>B23-C23-D23-E23</f>
        <v>0</v>
      </c>
      <c r="G23" s="445"/>
    </row>
    <row r="24" spans="1:7">
      <c r="A24" s="440" t="s">
        <v>127</v>
      </c>
      <c r="B24" s="463">
        <v>16101333</v>
      </c>
      <c r="C24" s="463">
        <f>6440533.15+6440533.15-1852533</f>
        <v>11028533.300000001</v>
      </c>
      <c r="D24" s="438">
        <f>222182+4850618</f>
        <v>5072800</v>
      </c>
      <c r="E24" s="463"/>
      <c r="F24" s="444">
        <f>B24-C24-D24-E24</f>
        <v>-0.30000000074505806</v>
      </c>
      <c r="G24" s="445"/>
    </row>
    <row r="25" spans="1:7">
      <c r="A25" s="440" t="s">
        <v>81</v>
      </c>
      <c r="B25" s="463">
        <v>1187000</v>
      </c>
      <c r="C25" s="463">
        <v>1187000</v>
      </c>
      <c r="D25" s="438"/>
      <c r="E25" s="438"/>
      <c r="F25" s="444">
        <f t="shared" si="0"/>
        <v>0</v>
      </c>
      <c r="G25" s="445"/>
    </row>
    <row r="26" spans="1:7">
      <c r="A26" s="440" t="s">
        <v>82</v>
      </c>
      <c r="B26" s="463">
        <v>2500</v>
      </c>
      <c r="C26" s="463">
        <v>2500</v>
      </c>
      <c r="D26" s="438"/>
      <c r="E26" s="438"/>
      <c r="F26" s="444">
        <f t="shared" si="0"/>
        <v>0</v>
      </c>
      <c r="G26" s="445"/>
    </row>
    <row r="27" spans="1:7">
      <c r="A27" s="440" t="s">
        <v>83</v>
      </c>
      <c r="B27" s="463">
        <v>405667</v>
      </c>
      <c r="C27" s="463">
        <v>405667</v>
      </c>
      <c r="D27" s="438"/>
      <c r="E27" s="438"/>
      <c r="F27" s="444">
        <f t="shared" si="0"/>
        <v>0</v>
      </c>
      <c r="G27" s="445"/>
    </row>
    <row r="28" spans="1:7">
      <c r="A28" s="440" t="s">
        <v>84</v>
      </c>
      <c r="B28" s="463">
        <v>58000</v>
      </c>
      <c r="C28" s="463">
        <v>58000</v>
      </c>
      <c r="D28" s="438"/>
      <c r="E28" s="438"/>
      <c r="F28" s="444">
        <f t="shared" si="0"/>
        <v>0</v>
      </c>
      <c r="G28" s="445"/>
    </row>
    <row r="29" spans="1:7">
      <c r="A29" s="440" t="s">
        <v>128</v>
      </c>
      <c r="B29" s="463">
        <v>844333</v>
      </c>
      <c r="C29" s="463">
        <v>844333</v>
      </c>
      <c r="D29" s="438"/>
      <c r="E29" s="438"/>
      <c r="F29" s="444">
        <f t="shared" si="0"/>
        <v>0</v>
      </c>
      <c r="G29" s="445"/>
    </row>
    <row r="30" spans="1:7">
      <c r="A30" s="440" t="s">
        <v>86</v>
      </c>
      <c r="B30" s="463">
        <v>1083667</v>
      </c>
      <c r="C30" s="463"/>
      <c r="D30" s="438"/>
      <c r="E30" s="438"/>
      <c r="F30" s="444">
        <f t="shared" si="0"/>
        <v>1083667</v>
      </c>
      <c r="G30" s="445"/>
    </row>
    <row r="31" spans="1:7">
      <c r="A31" s="440" t="s">
        <v>87</v>
      </c>
      <c r="B31" s="463">
        <v>9445500</v>
      </c>
      <c r="C31" s="463">
        <f>7159158.61+2286341-371762</f>
        <v>9073737.6099999994</v>
      </c>
      <c r="D31" s="438">
        <v>371762</v>
      </c>
      <c r="E31" s="438"/>
      <c r="F31" s="444">
        <f t="shared" si="0"/>
        <v>0.39000000059604645</v>
      </c>
      <c r="G31" s="445"/>
    </row>
    <row r="32" spans="1:7">
      <c r="A32" s="440" t="s">
        <v>129</v>
      </c>
      <c r="B32" s="463">
        <f>24395167-1295383</f>
        <v>23099784</v>
      </c>
      <c r="C32" s="463">
        <f>7375228+15724556-90400</f>
        <v>23009384</v>
      </c>
      <c r="D32" s="438">
        <v>90400</v>
      </c>
      <c r="E32" s="438"/>
      <c r="F32" s="444">
        <f t="shared" si="0"/>
        <v>0</v>
      </c>
      <c r="G32" s="445"/>
    </row>
    <row r="33" spans="1:7">
      <c r="A33" s="440" t="s">
        <v>89</v>
      </c>
      <c r="B33" s="463">
        <v>481333</v>
      </c>
      <c r="C33" s="463">
        <v>481333</v>
      </c>
      <c r="D33" s="438"/>
      <c r="E33" s="438"/>
      <c r="F33" s="444">
        <f t="shared" si="0"/>
        <v>0</v>
      </c>
      <c r="G33" s="445"/>
    </row>
    <row r="34" spans="1:7">
      <c r="A34" s="440" t="s">
        <v>91</v>
      </c>
      <c r="B34" s="463">
        <v>126000</v>
      </c>
      <c r="C34" s="463">
        <v>126000</v>
      </c>
      <c r="D34" s="438"/>
      <c r="E34" s="438"/>
      <c r="F34" s="444">
        <f t="shared" si="0"/>
        <v>0</v>
      </c>
      <c r="G34" s="445"/>
    </row>
    <row r="35" spans="1:7">
      <c r="A35" s="440" t="s">
        <v>92</v>
      </c>
      <c r="B35" s="463">
        <v>17667</v>
      </c>
      <c r="C35" s="463">
        <v>17667</v>
      </c>
      <c r="D35" s="438"/>
      <c r="E35" s="438"/>
      <c r="F35" s="444">
        <f t="shared" si="0"/>
        <v>0</v>
      </c>
      <c r="G35" s="445"/>
    </row>
    <row r="36" spans="1:7">
      <c r="A36" s="440" t="s">
        <v>93</v>
      </c>
      <c r="B36" s="463">
        <v>181500</v>
      </c>
      <c r="C36" s="463">
        <v>181500</v>
      </c>
      <c r="D36" s="438"/>
      <c r="E36" s="438"/>
      <c r="F36" s="444">
        <f t="shared" si="0"/>
        <v>0</v>
      </c>
      <c r="G36" s="445"/>
    </row>
    <row r="37" spans="1:7">
      <c r="A37" s="440" t="s">
        <v>94</v>
      </c>
      <c r="B37" s="463">
        <v>161333</v>
      </c>
      <c r="C37" s="463">
        <v>161333</v>
      </c>
      <c r="D37" s="438"/>
      <c r="E37" s="438"/>
      <c r="F37" s="444">
        <f t="shared" si="0"/>
        <v>0</v>
      </c>
      <c r="G37" s="445"/>
    </row>
    <row r="38" spans="1:7">
      <c r="A38" s="440" t="s">
        <v>95</v>
      </c>
      <c r="B38" s="463">
        <v>40333</v>
      </c>
      <c r="C38" s="463"/>
      <c r="D38" s="438"/>
      <c r="E38" s="438"/>
      <c r="F38" s="444">
        <f t="shared" si="0"/>
        <v>40333</v>
      </c>
      <c r="G38" s="445"/>
    </row>
    <row r="39" spans="1:7">
      <c r="A39" s="440" t="s">
        <v>96</v>
      </c>
      <c r="B39" s="463">
        <v>25167</v>
      </c>
      <c r="C39" s="463">
        <v>25167</v>
      </c>
      <c r="D39" s="438"/>
      <c r="E39" s="438"/>
      <c r="F39" s="444">
        <f t="shared" si="0"/>
        <v>0</v>
      </c>
      <c r="G39" s="445"/>
    </row>
    <row r="40" spans="1:7">
      <c r="A40" s="440" t="s">
        <v>97</v>
      </c>
      <c r="B40" s="463">
        <v>3734833</v>
      </c>
      <c r="C40" s="463">
        <v>3734833</v>
      </c>
      <c r="D40" s="438"/>
      <c r="E40" s="438"/>
      <c r="F40" s="444">
        <f t="shared" si="0"/>
        <v>0</v>
      </c>
      <c r="G40" s="445"/>
    </row>
    <row r="41" spans="1:7">
      <c r="A41" s="440" t="s">
        <v>98</v>
      </c>
      <c r="B41" s="463">
        <v>675333</v>
      </c>
      <c r="C41" s="463">
        <f>46996+628337</f>
        <v>675333</v>
      </c>
      <c r="D41" s="438"/>
      <c r="E41" s="438"/>
      <c r="F41" s="444">
        <f t="shared" si="0"/>
        <v>0</v>
      </c>
      <c r="G41" s="445"/>
    </row>
    <row r="42" spans="1:7">
      <c r="A42" s="440" t="s">
        <v>99</v>
      </c>
      <c r="B42" s="463">
        <v>2139667</v>
      </c>
      <c r="C42" s="463">
        <v>2139667</v>
      </c>
      <c r="D42" s="438"/>
      <c r="E42" s="438"/>
      <c r="F42" s="444">
        <f t="shared" si="0"/>
        <v>0</v>
      </c>
      <c r="G42" s="445"/>
    </row>
    <row r="43" spans="1:7">
      <c r="A43" s="440" t="s">
        <v>101</v>
      </c>
      <c r="B43" s="463">
        <v>2119500</v>
      </c>
      <c r="C43" s="463">
        <v>2119500</v>
      </c>
      <c r="D43" s="438"/>
      <c r="E43" s="438"/>
      <c r="F43" s="444">
        <f t="shared" si="0"/>
        <v>0</v>
      </c>
      <c r="G43" s="445"/>
    </row>
    <row r="44" spans="1:7">
      <c r="A44" s="440" t="s">
        <v>102</v>
      </c>
      <c r="B44" s="463">
        <v>987833</v>
      </c>
      <c r="C44" s="463">
        <v>987833</v>
      </c>
      <c r="D44" s="438"/>
      <c r="E44" s="438"/>
      <c r="F44" s="444">
        <f t="shared" si="0"/>
        <v>0</v>
      </c>
      <c r="G44" s="445"/>
    </row>
    <row r="45" spans="1:7">
      <c r="A45" s="440" t="s">
        <v>103</v>
      </c>
      <c r="B45" s="463">
        <v>463667</v>
      </c>
      <c r="C45" s="463">
        <v>463667</v>
      </c>
      <c r="D45" s="438"/>
      <c r="E45" s="438"/>
      <c r="F45" s="444">
        <f t="shared" si="0"/>
        <v>0</v>
      </c>
      <c r="G45" s="445"/>
    </row>
    <row r="46" spans="1:7">
      <c r="A46" s="440" t="s">
        <v>104</v>
      </c>
      <c r="B46" s="463">
        <v>7782333</v>
      </c>
      <c r="C46" s="463">
        <f>1606800+3051654+3123879</f>
        <v>7782333</v>
      </c>
      <c r="D46" s="438"/>
      <c r="E46" s="438"/>
      <c r="F46" s="444">
        <f t="shared" si="0"/>
        <v>0</v>
      </c>
      <c r="G46" s="445"/>
    </row>
    <row r="47" spans="1:7">
      <c r="A47" s="440" t="s">
        <v>105</v>
      </c>
      <c r="B47" s="463">
        <v>7500</v>
      </c>
      <c r="C47" s="463">
        <v>7500</v>
      </c>
      <c r="D47" s="438"/>
      <c r="E47" s="438"/>
      <c r="F47" s="444">
        <f t="shared" si="0"/>
        <v>0</v>
      </c>
      <c r="G47" s="445"/>
    </row>
    <row r="48" spans="1:7">
      <c r="A48" s="440" t="s">
        <v>107</v>
      </c>
      <c r="B48" s="463">
        <v>403167</v>
      </c>
      <c r="C48" s="463">
        <v>403167</v>
      </c>
      <c r="D48" s="438"/>
      <c r="E48" s="438"/>
      <c r="F48" s="444">
        <f t="shared" si="0"/>
        <v>0</v>
      </c>
      <c r="G48" s="445"/>
    </row>
    <row r="49" spans="1:7">
      <c r="A49" s="440" t="s">
        <v>108</v>
      </c>
      <c r="B49" s="463">
        <v>211667</v>
      </c>
      <c r="C49" s="463">
        <v>211667</v>
      </c>
      <c r="D49" s="438"/>
      <c r="E49" s="438"/>
      <c r="F49" s="444">
        <f t="shared" si="0"/>
        <v>0</v>
      </c>
      <c r="G49" s="445"/>
    </row>
    <row r="50" spans="1:7">
      <c r="A50" s="440" t="s">
        <v>110</v>
      </c>
      <c r="B50" s="463">
        <v>6156833</v>
      </c>
      <c r="C50" s="463">
        <f>6156833-1192731</f>
        <v>4964102</v>
      </c>
      <c r="D50" s="438">
        <v>1192731</v>
      </c>
      <c r="E50" s="438"/>
      <c r="F50" s="444">
        <f t="shared" si="0"/>
        <v>0</v>
      </c>
      <c r="G50" s="445"/>
    </row>
    <row r="51" spans="1:7">
      <c r="A51" s="440" t="s">
        <v>130</v>
      </c>
      <c r="B51" s="463">
        <v>2409333</v>
      </c>
      <c r="C51" s="463">
        <v>2409333</v>
      </c>
      <c r="D51" s="438"/>
      <c r="E51" s="438"/>
      <c r="F51" s="444">
        <f t="shared" si="0"/>
        <v>0</v>
      </c>
      <c r="G51" s="445"/>
    </row>
    <row r="52" spans="1:7">
      <c r="A52" s="440" t="s">
        <v>112</v>
      </c>
      <c r="B52" s="438">
        <v>2873000</v>
      </c>
      <c r="C52" s="463">
        <v>2872999.67</v>
      </c>
      <c r="D52" s="438"/>
      <c r="E52" s="438"/>
      <c r="F52" s="444">
        <f t="shared" si="0"/>
        <v>0.33000000007450581</v>
      </c>
      <c r="G52" s="445"/>
    </row>
    <row r="53" spans="1:7" ht="18" customHeight="1">
      <c r="A53" s="440" t="s">
        <v>113</v>
      </c>
      <c r="B53" s="438">
        <v>10000</v>
      </c>
      <c r="C53" s="463"/>
      <c r="D53" s="438"/>
      <c r="E53" s="438"/>
      <c r="F53" s="444">
        <f t="shared" si="0"/>
        <v>10000</v>
      </c>
      <c r="G53" s="445"/>
    </row>
    <row r="54" spans="1:7">
      <c r="A54" s="440" t="s">
        <v>115</v>
      </c>
      <c r="B54" s="438">
        <v>259500</v>
      </c>
      <c r="C54" s="463"/>
      <c r="D54" s="438"/>
      <c r="E54" s="438"/>
      <c r="F54" s="444">
        <f t="shared" si="0"/>
        <v>259500</v>
      </c>
      <c r="G54" s="445"/>
    </row>
    <row r="55" spans="1:7">
      <c r="A55" s="440" t="s">
        <v>117</v>
      </c>
      <c r="B55" s="463">
        <v>11247500</v>
      </c>
      <c r="C55" s="463">
        <v>11247500</v>
      </c>
      <c r="D55" s="438"/>
      <c r="E55" s="463"/>
      <c r="F55" s="444">
        <f t="shared" si="0"/>
        <v>0</v>
      </c>
      <c r="G55" s="445"/>
    </row>
    <row r="56" spans="1:7">
      <c r="A56" s="440" t="s">
        <v>118</v>
      </c>
      <c r="B56" s="463">
        <f>36666667-191409</f>
        <v>36475258</v>
      </c>
      <c r="C56" s="463">
        <f>1415928+24700000+300000+8326000+1889429-156099</f>
        <v>36475258</v>
      </c>
      <c r="D56" s="438"/>
      <c r="E56" s="438"/>
      <c r="F56" s="444">
        <f t="shared" si="0"/>
        <v>0</v>
      </c>
      <c r="G56" s="445"/>
    </row>
    <row r="57" spans="1:7">
      <c r="A57" s="440" t="s">
        <v>119</v>
      </c>
      <c r="B57" s="463">
        <v>58000</v>
      </c>
      <c r="C57" s="438"/>
      <c r="D57" s="438"/>
      <c r="E57" s="438"/>
      <c r="F57" s="444">
        <f t="shared" si="0"/>
        <v>58000</v>
      </c>
      <c r="G57" s="445"/>
    </row>
    <row r="58" spans="1:7" ht="15" thickBot="1">
      <c r="A58" s="465" t="s">
        <v>122</v>
      </c>
      <c r="B58" s="466">
        <f>SUM(B9:B57)</f>
        <v>165179874</v>
      </c>
      <c r="C58" s="466">
        <f>SUM(C9:C57)</f>
        <v>156372346.95999998</v>
      </c>
      <c r="D58" s="466">
        <f>SUM(D9:D57)</f>
        <v>7140693</v>
      </c>
      <c r="E58" s="466">
        <f>SUM(E9:E57)</f>
        <v>0</v>
      </c>
      <c r="F58" s="467">
        <f>SUM(F9:F57)</f>
        <v>1666834.0399999998</v>
      </c>
      <c r="G58" s="445"/>
    </row>
    <row r="59" spans="1:7" ht="15" thickBot="1">
      <c r="A59" s="468" t="s">
        <v>131</v>
      </c>
      <c r="B59" s="454">
        <f>1295383+191409</f>
        <v>1486792</v>
      </c>
      <c r="C59" s="454"/>
      <c r="D59" s="454"/>
      <c r="E59" s="454"/>
      <c r="F59" s="469">
        <f t="shared" si="0"/>
        <v>1486792</v>
      </c>
      <c r="G59" s="445"/>
    </row>
    <row r="60" spans="1:7" ht="15" thickBot="1">
      <c r="A60" s="452" t="s">
        <v>132</v>
      </c>
      <c r="B60" s="470">
        <f>B58+B59</f>
        <v>166666666</v>
      </c>
      <c r="C60" s="470">
        <f t="shared" ref="C60:F60" si="1">C58+C59</f>
        <v>156372346.95999998</v>
      </c>
      <c r="D60" s="470">
        <f t="shared" si="1"/>
        <v>7140693</v>
      </c>
      <c r="E60" s="470">
        <f t="shared" si="1"/>
        <v>0</v>
      </c>
      <c r="F60" s="471">
        <f t="shared" si="1"/>
        <v>3153626.04</v>
      </c>
      <c r="G60" s="445"/>
    </row>
    <row r="61" spans="1:7">
      <c r="A61" s="453" t="s">
        <v>250</v>
      </c>
      <c r="B61" s="472"/>
      <c r="C61" s="472"/>
      <c r="D61" s="472"/>
      <c r="E61" s="472"/>
      <c r="F61" s="472"/>
      <c r="G61" s="445"/>
    </row>
    <row r="62" spans="1:7" ht="15" thickBot="1">
      <c r="A62" s="454"/>
      <c r="B62" s="454"/>
      <c r="C62" s="454"/>
      <c r="D62" s="454"/>
      <c r="E62" s="454"/>
      <c r="F62" s="454"/>
      <c r="G62" s="445"/>
    </row>
    <row r="63" spans="1:7" ht="15" thickBot="1">
      <c r="A63" s="455" t="s">
        <v>133</v>
      </c>
      <c r="B63" s="456">
        <f>B12+B13+B15+B19+B21+B27+B33+B36+B43+B46+B48+B49+B53+B54+B57</f>
        <v>13281167</v>
      </c>
      <c r="C63" s="456">
        <f>C12+C13+C15+C19+C21+C26+C34+C36+C43+C46+C48+C49+C53+C54+C57</f>
        <v>11979832.969999999</v>
      </c>
      <c r="D63" s="456">
        <f>D12+D13+D15+D19+D21+D26+D34+D36+D43+D46+D48+D49+D53+D54+D57</f>
        <v>0</v>
      </c>
      <c r="E63" s="456">
        <f>E12+E13+E15+E19+E21+E26+E34+E36+E43+E46+E48+E49+E53+E54+E57</f>
        <v>0</v>
      </c>
      <c r="F63" s="457">
        <f>B63-C63-D63-E63</f>
        <v>1301334.0300000012</v>
      </c>
      <c r="G63" s="445"/>
    </row>
    <row r="64" spans="1:7">
      <c r="A64" s="473"/>
      <c r="B64" s="445"/>
      <c r="C64" s="445"/>
      <c r="D64" s="445"/>
      <c r="E64" s="445"/>
      <c r="F64" s="445"/>
      <c r="G64" s="445"/>
    </row>
    <row r="65" spans="1:7" s="428" customFormat="1" ht="13">
      <c r="A65" s="474"/>
      <c r="B65" s="474"/>
      <c r="C65" s="474"/>
      <c r="D65" s="474"/>
      <c r="E65" s="474"/>
      <c r="F65" s="474"/>
      <c r="G65" s="474"/>
    </row>
    <row r="66" spans="1:7">
      <c r="A66" s="445"/>
      <c r="B66" s="445"/>
      <c r="C66" s="445"/>
      <c r="D66" s="445"/>
      <c r="E66" s="445"/>
      <c r="F66" s="445"/>
      <c r="G66" s="445"/>
    </row>
  </sheetData>
  <mergeCells count="6">
    <mergeCell ref="E1:F1"/>
    <mergeCell ref="A5:F5"/>
    <mergeCell ref="A6:F6"/>
    <mergeCell ref="A7:F7"/>
    <mergeCell ref="E2:F2"/>
    <mergeCell ref="E3:F3"/>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911C7-A747-4E64-B943-34BAF3056EF5}">
  <sheetPr>
    <pageSetUpPr fitToPage="1"/>
  </sheetPr>
  <dimension ref="A1:H69"/>
  <sheetViews>
    <sheetView topLeftCell="A20" workbookViewId="0">
      <selection activeCell="D14" sqref="D14"/>
    </sheetView>
  </sheetViews>
  <sheetFormatPr defaultRowHeight="14.5"/>
  <cols>
    <col min="1" max="1" width="30.7265625" customWidth="1"/>
    <col min="2" max="6" width="20.7265625" style="58" customWidth="1"/>
    <col min="7" max="7" width="16.36328125" customWidth="1"/>
    <col min="8" max="8" width="17.54296875" bestFit="1" customWidth="1"/>
  </cols>
  <sheetData>
    <row r="1" spans="1:7" ht="18">
      <c r="A1" s="801" t="str">
        <f>[1]Status!C1</f>
        <v>UNEP/OzL.Pro/ExCom/94/3</v>
      </c>
      <c r="B1" s="801"/>
      <c r="C1" s="14"/>
      <c r="D1" s="14"/>
    </row>
    <row r="2" spans="1:7" ht="18">
      <c r="A2" s="35" t="s">
        <v>0</v>
      </c>
      <c r="C2" s="14"/>
      <c r="D2" s="14"/>
    </row>
    <row r="3" spans="1:7" ht="18">
      <c r="A3" s="8" t="s">
        <v>141</v>
      </c>
      <c r="C3" s="14"/>
      <c r="D3" s="14"/>
    </row>
    <row r="4" spans="1:7" ht="15.5">
      <c r="A4" s="1"/>
      <c r="B4" s="14"/>
      <c r="C4" s="14"/>
      <c r="D4" s="14"/>
      <c r="E4" s="14"/>
      <c r="F4" s="14"/>
    </row>
    <row r="5" spans="1:7" ht="16">
      <c r="A5" s="794" t="s">
        <v>2</v>
      </c>
      <c r="B5" s="794"/>
      <c r="C5" s="794"/>
      <c r="D5" s="794"/>
      <c r="E5" s="794"/>
      <c r="F5" s="794"/>
    </row>
    <row r="6" spans="1:7" ht="15.5">
      <c r="A6" s="795" t="s">
        <v>273</v>
      </c>
      <c r="B6" s="795"/>
      <c r="C6" s="795"/>
      <c r="D6" s="795"/>
      <c r="E6" s="795"/>
      <c r="F6" s="795"/>
    </row>
    <row r="7" spans="1:7" ht="16.5" thickBot="1">
      <c r="A7" s="796" t="str">
        <f>[1]Status!A6</f>
        <v>As at 24/05/2024</v>
      </c>
      <c r="B7" s="796"/>
      <c r="C7" s="796"/>
      <c r="D7" s="796"/>
      <c r="E7" s="796"/>
      <c r="F7" s="796"/>
    </row>
    <row r="8" spans="1:7" ht="33" customHeight="1" thickBot="1">
      <c r="A8" s="19" t="s">
        <v>59</v>
      </c>
      <c r="B8" s="20" t="s">
        <v>60</v>
      </c>
      <c r="C8" s="20" t="s">
        <v>61</v>
      </c>
      <c r="D8" s="504" t="s">
        <v>62</v>
      </c>
      <c r="E8" s="20" t="s">
        <v>63</v>
      </c>
      <c r="F8" s="21" t="s">
        <v>64</v>
      </c>
    </row>
    <row r="9" spans="1:7">
      <c r="A9" s="436" t="s">
        <v>65</v>
      </c>
      <c r="B9" s="498">
        <f>'YR2015'!B9+'YR2016'!B9+'YR2017'!B9</f>
        <v>48504</v>
      </c>
      <c r="C9" s="498">
        <f>'YR2015'!C9+'YR2016'!C9+'YR2017'!C9</f>
        <v>48504</v>
      </c>
      <c r="D9" s="498">
        <f>'YR2015'!D9+'YR2016'!D9+'YR2017'!D9</f>
        <v>0</v>
      </c>
      <c r="E9" s="498">
        <f>'YR2015'!E9+'YR2016'!E9+'YR2017'!E9</f>
        <v>0</v>
      </c>
      <c r="F9" s="522">
        <f t="shared" ref="F9:F57" si="0">B9-C9-D9-E9</f>
        <v>0</v>
      </c>
      <c r="G9" s="445"/>
    </row>
    <row r="10" spans="1:7">
      <c r="A10" s="440" t="s">
        <v>124</v>
      </c>
      <c r="B10" s="463">
        <f>'YR2015'!B10+'YR2016'!B10+'YR2017'!B10</f>
        <v>12574443</v>
      </c>
      <c r="C10" s="463">
        <f>'YR2015'!C10+'YR2016'!C10+'YR2017'!C10</f>
        <v>12574443</v>
      </c>
      <c r="D10" s="463">
        <f>'YR2015'!D10+'YR2016'!D10+'YR2017'!D10</f>
        <v>0</v>
      </c>
      <c r="E10" s="463">
        <f>'YR2015'!E10+'YR2016'!E10+'YR2017'!E10</f>
        <v>0</v>
      </c>
      <c r="F10" s="444">
        <f t="shared" si="0"/>
        <v>0</v>
      </c>
      <c r="G10" s="445"/>
    </row>
    <row r="11" spans="1:7">
      <c r="A11" s="440" t="s">
        <v>67</v>
      </c>
      <c r="B11" s="463">
        <f>'YR2015'!B11+'YR2016'!B11+'YR2017'!B11</f>
        <v>4838190</v>
      </c>
      <c r="C11" s="463">
        <f>'YR2015'!C11+'YR2016'!C11+'YR2017'!C11</f>
        <v>4838190</v>
      </c>
      <c r="D11" s="463">
        <f>'YR2015'!D11+'YR2016'!D11+'YR2017'!D11</f>
        <v>0</v>
      </c>
      <c r="E11" s="463">
        <f>'YR2015'!E11+'YR2016'!E11+'YR2017'!E11</f>
        <v>0</v>
      </c>
      <c r="F11" s="444">
        <f t="shared" si="0"/>
        <v>0</v>
      </c>
      <c r="G11" s="445"/>
    </row>
    <row r="12" spans="1:7">
      <c r="A12" s="446" t="s">
        <v>68</v>
      </c>
      <c r="B12" s="463">
        <f>'YR2015'!B12+'YR2016'!B12+'YR2017'!B12</f>
        <v>242517</v>
      </c>
      <c r="C12" s="463">
        <f>'YR2015'!C12+'YR2016'!C12+'YR2017'!C12</f>
        <v>0</v>
      </c>
      <c r="D12" s="463">
        <f>'YR2015'!D12+'YR2016'!D12+'YR2017'!D12</f>
        <v>0</v>
      </c>
      <c r="E12" s="463">
        <f>'YR2015'!E12+'YR2016'!E12+'YR2017'!E12</f>
        <v>0</v>
      </c>
      <c r="F12" s="444">
        <f t="shared" si="0"/>
        <v>242517</v>
      </c>
      <c r="G12" s="445"/>
    </row>
    <row r="13" spans="1:7">
      <c r="A13" s="440" t="s">
        <v>69</v>
      </c>
      <c r="B13" s="463">
        <f>'YR2015'!B13+'YR2016'!B13+'YR2017'!B13</f>
        <v>339522</v>
      </c>
      <c r="C13" s="463">
        <f>'YR2015'!C13+'YR2016'!C13+'YR2017'!C13</f>
        <v>226348</v>
      </c>
      <c r="D13" s="463">
        <f>'YR2015'!D13+'YR2016'!D13+'YR2017'!D13</f>
        <v>0</v>
      </c>
      <c r="E13" s="463">
        <f>'YR2015'!E13+'YR2016'!E13+'YR2017'!E13</f>
        <v>0</v>
      </c>
      <c r="F13" s="444">
        <f t="shared" si="0"/>
        <v>113174</v>
      </c>
      <c r="G13" s="445"/>
    </row>
    <row r="14" spans="1:7">
      <c r="A14" s="440" t="s">
        <v>70</v>
      </c>
      <c r="B14" s="463">
        <f>'YR2015'!B14+'YR2016'!B14+'YR2017'!B14</f>
        <v>6050769</v>
      </c>
      <c r="C14" s="463">
        <f>'YR2015'!C14+'YR2016'!C14+'YR2017'!C14</f>
        <v>6050769</v>
      </c>
      <c r="D14" s="463">
        <f>'YR2015'!D14+'YR2016'!D14+'YR2017'!D14</f>
        <v>0</v>
      </c>
      <c r="E14" s="463">
        <f>'YR2015'!E14+'YR2016'!E14+'YR2017'!E14</f>
        <v>0</v>
      </c>
      <c r="F14" s="444">
        <f t="shared" si="0"/>
        <v>0</v>
      </c>
      <c r="G14" s="445"/>
    </row>
    <row r="15" spans="1:7">
      <c r="A15" s="440" t="s">
        <v>71</v>
      </c>
      <c r="B15" s="463">
        <f>'YR2015'!B15+'YR2016'!B15+'YR2017'!B15</f>
        <v>284955</v>
      </c>
      <c r="C15" s="463">
        <f>'YR2015'!C15+'YR2016'!C15+'YR2017'!C15</f>
        <v>284955</v>
      </c>
      <c r="D15" s="463">
        <f>'YR2015'!D15+'YR2016'!D15+'YR2017'!D15</f>
        <v>0</v>
      </c>
      <c r="E15" s="463">
        <f>'YR2015'!E15+'YR2016'!E15+'YR2017'!E15</f>
        <v>0</v>
      </c>
      <c r="F15" s="444">
        <f t="shared" si="0"/>
        <v>0</v>
      </c>
      <c r="G15" s="445"/>
    </row>
    <row r="16" spans="1:7">
      <c r="A16" s="440" t="s">
        <v>125</v>
      </c>
      <c r="B16" s="463">
        <f>'YR2015'!B16+'YR2016'!B16+'YR2017'!B16</f>
        <v>18091677</v>
      </c>
      <c r="C16" s="463">
        <f>'YR2015'!C16+'YR2016'!C16+'YR2017'!C16</f>
        <v>18091676.630000003</v>
      </c>
      <c r="D16" s="463">
        <f>'YR2015'!D16+'YR2016'!D16+'YR2017'!D16</f>
        <v>0</v>
      </c>
      <c r="E16" s="463">
        <f>'YR2015'!E16+'YR2016'!E16+'YR2017'!E16</f>
        <v>0</v>
      </c>
      <c r="F16" s="444">
        <f t="shared" si="0"/>
        <v>0.36999999731779099</v>
      </c>
      <c r="G16" s="445"/>
    </row>
    <row r="17" spans="1:8">
      <c r="A17" s="440" t="s">
        <v>73</v>
      </c>
      <c r="B17" s="463">
        <f>'YR2015'!B17+'YR2016'!B17+'YR2017'!B17</f>
        <v>763926</v>
      </c>
      <c r="C17" s="463">
        <f>'YR2015'!C17+'YR2016'!C17+'YR2017'!C17</f>
        <v>763926.44</v>
      </c>
      <c r="D17" s="463">
        <f>'YR2015'!D17+'YR2016'!D17+'YR2017'!D17</f>
        <v>0</v>
      </c>
      <c r="E17" s="463">
        <f>'YR2015'!E17+'YR2016'!E17+'YR2017'!E17</f>
        <v>0</v>
      </c>
      <c r="F17" s="444">
        <f t="shared" si="0"/>
        <v>-0.43999999994412065</v>
      </c>
      <c r="G17" s="445"/>
    </row>
    <row r="18" spans="1:8">
      <c r="A18" s="440" t="s">
        <v>74</v>
      </c>
      <c r="B18" s="463">
        <f>'YR2015'!B18+'YR2016'!B18+'YR2017'!B18</f>
        <v>284955</v>
      </c>
      <c r="C18" s="463">
        <f>'YR2015'!C18+'YR2016'!C18+'YR2017'!C18</f>
        <v>284955</v>
      </c>
      <c r="D18" s="463">
        <f>'YR2015'!D18+'YR2016'!D18+'YR2017'!D18</f>
        <v>0</v>
      </c>
      <c r="E18" s="463">
        <f>'YR2015'!E18+'YR2016'!E18+'YR2017'!E18</f>
        <v>0</v>
      </c>
      <c r="F18" s="444">
        <f t="shared" si="0"/>
        <v>0</v>
      </c>
      <c r="G18" s="445"/>
    </row>
    <row r="19" spans="1:8">
      <c r="A19" s="440" t="s">
        <v>75</v>
      </c>
      <c r="B19" s="463">
        <f>'YR2015'!B19+'YR2016'!B19+'YR2017'!B19</f>
        <v>2340276</v>
      </c>
      <c r="C19" s="463">
        <f>'YR2015'!C19+'YR2016'!C19+'YR2017'!C19</f>
        <v>2340276</v>
      </c>
      <c r="D19" s="463">
        <f>'YR2015'!D19+'YR2016'!D19+'YR2017'!D19</f>
        <v>0</v>
      </c>
      <c r="E19" s="463">
        <f>'YR2015'!E19+'YR2016'!E19+'YR2017'!E19</f>
        <v>0</v>
      </c>
      <c r="F19" s="444">
        <f t="shared" si="0"/>
        <v>0</v>
      </c>
      <c r="G19" s="445"/>
    </row>
    <row r="20" spans="1:8">
      <c r="A20" s="440" t="s">
        <v>76</v>
      </c>
      <c r="B20" s="463">
        <f>'YR2015'!B20+'YR2016'!B20+'YR2017'!B20</f>
        <v>4092453</v>
      </c>
      <c r="C20" s="463">
        <f>'YR2015'!C20+'YR2016'!C20+'YR2017'!C20</f>
        <v>4092453</v>
      </c>
      <c r="D20" s="463">
        <f>'YR2015'!D20+'YR2016'!D20+'YR2017'!D20</f>
        <v>0</v>
      </c>
      <c r="E20" s="463">
        <f>'YR2015'!E20+'YR2016'!E20+'YR2017'!E20</f>
        <v>0</v>
      </c>
      <c r="F20" s="444">
        <f t="shared" si="0"/>
        <v>0</v>
      </c>
      <c r="G20" s="445"/>
    </row>
    <row r="21" spans="1:8">
      <c r="A21" s="440" t="s">
        <v>77</v>
      </c>
      <c r="B21" s="463">
        <f>'YR2015'!B21+'YR2016'!B21+'YR2017'!B21</f>
        <v>242517</v>
      </c>
      <c r="C21" s="463">
        <f>'YR2015'!C21+'YR2016'!C21+'YR2017'!C21</f>
        <v>242517</v>
      </c>
      <c r="D21" s="463">
        <f>'YR2015'!D21+'YR2016'!D21+'YR2017'!D21</f>
        <v>0</v>
      </c>
      <c r="E21" s="463">
        <f>'YR2015'!E21+'YR2016'!E21+'YR2017'!E21</f>
        <v>0</v>
      </c>
      <c r="F21" s="444">
        <f t="shared" si="0"/>
        <v>0</v>
      </c>
      <c r="G21" s="445"/>
    </row>
    <row r="22" spans="1:8">
      <c r="A22" s="440" t="s">
        <v>78</v>
      </c>
      <c r="B22" s="463">
        <f>'YR2015'!B22+'YR2016'!B22+'YR2017'!B22</f>
        <v>3146643</v>
      </c>
      <c r="C22" s="463">
        <f>'YR2015'!C22+'YR2016'!C22+'YR2017'!C22</f>
        <v>3146643</v>
      </c>
      <c r="D22" s="463">
        <f>'YR2015'!D22+'YR2016'!D22+'YR2017'!D22</f>
        <v>0</v>
      </c>
      <c r="E22" s="463">
        <f>'YR2015'!E22+'YR2016'!E22+'YR2017'!E22</f>
        <v>0</v>
      </c>
      <c r="F22" s="444">
        <f t="shared" si="0"/>
        <v>0</v>
      </c>
      <c r="G22" s="445"/>
    </row>
    <row r="23" spans="1:8">
      <c r="A23" s="440" t="s">
        <v>126</v>
      </c>
      <c r="B23" s="463">
        <f>'YR2015'!B23+'YR2016'!B23+'YR2017'!B23</f>
        <v>33909768</v>
      </c>
      <c r="C23" s="463">
        <f>'YR2015'!C23+'YR2016'!C23+'YR2017'!C23</f>
        <v>32754742.009999998</v>
      </c>
      <c r="D23" s="463">
        <f>'YR2015'!D23+'YR2016'!D23+'YR2017'!D23</f>
        <v>1155026</v>
      </c>
      <c r="E23" s="463">
        <f>'YR2015'!E23+'YR2016'!E23+'YR2017'!E23</f>
        <v>0</v>
      </c>
      <c r="F23" s="444">
        <f t="shared" si="0"/>
        <v>-9.9999979138374329E-3</v>
      </c>
      <c r="G23" s="445"/>
    </row>
    <row r="24" spans="1:8">
      <c r="A24" s="440" t="s">
        <v>127</v>
      </c>
      <c r="B24" s="463">
        <f>'YR2015'!B24+'YR2016'!B24+'YR2017'!B24</f>
        <v>43295127</v>
      </c>
      <c r="C24" s="463">
        <f>'YR2015'!C24+'YR2016'!C24+'YR2017'!C24</f>
        <v>34537016.280000001</v>
      </c>
      <c r="D24" s="463">
        <f>'YR2015'!D24+'YR2016'!D24+'YR2017'!D24</f>
        <v>8758111</v>
      </c>
      <c r="E24" s="463">
        <f>'YR2015'!E24+'YR2016'!E24+'YR2017'!E24</f>
        <v>-0.10624981066212058</v>
      </c>
      <c r="F24" s="444">
        <f t="shared" si="0"/>
        <v>-0.17375019052997231</v>
      </c>
      <c r="G24" s="447"/>
      <c r="H24" s="52"/>
    </row>
    <row r="25" spans="1:8">
      <c r="A25" s="440" t="s">
        <v>81</v>
      </c>
      <c r="B25" s="463">
        <f>'YR2015'!B25+'YR2016'!B25+'YR2017'!B25</f>
        <v>3868128</v>
      </c>
      <c r="C25" s="463">
        <f>'YR2015'!C25+'YR2016'!C25+'YR2017'!C25</f>
        <v>3868128</v>
      </c>
      <c r="D25" s="463">
        <f>'YR2015'!D25+'YR2016'!D25+'YR2017'!D25</f>
        <v>0</v>
      </c>
      <c r="E25" s="463">
        <f>'YR2015'!E25+'YR2016'!E25+'YR2017'!E25</f>
        <v>0</v>
      </c>
      <c r="F25" s="444">
        <f t="shared" si="0"/>
        <v>0</v>
      </c>
      <c r="G25" s="448"/>
    </row>
    <row r="26" spans="1:8">
      <c r="A26" s="440" t="s">
        <v>82</v>
      </c>
      <c r="B26" s="463">
        <f>'YR2015'!B26+'YR2016'!B26+'YR2017'!B26</f>
        <v>6063</v>
      </c>
      <c r="C26" s="463">
        <f>'YR2015'!C26+'YR2016'!C26+'YR2017'!C26</f>
        <v>6063</v>
      </c>
      <c r="D26" s="463">
        <f>'YR2015'!D26+'YR2016'!D26+'YR2017'!D26</f>
        <v>0</v>
      </c>
      <c r="E26" s="463">
        <f>'YR2015'!E26+'YR2016'!E26+'YR2017'!E26</f>
        <v>0</v>
      </c>
      <c r="F26" s="444">
        <f t="shared" si="0"/>
        <v>0</v>
      </c>
      <c r="G26" s="448"/>
    </row>
    <row r="27" spans="1:8">
      <c r="A27" s="440" t="s">
        <v>83</v>
      </c>
      <c r="B27" s="463">
        <f>'YR2015'!B27+'YR2016'!B27+'YR2017'!B27</f>
        <v>1612731</v>
      </c>
      <c r="C27" s="463">
        <f>'YR2015'!C27+'YR2016'!C27+'YR2017'!C27</f>
        <v>1612731</v>
      </c>
      <c r="D27" s="463">
        <f>'YR2015'!D27+'YR2016'!D27+'YR2017'!D27</f>
        <v>0</v>
      </c>
      <c r="E27" s="463">
        <f>'YR2015'!E27+'YR2016'!E27+'YR2017'!E27</f>
        <v>0</v>
      </c>
      <c r="F27" s="444">
        <f t="shared" si="0"/>
        <v>0</v>
      </c>
      <c r="G27" s="445"/>
    </row>
    <row r="28" spans="1:8">
      <c r="A28" s="440" t="s">
        <v>84</v>
      </c>
      <c r="B28" s="463">
        <f>'YR2015'!B28+'YR2016'!B28+'YR2017'!B28</f>
        <v>163698</v>
      </c>
      <c r="C28" s="463">
        <f>'YR2015'!C28+'YR2016'!C28+'YR2017'!C28</f>
        <v>163697.74</v>
      </c>
      <c r="D28" s="463">
        <f>'YR2015'!D28+'YR2016'!D28+'YR2017'!D28</f>
        <v>0</v>
      </c>
      <c r="E28" s="463">
        <f>'YR2015'!E28+'YR2016'!E28+'YR2017'!E28</f>
        <v>0</v>
      </c>
      <c r="F28" s="444">
        <f t="shared" si="0"/>
        <v>0.26000000000931323</v>
      </c>
      <c r="G28" s="445"/>
    </row>
    <row r="29" spans="1:8">
      <c r="A29" s="440" t="s">
        <v>128</v>
      </c>
      <c r="B29" s="463">
        <f>'YR2015'!B29+'YR2016'!B29+'YR2017'!B29</f>
        <v>2534289</v>
      </c>
      <c r="C29" s="463">
        <f>'YR2015'!C29+'YR2016'!C29+'YR2017'!C29</f>
        <v>2534289</v>
      </c>
      <c r="D29" s="463">
        <f>'YR2015'!D29+'YR2016'!D29+'YR2017'!D29</f>
        <v>0</v>
      </c>
      <c r="E29" s="463">
        <f>'YR2015'!E29+'YR2016'!E29+'YR2017'!E29</f>
        <v>0</v>
      </c>
      <c r="F29" s="444">
        <f t="shared" si="0"/>
        <v>0</v>
      </c>
      <c r="G29" s="445"/>
    </row>
    <row r="30" spans="1:8">
      <c r="A30" s="440" t="s">
        <v>86</v>
      </c>
      <c r="B30" s="463">
        <f>'YR2015'!B30+'YR2016'!B30+'YR2017'!B30</f>
        <v>2400906</v>
      </c>
      <c r="C30" s="463">
        <f>'YR2015'!C30+'YR2016'!C30+'YR2017'!C30</f>
        <v>0</v>
      </c>
      <c r="D30" s="463">
        <f>'YR2015'!D30+'YR2016'!D30+'YR2017'!D30</f>
        <v>0</v>
      </c>
      <c r="E30" s="463">
        <f>'YR2015'!E30+'YR2016'!E30+'YR2017'!E30</f>
        <v>0</v>
      </c>
      <c r="F30" s="444">
        <f t="shared" si="0"/>
        <v>2400906</v>
      </c>
      <c r="G30" s="445"/>
    </row>
    <row r="31" spans="1:8">
      <c r="A31" s="440" t="s">
        <v>87</v>
      </c>
      <c r="B31" s="463">
        <f>'YR2015'!B31+'YR2016'!B31+'YR2017'!B31</f>
        <v>26967753</v>
      </c>
      <c r="C31" s="463">
        <f>'YR2015'!C31+'YR2016'!C31+'YR2017'!C31</f>
        <v>24877302.990000002</v>
      </c>
      <c r="D31" s="463">
        <f>'YR2015'!D31+'YR2016'!D31+'YR2017'!D31</f>
        <v>2090450</v>
      </c>
      <c r="E31" s="463">
        <f>'YR2015'!E31+'YR2016'!E31+'YR2017'!E31</f>
        <v>0</v>
      </c>
      <c r="F31" s="444">
        <f t="shared" si="0"/>
        <v>9.9999979138374329E-3</v>
      </c>
      <c r="G31" s="445"/>
    </row>
    <row r="32" spans="1:8">
      <c r="A32" s="440" t="s">
        <v>129</v>
      </c>
      <c r="B32" s="463">
        <f>'YR2015'!B32+'YR2016'!B32+'YR2017'!B32</f>
        <v>65679333</v>
      </c>
      <c r="C32" s="463">
        <f>'YR2015'!C32+'YR2016'!C32+'YR2017'!C32</f>
        <v>65359259.850000001</v>
      </c>
      <c r="D32" s="463">
        <f>'YR2015'!D32+'YR2016'!D32+'YR2017'!D32</f>
        <v>320073</v>
      </c>
      <c r="E32" s="463">
        <f>'YR2015'!E32+'YR2016'!E32+'YR2017'!E32</f>
        <v>0</v>
      </c>
      <c r="F32" s="444">
        <f t="shared" si="0"/>
        <v>0.14999999850988388</v>
      </c>
      <c r="G32" s="445"/>
      <c r="H32" s="54"/>
    </row>
    <row r="33" spans="1:8">
      <c r="A33" s="440" t="s">
        <v>89</v>
      </c>
      <c r="B33" s="463">
        <f>'YR2015'!B33+'YR2016'!B33+'YR2017'!B33</f>
        <v>733611</v>
      </c>
      <c r="C33" s="463">
        <f>'YR2015'!C33+'YR2016'!C33+'YR2017'!C33</f>
        <v>733611</v>
      </c>
      <c r="D33" s="463">
        <f>'YR2015'!D33+'YR2016'!D33+'YR2017'!D33</f>
        <v>0</v>
      </c>
      <c r="E33" s="463">
        <f>'YR2015'!E33+'YR2016'!E33+'YR2017'!E33</f>
        <v>0</v>
      </c>
      <c r="F33" s="444">
        <f t="shared" si="0"/>
        <v>0</v>
      </c>
      <c r="G33" s="445"/>
      <c r="H33" s="54"/>
    </row>
    <row r="34" spans="1:8">
      <c r="A34" s="440" t="s">
        <v>91</v>
      </c>
      <c r="B34" s="463">
        <f>'YR2015'!B34+'YR2016'!B34+'YR2017'!B34</f>
        <v>284955</v>
      </c>
      <c r="C34" s="463">
        <f>'YR2015'!C34+'YR2016'!C34+'YR2017'!C34</f>
        <v>284955</v>
      </c>
      <c r="D34" s="463">
        <f>'YR2015'!D34+'YR2016'!D34+'YR2017'!D34</f>
        <v>0</v>
      </c>
      <c r="E34" s="463">
        <f>'YR2015'!E34+'YR2016'!E34+'YR2017'!E34</f>
        <v>0</v>
      </c>
      <c r="F34" s="444">
        <f t="shared" si="0"/>
        <v>0</v>
      </c>
      <c r="G34" s="445"/>
    </row>
    <row r="35" spans="1:8">
      <c r="A35" s="440" t="s">
        <v>92</v>
      </c>
      <c r="B35" s="463">
        <f>'YR2015'!B35+'YR2016'!B35+'YR2017'!B35</f>
        <v>54567</v>
      </c>
      <c r="C35" s="463">
        <f>'YR2015'!C35+'YR2016'!C35+'YR2017'!C35</f>
        <v>54567</v>
      </c>
      <c r="D35" s="463">
        <f>'YR2015'!D35+'YR2016'!D35+'YR2017'!D35</f>
        <v>0</v>
      </c>
      <c r="E35" s="463">
        <f>'YR2015'!E35+'YR2016'!E35+'YR2017'!E35</f>
        <v>0</v>
      </c>
      <c r="F35" s="444">
        <f t="shared" si="0"/>
        <v>0</v>
      </c>
      <c r="G35" s="445"/>
    </row>
    <row r="36" spans="1:8">
      <c r="A36" s="440" t="s">
        <v>93</v>
      </c>
      <c r="B36" s="463">
        <f>'YR2015'!B36+'YR2016'!B36+'YR2017'!B36</f>
        <v>442590</v>
      </c>
      <c r="C36" s="463">
        <f>'YR2015'!C36+'YR2016'!C36+'YR2017'!C36</f>
        <v>442590</v>
      </c>
      <c r="D36" s="463">
        <f>'YR2015'!D36+'YR2016'!D36+'YR2017'!D36</f>
        <v>0</v>
      </c>
      <c r="E36" s="463">
        <f>'YR2015'!E36+'YR2016'!E36+'YR2017'!E36</f>
        <v>0</v>
      </c>
      <c r="F36" s="444">
        <f t="shared" si="0"/>
        <v>0</v>
      </c>
      <c r="G36" s="445"/>
    </row>
    <row r="37" spans="1:8">
      <c r="A37" s="440" t="s">
        <v>94</v>
      </c>
      <c r="B37" s="463">
        <f>'YR2015'!B37+'YR2016'!B37+'YR2017'!B37</f>
        <v>491094</v>
      </c>
      <c r="C37" s="463">
        <f>'YR2015'!C37+'YR2016'!C37+'YR2017'!C37</f>
        <v>491094</v>
      </c>
      <c r="D37" s="463">
        <f>'YR2015'!D37+'YR2016'!D37+'YR2017'!D37</f>
        <v>0</v>
      </c>
      <c r="E37" s="463">
        <f>'YR2015'!E37+'YR2016'!E37+'YR2017'!E37</f>
        <v>0</v>
      </c>
      <c r="F37" s="444">
        <f t="shared" si="0"/>
        <v>0</v>
      </c>
      <c r="G37" s="445"/>
    </row>
    <row r="38" spans="1:8">
      <c r="A38" s="440" t="s">
        <v>95</v>
      </c>
      <c r="B38" s="463">
        <f>'YR2015'!B38+'YR2016'!B38+'YR2017'!B38</f>
        <v>97005</v>
      </c>
      <c r="C38" s="463">
        <f>'YR2015'!C38+'YR2016'!C38+'YR2017'!C38</f>
        <v>64670</v>
      </c>
      <c r="D38" s="463">
        <f>'YR2015'!D38+'YR2016'!D38+'YR2017'!D38</f>
        <v>0</v>
      </c>
      <c r="E38" s="463">
        <f>'YR2015'!E38+'YR2016'!E38+'YR2017'!E38</f>
        <v>0</v>
      </c>
      <c r="F38" s="444">
        <f t="shared" si="0"/>
        <v>32335</v>
      </c>
      <c r="G38" s="445"/>
    </row>
    <row r="39" spans="1:8">
      <c r="A39" s="440" t="s">
        <v>96</v>
      </c>
      <c r="B39" s="463">
        <f>'YR2015'!B39+'YR2016'!B39+'YR2017'!B39</f>
        <v>72756</v>
      </c>
      <c r="C39" s="463">
        <f>'YR2015'!C39+'YR2016'!C39+'YR2017'!C39</f>
        <v>72756</v>
      </c>
      <c r="D39" s="463">
        <f>'YR2015'!D39+'YR2016'!D39+'YR2017'!D39</f>
        <v>0</v>
      </c>
      <c r="E39" s="463">
        <f>'YR2015'!E39+'YR2016'!E39+'YR2017'!E39</f>
        <v>0</v>
      </c>
      <c r="F39" s="444">
        <f t="shared" si="0"/>
        <v>0</v>
      </c>
      <c r="G39" s="445"/>
    </row>
    <row r="40" spans="1:8">
      <c r="A40" s="440" t="s">
        <v>97</v>
      </c>
      <c r="B40" s="463">
        <f>'YR2015'!B40+'YR2016'!B40+'YR2017'!B40</f>
        <v>10028028</v>
      </c>
      <c r="C40" s="463">
        <f>'YR2015'!C40+'YR2016'!C40+'YR2017'!C40</f>
        <v>10028028</v>
      </c>
      <c r="D40" s="463">
        <f>'YR2015'!D40+'YR2016'!D40+'YR2017'!D40</f>
        <v>0</v>
      </c>
      <c r="E40" s="463">
        <f>'YR2015'!E40+'YR2016'!E40+'YR2017'!E40</f>
        <v>0</v>
      </c>
      <c r="F40" s="444">
        <f t="shared" si="0"/>
        <v>0</v>
      </c>
      <c r="G40" s="445"/>
    </row>
    <row r="41" spans="1:8">
      <c r="A41" s="440" t="s">
        <v>98</v>
      </c>
      <c r="B41" s="463">
        <f>'YR2015'!B41+'YR2016'!B41+'YR2017'!B41</f>
        <v>1533912</v>
      </c>
      <c r="C41" s="463">
        <f>'YR2015'!C41+'YR2016'!C41+'YR2017'!C41</f>
        <v>1533912</v>
      </c>
      <c r="D41" s="463">
        <f>'YR2015'!D41+'YR2016'!D41+'YR2017'!D41</f>
        <v>0</v>
      </c>
      <c r="E41" s="463">
        <f>'YR2015'!E41+'YR2016'!E41+'YR2017'!E41</f>
        <v>0</v>
      </c>
      <c r="F41" s="444">
        <f t="shared" si="0"/>
        <v>0</v>
      </c>
      <c r="G41" s="445"/>
    </row>
    <row r="42" spans="1:8">
      <c r="A42" s="440" t="s">
        <v>99</v>
      </c>
      <c r="B42" s="463">
        <f>'YR2015'!B42+'YR2016'!B42+'YR2017'!B42</f>
        <v>5159523</v>
      </c>
      <c r="C42" s="463">
        <f>'YR2015'!C42+'YR2016'!C42+'YR2017'!C42</f>
        <v>5159523</v>
      </c>
      <c r="D42" s="463">
        <f>'YR2015'!D42+'YR2016'!D42+'YR2017'!D42</f>
        <v>0</v>
      </c>
      <c r="E42" s="463">
        <f>'YR2015'!E42+'YR2016'!E42+'YR2017'!E42</f>
        <v>0</v>
      </c>
      <c r="F42" s="444">
        <f t="shared" si="0"/>
        <v>0</v>
      </c>
      <c r="G42" s="445"/>
    </row>
    <row r="43" spans="1:8">
      <c r="A43" s="440" t="s">
        <v>101</v>
      </c>
      <c r="B43" s="463">
        <f>'YR2015'!B43+'YR2016'!B43+'YR2017'!B43</f>
        <v>5583927</v>
      </c>
      <c r="C43" s="463">
        <f>'YR2015'!C43+'YR2016'!C43+'YR2017'!C43</f>
        <v>5583927.4000000004</v>
      </c>
      <c r="D43" s="463">
        <f>'YR2015'!D43+'YR2016'!D43+'YR2017'!D43</f>
        <v>0</v>
      </c>
      <c r="E43" s="463">
        <f>'YR2015'!E43+'YR2016'!E43+'YR2017'!E43</f>
        <v>0</v>
      </c>
      <c r="F43" s="444">
        <f t="shared" si="0"/>
        <v>-0.40000000037252903</v>
      </c>
      <c r="G43" s="445"/>
    </row>
    <row r="44" spans="1:8">
      <c r="A44" s="440" t="s">
        <v>102</v>
      </c>
      <c r="B44" s="463">
        <f>'YR2015'!B44+'YR2016'!B44+'YR2017'!B44</f>
        <v>2873811</v>
      </c>
      <c r="C44" s="463">
        <f>'YR2015'!C44+'YR2016'!C44+'YR2017'!C44</f>
        <v>2873811</v>
      </c>
      <c r="D44" s="463">
        <f>'YR2015'!D44+'YR2016'!D44+'YR2017'!D44</f>
        <v>0</v>
      </c>
      <c r="E44" s="463">
        <f>'YR2015'!E44+'YR2016'!E44+'YR2017'!E44</f>
        <v>0</v>
      </c>
      <c r="F44" s="444">
        <f t="shared" si="0"/>
        <v>0</v>
      </c>
      <c r="G44" s="445"/>
    </row>
    <row r="45" spans="1:8">
      <c r="A45" s="440" t="s">
        <v>103</v>
      </c>
      <c r="B45" s="463">
        <f>'YR2015'!B45+'YR2016'!B45+'YR2017'!B45</f>
        <v>1370214</v>
      </c>
      <c r="C45" s="463">
        <f>'YR2015'!C45+'YR2016'!C45+'YR2017'!C45</f>
        <v>1370214</v>
      </c>
      <c r="D45" s="463">
        <f>'YR2015'!D45+'YR2016'!D45+'YR2017'!D45</f>
        <v>0</v>
      </c>
      <c r="E45" s="463">
        <f>'YR2015'!E45+'YR2016'!E45+'YR2017'!E45</f>
        <v>0</v>
      </c>
      <c r="F45" s="444">
        <f t="shared" si="0"/>
        <v>0</v>
      </c>
      <c r="G45" s="445"/>
    </row>
    <row r="46" spans="1:8">
      <c r="A46" s="440" t="s">
        <v>104</v>
      </c>
      <c r="B46" s="463">
        <f>'YR2015'!B46+'YR2016'!B46+'YR2017'!B46</f>
        <v>14781336</v>
      </c>
      <c r="C46" s="463">
        <f>'YR2015'!C46+'YR2016'!C46+'YR2017'!C46</f>
        <v>14114660.41</v>
      </c>
      <c r="D46" s="463">
        <f>'YR2015'!D46+'YR2016'!D46+'YR2017'!D46</f>
        <v>666676</v>
      </c>
      <c r="E46" s="463">
        <f>'YR2015'!E46+'YR2016'!E46+'YR2017'!E46</f>
        <v>0</v>
      </c>
      <c r="F46" s="444">
        <f t="shared" si="0"/>
        <v>-0.41000000014901161</v>
      </c>
      <c r="G46" s="445"/>
    </row>
    <row r="47" spans="1:8">
      <c r="A47" s="440" t="s">
        <v>105</v>
      </c>
      <c r="B47" s="463">
        <f>'YR2015'!B47+'YR2016'!B47+'YR2017'!B47</f>
        <v>18189</v>
      </c>
      <c r="C47" s="463">
        <f>'YR2015'!C47+'YR2016'!C47+'YR2017'!C47</f>
        <v>18189</v>
      </c>
      <c r="D47" s="463">
        <f>'YR2015'!D47+'YR2016'!D47+'YR2017'!D47</f>
        <v>0</v>
      </c>
      <c r="E47" s="463">
        <f>'YR2015'!E47+'YR2016'!E47+'YR2017'!E47</f>
        <v>0</v>
      </c>
      <c r="F47" s="444">
        <f t="shared" si="0"/>
        <v>0</v>
      </c>
      <c r="G47" s="445"/>
    </row>
    <row r="48" spans="1:8">
      <c r="A48" s="440" t="s">
        <v>107</v>
      </c>
      <c r="B48" s="463">
        <f>'YR2015'!B48+'YR2016'!B48+'YR2017'!B48</f>
        <v>1036755</v>
      </c>
      <c r="C48" s="463">
        <f>'YR2015'!C48+'YR2016'!C48+'YR2017'!C48</f>
        <v>1036755.1799999999</v>
      </c>
      <c r="D48" s="463">
        <f>'YR2015'!D48+'YR2016'!D48+'YR2017'!D48</f>
        <v>0</v>
      </c>
      <c r="E48" s="463">
        <f>'YR2015'!E48+'YR2016'!E48+'YR2017'!E48</f>
        <v>0</v>
      </c>
      <c r="F48" s="444">
        <f t="shared" si="0"/>
        <v>-0.17999999993480742</v>
      </c>
      <c r="G48" s="445"/>
    </row>
    <row r="49" spans="1:7">
      <c r="A49" s="440" t="s">
        <v>108</v>
      </c>
      <c r="B49" s="463">
        <f>'YR2015'!B49+'YR2016'!B49+'YR2017'!B49</f>
        <v>606288</v>
      </c>
      <c r="C49" s="463">
        <f>'YR2015'!C49+'YR2016'!C49+'YR2017'!C49</f>
        <v>606288</v>
      </c>
      <c r="D49" s="463">
        <f>'YR2015'!D49+'YR2016'!D49+'YR2017'!D49</f>
        <v>0</v>
      </c>
      <c r="E49" s="463">
        <f>'YR2015'!E49+'YR2016'!E49+'YR2017'!E49</f>
        <v>0</v>
      </c>
      <c r="F49" s="444">
        <f t="shared" si="0"/>
        <v>0</v>
      </c>
      <c r="G49" s="445"/>
    </row>
    <row r="50" spans="1:7">
      <c r="A50" s="440" t="s">
        <v>110</v>
      </c>
      <c r="B50" s="463">
        <f>'YR2015'!B50+'YR2016'!B50+'YR2017'!B50</f>
        <v>18024984</v>
      </c>
      <c r="C50" s="463">
        <f>'YR2015'!C50+'YR2016'!C50+'YR2017'!C50</f>
        <v>16846755</v>
      </c>
      <c r="D50" s="463">
        <f>'YR2015'!D50+'YR2016'!D50+'YR2017'!D50</f>
        <v>1178229</v>
      </c>
      <c r="E50" s="463">
        <f>'YR2015'!E50+'YR2016'!E50+'YR2017'!E50</f>
        <v>0</v>
      </c>
      <c r="F50" s="444">
        <f t="shared" si="0"/>
        <v>0</v>
      </c>
      <c r="G50" s="445"/>
    </row>
    <row r="51" spans="1:7">
      <c r="A51" s="440" t="s">
        <v>130</v>
      </c>
      <c r="B51" s="463">
        <f>'YR2015'!B51+'YR2016'!B51+'YR2017'!B51</f>
        <v>5820378</v>
      </c>
      <c r="C51" s="463">
        <f>'YR2015'!C51+'YR2016'!C51+'YR2017'!C51</f>
        <v>5820378</v>
      </c>
      <c r="D51" s="463">
        <f>'YR2015'!D51+'YR2016'!D51+'YR2017'!D51</f>
        <v>0</v>
      </c>
      <c r="E51" s="463">
        <f>'YR2015'!E51+'YR2016'!E51+'YR2017'!E51</f>
        <v>0</v>
      </c>
      <c r="F51" s="444">
        <f t="shared" si="0"/>
        <v>0</v>
      </c>
      <c r="G51" s="445"/>
    </row>
    <row r="52" spans="1:7">
      <c r="A52" s="440" t="s">
        <v>112</v>
      </c>
      <c r="B52" s="463">
        <f>'YR2015'!B52+'YR2016'!B52+'YR2017'!B52</f>
        <v>6347850</v>
      </c>
      <c r="C52" s="463">
        <f>'YR2015'!C52+'YR2016'!C52+'YR2017'!C52</f>
        <v>6347850</v>
      </c>
      <c r="D52" s="463">
        <f>'YR2015'!D52+'YR2016'!D52+'YR2017'!D52</f>
        <v>0</v>
      </c>
      <c r="E52" s="463">
        <f>'YR2015'!E52+'YR2016'!E52+'YR2017'!E52</f>
        <v>0</v>
      </c>
      <c r="F52" s="444">
        <f t="shared" si="0"/>
        <v>0</v>
      </c>
      <c r="G52" s="445"/>
    </row>
    <row r="53" spans="1:7" ht="18" customHeight="1">
      <c r="A53" s="440" t="s">
        <v>113</v>
      </c>
      <c r="B53" s="463">
        <f>'YR2015'!B53+'YR2016'!B53+'YR2017'!B53</f>
        <v>18188.670000000002</v>
      </c>
      <c r="C53" s="463">
        <f>'YR2015'!C53+'YR2016'!C53+'YR2017'!C53</f>
        <v>0</v>
      </c>
      <c r="D53" s="463">
        <f>'YR2015'!D53+'YR2016'!D53+'YR2017'!D53</f>
        <v>0</v>
      </c>
      <c r="E53" s="463">
        <f>'YR2015'!E53+'YR2016'!E53+'YR2017'!E53</f>
        <v>0</v>
      </c>
      <c r="F53" s="444">
        <f t="shared" si="0"/>
        <v>18188.670000000002</v>
      </c>
      <c r="G53" s="445"/>
    </row>
    <row r="54" spans="1:7">
      <c r="A54" s="440" t="s">
        <v>115</v>
      </c>
      <c r="B54" s="463">
        <f>'YR2015'!B54+'YR2016'!B54+'YR2017'!B54</f>
        <v>600226.53</v>
      </c>
      <c r="C54" s="463">
        <f>'YR2015'!C54+'YR2016'!C54+'YR2017'!C54</f>
        <v>0</v>
      </c>
      <c r="D54" s="463">
        <f>'YR2015'!D54+'YR2016'!D54+'YR2017'!D54</f>
        <v>0</v>
      </c>
      <c r="E54" s="463">
        <f>'YR2015'!E54+'YR2016'!E54+'YR2017'!E54</f>
        <v>0</v>
      </c>
      <c r="F54" s="444">
        <f t="shared" si="0"/>
        <v>600226.53</v>
      </c>
      <c r="G54" s="445"/>
    </row>
    <row r="55" spans="1:7">
      <c r="A55" s="440" t="s">
        <v>117</v>
      </c>
      <c r="B55" s="463">
        <f>'YR2015'!B55+'YR2016'!B55+'YR2017'!B55</f>
        <v>31399728</v>
      </c>
      <c r="C55" s="463">
        <f>'YR2015'!C55+'YR2016'!C55+'YR2017'!C55</f>
        <v>31399728</v>
      </c>
      <c r="D55" s="463">
        <f>'YR2015'!D55+'YR2016'!D55+'YR2017'!D55</f>
        <v>0</v>
      </c>
      <c r="E55" s="463">
        <f>'YR2015'!E55+'YR2016'!E55+'YR2017'!E55</f>
        <v>0</v>
      </c>
      <c r="F55" s="444">
        <f t="shared" si="0"/>
        <v>0</v>
      </c>
      <c r="G55" s="445"/>
    </row>
    <row r="56" spans="1:7">
      <c r="A56" s="440" t="s">
        <v>118</v>
      </c>
      <c r="B56" s="463">
        <f>'YR2015'!B56+'YR2016'!B56+'YR2017'!B56</f>
        <v>94948529</v>
      </c>
      <c r="C56" s="463">
        <f>'YR2015'!C56+'YR2016'!C56+'YR2017'!C56</f>
        <v>94948529.400000006</v>
      </c>
      <c r="D56" s="463">
        <f>'YR2015'!D56+'YR2016'!D56+'YR2017'!D56</f>
        <v>0</v>
      </c>
      <c r="E56" s="463">
        <f>'YR2015'!E56+'YR2016'!E56+'YR2017'!E56</f>
        <v>0</v>
      </c>
      <c r="F56" s="444">
        <f t="shared" si="0"/>
        <v>-0.40000000596046448</v>
      </c>
      <c r="G56" s="445"/>
    </row>
    <row r="57" spans="1:7" ht="15" thickBot="1">
      <c r="A57" s="449" t="s">
        <v>119</v>
      </c>
      <c r="B57" s="492">
        <f>'YR2015'!B57+'YR2016'!B57+'YR2017'!B57</f>
        <v>90942</v>
      </c>
      <c r="C57" s="492">
        <f>'YR2015'!C57+'YR2016'!C57+'YR2017'!C57</f>
        <v>0</v>
      </c>
      <c r="D57" s="492">
        <f>'YR2015'!D57+'YR2016'!D57+'YR2017'!D57</f>
        <v>0</v>
      </c>
      <c r="E57" s="492">
        <f>'YR2015'!E57+'YR2016'!E57+'YR2017'!E57</f>
        <v>0</v>
      </c>
      <c r="F57" s="493">
        <f t="shared" si="0"/>
        <v>90942</v>
      </c>
      <c r="G57" s="445"/>
    </row>
    <row r="58" spans="1:7" ht="15" thickBot="1">
      <c r="A58" s="443" t="s">
        <v>122</v>
      </c>
      <c r="B58" s="31">
        <f>SUM(B9:B57)</f>
        <v>436198530.19999999</v>
      </c>
      <c r="C58" s="31">
        <f>SUM(C9:C57)</f>
        <v>418531677.33000004</v>
      </c>
      <c r="D58" s="31">
        <f>SUM(D9:D57)</f>
        <v>14168565</v>
      </c>
      <c r="E58" s="31">
        <f>SUM(E9:E57)</f>
        <v>-0.10624981066212058</v>
      </c>
      <c r="F58" s="85">
        <f>SUM(F9:F57)</f>
        <v>3498287.9762497991</v>
      </c>
      <c r="G58" s="445"/>
    </row>
    <row r="59" spans="1:7" ht="15" thickBot="1">
      <c r="A59" s="450" t="s">
        <v>131</v>
      </c>
      <c r="B59" s="109">
        <f>'YR2015'!B59+'YR2016'!B59+'YR2017'!B59</f>
        <v>1301470</v>
      </c>
      <c r="C59" s="451">
        <v>0</v>
      </c>
      <c r="D59" s="451">
        <v>0</v>
      </c>
      <c r="E59" s="451">
        <v>0</v>
      </c>
      <c r="F59" s="110">
        <f>B59-C59-D59-E59</f>
        <v>1301470</v>
      </c>
      <c r="G59" s="445"/>
    </row>
    <row r="60" spans="1:7" ht="15" thickBot="1">
      <c r="A60" s="452" t="s">
        <v>132</v>
      </c>
      <c r="B60" s="32">
        <f>B58+B59</f>
        <v>437500000.19999999</v>
      </c>
      <c r="C60" s="32">
        <f>C58+C59</f>
        <v>418531677.33000004</v>
      </c>
      <c r="D60" s="32">
        <f>D58+D59</f>
        <v>14168565</v>
      </c>
      <c r="E60" s="32">
        <f>E58+E59</f>
        <v>-0.10624981066212058</v>
      </c>
      <c r="F60" s="111">
        <f>F58+F59</f>
        <v>4799757.9762497991</v>
      </c>
      <c r="G60" s="445"/>
    </row>
    <row r="61" spans="1:7">
      <c r="A61" s="453" t="s">
        <v>135</v>
      </c>
      <c r="B61" s="454"/>
      <c r="C61" s="454"/>
      <c r="D61" s="454"/>
      <c r="E61" s="454"/>
      <c r="F61" s="454"/>
      <c r="G61" s="445"/>
    </row>
    <row r="62" spans="1:7" ht="15" thickBot="1">
      <c r="A62" s="454"/>
      <c r="B62" s="454"/>
      <c r="C62" s="454"/>
      <c r="D62" s="454"/>
      <c r="E62" s="454"/>
      <c r="F62" s="454"/>
      <c r="G62" s="445"/>
    </row>
    <row r="63" spans="1:7" ht="15" thickBot="1">
      <c r="A63" s="455" t="s">
        <v>133</v>
      </c>
      <c r="B63" s="456">
        <f>B12+B13+B15+B19+B21+B27+B33+B34+B36+B43+B46+B48+B49+B53+B54+B57</f>
        <v>29241337.200000003</v>
      </c>
      <c r="C63" s="456">
        <f>C12+C13+C15+C19+C21+C26+C34+C36+C43+C46+C48+C49+C53+C54+C57</f>
        <v>25169334.990000002</v>
      </c>
      <c r="D63" s="456">
        <f>D12+D13+D15+D19+D21+D26+D34+D36+D43+D46+D48+D49+D53+D54+D57</f>
        <v>666676</v>
      </c>
      <c r="E63" s="456">
        <f>E12+E13+E15+E19+E21+E26+E34+E36+E43+E46+E48+E49+E53+E54+E57</f>
        <v>0</v>
      </c>
      <c r="F63" s="457">
        <f>B63-C63-D63-E63</f>
        <v>3405326.2100000009</v>
      </c>
      <c r="G63" s="445"/>
    </row>
    <row r="64" spans="1:7">
      <c r="A64" s="445"/>
      <c r="B64" s="445"/>
      <c r="C64" s="458"/>
      <c r="D64" s="445"/>
      <c r="E64" s="445"/>
      <c r="F64" s="445"/>
      <c r="G64" s="445"/>
    </row>
    <row r="65" spans="1:7" s="54" customFormat="1" ht="12.5">
      <c r="A65" s="459"/>
      <c r="B65" s="458"/>
      <c r="C65" s="447"/>
      <c r="D65" s="459"/>
      <c r="E65" s="459"/>
      <c r="F65" s="460"/>
      <c r="G65" s="459"/>
    </row>
    <row r="66" spans="1:7">
      <c r="A66" s="445"/>
      <c r="B66" s="445"/>
      <c r="C66" s="461"/>
      <c r="D66" s="445"/>
      <c r="E66" s="445"/>
      <c r="F66" s="462"/>
      <c r="G66" s="445"/>
    </row>
    <row r="67" spans="1:7">
      <c r="C67" s="65"/>
    </row>
    <row r="68" spans="1:7">
      <c r="C68" s="59"/>
    </row>
    <row r="69" spans="1:7">
      <c r="C69" s="59"/>
    </row>
  </sheetData>
  <mergeCells count="4">
    <mergeCell ref="A5:F5"/>
    <mergeCell ref="A6:F6"/>
    <mergeCell ref="A7:F7"/>
    <mergeCell ref="A1:B1"/>
  </mergeCells>
  <printOptions horizontalCentered="1"/>
  <pageMargins left="0.11811023622047245" right="0.11811023622047245" top="0.27559055118110237" bottom="0.19685039370078741" header="0.27559055118110237" footer="0.11811023622047245"/>
  <pageSetup scale="77"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DD47C-DD65-4A3D-AE2C-3F5154516962}">
  <sheetPr>
    <pageSetUpPr fitToPage="1"/>
  </sheetPr>
  <dimension ref="A1:H68"/>
  <sheetViews>
    <sheetView topLeftCell="A10" zoomScaleNormal="100" workbookViewId="0">
      <selection activeCell="D14" sqref="D14"/>
    </sheetView>
  </sheetViews>
  <sheetFormatPr defaultRowHeight="14.5"/>
  <cols>
    <col min="1" max="1" width="30.7265625" customWidth="1"/>
    <col min="2" max="6" width="20.7265625" style="58" customWidth="1"/>
    <col min="7" max="7" width="16.36328125" customWidth="1"/>
    <col min="8" max="8" width="17.54296875" bestFit="1" customWidth="1"/>
  </cols>
  <sheetData>
    <row r="1" spans="1:7" ht="18">
      <c r="C1" s="14"/>
      <c r="D1" s="14"/>
      <c r="E1" s="799" t="str">
        <f>[1]Status!C1</f>
        <v>UNEP/OzL.Pro/ExCom/94/3</v>
      </c>
      <c r="F1" s="799"/>
      <c r="G1" s="430"/>
    </row>
    <row r="2" spans="1:7" ht="18">
      <c r="B2" s="17"/>
      <c r="C2" s="14"/>
      <c r="D2" s="14"/>
      <c r="E2" s="15"/>
      <c r="F2" s="16" t="s">
        <v>0</v>
      </c>
    </row>
    <row r="3" spans="1:7" ht="18">
      <c r="B3" s="17"/>
      <c r="C3" s="14"/>
      <c r="D3" s="14"/>
      <c r="E3" s="16"/>
      <c r="F3" s="16" t="s">
        <v>142</v>
      </c>
    </row>
    <row r="4" spans="1:7" ht="15.5">
      <c r="A4" s="1"/>
      <c r="B4" s="14"/>
      <c r="C4" s="14"/>
      <c r="D4" s="14"/>
      <c r="E4" s="14"/>
      <c r="F4" s="14"/>
    </row>
    <row r="5" spans="1:7" ht="16">
      <c r="A5" s="794" t="s">
        <v>2</v>
      </c>
      <c r="B5" s="794"/>
      <c r="C5" s="794"/>
      <c r="D5" s="794"/>
      <c r="E5" s="794"/>
      <c r="F5" s="794"/>
    </row>
    <row r="6" spans="1:7" ht="15.5">
      <c r="A6" s="795" t="s">
        <v>272</v>
      </c>
      <c r="B6" s="795"/>
      <c r="C6" s="795"/>
      <c r="D6" s="795"/>
      <c r="E6" s="795"/>
      <c r="F6" s="795"/>
    </row>
    <row r="7" spans="1:7" ht="16.5" thickBot="1">
      <c r="A7" s="796" t="str">
        <f>[1]Status!A6</f>
        <v>As at 24/05/2024</v>
      </c>
      <c r="B7" s="796"/>
      <c r="C7" s="796"/>
      <c r="D7" s="796"/>
      <c r="E7" s="796"/>
      <c r="F7" s="796"/>
    </row>
    <row r="8" spans="1:7" ht="33" customHeight="1" thickBot="1">
      <c r="A8" s="19" t="s">
        <v>59</v>
      </c>
      <c r="B8" s="20" t="s">
        <v>60</v>
      </c>
      <c r="C8" s="20" t="s">
        <v>61</v>
      </c>
      <c r="D8" s="504" t="s">
        <v>62</v>
      </c>
      <c r="E8" s="20" t="s">
        <v>63</v>
      </c>
      <c r="F8" s="21" t="s">
        <v>64</v>
      </c>
    </row>
    <row r="9" spans="1:7">
      <c r="A9" s="23" t="s">
        <v>65</v>
      </c>
      <c r="B9" s="499">
        <v>16168</v>
      </c>
      <c r="C9" s="499">
        <v>16168</v>
      </c>
      <c r="D9" s="500"/>
      <c r="E9" s="500"/>
      <c r="F9" s="501">
        <f t="shared" ref="F9:F57" si="0">B9-C9-D9-E9</f>
        <v>0</v>
      </c>
    </row>
    <row r="10" spans="1:7">
      <c r="A10" s="25" t="s">
        <v>124</v>
      </c>
      <c r="B10" s="45">
        <v>4191481</v>
      </c>
      <c r="C10" s="45">
        <v>4191481</v>
      </c>
      <c r="D10" s="24"/>
      <c r="E10" s="24"/>
      <c r="F10" s="34">
        <f t="shared" si="0"/>
        <v>0</v>
      </c>
    </row>
    <row r="11" spans="1:7">
      <c r="A11" s="25" t="s">
        <v>67</v>
      </c>
      <c r="B11" s="45">
        <v>1612730</v>
      </c>
      <c r="C11" s="45">
        <v>1612730</v>
      </c>
      <c r="D11" s="24"/>
      <c r="E11" s="24"/>
      <c r="F11" s="34">
        <f t="shared" si="0"/>
        <v>0</v>
      </c>
    </row>
    <row r="12" spans="1:7">
      <c r="A12" s="36" t="s">
        <v>68</v>
      </c>
      <c r="B12" s="45">
        <v>80839</v>
      </c>
      <c r="C12" s="45"/>
      <c r="D12" s="24"/>
      <c r="E12" s="24"/>
      <c r="F12" s="34">
        <f t="shared" si="0"/>
        <v>80839</v>
      </c>
    </row>
    <row r="13" spans="1:7">
      <c r="A13" s="25" t="s">
        <v>69</v>
      </c>
      <c r="B13" s="45">
        <v>113174</v>
      </c>
      <c r="C13" s="45">
        <v>113174</v>
      </c>
      <c r="D13" s="24"/>
      <c r="E13" s="24"/>
      <c r="F13" s="34">
        <f t="shared" si="0"/>
        <v>0</v>
      </c>
    </row>
    <row r="14" spans="1:7">
      <c r="A14" s="25" t="s">
        <v>70</v>
      </c>
      <c r="B14" s="45">
        <v>2016923</v>
      </c>
      <c r="C14" s="45">
        <v>2016923</v>
      </c>
      <c r="D14" s="24"/>
      <c r="E14" s="24"/>
      <c r="F14" s="34">
        <f t="shared" si="0"/>
        <v>0</v>
      </c>
    </row>
    <row r="15" spans="1:7">
      <c r="A15" s="25" t="s">
        <v>71</v>
      </c>
      <c r="B15" s="45">
        <v>94985</v>
      </c>
      <c r="C15" s="45">
        <v>94985</v>
      </c>
      <c r="D15" s="24"/>
      <c r="E15" s="24"/>
      <c r="F15" s="34">
        <f t="shared" si="0"/>
        <v>0</v>
      </c>
    </row>
    <row r="16" spans="1:7">
      <c r="A16" s="25" t="s">
        <v>125</v>
      </c>
      <c r="B16" s="45">
        <v>6030559</v>
      </c>
      <c r="C16" s="45">
        <f>4824446.83+1206112</f>
        <v>6030558.8300000001</v>
      </c>
      <c r="D16" s="24"/>
      <c r="E16" s="24"/>
      <c r="F16" s="34">
        <f t="shared" si="0"/>
        <v>0.16999999992549419</v>
      </c>
    </row>
    <row r="17" spans="1:8">
      <c r="A17" s="25" t="s">
        <v>73</v>
      </c>
      <c r="B17" s="45">
        <v>254642</v>
      </c>
      <c r="C17" s="45">
        <v>254642</v>
      </c>
      <c r="D17" s="24"/>
      <c r="E17" s="24"/>
      <c r="F17" s="34">
        <f t="shared" si="0"/>
        <v>0</v>
      </c>
    </row>
    <row r="18" spans="1:8">
      <c r="A18" s="25" t="s">
        <v>74</v>
      </c>
      <c r="B18" s="45">
        <v>94985</v>
      </c>
      <c r="C18" s="45">
        <v>94985</v>
      </c>
      <c r="D18" s="24"/>
      <c r="E18" s="24"/>
      <c r="F18" s="34">
        <f t="shared" si="0"/>
        <v>0</v>
      </c>
    </row>
    <row r="19" spans="1:8">
      <c r="A19" s="25" t="s">
        <v>75</v>
      </c>
      <c r="B19" s="45">
        <v>780092</v>
      </c>
      <c r="C19" s="45">
        <v>780092</v>
      </c>
      <c r="D19" s="24"/>
      <c r="E19" s="24"/>
      <c r="F19" s="34">
        <f t="shared" si="0"/>
        <v>0</v>
      </c>
    </row>
    <row r="20" spans="1:8">
      <c r="A20" s="25" t="s">
        <v>76</v>
      </c>
      <c r="B20" s="45">
        <v>1364151</v>
      </c>
      <c r="C20" s="45">
        <v>1364151</v>
      </c>
      <c r="D20" s="24"/>
      <c r="E20" s="24"/>
      <c r="F20" s="34">
        <f t="shared" si="0"/>
        <v>0</v>
      </c>
    </row>
    <row r="21" spans="1:8">
      <c r="A21" s="25" t="s">
        <v>77</v>
      </c>
      <c r="B21" s="45">
        <v>80839</v>
      </c>
      <c r="C21" s="45">
        <v>80839</v>
      </c>
      <c r="D21" s="24"/>
      <c r="E21" s="438"/>
      <c r="F21" s="444">
        <f t="shared" si="0"/>
        <v>0</v>
      </c>
    </row>
    <row r="22" spans="1:8">
      <c r="A22" s="25" t="s">
        <v>78</v>
      </c>
      <c r="B22" s="45">
        <v>1048881</v>
      </c>
      <c r="C22" s="45">
        <v>1048881</v>
      </c>
      <c r="D22" s="24"/>
      <c r="E22" s="438"/>
      <c r="F22" s="444">
        <f t="shared" si="0"/>
        <v>0</v>
      </c>
    </row>
    <row r="23" spans="1:8">
      <c r="A23" s="25" t="s">
        <v>126</v>
      </c>
      <c r="B23" s="45">
        <v>11303256</v>
      </c>
      <c r="C23" s="45">
        <f>10472252-547</f>
        <v>10471705</v>
      </c>
      <c r="D23" s="24">
        <f>197596+633408+547</f>
        <v>831551</v>
      </c>
      <c r="E23" s="438"/>
      <c r="F23" s="444">
        <f t="shared" si="0"/>
        <v>0</v>
      </c>
    </row>
    <row r="24" spans="1:8">
      <c r="A24" s="25" t="s">
        <v>127</v>
      </c>
      <c r="B24" s="45">
        <v>14431709</v>
      </c>
      <c r="C24" s="45">
        <f>2886341.77+2886341.77+2886341.77+2886341.77+865036</f>
        <v>12410403.08</v>
      </c>
      <c r="D24" s="24">
        <f>875460+669629+1341253-865036</f>
        <v>2021306</v>
      </c>
      <c r="E24" s="463">
        <f>11545367-2886341.77-2886341.77-2886341.77-2886341.77</f>
        <v>-7.9999999143183231E-2</v>
      </c>
      <c r="F24" s="444">
        <f>B24-C24-D24-E24</f>
        <v>-9.3132257461547852E-10</v>
      </c>
      <c r="G24" s="51"/>
      <c r="H24" s="52"/>
    </row>
    <row r="25" spans="1:8">
      <c r="A25" s="25" t="s">
        <v>81</v>
      </c>
      <c r="B25" s="45">
        <v>1289376</v>
      </c>
      <c r="C25" s="45">
        <v>1289376</v>
      </c>
      <c r="D25" s="24"/>
      <c r="E25" s="438"/>
      <c r="F25" s="444">
        <f t="shared" si="0"/>
        <v>0</v>
      </c>
      <c r="G25" s="53"/>
    </row>
    <row r="26" spans="1:8">
      <c r="A26" s="25" t="s">
        <v>82</v>
      </c>
      <c r="B26" s="45">
        <v>2021</v>
      </c>
      <c r="C26" s="45">
        <v>2021</v>
      </c>
      <c r="D26" s="24"/>
      <c r="E26" s="24"/>
      <c r="F26" s="34">
        <f t="shared" si="0"/>
        <v>0</v>
      </c>
      <c r="G26" s="52"/>
    </row>
    <row r="27" spans="1:8">
      <c r="A27" s="25" t="s">
        <v>83</v>
      </c>
      <c r="B27" s="45">
        <v>537577</v>
      </c>
      <c r="C27" s="45">
        <v>537577</v>
      </c>
      <c r="D27" s="24"/>
      <c r="E27" s="24"/>
      <c r="F27" s="34">
        <f t="shared" si="0"/>
        <v>0</v>
      </c>
    </row>
    <row r="28" spans="1:8">
      <c r="A28" s="25" t="s">
        <v>84</v>
      </c>
      <c r="B28" s="45">
        <v>54566</v>
      </c>
      <c r="C28" s="45">
        <v>54566</v>
      </c>
      <c r="D28" s="24"/>
      <c r="E28" s="24"/>
      <c r="F28" s="34">
        <f t="shared" si="0"/>
        <v>0</v>
      </c>
    </row>
    <row r="29" spans="1:8">
      <c r="A29" s="25" t="s">
        <v>128</v>
      </c>
      <c r="B29" s="45">
        <v>844763</v>
      </c>
      <c r="C29" s="45">
        <v>844763</v>
      </c>
      <c r="D29" s="24"/>
      <c r="E29" s="24"/>
      <c r="F29" s="34">
        <f t="shared" si="0"/>
        <v>0</v>
      </c>
    </row>
    <row r="30" spans="1:8">
      <c r="A30" s="25" t="s">
        <v>86</v>
      </c>
      <c r="B30" s="45">
        <v>800302</v>
      </c>
      <c r="C30" s="45"/>
      <c r="D30" s="24"/>
      <c r="E30" s="24"/>
      <c r="F30" s="34">
        <f t="shared" si="0"/>
        <v>800302</v>
      </c>
    </row>
    <row r="31" spans="1:8">
      <c r="A31" s="25" t="s">
        <v>87</v>
      </c>
      <c r="B31" s="45">
        <v>8989251</v>
      </c>
      <c r="C31" s="45">
        <f>8989251-282500</f>
        <v>8706751</v>
      </c>
      <c r="D31" s="24">
        <f>282500</f>
        <v>282500</v>
      </c>
      <c r="E31" s="24"/>
      <c r="F31" s="34">
        <f t="shared" si="0"/>
        <v>0</v>
      </c>
    </row>
    <row r="32" spans="1:8">
      <c r="A32" s="25" t="s">
        <v>129</v>
      </c>
      <c r="B32" s="45">
        <v>21893111</v>
      </c>
      <c r="C32" s="45">
        <f>7372578+14521159.85-627</f>
        <v>21893110.850000001</v>
      </c>
      <c r="D32" s="24"/>
      <c r="E32" s="24"/>
      <c r="F32" s="34">
        <f t="shared" si="0"/>
        <v>0.14999999850988388</v>
      </c>
      <c r="H32" s="54"/>
    </row>
    <row r="33" spans="1:8">
      <c r="A33" s="25" t="s">
        <v>89</v>
      </c>
      <c r="B33" s="45">
        <v>244537</v>
      </c>
      <c r="C33" s="45">
        <v>244537</v>
      </c>
      <c r="D33" s="24"/>
      <c r="E33" s="24"/>
      <c r="F33" s="34">
        <f t="shared" si="0"/>
        <v>0</v>
      </c>
      <c r="H33" s="54"/>
    </row>
    <row r="34" spans="1:8">
      <c r="A34" s="25" t="s">
        <v>91</v>
      </c>
      <c r="B34" s="45">
        <v>94985</v>
      </c>
      <c r="C34" s="45">
        <v>94985</v>
      </c>
      <c r="D34" s="24"/>
      <c r="E34" s="24"/>
      <c r="F34" s="34">
        <f t="shared" si="0"/>
        <v>0</v>
      </c>
    </row>
    <row r="35" spans="1:8">
      <c r="A35" s="25" t="s">
        <v>92</v>
      </c>
      <c r="B35" s="45">
        <v>18189</v>
      </c>
      <c r="C35" s="45">
        <v>18189</v>
      </c>
      <c r="D35" s="24"/>
      <c r="E35" s="24"/>
      <c r="F35" s="34">
        <f t="shared" si="0"/>
        <v>0</v>
      </c>
    </row>
    <row r="36" spans="1:8">
      <c r="A36" s="25" t="s">
        <v>93</v>
      </c>
      <c r="B36" s="45">
        <v>147530</v>
      </c>
      <c r="C36" s="45">
        <v>147530</v>
      </c>
      <c r="D36" s="24"/>
      <c r="E36" s="24"/>
      <c r="F36" s="34">
        <f t="shared" si="0"/>
        <v>0</v>
      </c>
    </row>
    <row r="37" spans="1:8">
      <c r="A37" s="25" t="s">
        <v>94</v>
      </c>
      <c r="B37" s="45">
        <v>163698</v>
      </c>
      <c r="C37" s="45">
        <v>163698</v>
      </c>
      <c r="D37" s="24"/>
      <c r="E37" s="24"/>
      <c r="F37" s="34">
        <f t="shared" si="0"/>
        <v>0</v>
      </c>
    </row>
    <row r="38" spans="1:8">
      <c r="A38" s="25" t="s">
        <v>95</v>
      </c>
      <c r="B38" s="45">
        <v>32335</v>
      </c>
      <c r="C38" s="45"/>
      <c r="D38" s="24"/>
      <c r="E38" s="24"/>
      <c r="F38" s="34">
        <f t="shared" si="0"/>
        <v>32335</v>
      </c>
    </row>
    <row r="39" spans="1:8">
      <c r="A39" s="25" t="s">
        <v>96</v>
      </c>
      <c r="B39" s="45">
        <v>24252</v>
      </c>
      <c r="C39" s="45">
        <v>24252</v>
      </c>
      <c r="D39" s="24"/>
      <c r="E39" s="24"/>
      <c r="F39" s="34">
        <f t="shared" si="0"/>
        <v>0</v>
      </c>
    </row>
    <row r="40" spans="1:8">
      <c r="A40" s="25" t="s">
        <v>97</v>
      </c>
      <c r="B40" s="45">
        <v>3342676</v>
      </c>
      <c r="C40" s="45">
        <v>3342676</v>
      </c>
      <c r="D40" s="24"/>
      <c r="E40" s="24"/>
      <c r="F40" s="34">
        <f t="shared" si="0"/>
        <v>0</v>
      </c>
    </row>
    <row r="41" spans="1:8">
      <c r="A41" s="25" t="s">
        <v>98</v>
      </c>
      <c r="B41" s="45">
        <v>511304</v>
      </c>
      <c r="C41" s="45">
        <f>220490.54+290813.46</f>
        <v>511304</v>
      </c>
      <c r="D41" s="24"/>
      <c r="E41" s="24"/>
      <c r="F41" s="34">
        <f t="shared" si="0"/>
        <v>0</v>
      </c>
    </row>
    <row r="42" spans="1:8">
      <c r="A42" s="25" t="s">
        <v>99</v>
      </c>
      <c r="B42" s="45">
        <v>1719841</v>
      </c>
      <c r="C42" s="45">
        <v>1719841</v>
      </c>
      <c r="D42" s="24"/>
      <c r="E42" s="24"/>
      <c r="F42" s="34">
        <f t="shared" si="0"/>
        <v>0</v>
      </c>
    </row>
    <row r="43" spans="1:8">
      <c r="A43" s="25" t="s">
        <v>101</v>
      </c>
      <c r="B43" s="45">
        <v>1861309</v>
      </c>
      <c r="C43" s="45">
        <v>1861309</v>
      </c>
      <c r="D43" s="24"/>
      <c r="E43" s="24"/>
      <c r="F43" s="34">
        <f t="shared" si="0"/>
        <v>0</v>
      </c>
    </row>
    <row r="44" spans="1:8">
      <c r="A44" s="25" t="s">
        <v>102</v>
      </c>
      <c r="B44" s="45">
        <v>957937</v>
      </c>
      <c r="C44" s="45">
        <v>957937</v>
      </c>
      <c r="D44" s="24"/>
      <c r="E44" s="24"/>
      <c r="F44" s="34">
        <f t="shared" si="0"/>
        <v>0</v>
      </c>
    </row>
    <row r="45" spans="1:8">
      <c r="A45" s="25" t="s">
        <v>103</v>
      </c>
      <c r="B45" s="45">
        <v>456738</v>
      </c>
      <c r="C45" s="45">
        <v>456738</v>
      </c>
      <c r="D45" s="24"/>
      <c r="E45" s="24"/>
      <c r="F45" s="34">
        <f t="shared" si="0"/>
        <v>0</v>
      </c>
    </row>
    <row r="46" spans="1:8">
      <c r="A46" s="25" t="s">
        <v>104</v>
      </c>
      <c r="B46" s="45">
        <v>4927112</v>
      </c>
      <c r="C46" s="45">
        <v>4927112</v>
      </c>
      <c r="D46" s="24"/>
      <c r="E46" s="24"/>
      <c r="F46" s="34">
        <f t="shared" si="0"/>
        <v>0</v>
      </c>
    </row>
    <row r="47" spans="1:8">
      <c r="A47" s="25" t="s">
        <v>105</v>
      </c>
      <c r="B47" s="45">
        <v>6063</v>
      </c>
      <c r="C47" s="45">
        <v>6063</v>
      </c>
      <c r="D47" s="24"/>
      <c r="E47" s="24"/>
      <c r="F47" s="34">
        <f t="shared" si="0"/>
        <v>0</v>
      </c>
    </row>
    <row r="48" spans="1:8">
      <c r="A48" s="25" t="s">
        <v>107</v>
      </c>
      <c r="B48" s="45">
        <v>345585</v>
      </c>
      <c r="C48" s="45">
        <v>345585</v>
      </c>
      <c r="D48" s="24"/>
      <c r="E48" s="24"/>
      <c r="F48" s="34">
        <f t="shared" si="0"/>
        <v>0</v>
      </c>
    </row>
    <row r="49" spans="1:6">
      <c r="A49" s="25" t="s">
        <v>108</v>
      </c>
      <c r="B49" s="45">
        <v>202096</v>
      </c>
      <c r="C49" s="45">
        <v>202096</v>
      </c>
      <c r="D49" s="24"/>
      <c r="E49" s="24"/>
      <c r="F49" s="34">
        <f t="shared" si="0"/>
        <v>0</v>
      </c>
    </row>
    <row r="50" spans="1:6">
      <c r="A50" s="25" t="s">
        <v>110</v>
      </c>
      <c r="B50" s="45">
        <v>6008328</v>
      </c>
      <c r="C50" s="45">
        <v>6008328</v>
      </c>
      <c r="D50" s="24"/>
      <c r="E50" s="24"/>
      <c r="F50" s="34">
        <f t="shared" si="0"/>
        <v>0</v>
      </c>
    </row>
    <row r="51" spans="1:6">
      <c r="A51" s="25" t="s">
        <v>130</v>
      </c>
      <c r="B51" s="45">
        <v>1940126</v>
      </c>
      <c r="C51" s="45">
        <v>1940126</v>
      </c>
      <c r="D51" s="24"/>
      <c r="E51" s="24"/>
      <c r="F51" s="34">
        <f t="shared" si="0"/>
        <v>0</v>
      </c>
    </row>
    <row r="52" spans="1:6">
      <c r="A52" s="25" t="s">
        <v>112</v>
      </c>
      <c r="B52" s="24">
        <v>2115950</v>
      </c>
      <c r="C52" s="45">
        <v>2115950</v>
      </c>
      <c r="D52" s="24"/>
      <c r="E52" s="24"/>
      <c r="F52" s="34">
        <f t="shared" si="0"/>
        <v>0</v>
      </c>
    </row>
    <row r="53" spans="1:6" ht="18" customHeight="1">
      <c r="A53" s="25" t="s">
        <v>113</v>
      </c>
      <c r="B53" s="24">
        <v>6062.89</v>
      </c>
      <c r="C53" s="45"/>
      <c r="D53" s="24"/>
      <c r="E53" s="438"/>
      <c r="F53" s="34">
        <f t="shared" si="0"/>
        <v>6062.89</v>
      </c>
    </row>
    <row r="54" spans="1:6">
      <c r="A54" s="25" t="s">
        <v>115</v>
      </c>
      <c r="B54" s="24">
        <v>200075.51</v>
      </c>
      <c r="C54" s="45"/>
      <c r="D54" s="24"/>
      <c r="E54" s="24"/>
      <c r="F54" s="34">
        <f t="shared" si="0"/>
        <v>200075.51</v>
      </c>
    </row>
    <row r="55" spans="1:6">
      <c r="A55" s="25" t="s">
        <v>117</v>
      </c>
      <c r="B55" s="45">
        <v>10466576</v>
      </c>
      <c r="C55" s="45">
        <v>10466576</v>
      </c>
      <c r="D55" s="24"/>
      <c r="E55" s="45"/>
      <c r="F55" s="34">
        <f t="shared" si="0"/>
        <v>0</v>
      </c>
    </row>
    <row r="56" spans="1:6">
      <c r="A56" s="25" t="s">
        <v>118</v>
      </c>
      <c r="B56" s="45">
        <v>32083333</v>
      </c>
      <c r="C56" s="45">
        <f>23844005+8326000-86672</f>
        <v>32083333</v>
      </c>
      <c r="D56" s="24"/>
      <c r="E56" s="24"/>
      <c r="F56" s="34">
        <f t="shared" si="0"/>
        <v>0</v>
      </c>
    </row>
    <row r="57" spans="1:6">
      <c r="A57" s="25" t="s">
        <v>119</v>
      </c>
      <c r="B57" s="45">
        <v>30314</v>
      </c>
      <c r="C57" s="45"/>
      <c r="D57" s="24"/>
      <c r="E57" s="24"/>
      <c r="F57" s="34">
        <f t="shared" si="0"/>
        <v>30314</v>
      </c>
    </row>
    <row r="58" spans="1:6" ht="15" thickBot="1">
      <c r="A58" s="47" t="s">
        <v>122</v>
      </c>
      <c r="B58" s="48">
        <f>SUM(B9:B57)</f>
        <v>145833333.40000001</v>
      </c>
      <c r="C58" s="48">
        <f>SUM(C9:C57)</f>
        <v>141548047.75999999</v>
      </c>
      <c r="D58" s="48">
        <f>SUM(D9:D57)</f>
        <v>3135357</v>
      </c>
      <c r="E58" s="466">
        <f>SUM(E9:E57)</f>
        <v>-7.9999999143183231E-2</v>
      </c>
      <c r="F58" s="49">
        <f>SUM(F9:F57)</f>
        <v>1149928.7199999974</v>
      </c>
    </row>
    <row r="59" spans="1:6" ht="15" thickBot="1">
      <c r="A59" s="424" t="s">
        <v>131</v>
      </c>
      <c r="B59" s="41"/>
      <c r="C59" s="41"/>
      <c r="D59" s="41"/>
      <c r="E59" s="454"/>
      <c r="F59" s="427"/>
    </row>
    <row r="60" spans="1:6" ht="15" thickBot="1">
      <c r="A60" s="38" t="s">
        <v>132</v>
      </c>
      <c r="B60" s="425">
        <f>B58+B59</f>
        <v>145833333.40000001</v>
      </c>
      <c r="C60" s="425">
        <f t="shared" ref="C60:F60" si="1">C58+C59</f>
        <v>141548047.75999999</v>
      </c>
      <c r="D60" s="425">
        <f t="shared" si="1"/>
        <v>3135357</v>
      </c>
      <c r="E60" s="470">
        <f t="shared" si="1"/>
        <v>-7.9999999143183231E-2</v>
      </c>
      <c r="F60" s="426">
        <f t="shared" si="1"/>
        <v>1149928.7199999974</v>
      </c>
    </row>
    <row r="61" spans="1:6" ht="15" thickBot="1">
      <c r="A61" s="50"/>
      <c r="B61" s="41"/>
      <c r="C61" s="41"/>
      <c r="D61" s="41"/>
      <c r="E61" s="41"/>
      <c r="F61" s="41"/>
    </row>
    <row r="62" spans="1:6" ht="15" thickBot="1">
      <c r="A62" s="42" t="s">
        <v>133</v>
      </c>
      <c r="B62" s="43">
        <f>B12+B13+B15+B19+B21+B27+B33+B36+B43+B46+B48+B49+B53+B54+B57</f>
        <v>9652127.4000000004</v>
      </c>
      <c r="C62" s="43">
        <f>C12+C13+C15+C19+C21+C26+C34+C36+C43+C46+C48+C49+C53+C54+C57</f>
        <v>8649728</v>
      </c>
      <c r="D62" s="43">
        <f>D12+D13+D15+D19+D21+D26+D34+D36+D43+D46+D48+D49+D53+D54+D57</f>
        <v>0</v>
      </c>
      <c r="E62" s="43">
        <f>E12+E13+E15+E19+E21+E26+E34+E36+E43+E46+E48+E49+E53+E54+E57</f>
        <v>0</v>
      </c>
      <c r="F62" s="44">
        <f>B62-C62-D62-E62</f>
        <v>1002399.4000000004</v>
      </c>
    </row>
    <row r="63" spans="1:6">
      <c r="C63" s="59"/>
    </row>
    <row r="64" spans="1:6" s="54" customFormat="1" ht="12.5">
      <c r="B64" s="59"/>
      <c r="C64" s="60"/>
      <c r="D64" s="61"/>
      <c r="E64" s="61"/>
      <c r="F64" s="62"/>
    </row>
    <row r="65" spans="3:6">
      <c r="C65" s="63"/>
      <c r="F65" s="64"/>
    </row>
    <row r="66" spans="3:6">
      <c r="C66" s="65"/>
    </row>
    <row r="67" spans="3:6">
      <c r="C67" s="59"/>
    </row>
    <row r="68" spans="3:6">
      <c r="C68" s="59"/>
    </row>
  </sheetData>
  <mergeCells count="4">
    <mergeCell ref="A5:F5"/>
    <mergeCell ref="A6:F6"/>
    <mergeCell ref="A7:F7"/>
    <mergeCell ref="E1:F1"/>
  </mergeCells>
  <printOptions horizontalCentered="1"/>
  <pageMargins left="0.31496062992126" right="0.118110236220472" top="0.47244094488188998" bottom="0.196850393700787" header="0.31496062992126" footer="0.31496062992126"/>
  <pageSetup scale="76"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022F-1A26-4DB6-9F82-68AC727C3D98}">
  <dimension ref="A1:H68"/>
  <sheetViews>
    <sheetView topLeftCell="A19" workbookViewId="0">
      <selection activeCell="L68" sqref="L68"/>
    </sheetView>
  </sheetViews>
  <sheetFormatPr defaultRowHeight="14.5"/>
  <cols>
    <col min="1" max="1" width="28.54296875" customWidth="1"/>
    <col min="2" max="2" width="17.26953125" style="58" customWidth="1"/>
    <col min="3" max="3" width="40.26953125" style="58" customWidth="1"/>
    <col min="4" max="5" width="15.36328125" style="58" customWidth="1"/>
    <col min="6" max="6" width="23.36328125" style="58" customWidth="1"/>
    <col min="7" max="7" width="16.36328125" customWidth="1"/>
    <col min="8" max="8" width="17.54296875" bestFit="1" customWidth="1"/>
  </cols>
  <sheetData>
    <row r="1" spans="1:6" ht="18">
      <c r="A1" s="793"/>
      <c r="B1" s="793"/>
      <c r="C1" s="14"/>
      <c r="D1" s="14"/>
      <c r="E1" s="15"/>
      <c r="F1" s="16" t="str">
        <f>[1]Status!C1</f>
        <v>UNEP/OzL.Pro/ExCom/94/3</v>
      </c>
    </row>
    <row r="2" spans="1:6" ht="18">
      <c r="A2" s="35"/>
      <c r="B2" s="14"/>
      <c r="C2" s="14"/>
      <c r="D2" s="14"/>
      <c r="E2" s="15"/>
      <c r="F2" s="16" t="s">
        <v>0</v>
      </c>
    </row>
    <row r="3" spans="1:6" ht="18">
      <c r="A3" s="8"/>
      <c r="B3" s="14"/>
      <c r="C3" s="14"/>
      <c r="D3" s="14"/>
      <c r="E3" s="16"/>
      <c r="F3" s="16" t="s">
        <v>143</v>
      </c>
    </row>
    <row r="4" spans="1:6" ht="15.5">
      <c r="A4" s="1"/>
      <c r="B4" s="14"/>
      <c r="C4" s="14"/>
      <c r="D4" s="14"/>
      <c r="E4" s="14"/>
      <c r="F4" s="14"/>
    </row>
    <row r="5" spans="1:6" ht="16">
      <c r="A5" s="794" t="s">
        <v>2</v>
      </c>
      <c r="B5" s="794"/>
      <c r="C5" s="794"/>
      <c r="D5" s="794"/>
      <c r="E5" s="794"/>
      <c r="F5" s="794"/>
    </row>
    <row r="6" spans="1:6" ht="15.5">
      <c r="A6" s="795" t="s">
        <v>255</v>
      </c>
      <c r="B6" s="795"/>
      <c r="C6" s="795"/>
      <c r="D6" s="795"/>
      <c r="E6" s="795"/>
      <c r="F6" s="795"/>
    </row>
    <row r="7" spans="1:6" ht="16.5" thickBot="1">
      <c r="A7" s="796" t="str">
        <f>[1]Status!A6</f>
        <v>As at 24/05/2024</v>
      </c>
      <c r="B7" s="796"/>
      <c r="C7" s="796"/>
      <c r="D7" s="796"/>
      <c r="E7" s="796"/>
      <c r="F7" s="796"/>
    </row>
    <row r="8" spans="1:6" ht="33" customHeight="1">
      <c r="A8" s="141" t="s">
        <v>59</v>
      </c>
      <c r="B8" s="422" t="s">
        <v>60</v>
      </c>
      <c r="C8" s="423" t="s">
        <v>61</v>
      </c>
      <c r="D8" s="508" t="s">
        <v>62</v>
      </c>
      <c r="E8" s="422" t="s">
        <v>63</v>
      </c>
      <c r="F8" s="423" t="s">
        <v>64</v>
      </c>
    </row>
    <row r="9" spans="1:6">
      <c r="A9" s="25" t="s">
        <v>65</v>
      </c>
      <c r="B9" s="45">
        <v>16168</v>
      </c>
      <c r="C9" s="519">
        <v>16168</v>
      </c>
      <c r="D9" s="509"/>
      <c r="E9" s="46"/>
      <c r="F9" s="34">
        <f t="shared" ref="F9:F57" si="0">B9-C9-D9-E9</f>
        <v>0</v>
      </c>
    </row>
    <row r="10" spans="1:6">
      <c r="A10" s="25" t="s">
        <v>124</v>
      </c>
      <c r="B10" s="45">
        <v>4191481</v>
      </c>
      <c r="C10" s="519">
        <v>4191481</v>
      </c>
      <c r="D10" s="507"/>
      <c r="E10" s="24"/>
      <c r="F10" s="34">
        <f t="shared" si="0"/>
        <v>0</v>
      </c>
    </row>
    <row r="11" spans="1:6">
      <c r="A11" s="25" t="s">
        <v>67</v>
      </c>
      <c r="B11" s="45">
        <v>1612730</v>
      </c>
      <c r="C11" s="519">
        <v>1612730</v>
      </c>
      <c r="D11" s="507"/>
      <c r="E11" s="24"/>
      <c r="F11" s="34">
        <f t="shared" si="0"/>
        <v>0</v>
      </c>
    </row>
    <row r="12" spans="1:6">
      <c r="A12" s="36" t="s">
        <v>68</v>
      </c>
      <c r="B12" s="45">
        <v>80839</v>
      </c>
      <c r="C12" s="519"/>
      <c r="D12" s="507"/>
      <c r="E12" s="24"/>
      <c r="F12" s="34">
        <f t="shared" si="0"/>
        <v>80839</v>
      </c>
    </row>
    <row r="13" spans="1:6">
      <c r="A13" s="25" t="s">
        <v>69</v>
      </c>
      <c r="B13" s="45">
        <v>113174</v>
      </c>
      <c r="C13" s="519">
        <v>113174</v>
      </c>
      <c r="D13" s="507"/>
      <c r="E13" s="24"/>
      <c r="F13" s="34">
        <f t="shared" si="0"/>
        <v>0</v>
      </c>
    </row>
    <row r="14" spans="1:6">
      <c r="A14" s="25" t="s">
        <v>70</v>
      </c>
      <c r="B14" s="45">
        <v>2016923</v>
      </c>
      <c r="C14" s="519">
        <v>2016923</v>
      </c>
      <c r="D14" s="507"/>
      <c r="E14" s="24"/>
      <c r="F14" s="34">
        <f t="shared" si="0"/>
        <v>0</v>
      </c>
    </row>
    <row r="15" spans="1:6">
      <c r="A15" s="25" t="s">
        <v>71</v>
      </c>
      <c r="B15" s="45">
        <v>94985</v>
      </c>
      <c r="C15" s="519">
        <v>94985</v>
      </c>
      <c r="D15" s="507"/>
      <c r="E15" s="24"/>
      <c r="F15" s="34">
        <f t="shared" si="0"/>
        <v>0</v>
      </c>
    </row>
    <row r="16" spans="1:6">
      <c r="A16" s="25" t="s">
        <v>125</v>
      </c>
      <c r="B16" s="45">
        <v>6030559</v>
      </c>
      <c r="C16" s="519">
        <f>4824446.83+1206112.07</f>
        <v>6030558.9000000004</v>
      </c>
      <c r="D16" s="507"/>
      <c r="E16" s="24"/>
      <c r="F16" s="34">
        <f t="shared" si="0"/>
        <v>9.999999962747097E-2</v>
      </c>
    </row>
    <row r="17" spans="1:8">
      <c r="A17" s="25" t="s">
        <v>73</v>
      </c>
      <c r="B17" s="45">
        <v>254642</v>
      </c>
      <c r="C17" s="519">
        <v>254642</v>
      </c>
      <c r="D17" s="507"/>
      <c r="E17" s="24"/>
      <c r="F17" s="34">
        <f t="shared" si="0"/>
        <v>0</v>
      </c>
    </row>
    <row r="18" spans="1:8">
      <c r="A18" s="25" t="s">
        <v>74</v>
      </c>
      <c r="B18" s="45">
        <v>94985</v>
      </c>
      <c r="C18" s="519">
        <v>94985</v>
      </c>
      <c r="D18" s="507"/>
      <c r="E18" s="24"/>
      <c r="F18" s="34">
        <f t="shared" si="0"/>
        <v>0</v>
      </c>
    </row>
    <row r="19" spans="1:8">
      <c r="A19" s="25" t="s">
        <v>75</v>
      </c>
      <c r="B19" s="45">
        <v>780092</v>
      </c>
      <c r="C19" s="519">
        <f>780092</f>
        <v>780092</v>
      </c>
      <c r="D19" s="507"/>
      <c r="E19" s="24"/>
      <c r="F19" s="34">
        <f t="shared" si="0"/>
        <v>0</v>
      </c>
    </row>
    <row r="20" spans="1:8">
      <c r="A20" s="25" t="s">
        <v>76</v>
      </c>
      <c r="B20" s="45">
        <v>1364151</v>
      </c>
      <c r="C20" s="519">
        <v>1364151</v>
      </c>
      <c r="D20" s="507"/>
      <c r="E20" s="24"/>
      <c r="F20" s="34">
        <f t="shared" si="0"/>
        <v>0</v>
      </c>
    </row>
    <row r="21" spans="1:8">
      <c r="A21" s="25" t="s">
        <v>77</v>
      </c>
      <c r="B21" s="45">
        <v>80839</v>
      </c>
      <c r="C21" s="519">
        <v>80839</v>
      </c>
      <c r="D21" s="507"/>
      <c r="E21" s="24"/>
      <c r="F21" s="34">
        <f t="shared" si="0"/>
        <v>0</v>
      </c>
    </row>
    <row r="22" spans="1:8">
      <c r="A22" s="25" t="s">
        <v>78</v>
      </c>
      <c r="B22" s="45">
        <v>1048881</v>
      </c>
      <c r="C22" s="519">
        <v>1048881</v>
      </c>
      <c r="D22" s="507"/>
      <c r="E22" s="24"/>
      <c r="F22" s="34">
        <f t="shared" si="0"/>
        <v>0</v>
      </c>
    </row>
    <row r="23" spans="1:8">
      <c r="A23" s="25" t="s">
        <v>126</v>
      </c>
      <c r="B23" s="45">
        <v>11303256</v>
      </c>
      <c r="C23" s="519">
        <f>11018799.01+6747</f>
        <v>11025546.01</v>
      </c>
      <c r="D23" s="507">
        <f>19061+265396-6747</f>
        <v>277710</v>
      </c>
      <c r="E23" s="24"/>
      <c r="F23" s="34">
        <f t="shared" si="0"/>
        <v>-9.9999997764825821E-3</v>
      </c>
    </row>
    <row r="24" spans="1:8">
      <c r="A24" s="25" t="s">
        <v>127</v>
      </c>
      <c r="B24" s="45">
        <v>14431709</v>
      </c>
      <c r="C24" s="519">
        <f>1443170.89+4329512.66+1443170.89+1443170.89+1443170.89+1443170.89+886466</f>
        <v>12431833.110000001</v>
      </c>
      <c r="D24" s="507">
        <f>1772067+1114275-886466</f>
        <v>1999876</v>
      </c>
      <c r="E24" s="45">
        <f>(8424308/0.72967)-1443170.89-4329512.66-1443170.89-1443170.89-1443170.89-1443170.89</f>
        <v>-2.6249811518937349E-2</v>
      </c>
      <c r="F24" s="34">
        <f>B24-C24-D24-E24</f>
        <v>-8.3750189747661352E-2</v>
      </c>
      <c r="G24" s="51"/>
      <c r="H24" s="52"/>
    </row>
    <row r="25" spans="1:8">
      <c r="A25" s="25" t="s">
        <v>81</v>
      </c>
      <c r="B25" s="45">
        <v>1289376</v>
      </c>
      <c r="C25" s="519">
        <v>1289376</v>
      </c>
      <c r="D25" s="507"/>
      <c r="E25" s="24"/>
      <c r="F25" s="34">
        <f t="shared" si="0"/>
        <v>0</v>
      </c>
      <c r="G25" s="53"/>
    </row>
    <row r="26" spans="1:8">
      <c r="A26" s="25" t="s">
        <v>82</v>
      </c>
      <c r="B26" s="45">
        <v>2021</v>
      </c>
      <c r="C26" s="519">
        <v>2021</v>
      </c>
      <c r="D26" s="507"/>
      <c r="E26" s="24"/>
      <c r="F26" s="34">
        <f t="shared" si="0"/>
        <v>0</v>
      </c>
      <c r="G26" s="52"/>
    </row>
    <row r="27" spans="1:8">
      <c r="A27" s="25" t="s">
        <v>83</v>
      </c>
      <c r="B27" s="45">
        <v>537577</v>
      </c>
      <c r="C27" s="519">
        <v>537577</v>
      </c>
      <c r="D27" s="507"/>
      <c r="E27" s="24"/>
      <c r="F27" s="34">
        <f t="shared" si="0"/>
        <v>0</v>
      </c>
    </row>
    <row r="28" spans="1:8">
      <c r="A28" s="25" t="s">
        <v>84</v>
      </c>
      <c r="B28" s="45">
        <v>54566</v>
      </c>
      <c r="C28" s="519">
        <f>53581.74+984</f>
        <v>54565.74</v>
      </c>
      <c r="D28" s="507"/>
      <c r="E28" s="24"/>
      <c r="F28" s="34">
        <f t="shared" si="0"/>
        <v>0.26000000000203727</v>
      </c>
    </row>
    <row r="29" spans="1:8">
      <c r="A29" s="25" t="s">
        <v>128</v>
      </c>
      <c r="B29" s="45">
        <v>844763</v>
      </c>
      <c r="C29" s="519">
        <v>844763</v>
      </c>
      <c r="D29" s="507"/>
      <c r="E29" s="24"/>
      <c r="F29" s="34">
        <f t="shared" si="0"/>
        <v>0</v>
      </c>
    </row>
    <row r="30" spans="1:8">
      <c r="A30" s="25" t="s">
        <v>86</v>
      </c>
      <c r="B30" s="45">
        <v>800302</v>
      </c>
      <c r="C30" s="519"/>
      <c r="D30" s="507"/>
      <c r="E30" s="24"/>
      <c r="F30" s="34">
        <f t="shared" si="0"/>
        <v>800302</v>
      </c>
    </row>
    <row r="31" spans="1:8">
      <c r="A31" s="25" t="s">
        <v>87</v>
      </c>
      <c r="B31" s="45">
        <v>8989251</v>
      </c>
      <c r="C31" s="519">
        <f>8989251-73450-1452000</f>
        <v>7463801</v>
      </c>
      <c r="D31" s="507">
        <f>73450+1452000</f>
        <v>1525450</v>
      </c>
      <c r="E31" s="24"/>
      <c r="F31" s="34">
        <f t="shared" si="0"/>
        <v>0</v>
      </c>
    </row>
    <row r="32" spans="1:8">
      <c r="A32" s="25" t="s">
        <v>129</v>
      </c>
      <c r="B32" s="45">
        <v>21893111</v>
      </c>
      <c r="C32" s="519">
        <f>7372578+14520533-90400-48873</f>
        <v>21753838</v>
      </c>
      <c r="D32" s="507">
        <f>48873+90400</f>
        <v>139273</v>
      </c>
      <c r="E32" s="24"/>
      <c r="F32" s="34">
        <f t="shared" si="0"/>
        <v>0</v>
      </c>
      <c r="H32" s="54"/>
    </row>
    <row r="33" spans="1:8">
      <c r="A33" s="25" t="s">
        <v>89</v>
      </c>
      <c r="B33" s="45">
        <v>244537</v>
      </c>
      <c r="C33" s="519">
        <v>244537</v>
      </c>
      <c r="D33" s="507"/>
      <c r="E33" s="24"/>
      <c r="F33" s="34">
        <f t="shared" si="0"/>
        <v>0</v>
      </c>
      <c r="H33" s="54"/>
    </row>
    <row r="34" spans="1:8">
      <c r="A34" s="25" t="s">
        <v>91</v>
      </c>
      <c r="B34" s="45">
        <v>94985</v>
      </c>
      <c r="C34" s="519">
        <f>76823.69+18161.31</f>
        <v>94985</v>
      </c>
      <c r="D34" s="507"/>
      <c r="E34" s="24"/>
      <c r="F34" s="34">
        <f t="shared" si="0"/>
        <v>0</v>
      </c>
    </row>
    <row r="35" spans="1:8">
      <c r="A35" s="25" t="s">
        <v>92</v>
      </c>
      <c r="B35" s="45">
        <v>18189</v>
      </c>
      <c r="C35" s="519">
        <v>18189</v>
      </c>
      <c r="D35" s="507"/>
      <c r="E35" s="24"/>
      <c r="F35" s="34">
        <f t="shared" si="0"/>
        <v>0</v>
      </c>
    </row>
    <row r="36" spans="1:8">
      <c r="A36" s="25" t="s">
        <v>93</v>
      </c>
      <c r="B36" s="45">
        <v>147530</v>
      </c>
      <c r="C36" s="519">
        <v>147530</v>
      </c>
      <c r="D36" s="507"/>
      <c r="E36" s="24"/>
      <c r="F36" s="34">
        <f t="shared" si="0"/>
        <v>0</v>
      </c>
    </row>
    <row r="37" spans="1:8">
      <c r="A37" s="25" t="s">
        <v>94</v>
      </c>
      <c r="B37" s="45">
        <v>163698</v>
      </c>
      <c r="C37" s="519">
        <v>163698</v>
      </c>
      <c r="D37" s="507"/>
      <c r="E37" s="24"/>
      <c r="F37" s="34">
        <f t="shared" si="0"/>
        <v>0</v>
      </c>
    </row>
    <row r="38" spans="1:8">
      <c r="A38" s="25" t="s">
        <v>95</v>
      </c>
      <c r="B38" s="45">
        <v>32335</v>
      </c>
      <c r="C38" s="519">
        <v>32335</v>
      </c>
      <c r="D38" s="507"/>
      <c r="E38" s="24"/>
      <c r="F38" s="34">
        <f t="shared" si="0"/>
        <v>0</v>
      </c>
    </row>
    <row r="39" spans="1:8">
      <c r="A39" s="25" t="s">
        <v>96</v>
      </c>
      <c r="B39" s="45">
        <v>24252</v>
      </c>
      <c r="C39" s="519">
        <v>24252</v>
      </c>
      <c r="D39" s="507"/>
      <c r="E39" s="24"/>
      <c r="F39" s="34">
        <f t="shared" si="0"/>
        <v>0</v>
      </c>
    </row>
    <row r="40" spans="1:8">
      <c r="A40" s="25" t="s">
        <v>97</v>
      </c>
      <c r="B40" s="45">
        <v>3342676</v>
      </c>
      <c r="C40" s="519">
        <v>3342676</v>
      </c>
      <c r="D40" s="507"/>
      <c r="E40" s="24"/>
      <c r="F40" s="34">
        <f t="shared" si="0"/>
        <v>0</v>
      </c>
    </row>
    <row r="41" spans="1:8">
      <c r="A41" s="25" t="s">
        <v>98</v>
      </c>
      <c r="B41" s="45">
        <v>511304</v>
      </c>
      <c r="C41" s="519">
        <v>511304</v>
      </c>
      <c r="D41" s="507"/>
      <c r="E41" s="24"/>
      <c r="F41" s="34">
        <f t="shared" si="0"/>
        <v>0</v>
      </c>
    </row>
    <row r="42" spans="1:8">
      <c r="A42" s="25" t="s">
        <v>99</v>
      </c>
      <c r="B42" s="45">
        <v>1719841</v>
      </c>
      <c r="C42" s="519">
        <v>1719841</v>
      </c>
      <c r="D42" s="507"/>
      <c r="E42" s="24"/>
      <c r="F42" s="34">
        <f t="shared" si="0"/>
        <v>0</v>
      </c>
    </row>
    <row r="43" spans="1:8" hidden="1">
      <c r="A43" s="25" t="s">
        <v>101</v>
      </c>
      <c r="B43" s="45">
        <v>1861309</v>
      </c>
      <c r="C43" s="519">
        <v>1861309</v>
      </c>
      <c r="D43" s="507"/>
      <c r="E43" s="24"/>
      <c r="F43" s="34">
        <f t="shared" si="0"/>
        <v>0</v>
      </c>
    </row>
    <row r="44" spans="1:8" hidden="1">
      <c r="A44" s="25" t="s">
        <v>102</v>
      </c>
      <c r="B44" s="45">
        <v>957937</v>
      </c>
      <c r="C44" s="519">
        <v>957937</v>
      </c>
      <c r="D44" s="507"/>
      <c r="E44" s="24"/>
      <c r="F44" s="34">
        <f t="shared" si="0"/>
        <v>0</v>
      </c>
    </row>
    <row r="45" spans="1:8" hidden="1">
      <c r="A45" s="25" t="s">
        <v>103</v>
      </c>
      <c r="B45" s="45">
        <v>456738</v>
      </c>
      <c r="C45" s="519">
        <f>369178.12+87559.88</f>
        <v>456738</v>
      </c>
      <c r="D45" s="507"/>
      <c r="E45" s="24"/>
      <c r="F45" s="34">
        <f t="shared" si="0"/>
        <v>0</v>
      </c>
    </row>
    <row r="46" spans="1:8" hidden="1">
      <c r="A46" s="25" t="s">
        <v>104</v>
      </c>
      <c r="B46" s="45">
        <v>4927112</v>
      </c>
      <c r="C46" s="519">
        <f>4288628.56+11134.62+627348.74-666676</f>
        <v>4260435.92</v>
      </c>
      <c r="D46" s="507">
        <v>666676</v>
      </c>
      <c r="E46" s="24"/>
      <c r="F46" s="34">
        <f t="shared" si="0"/>
        <v>8.0000000074505806E-2</v>
      </c>
    </row>
    <row r="47" spans="1:8" hidden="1">
      <c r="A47" s="25" t="s">
        <v>105</v>
      </c>
      <c r="B47" s="45">
        <v>6063</v>
      </c>
      <c r="C47" s="519">
        <v>6063</v>
      </c>
      <c r="D47" s="507"/>
      <c r="E47" s="24"/>
      <c r="F47" s="34">
        <f t="shared" si="0"/>
        <v>0</v>
      </c>
    </row>
    <row r="48" spans="1:8">
      <c r="A48" s="25" t="s">
        <v>107</v>
      </c>
      <c r="B48" s="45">
        <v>345585</v>
      </c>
      <c r="C48" s="519">
        <f>102240.74+243344.26</f>
        <v>345585</v>
      </c>
      <c r="D48" s="507"/>
      <c r="E48" s="24"/>
      <c r="F48" s="34">
        <f t="shared" si="0"/>
        <v>0</v>
      </c>
    </row>
    <row r="49" spans="1:7">
      <c r="A49" s="25" t="s">
        <v>108</v>
      </c>
      <c r="B49" s="45">
        <v>202096</v>
      </c>
      <c r="C49" s="519">
        <v>202096</v>
      </c>
      <c r="D49" s="507"/>
      <c r="E49" s="24"/>
      <c r="F49" s="34">
        <f t="shared" si="0"/>
        <v>0</v>
      </c>
    </row>
    <row r="50" spans="1:7" ht="15" thickBot="1">
      <c r="A50" s="166" t="s">
        <v>110</v>
      </c>
      <c r="B50" s="520">
        <v>6008328</v>
      </c>
      <c r="C50" s="521">
        <f>6008328-1178229</f>
        <v>4830099</v>
      </c>
      <c r="D50" s="507">
        <f>1178229</f>
        <v>1178229</v>
      </c>
      <c r="E50" s="24"/>
      <c r="F50" s="34">
        <f t="shared" si="0"/>
        <v>0</v>
      </c>
    </row>
    <row r="51" spans="1:7">
      <c r="A51" s="23" t="s">
        <v>130</v>
      </c>
      <c r="B51" s="499">
        <v>1940126</v>
      </c>
      <c r="C51" s="499">
        <v>1940126</v>
      </c>
      <c r="D51" s="24"/>
      <c r="E51" s="24"/>
      <c r="F51" s="34">
        <f t="shared" si="0"/>
        <v>0</v>
      </c>
    </row>
    <row r="52" spans="1:7">
      <c r="A52" s="25" t="s">
        <v>112</v>
      </c>
      <c r="B52" s="24">
        <v>2115950</v>
      </c>
      <c r="C52" s="45">
        <v>2115950</v>
      </c>
      <c r="D52" s="24"/>
      <c r="E52" s="24"/>
      <c r="F52" s="34">
        <f t="shared" si="0"/>
        <v>0</v>
      </c>
    </row>
    <row r="53" spans="1:7" ht="33" customHeight="1">
      <c r="A53" s="25" t="s">
        <v>113</v>
      </c>
      <c r="B53" s="24">
        <v>6062.89</v>
      </c>
      <c r="C53" s="45"/>
      <c r="D53" s="24"/>
      <c r="E53" s="24"/>
      <c r="F53" s="34">
        <f t="shared" si="0"/>
        <v>6062.89</v>
      </c>
    </row>
    <row r="54" spans="1:7">
      <c r="A54" s="25" t="s">
        <v>115</v>
      </c>
      <c r="B54" s="24">
        <v>200075.51</v>
      </c>
      <c r="C54" s="45"/>
      <c r="D54" s="24"/>
      <c r="E54" s="24"/>
      <c r="F54" s="34">
        <f t="shared" si="0"/>
        <v>200075.51</v>
      </c>
    </row>
    <row r="55" spans="1:7">
      <c r="A55" s="25" t="s">
        <v>117</v>
      </c>
      <c r="B55" s="45">
        <v>10466576</v>
      </c>
      <c r="C55" s="45">
        <v>10466576</v>
      </c>
      <c r="D55" s="24"/>
      <c r="E55" s="45"/>
      <c r="F55" s="34">
        <f t="shared" si="0"/>
        <v>0</v>
      </c>
    </row>
    <row r="56" spans="1:7">
      <c r="A56" s="25" t="s">
        <v>118</v>
      </c>
      <c r="B56" s="45">
        <f>32083333-849406</f>
        <v>31233927</v>
      </c>
      <c r="C56" s="45">
        <f>19681235+1514000+8907000+1640697+20675000+2660000-23844005+664628+664628-1329256</f>
        <v>31233927</v>
      </c>
      <c r="D56" s="24"/>
      <c r="E56" s="24"/>
      <c r="F56" s="34">
        <f t="shared" si="0"/>
        <v>0</v>
      </c>
      <c r="G56" s="66"/>
    </row>
    <row r="57" spans="1:7">
      <c r="A57" s="25" t="s">
        <v>119</v>
      </c>
      <c r="B57" s="45">
        <v>30314</v>
      </c>
      <c r="C57" s="27"/>
      <c r="D57" s="24"/>
      <c r="E57" s="24"/>
      <c r="F57" s="34">
        <f t="shared" si="0"/>
        <v>30314</v>
      </c>
    </row>
    <row r="58" spans="1:7" ht="15" thickBot="1">
      <c r="A58" s="47" t="s">
        <v>122</v>
      </c>
      <c r="B58" s="48">
        <f>SUM(B9:B57)</f>
        <v>144983927.40000001</v>
      </c>
      <c r="C58" s="48">
        <f>SUM(C9:C57)</f>
        <v>138079119.68000001</v>
      </c>
      <c r="D58" s="48">
        <f>SUM(D9:D57)</f>
        <v>5787214</v>
      </c>
      <c r="E58" s="48">
        <f>SUM(E9:E57)</f>
        <v>-2.6249811518937349E-2</v>
      </c>
      <c r="F58" s="49">
        <f>SUM(F9:F57)</f>
        <v>1117593.7462498103</v>
      </c>
    </row>
    <row r="59" spans="1:7" ht="15" thickBot="1">
      <c r="A59" s="424" t="s">
        <v>131</v>
      </c>
      <c r="B59" s="41">
        <v>849406</v>
      </c>
      <c r="C59" s="41"/>
      <c r="D59" s="41"/>
      <c r="E59" s="41"/>
      <c r="F59" s="429">
        <f>B59-C59-D59-E59</f>
        <v>849406</v>
      </c>
    </row>
    <row r="60" spans="1:7" ht="15" thickBot="1">
      <c r="A60" s="38" t="s">
        <v>132</v>
      </c>
      <c r="B60" s="425">
        <f>B58+B59</f>
        <v>145833333.40000001</v>
      </c>
      <c r="C60" s="425">
        <f t="shared" ref="C60:F60" si="1">C58+C59</f>
        <v>138079119.68000001</v>
      </c>
      <c r="D60" s="425">
        <f t="shared" si="1"/>
        <v>5787214</v>
      </c>
      <c r="E60" s="425">
        <f t="shared" si="1"/>
        <v>-2.6249811518937349E-2</v>
      </c>
      <c r="F60" s="426">
        <f t="shared" si="1"/>
        <v>1966999.7462498103</v>
      </c>
    </row>
    <row r="61" spans="1:7" ht="15" thickBot="1">
      <c r="A61" s="50"/>
      <c r="B61" s="41"/>
      <c r="C61" s="41"/>
      <c r="D61" s="41"/>
      <c r="E61" s="41"/>
      <c r="F61" s="41"/>
    </row>
    <row r="62" spans="1:7" ht="15" thickBot="1">
      <c r="A62" s="42" t="s">
        <v>133</v>
      </c>
      <c r="B62" s="43">
        <f>B12+B13+B15+B19+B21+B27+B33+B36+B43+B46+B48+B49+B53+B54+B57</f>
        <v>9652127.4000000004</v>
      </c>
      <c r="C62" s="43">
        <f>C12+C13+C15+C19+C21+C26+C34+C36+C43+C46+C48+C49+C53+C54+C57</f>
        <v>7983051.9199999999</v>
      </c>
      <c r="D62" s="43">
        <f>D12+D13+D15+D19+D21+D26+D34+D36+D43+D46+D48+D49+D53+D54+D57</f>
        <v>666676</v>
      </c>
      <c r="E62" s="43">
        <f>E12+E13+E15+E19+E21+E26+E34+E36+E43+E46+E48+E49+E53+E54+E57</f>
        <v>0</v>
      </c>
      <c r="F62" s="44">
        <f>B62-C62-D62-E62</f>
        <v>1002399.4800000004</v>
      </c>
    </row>
    <row r="63" spans="1:7">
      <c r="C63" s="59"/>
    </row>
    <row r="64" spans="1:7" s="54" customFormat="1" ht="12.5">
      <c r="B64" s="59"/>
      <c r="C64" s="60"/>
      <c r="D64" s="61"/>
      <c r="E64" s="61"/>
      <c r="F64" s="62"/>
    </row>
    <row r="65" spans="3:6">
      <c r="C65" s="63"/>
      <c r="F65" s="64"/>
    </row>
    <row r="66" spans="3:6">
      <c r="C66" s="65"/>
    </row>
    <row r="67" spans="3:6">
      <c r="C67" s="59"/>
    </row>
    <row r="68" spans="3:6">
      <c r="C68" s="59"/>
    </row>
  </sheetData>
  <mergeCells count="4">
    <mergeCell ref="A1:B1"/>
    <mergeCell ref="A5:F5"/>
    <mergeCell ref="A6:F6"/>
    <mergeCell ref="A7:F7"/>
  </mergeCells>
  <printOptions horizontalCentered="1"/>
  <pageMargins left="0.70866141732283472" right="0.70866141732283472" top="0.59055118110236227" bottom="0.31496062992125984" header="0.31496062992125984" footer="0.31496062992125984"/>
  <pageSetup scale="75"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E2F0-E135-4305-A70E-450DBC3498FB}">
  <dimension ref="A1:H70"/>
  <sheetViews>
    <sheetView topLeftCell="A16" workbookViewId="0">
      <selection activeCell="L68" sqref="L68"/>
    </sheetView>
  </sheetViews>
  <sheetFormatPr defaultRowHeight="14.5"/>
  <cols>
    <col min="1" max="1" width="24.7265625" customWidth="1"/>
    <col min="2" max="2" width="16.7265625" style="58" customWidth="1"/>
    <col min="3" max="3" width="40.26953125" style="58" customWidth="1"/>
    <col min="4" max="4" width="14.26953125" style="58" customWidth="1"/>
    <col min="5" max="5" width="13.26953125" style="58" customWidth="1"/>
    <col min="6" max="6" width="15.7265625" style="58" customWidth="1"/>
    <col min="7" max="7" width="16.36328125" customWidth="1"/>
    <col min="8" max="8" width="17.54296875" bestFit="1" customWidth="1"/>
  </cols>
  <sheetData>
    <row r="1" spans="1:6" ht="18">
      <c r="A1" s="793" t="str">
        <f>[1]Status!C1</f>
        <v>UNEP/OzL.Pro/ExCom/94/3</v>
      </c>
      <c r="B1" s="793"/>
      <c r="C1" s="14"/>
      <c r="D1" s="14"/>
      <c r="E1" s="14"/>
      <c r="F1" s="14"/>
    </row>
    <row r="2" spans="1:6" ht="18">
      <c r="A2" s="35" t="s">
        <v>0</v>
      </c>
      <c r="B2" s="14"/>
      <c r="C2" s="14"/>
      <c r="D2" s="14"/>
      <c r="E2" s="14"/>
      <c r="F2" s="14"/>
    </row>
    <row r="3" spans="1:6" ht="18">
      <c r="A3" s="8" t="s">
        <v>145</v>
      </c>
      <c r="B3" s="14"/>
      <c r="C3" s="14"/>
      <c r="D3" s="14"/>
      <c r="E3" s="14"/>
      <c r="F3" s="14"/>
    </row>
    <row r="4" spans="1:6" ht="15.5">
      <c r="A4" s="1"/>
      <c r="B4" s="14"/>
      <c r="C4" s="14"/>
      <c r="D4" s="14"/>
      <c r="E4" s="14"/>
      <c r="F4" s="14"/>
    </row>
    <row r="5" spans="1:6" ht="16">
      <c r="A5" s="794" t="s">
        <v>2</v>
      </c>
      <c r="B5" s="794"/>
      <c r="C5" s="794"/>
      <c r="D5" s="794"/>
      <c r="E5" s="794"/>
      <c r="F5" s="794"/>
    </row>
    <row r="6" spans="1:6" ht="15.5">
      <c r="A6" s="795" t="s">
        <v>247</v>
      </c>
      <c r="B6" s="795"/>
      <c r="C6" s="795"/>
      <c r="D6" s="795"/>
      <c r="E6" s="795"/>
      <c r="F6" s="795"/>
    </row>
    <row r="7" spans="1:6" ht="16.5" thickBot="1">
      <c r="A7" s="796" t="str">
        <f>[1]Status!A6</f>
        <v>As at 24/05/2024</v>
      </c>
      <c r="B7" s="796"/>
      <c r="C7" s="796"/>
      <c r="D7" s="798"/>
      <c r="E7" s="798"/>
      <c r="F7" s="798"/>
    </row>
    <row r="8" spans="1:6" ht="33" customHeight="1" thickBot="1">
      <c r="A8" s="19" t="s">
        <v>59</v>
      </c>
      <c r="B8" s="20" t="s">
        <v>60</v>
      </c>
      <c r="C8" s="21" t="s">
        <v>61</v>
      </c>
      <c r="D8" s="504" t="s">
        <v>62</v>
      </c>
      <c r="E8" s="20" t="s">
        <v>63</v>
      </c>
      <c r="F8" s="21" t="s">
        <v>64</v>
      </c>
    </row>
    <row r="9" spans="1:6" ht="15" thickBot="1">
      <c r="A9" s="68" t="s">
        <v>65</v>
      </c>
      <c r="B9" s="69">
        <v>16168</v>
      </c>
      <c r="C9" s="516">
        <v>16168</v>
      </c>
      <c r="D9" s="505"/>
      <c r="E9" s="70"/>
      <c r="F9" s="34">
        <f t="shared" ref="F9:F57" si="0">B9-C9-D9-E9</f>
        <v>0</v>
      </c>
    </row>
    <row r="10" spans="1:6" ht="15" thickBot="1">
      <c r="A10" s="23" t="s">
        <v>124</v>
      </c>
      <c r="B10" s="71">
        <v>4191481</v>
      </c>
      <c r="C10" s="516">
        <v>4191481</v>
      </c>
      <c r="D10" s="506"/>
      <c r="E10" s="72"/>
      <c r="F10" s="34">
        <f t="shared" si="0"/>
        <v>0</v>
      </c>
    </row>
    <row r="11" spans="1:6" ht="15" thickBot="1">
      <c r="A11" s="25" t="s">
        <v>67</v>
      </c>
      <c r="B11" s="73">
        <v>1612730</v>
      </c>
      <c r="C11" s="516">
        <v>1612730</v>
      </c>
      <c r="D11" s="507"/>
      <c r="E11" s="24"/>
      <c r="F11" s="34">
        <f t="shared" si="0"/>
        <v>0</v>
      </c>
    </row>
    <row r="12" spans="1:6" ht="15" thickBot="1">
      <c r="A12" s="36" t="s">
        <v>68</v>
      </c>
      <c r="B12" s="73">
        <v>80839</v>
      </c>
      <c r="C12" s="516"/>
      <c r="D12" s="507"/>
      <c r="E12" s="24"/>
      <c r="F12" s="34">
        <f t="shared" si="0"/>
        <v>80839</v>
      </c>
    </row>
    <row r="13" spans="1:6" ht="15" thickBot="1">
      <c r="A13" s="25" t="s">
        <v>69</v>
      </c>
      <c r="B13" s="73">
        <v>113174</v>
      </c>
      <c r="C13" s="516"/>
      <c r="D13" s="507"/>
      <c r="E13" s="24"/>
      <c r="F13" s="34">
        <f t="shared" si="0"/>
        <v>113174</v>
      </c>
    </row>
    <row r="14" spans="1:6" ht="15" thickBot="1">
      <c r="A14" s="25" t="s">
        <v>70</v>
      </c>
      <c r="B14" s="73">
        <v>2016923</v>
      </c>
      <c r="C14" s="516">
        <v>2016923</v>
      </c>
      <c r="D14" s="507"/>
      <c r="E14" s="24"/>
      <c r="F14" s="34">
        <f t="shared" si="0"/>
        <v>0</v>
      </c>
    </row>
    <row r="15" spans="1:6" ht="15" thickBot="1">
      <c r="A15" s="25" t="s">
        <v>71</v>
      </c>
      <c r="B15" s="73">
        <v>94985</v>
      </c>
      <c r="C15" s="516">
        <v>94985</v>
      </c>
      <c r="D15" s="507"/>
      <c r="E15" s="24"/>
      <c r="F15" s="34">
        <f t="shared" si="0"/>
        <v>0</v>
      </c>
    </row>
    <row r="16" spans="1:6" ht="15" thickBot="1">
      <c r="A16" s="25" t="s">
        <v>125</v>
      </c>
      <c r="B16" s="73">
        <v>6030559</v>
      </c>
      <c r="C16" s="516">
        <f>4824446.83+1206112.07</f>
        <v>6030558.9000000004</v>
      </c>
      <c r="D16" s="507"/>
      <c r="E16" s="24"/>
      <c r="F16" s="34">
        <f t="shared" si="0"/>
        <v>9.999999962747097E-2</v>
      </c>
    </row>
    <row r="17" spans="1:8" ht="15" thickBot="1">
      <c r="A17" s="25" t="s">
        <v>73</v>
      </c>
      <c r="B17" s="73">
        <v>254642</v>
      </c>
      <c r="C17" s="516">
        <f>250876.44+3766</f>
        <v>254642.44</v>
      </c>
      <c r="D17" s="507"/>
      <c r="E17" s="24"/>
      <c r="F17" s="34">
        <f t="shared" si="0"/>
        <v>-0.44000000000232831</v>
      </c>
    </row>
    <row r="18" spans="1:8" ht="15" thickBot="1">
      <c r="A18" s="25" t="s">
        <v>74</v>
      </c>
      <c r="B18" s="73">
        <v>94985</v>
      </c>
      <c r="C18" s="516">
        <v>94985</v>
      </c>
      <c r="D18" s="507"/>
      <c r="E18" s="24"/>
      <c r="F18" s="34">
        <f t="shared" si="0"/>
        <v>0</v>
      </c>
    </row>
    <row r="19" spans="1:8" ht="15" thickBot="1">
      <c r="A19" s="25" t="s">
        <v>75</v>
      </c>
      <c r="B19" s="73">
        <v>780092</v>
      </c>
      <c r="C19" s="516">
        <v>780092</v>
      </c>
      <c r="D19" s="507"/>
      <c r="E19" s="24"/>
      <c r="F19" s="34">
        <f t="shared" si="0"/>
        <v>0</v>
      </c>
    </row>
    <row r="20" spans="1:8" ht="15" thickBot="1">
      <c r="A20" s="25" t="s">
        <v>76</v>
      </c>
      <c r="B20" s="73">
        <v>1364151</v>
      </c>
      <c r="C20" s="516">
        <v>1364151</v>
      </c>
      <c r="D20" s="507"/>
      <c r="E20" s="24"/>
      <c r="F20" s="34">
        <f t="shared" si="0"/>
        <v>0</v>
      </c>
    </row>
    <row r="21" spans="1:8" ht="15" thickBot="1">
      <c r="A21" s="25" t="s">
        <v>77</v>
      </c>
      <c r="B21" s="73">
        <v>80839</v>
      </c>
      <c r="C21" s="516">
        <v>80839</v>
      </c>
      <c r="D21" s="507"/>
      <c r="E21" s="24"/>
      <c r="F21" s="34">
        <f t="shared" si="0"/>
        <v>0</v>
      </c>
    </row>
    <row r="22" spans="1:8" ht="15" thickBot="1">
      <c r="A22" s="25" t="s">
        <v>78</v>
      </c>
      <c r="B22" s="73">
        <v>1048881</v>
      </c>
      <c r="C22" s="516">
        <v>1048881</v>
      </c>
      <c r="D22" s="507"/>
      <c r="E22" s="24"/>
      <c r="F22" s="34">
        <f t="shared" si="0"/>
        <v>0</v>
      </c>
    </row>
    <row r="23" spans="1:8" ht="15" thickBot="1">
      <c r="A23" s="25" t="s">
        <v>126</v>
      </c>
      <c r="B23" s="73">
        <v>11303256</v>
      </c>
      <c r="C23" s="516">
        <f>11257491</f>
        <v>11257491</v>
      </c>
      <c r="D23" s="507">
        <f>45765</f>
        <v>45765</v>
      </c>
      <c r="E23" s="24"/>
      <c r="F23" s="34">
        <f t="shared" si="0"/>
        <v>0</v>
      </c>
    </row>
    <row r="24" spans="1:8" ht="15" thickBot="1">
      <c r="A24" s="25" t="s">
        <v>127</v>
      </c>
      <c r="B24" s="73">
        <v>14431709</v>
      </c>
      <c r="C24" s="516">
        <f>8659025.32+2886341.77-1850587</f>
        <v>9694780.0899999999</v>
      </c>
      <c r="D24" s="507">
        <f>659452+323021+1903869+1850587</f>
        <v>4736929</v>
      </c>
      <c r="E24" s="73"/>
      <c r="F24" s="34">
        <f t="shared" si="0"/>
        <v>-8.9999999850988388E-2</v>
      </c>
      <c r="G24" s="51"/>
      <c r="H24" s="52"/>
    </row>
    <row r="25" spans="1:8" ht="15" thickBot="1">
      <c r="A25" s="25" t="s">
        <v>81</v>
      </c>
      <c r="B25" s="73">
        <v>1289376</v>
      </c>
      <c r="C25" s="516">
        <v>1289376</v>
      </c>
      <c r="D25" s="507"/>
      <c r="E25" s="24"/>
      <c r="F25" s="34">
        <f t="shared" si="0"/>
        <v>0</v>
      </c>
      <c r="G25" s="53"/>
    </row>
    <row r="26" spans="1:8" ht="15" thickBot="1">
      <c r="A26" s="25" t="s">
        <v>82</v>
      </c>
      <c r="B26" s="73">
        <v>2021</v>
      </c>
      <c r="C26" s="516">
        <v>2021</v>
      </c>
      <c r="D26" s="507"/>
      <c r="E26" s="24"/>
      <c r="F26" s="34">
        <f t="shared" si="0"/>
        <v>0</v>
      </c>
      <c r="G26" s="52"/>
    </row>
    <row r="27" spans="1:8" ht="15" thickBot="1">
      <c r="A27" s="25" t="s">
        <v>83</v>
      </c>
      <c r="B27" s="73">
        <v>537577</v>
      </c>
      <c r="C27" s="516">
        <v>537577</v>
      </c>
      <c r="D27" s="507"/>
      <c r="E27" s="24"/>
      <c r="F27" s="34">
        <f t="shared" si="0"/>
        <v>0</v>
      </c>
    </row>
    <row r="28" spans="1:8" ht="15" thickBot="1">
      <c r="A28" s="25" t="s">
        <v>84</v>
      </c>
      <c r="B28" s="73">
        <v>54566</v>
      </c>
      <c r="C28" s="516">
        <v>54566</v>
      </c>
      <c r="D28" s="507"/>
      <c r="E28" s="24"/>
      <c r="F28" s="34">
        <f t="shared" si="0"/>
        <v>0</v>
      </c>
    </row>
    <row r="29" spans="1:8" ht="15" thickBot="1">
      <c r="A29" s="25" t="s">
        <v>128</v>
      </c>
      <c r="B29" s="73">
        <v>844763</v>
      </c>
      <c r="C29" s="516">
        <v>844763</v>
      </c>
      <c r="D29" s="507"/>
      <c r="E29" s="24"/>
      <c r="F29" s="34">
        <f t="shared" si="0"/>
        <v>0</v>
      </c>
    </row>
    <row r="30" spans="1:8" ht="15" thickBot="1">
      <c r="A30" s="25" t="s">
        <v>86</v>
      </c>
      <c r="B30" s="73">
        <v>800302</v>
      </c>
      <c r="C30" s="516"/>
      <c r="D30" s="507"/>
      <c r="E30" s="24"/>
      <c r="F30" s="34">
        <f t="shared" si="0"/>
        <v>800302</v>
      </c>
    </row>
    <row r="31" spans="1:8" ht="15" thickBot="1">
      <c r="A31" s="25" t="s">
        <v>87</v>
      </c>
      <c r="B31" s="73">
        <v>8989251</v>
      </c>
      <c r="C31" s="516">
        <f>1762906.01+7191368.15+34976.83-282500</f>
        <v>8706750.9900000002</v>
      </c>
      <c r="D31" s="507">
        <f>282500</f>
        <v>282500</v>
      </c>
      <c r="E31" s="24"/>
      <c r="F31" s="34">
        <f t="shared" si="0"/>
        <v>9.9999997764825821E-3</v>
      </c>
    </row>
    <row r="32" spans="1:8" ht="15" thickBot="1">
      <c r="A32" s="25" t="s">
        <v>129</v>
      </c>
      <c r="B32" s="73">
        <v>21893111</v>
      </c>
      <c r="C32" s="516">
        <f>7372578+14520533-90400-90400</f>
        <v>21712311</v>
      </c>
      <c r="D32" s="507">
        <f>90400+90400</f>
        <v>180800</v>
      </c>
      <c r="E32" s="24"/>
      <c r="F32" s="34">
        <f t="shared" si="0"/>
        <v>0</v>
      </c>
      <c r="H32" s="54"/>
    </row>
    <row r="33" spans="1:8" ht="15" thickBot="1">
      <c r="A33" s="25" t="s">
        <v>89</v>
      </c>
      <c r="B33" s="73">
        <v>244537</v>
      </c>
      <c r="C33" s="516">
        <f>128906+115631</f>
        <v>244537</v>
      </c>
      <c r="D33" s="507"/>
      <c r="E33" s="24"/>
      <c r="F33" s="34">
        <f t="shared" si="0"/>
        <v>0</v>
      </c>
      <c r="H33" s="54"/>
    </row>
    <row r="34" spans="1:8" ht="15" thickBot="1">
      <c r="A34" s="25" t="s">
        <v>91</v>
      </c>
      <c r="B34" s="73">
        <v>94985</v>
      </c>
      <c r="C34" s="516">
        <v>94985</v>
      </c>
      <c r="D34" s="507"/>
      <c r="E34" s="24"/>
      <c r="F34" s="34">
        <f t="shared" si="0"/>
        <v>0</v>
      </c>
    </row>
    <row r="35" spans="1:8" ht="15" thickBot="1">
      <c r="A35" s="25" t="s">
        <v>92</v>
      </c>
      <c r="B35" s="73">
        <v>18189</v>
      </c>
      <c r="C35" s="516">
        <v>18189</v>
      </c>
      <c r="D35" s="507"/>
      <c r="E35" s="24"/>
      <c r="F35" s="34">
        <f t="shared" si="0"/>
        <v>0</v>
      </c>
    </row>
    <row r="36" spans="1:8" ht="15" thickBot="1">
      <c r="A36" s="25" t="s">
        <v>93</v>
      </c>
      <c r="B36" s="73">
        <v>147530</v>
      </c>
      <c r="C36" s="516">
        <v>147530</v>
      </c>
      <c r="D36" s="507"/>
      <c r="E36" s="24"/>
      <c r="F36" s="34">
        <f t="shared" si="0"/>
        <v>0</v>
      </c>
    </row>
    <row r="37" spans="1:8" ht="15" thickBot="1">
      <c r="A37" s="25" t="s">
        <v>94</v>
      </c>
      <c r="B37" s="73">
        <v>163698</v>
      </c>
      <c r="C37" s="516">
        <v>163698</v>
      </c>
      <c r="D37" s="507"/>
      <c r="E37" s="24"/>
      <c r="F37" s="34">
        <f t="shared" si="0"/>
        <v>0</v>
      </c>
    </row>
    <row r="38" spans="1:8" ht="15" thickBot="1">
      <c r="A38" s="25" t="s">
        <v>95</v>
      </c>
      <c r="B38" s="73">
        <v>32335</v>
      </c>
      <c r="C38" s="516">
        <v>32335</v>
      </c>
      <c r="D38" s="507"/>
      <c r="E38" s="24"/>
      <c r="F38" s="34">
        <f t="shared" si="0"/>
        <v>0</v>
      </c>
    </row>
    <row r="39" spans="1:8" ht="15" thickBot="1">
      <c r="A39" s="25" t="s">
        <v>96</v>
      </c>
      <c r="B39" s="73">
        <v>24252</v>
      </c>
      <c r="C39" s="516">
        <v>24252</v>
      </c>
      <c r="D39" s="507"/>
      <c r="E39" s="24"/>
      <c r="F39" s="34">
        <f t="shared" si="0"/>
        <v>0</v>
      </c>
    </row>
    <row r="40" spans="1:8" ht="15" thickBot="1">
      <c r="A40" s="25" t="s">
        <v>97</v>
      </c>
      <c r="B40" s="73">
        <v>3342676</v>
      </c>
      <c r="C40" s="516">
        <v>3342676</v>
      </c>
      <c r="D40" s="507"/>
      <c r="E40" s="24"/>
      <c r="F40" s="34">
        <f t="shared" si="0"/>
        <v>0</v>
      </c>
    </row>
    <row r="41" spans="1:8" ht="15" thickBot="1">
      <c r="A41" s="25" t="s">
        <v>98</v>
      </c>
      <c r="B41" s="73">
        <v>511304</v>
      </c>
      <c r="C41" s="516">
        <v>511304</v>
      </c>
      <c r="D41" s="507"/>
      <c r="E41" s="24"/>
      <c r="F41" s="34">
        <f t="shared" si="0"/>
        <v>0</v>
      </c>
    </row>
    <row r="42" spans="1:8" ht="15" thickBot="1">
      <c r="A42" s="25" t="s">
        <v>99</v>
      </c>
      <c r="B42" s="73">
        <v>1719841</v>
      </c>
      <c r="C42" s="516">
        <v>1719841</v>
      </c>
      <c r="D42" s="507"/>
      <c r="E42" s="24"/>
      <c r="F42" s="34">
        <f t="shared" si="0"/>
        <v>0</v>
      </c>
    </row>
    <row r="43" spans="1:8" ht="15" hidden="1" thickBot="1">
      <c r="A43" s="25" t="s">
        <v>101</v>
      </c>
      <c r="B43" s="73">
        <v>1861309</v>
      </c>
      <c r="C43" s="516">
        <v>1861309.4</v>
      </c>
      <c r="D43" s="507"/>
      <c r="E43" s="24"/>
      <c r="F43" s="34">
        <f t="shared" si="0"/>
        <v>-0.39999999990686774</v>
      </c>
    </row>
    <row r="44" spans="1:8" ht="15" hidden="1" thickBot="1">
      <c r="A44" s="25" t="s">
        <v>102</v>
      </c>
      <c r="B44" s="73">
        <v>957937</v>
      </c>
      <c r="C44" s="516">
        <v>957937</v>
      </c>
      <c r="D44" s="507"/>
      <c r="E44" s="24"/>
      <c r="F44" s="34">
        <f t="shared" si="0"/>
        <v>0</v>
      </c>
    </row>
    <row r="45" spans="1:8" ht="15" hidden="1" thickBot="1">
      <c r="A45" s="25" t="s">
        <v>103</v>
      </c>
      <c r="B45" s="73">
        <v>456738</v>
      </c>
      <c r="C45" s="516">
        <v>456738</v>
      </c>
      <c r="D45" s="507"/>
      <c r="E45" s="24"/>
      <c r="F45" s="34">
        <f t="shared" si="0"/>
        <v>0</v>
      </c>
    </row>
    <row r="46" spans="1:8" ht="15" hidden="1" thickBot="1">
      <c r="A46" s="25" t="s">
        <v>104</v>
      </c>
      <c r="B46" s="73">
        <v>4927112</v>
      </c>
      <c r="C46" s="516">
        <f>4563879.73+363232.76</f>
        <v>4927112.49</v>
      </c>
      <c r="D46" s="507"/>
      <c r="E46" s="24"/>
      <c r="F46" s="34">
        <f t="shared" si="0"/>
        <v>-0.49000000022351742</v>
      </c>
    </row>
    <row r="47" spans="1:8" ht="15" hidden="1" thickBot="1">
      <c r="A47" s="23" t="s">
        <v>105</v>
      </c>
      <c r="B47" s="73">
        <v>6063</v>
      </c>
      <c r="C47" s="516">
        <v>6063</v>
      </c>
      <c r="D47" s="507"/>
      <c r="E47" s="24"/>
      <c r="F47" s="34">
        <f t="shared" si="0"/>
        <v>0</v>
      </c>
    </row>
    <row r="48" spans="1:8" ht="15" thickBot="1">
      <c r="A48" s="23" t="s">
        <v>107</v>
      </c>
      <c r="B48" s="73">
        <v>345585</v>
      </c>
      <c r="C48" s="516">
        <f>121671.44+102240.74+121673</f>
        <v>345585.18</v>
      </c>
      <c r="D48" s="507"/>
      <c r="E48" s="24"/>
      <c r="F48" s="34">
        <f t="shared" si="0"/>
        <v>-0.17999999999301508</v>
      </c>
    </row>
    <row r="49" spans="1:6" ht="15" thickBot="1">
      <c r="A49" s="25" t="s">
        <v>108</v>
      </c>
      <c r="B49" s="73">
        <v>202096</v>
      </c>
      <c r="C49" s="516">
        <f>79500+122596</f>
        <v>202096</v>
      </c>
      <c r="D49" s="507"/>
      <c r="E49" s="24"/>
      <c r="F49" s="34">
        <f t="shared" si="0"/>
        <v>0</v>
      </c>
    </row>
    <row r="50" spans="1:6" ht="15" thickBot="1">
      <c r="A50" s="166" t="s">
        <v>110</v>
      </c>
      <c r="B50" s="517">
        <v>6008328</v>
      </c>
      <c r="C50" s="518">
        <v>6008328</v>
      </c>
      <c r="D50" s="507"/>
      <c r="E50" s="24"/>
      <c r="F50" s="34">
        <f t="shared" si="0"/>
        <v>0</v>
      </c>
    </row>
    <row r="51" spans="1:6" ht="15" thickBot="1">
      <c r="A51" s="23" t="s">
        <v>130</v>
      </c>
      <c r="B51" s="71">
        <v>1940126</v>
      </c>
      <c r="C51" s="512">
        <v>1940126</v>
      </c>
      <c r="D51" s="24"/>
      <c r="E51" s="24"/>
      <c r="F51" s="34">
        <f t="shared" si="0"/>
        <v>0</v>
      </c>
    </row>
    <row r="52" spans="1:6" ht="15" thickBot="1">
      <c r="A52" s="25" t="s">
        <v>112</v>
      </c>
      <c r="B52" s="74">
        <v>2115950</v>
      </c>
      <c r="C52" s="69">
        <v>2115950</v>
      </c>
      <c r="D52" s="24"/>
      <c r="E52" s="24"/>
      <c r="F52" s="34">
        <f t="shared" si="0"/>
        <v>0</v>
      </c>
    </row>
    <row r="53" spans="1:6" ht="33" customHeight="1" thickBot="1">
      <c r="A53" s="25" t="s">
        <v>113</v>
      </c>
      <c r="B53" s="74">
        <v>6062.89</v>
      </c>
      <c r="C53" s="69"/>
      <c r="D53" s="24"/>
      <c r="E53" s="24"/>
      <c r="F53" s="34">
        <f t="shared" si="0"/>
        <v>6062.89</v>
      </c>
    </row>
    <row r="54" spans="1:6" ht="15" thickBot="1">
      <c r="A54" s="25" t="s">
        <v>115</v>
      </c>
      <c r="B54" s="74">
        <v>200075.51</v>
      </c>
      <c r="C54" s="69"/>
      <c r="D54" s="24"/>
      <c r="E54" s="24"/>
      <c r="F54" s="34">
        <f t="shared" si="0"/>
        <v>200075.51</v>
      </c>
    </row>
    <row r="55" spans="1:6" ht="15" thickBot="1">
      <c r="A55" s="25" t="s">
        <v>117</v>
      </c>
      <c r="B55" s="73">
        <v>10466576</v>
      </c>
      <c r="C55" s="69">
        <v>10466576</v>
      </c>
      <c r="D55" s="24"/>
      <c r="E55" s="73"/>
      <c r="F55" s="34">
        <f t="shared" si="0"/>
        <v>0</v>
      </c>
    </row>
    <row r="56" spans="1:6" ht="15" thickBot="1">
      <c r="A56" s="25" t="s">
        <v>118</v>
      </c>
      <c r="B56" s="73">
        <f>32083333-271090-180974</f>
        <v>31631269</v>
      </c>
      <c r="C56" s="69">
        <f>25000000-6814819+714323.4+8913000+3818765</f>
        <v>31631269.399999999</v>
      </c>
      <c r="D56" s="24"/>
      <c r="E56" s="24"/>
      <c r="F56" s="34">
        <f t="shared" si="0"/>
        <v>-0.39999999850988388</v>
      </c>
    </row>
    <row r="57" spans="1:6" ht="15" thickBot="1">
      <c r="A57" s="26" t="s">
        <v>119</v>
      </c>
      <c r="B57" s="73">
        <v>30314</v>
      </c>
      <c r="C57" s="69"/>
      <c r="D57" s="75"/>
      <c r="E57" s="76"/>
      <c r="F57" s="34">
        <f t="shared" si="0"/>
        <v>30314</v>
      </c>
    </row>
    <row r="58" spans="1:6" ht="15" thickBot="1">
      <c r="A58" s="30" t="s">
        <v>122</v>
      </c>
      <c r="B58" s="28">
        <f>SUM(B9:B57)</f>
        <v>145381269.40000001</v>
      </c>
      <c r="C58" s="28">
        <f>SUM(C9:C57)</f>
        <v>138904509.89000002</v>
      </c>
      <c r="D58" s="28">
        <f>SUM(D9:D57)</f>
        <v>5245994</v>
      </c>
      <c r="E58" s="28"/>
      <c r="F58" s="29">
        <f>SUM(F9:F57)</f>
        <v>1230765.5100000012</v>
      </c>
    </row>
    <row r="59" spans="1:6" ht="15" thickBot="1">
      <c r="A59" s="37" t="s">
        <v>131</v>
      </c>
      <c r="B59" s="77">
        <v>452064</v>
      </c>
      <c r="C59" s="77"/>
      <c r="D59" s="77"/>
      <c r="E59" s="77"/>
      <c r="F59" s="67">
        <f>B59-C59-D59-E59</f>
        <v>452064</v>
      </c>
    </row>
    <row r="60" spans="1:6" ht="15" thickBot="1">
      <c r="A60" s="38" t="s">
        <v>132</v>
      </c>
      <c r="B60" s="39">
        <f>B58+B59</f>
        <v>145833333.40000001</v>
      </c>
      <c r="C60" s="39">
        <f>C58+C59</f>
        <v>138904509.89000002</v>
      </c>
      <c r="D60" s="39">
        <f>D58+D59</f>
        <v>5245994</v>
      </c>
      <c r="E60" s="39"/>
      <c r="F60" s="40">
        <f>F58+F59</f>
        <v>1682829.5100000012</v>
      </c>
    </row>
    <row r="61" spans="1:6">
      <c r="A61" s="55" t="s">
        <v>135</v>
      </c>
      <c r="B61" s="41"/>
      <c r="C61" s="41"/>
      <c r="D61" s="41"/>
      <c r="E61" s="41"/>
      <c r="F61" s="41"/>
    </row>
    <row r="62" spans="1:6">
      <c r="A62" s="56"/>
      <c r="B62" s="57"/>
      <c r="C62" s="57"/>
      <c r="D62" s="57"/>
      <c r="E62" s="57"/>
      <c r="F62" s="57"/>
    </row>
    <row r="63" spans="1:6" ht="15" thickBot="1">
      <c r="A63" s="50"/>
      <c r="B63" s="41"/>
      <c r="C63" s="41"/>
      <c r="D63" s="41"/>
      <c r="E63" s="41"/>
      <c r="F63" s="41"/>
    </row>
    <row r="64" spans="1:6" ht="15" thickBot="1">
      <c r="A64" s="42" t="s">
        <v>133</v>
      </c>
      <c r="B64" s="43">
        <f>B12+B13+B15+B19+B21+B27+B33+B36+B43+B46+B48+B49+B53+B54+B57</f>
        <v>9652127.4000000004</v>
      </c>
      <c r="C64" s="43">
        <f>C12+C13+C15+C19+C21+C26+C34+C36+C43+C46+C48+C49+C53+C54+C57</f>
        <v>8536555.0700000003</v>
      </c>
      <c r="D64" s="43">
        <f>D12+D13+D15+D19+D21+D26+D34+D36+D43+D46+D48+D49+D53+D54+D57</f>
        <v>0</v>
      </c>
      <c r="E64" s="43">
        <f>E12+E13+E15+E19+E21+E26+E34+E36+E43+E46+E48+E49+E53+E54+E57</f>
        <v>0</v>
      </c>
      <c r="F64" s="44">
        <f>B64-C64-D64-E64</f>
        <v>1115572.33</v>
      </c>
    </row>
    <row r="65" spans="2:6">
      <c r="C65" s="59"/>
    </row>
    <row r="66" spans="2:6" s="54" customFormat="1" ht="12.5">
      <c r="B66" s="59"/>
      <c r="C66" s="60"/>
      <c r="D66" s="61"/>
      <c r="E66" s="61"/>
      <c r="F66" s="62"/>
    </row>
    <row r="67" spans="2:6">
      <c r="C67" s="63"/>
      <c r="F67" s="64"/>
    </row>
    <row r="68" spans="2:6">
      <c r="C68" s="65"/>
    </row>
    <row r="69" spans="2:6">
      <c r="C69" s="59"/>
    </row>
    <row r="70" spans="2:6">
      <c r="C70" s="59"/>
    </row>
  </sheetData>
  <mergeCells count="4">
    <mergeCell ref="A1:B1"/>
    <mergeCell ref="A5:F5"/>
    <mergeCell ref="A6:F6"/>
    <mergeCell ref="A7:F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6D10-8DE4-4210-B794-B549D8815DF7}">
  <dimension ref="A1:G70"/>
  <sheetViews>
    <sheetView topLeftCell="A24" workbookViewId="0">
      <selection activeCell="L68" sqref="L68"/>
    </sheetView>
  </sheetViews>
  <sheetFormatPr defaultRowHeight="14.5"/>
  <cols>
    <col min="1" max="1" width="25.36328125" customWidth="1"/>
    <col min="2" max="2" width="17.7265625" style="52" customWidth="1"/>
    <col min="3" max="3" width="40.26953125" style="52" customWidth="1"/>
    <col min="4" max="6" width="17.7265625" style="52" customWidth="1"/>
    <col min="7" max="7" width="16.36328125" hidden="1" customWidth="1"/>
  </cols>
  <sheetData>
    <row r="1" spans="1:6" ht="18">
      <c r="A1" s="793"/>
      <c r="B1" s="793"/>
      <c r="C1" s="10"/>
      <c r="D1" s="10"/>
      <c r="E1" s="15"/>
      <c r="F1" s="16" t="str">
        <f>[1]Status!C1</f>
        <v>UNEP/OzL.Pro/ExCom/94/3</v>
      </c>
    </row>
    <row r="2" spans="1:6" ht="18">
      <c r="A2" s="35"/>
      <c r="B2" s="10"/>
      <c r="C2" s="10"/>
      <c r="D2" s="10"/>
      <c r="E2" s="15"/>
      <c r="F2" s="16" t="s">
        <v>0</v>
      </c>
    </row>
    <row r="3" spans="1:6" ht="18">
      <c r="A3" s="8"/>
      <c r="B3" s="10"/>
      <c r="C3" s="10"/>
      <c r="D3" s="10"/>
      <c r="E3" s="16"/>
      <c r="F3" s="16" t="s">
        <v>145</v>
      </c>
    </row>
    <row r="4" spans="1:6" ht="15.5">
      <c r="A4" s="1"/>
      <c r="B4" s="10"/>
      <c r="C4" s="10"/>
      <c r="D4" s="10"/>
      <c r="E4" s="10"/>
      <c r="F4" s="10"/>
    </row>
    <row r="5" spans="1:6" ht="16">
      <c r="A5" s="794" t="s">
        <v>2</v>
      </c>
      <c r="B5" s="794"/>
      <c r="C5" s="794"/>
      <c r="D5" s="794"/>
      <c r="E5" s="794"/>
      <c r="F5" s="794"/>
    </row>
    <row r="6" spans="1:6" ht="15.5">
      <c r="A6" s="795" t="s">
        <v>144</v>
      </c>
      <c r="B6" s="795"/>
      <c r="C6" s="795"/>
      <c r="D6" s="795"/>
      <c r="E6" s="795"/>
      <c r="F6" s="795"/>
    </row>
    <row r="7" spans="1:6" ht="16.5" thickBot="1">
      <c r="A7" s="796" t="str">
        <f>[1]Status!A6</f>
        <v>As at 24/05/2024</v>
      </c>
      <c r="B7" s="796"/>
      <c r="C7" s="796"/>
      <c r="D7" s="798"/>
      <c r="E7" s="798"/>
      <c r="F7" s="798"/>
    </row>
    <row r="8" spans="1:6" ht="33" customHeight="1" thickBot="1">
      <c r="A8" s="78" t="s">
        <v>59</v>
      </c>
      <c r="B8" s="79" t="s">
        <v>60</v>
      </c>
      <c r="C8" s="80" t="s">
        <v>61</v>
      </c>
      <c r="D8" s="502" t="s">
        <v>62</v>
      </c>
      <c r="E8" s="79" t="s">
        <v>63</v>
      </c>
      <c r="F8" s="80" t="s">
        <v>64</v>
      </c>
    </row>
    <row r="9" spans="1:6" ht="15" thickBot="1">
      <c r="A9" s="68" t="s">
        <v>65</v>
      </c>
      <c r="B9" s="81">
        <f>'YR2012'!B9+'YR2013'!B9+'YR2014'!B9</f>
        <v>35719.53</v>
      </c>
      <c r="C9" s="513">
        <f>'YR2012'!C9+'YR2013'!C9+'YR2014'!C9</f>
        <v>35786.53</v>
      </c>
      <c r="D9" s="503">
        <f>'YR2012'!D9+'YR2013'!D9+'YR2014'!D9</f>
        <v>0</v>
      </c>
      <c r="E9" s="81">
        <f>'YR2012'!E9+'YR2013'!E9+'YR2014'!E9</f>
        <v>0</v>
      </c>
      <c r="F9" s="82">
        <f t="shared" ref="F9:F57" si="0">B9-C9-D9-E9</f>
        <v>-67</v>
      </c>
    </row>
    <row r="10" spans="1:6" ht="15" thickBot="1">
      <c r="A10" s="25" t="s">
        <v>124</v>
      </c>
      <c r="B10" s="81">
        <f>'YR2012'!B10+'YR2013'!B10+'YR2014'!B10</f>
        <v>9863696.5800000001</v>
      </c>
      <c r="C10" s="513">
        <f>'YR2012'!C10+'YR2013'!C10+'YR2014'!C10</f>
        <v>9863696.5800000001</v>
      </c>
      <c r="D10" s="503">
        <f>'YR2012'!D10+'YR2013'!D10+'YR2014'!D10</f>
        <v>0</v>
      </c>
      <c r="E10" s="81">
        <f>'YR2012'!E10+'YR2013'!E10+'YR2014'!E10</f>
        <v>0</v>
      </c>
      <c r="F10" s="83">
        <f t="shared" si="0"/>
        <v>0</v>
      </c>
    </row>
    <row r="11" spans="1:6" ht="15" thickBot="1">
      <c r="A11" s="25" t="s">
        <v>67</v>
      </c>
      <c r="B11" s="81">
        <f>'YR2012'!B11+'YR2013'!B11+'YR2014'!B11</f>
        <v>4342475.8499999996</v>
      </c>
      <c r="C11" s="513">
        <f>'YR2012'!C11+'YR2013'!C11+'YR2014'!C11</f>
        <v>4342475.8499999996</v>
      </c>
      <c r="D11" s="503">
        <f>'YR2012'!D11+'YR2013'!D11+'YR2014'!D11</f>
        <v>0</v>
      </c>
      <c r="E11" s="81">
        <f>'YR2012'!E11+'YR2013'!E11+'YR2014'!E11</f>
        <v>0</v>
      </c>
      <c r="F11" s="83">
        <f t="shared" si="0"/>
        <v>0</v>
      </c>
    </row>
    <row r="12" spans="1:6" ht="15" thickBot="1">
      <c r="A12" s="36" t="s">
        <v>68</v>
      </c>
      <c r="B12" s="81">
        <f>'YR2012'!B12+'YR2013'!B12+'YR2014'!B12</f>
        <v>76541.88</v>
      </c>
      <c r="C12" s="513">
        <f>'YR2012'!C12+'YR2013'!C12+'YR2014'!C12</f>
        <v>0</v>
      </c>
      <c r="D12" s="503">
        <f>'YR2012'!D12+'YR2013'!D12+'YR2014'!D12</f>
        <v>0</v>
      </c>
      <c r="E12" s="81">
        <f>'YR2012'!E12+'YR2013'!E12+'YR2014'!E12</f>
        <v>0</v>
      </c>
      <c r="F12" s="83">
        <f t="shared" si="0"/>
        <v>76541.88</v>
      </c>
    </row>
    <row r="13" spans="1:6" ht="15" thickBot="1">
      <c r="A13" s="25" t="s">
        <v>69</v>
      </c>
      <c r="B13" s="81">
        <f>'YR2012'!B13+'YR2013'!B13+'YR2014'!B13</f>
        <v>214317.27</v>
      </c>
      <c r="C13" s="513">
        <f>'YR2012'!C13+'YR2013'!C13+'YR2014'!C13</f>
        <v>0</v>
      </c>
      <c r="D13" s="503">
        <f>'YR2012'!D13+'YR2013'!D13+'YR2014'!D13</f>
        <v>0</v>
      </c>
      <c r="E13" s="81">
        <f>'YR2012'!E13+'YR2013'!E13+'YR2014'!E13</f>
        <v>0</v>
      </c>
      <c r="F13" s="83">
        <f t="shared" si="0"/>
        <v>214317.27</v>
      </c>
    </row>
    <row r="14" spans="1:6" ht="15" thickBot="1">
      <c r="A14" s="25" t="s">
        <v>70</v>
      </c>
      <c r="B14" s="81">
        <f>'YR2012'!B14+'YR2013'!B14+'YR2014'!B14</f>
        <v>5485501.1999999993</v>
      </c>
      <c r="C14" s="513">
        <f>'YR2012'!C14+'YR2013'!C14+'YR2014'!C14</f>
        <v>5485501.1999999993</v>
      </c>
      <c r="D14" s="503">
        <f>'YR2012'!D14+'YR2013'!D14+'YR2014'!D14</f>
        <v>0</v>
      </c>
      <c r="E14" s="81">
        <f>'YR2012'!E14+'YR2013'!E14+'YR2014'!E14</f>
        <v>0</v>
      </c>
      <c r="F14" s="83">
        <f t="shared" si="0"/>
        <v>0</v>
      </c>
    </row>
    <row r="15" spans="1:6" ht="15" thickBot="1">
      <c r="A15" s="25" t="s">
        <v>71</v>
      </c>
      <c r="B15" s="81">
        <f>'YR2012'!B15+'YR2013'!B15+'YR2014'!B15</f>
        <v>193906.08000000002</v>
      </c>
      <c r="C15" s="513">
        <f>'YR2012'!C15+'YR2013'!C15+'YR2014'!C15</f>
        <v>193906.08000000002</v>
      </c>
      <c r="D15" s="503">
        <f>'YR2012'!D15+'YR2013'!D15+'YR2014'!D15</f>
        <v>0</v>
      </c>
      <c r="E15" s="81">
        <f>'YR2012'!E15+'YR2013'!E15+'YR2014'!E15</f>
        <v>0</v>
      </c>
      <c r="F15" s="83">
        <f t="shared" si="0"/>
        <v>0</v>
      </c>
    </row>
    <row r="16" spans="1:6" ht="15" thickBot="1">
      <c r="A16" s="25" t="s">
        <v>125</v>
      </c>
      <c r="B16" s="81">
        <f>'YR2012'!B16+'YR2013'!B16+'YR2014'!B16</f>
        <v>16364653.350000001</v>
      </c>
      <c r="C16" s="513">
        <f>'YR2012'!C16+'YR2013'!C16+'YR2014'!C16</f>
        <v>16364653.350216279</v>
      </c>
      <c r="D16" s="503">
        <f>'YR2012'!D16+'YR2013'!D16+'YR2014'!D16</f>
        <v>0</v>
      </c>
      <c r="E16" s="81">
        <f>'YR2012'!E16+'YR2013'!E16+'YR2014'!E16</f>
        <v>0</v>
      </c>
      <c r="F16" s="83">
        <f t="shared" si="0"/>
        <v>-2.1627731621265411E-4</v>
      </c>
    </row>
    <row r="17" spans="1:7" ht="15" thickBot="1">
      <c r="A17" s="25" t="s">
        <v>73</v>
      </c>
      <c r="B17" s="81">
        <f>'YR2012'!B17+'YR2013'!B17+'YR2014'!B17</f>
        <v>164728.94</v>
      </c>
      <c r="C17" s="513">
        <f>'YR2012'!C17+'YR2013'!C17+'YR2014'!C17</f>
        <v>164728.94</v>
      </c>
      <c r="D17" s="503">
        <f>'YR2012'!D17+'YR2013'!D17+'YR2014'!D17</f>
        <v>0</v>
      </c>
      <c r="E17" s="81">
        <f>'YR2012'!E17+'YR2013'!E17+'YR2014'!E17</f>
        <v>0</v>
      </c>
      <c r="F17" s="83">
        <f t="shared" si="0"/>
        <v>0</v>
      </c>
    </row>
    <row r="18" spans="1:7" ht="15" thickBot="1">
      <c r="A18" s="25" t="s">
        <v>74</v>
      </c>
      <c r="B18" s="81">
        <f>'YR2012'!B18+'YR2013'!B18+'YR2014'!B18</f>
        <v>234728.43</v>
      </c>
      <c r="C18" s="513">
        <f>'YR2012'!C18+'YR2013'!C18+'YR2014'!C18</f>
        <v>234728.43</v>
      </c>
      <c r="D18" s="503">
        <f>'YR2012'!D18+'YR2013'!D18+'YR2014'!D18</f>
        <v>0</v>
      </c>
      <c r="E18" s="81">
        <f>'YR2012'!E18+'YR2013'!E18+'YR2014'!E18</f>
        <v>0</v>
      </c>
      <c r="F18" s="83">
        <f t="shared" si="0"/>
        <v>0</v>
      </c>
    </row>
    <row r="19" spans="1:7" ht="15" thickBot="1">
      <c r="A19" s="25" t="s">
        <v>75</v>
      </c>
      <c r="B19" s="81">
        <f>'YR2012'!B19+'YR2013'!B19+'YR2014'!B19</f>
        <v>1780874.34</v>
      </c>
      <c r="C19" s="513">
        <f>'YR2012'!C19+'YR2013'!C19+'YR2014'!C19</f>
        <v>1780874.34</v>
      </c>
      <c r="D19" s="503">
        <f>'YR2012'!D19+'YR2013'!D19+'YR2014'!D19</f>
        <v>0</v>
      </c>
      <c r="E19" s="81">
        <f>'YR2012'!E19+'YR2013'!E19+'YR2014'!E19</f>
        <v>0</v>
      </c>
      <c r="F19" s="83">
        <f t="shared" si="0"/>
        <v>0</v>
      </c>
    </row>
    <row r="20" spans="1:7" ht="15" thickBot="1">
      <c r="A20" s="25" t="s">
        <v>76</v>
      </c>
      <c r="B20" s="81">
        <f>'YR2012'!B20+'YR2013'!B20+'YR2014'!B20</f>
        <v>3755654.79</v>
      </c>
      <c r="C20" s="513">
        <f>'YR2012'!C20+'YR2013'!C20+'YR2014'!C20</f>
        <v>3755654.79</v>
      </c>
      <c r="D20" s="503">
        <f>'YR2012'!D20+'YR2013'!D20+'YR2014'!D20</f>
        <v>0</v>
      </c>
      <c r="E20" s="81">
        <f>'YR2012'!E20+'YR2013'!E20+'YR2014'!E20</f>
        <v>0</v>
      </c>
      <c r="F20" s="83">
        <f t="shared" si="0"/>
        <v>0</v>
      </c>
    </row>
    <row r="21" spans="1:7" ht="15" thickBot="1">
      <c r="A21" s="25" t="s">
        <v>77</v>
      </c>
      <c r="B21" s="81">
        <f>'YR2012'!B21+'YR2013'!B21+'YR2014'!B21</f>
        <v>204111.66</v>
      </c>
      <c r="C21" s="513">
        <f>'YR2012'!C21+'YR2013'!C21+'YR2014'!C21</f>
        <v>204111.66</v>
      </c>
      <c r="D21" s="503">
        <f>'YR2012'!D21+'YR2013'!D21+'YR2014'!D21</f>
        <v>0</v>
      </c>
      <c r="E21" s="81">
        <f>'YR2012'!E21+'YR2013'!E21+'YR2014'!E21</f>
        <v>0</v>
      </c>
      <c r="F21" s="83">
        <f t="shared" si="0"/>
        <v>0</v>
      </c>
    </row>
    <row r="22" spans="1:7" ht="15" thickBot="1">
      <c r="A22" s="25" t="s">
        <v>78</v>
      </c>
      <c r="B22" s="81">
        <f>'YR2012'!B22+'YR2013'!B22+'YR2014'!B22</f>
        <v>2888180.16</v>
      </c>
      <c r="C22" s="513">
        <f>'YR2012'!C22+'YR2013'!C22+'YR2014'!C22</f>
        <v>2888180.16</v>
      </c>
      <c r="D22" s="503">
        <f>'YR2012'!D22+'YR2013'!D22+'YR2014'!D22</f>
        <v>0</v>
      </c>
      <c r="E22" s="81">
        <f>'YR2012'!E22+'YR2013'!E22+'YR2014'!E22</f>
        <v>0</v>
      </c>
      <c r="F22" s="83">
        <f t="shared" si="0"/>
        <v>0</v>
      </c>
    </row>
    <row r="23" spans="1:7" ht="15" thickBot="1">
      <c r="A23" s="25" t="s">
        <v>126</v>
      </c>
      <c r="B23" s="81">
        <f>'YR2012'!B23+'YR2013'!B23+'YR2014'!B23</f>
        <v>31244394.299999997</v>
      </c>
      <c r="C23" s="513">
        <f>'YR2012'!C23+'YR2013'!C23+'YR2014'!C23</f>
        <v>30612452.199999999</v>
      </c>
      <c r="D23" s="503">
        <f>'YR2012'!D23+'YR2013'!D23+'YR2014'!D23</f>
        <v>631942</v>
      </c>
      <c r="E23" s="81">
        <f>'YR2012'!E23+'YR2013'!E23+'YR2014'!E23</f>
        <v>0</v>
      </c>
      <c r="F23" s="83">
        <f t="shared" si="0"/>
        <v>9.9999997764825821E-2</v>
      </c>
    </row>
    <row r="24" spans="1:7" ht="15" thickBot="1">
      <c r="A24" s="25" t="s">
        <v>127</v>
      </c>
      <c r="B24" s="81">
        <f>'YR2012'!B24+'YR2013'!B24+'YR2014'!B24</f>
        <v>40914184.769999996</v>
      </c>
      <c r="C24" s="513">
        <f>'YR2012'!C24+'YR2013'!C24+'YR2014'!C24</f>
        <v>33374300.899999999</v>
      </c>
      <c r="D24" s="503">
        <f>'YR2012'!D24+'YR2013'!D24+'YR2014'!D24</f>
        <v>7539884</v>
      </c>
      <c r="E24" s="81">
        <f>'YR2012'!E24+'YR2013'!E24+'YR2014'!E24</f>
        <v>-2.3606829345226288E-2</v>
      </c>
      <c r="F24" s="83">
        <f t="shared" si="0"/>
        <v>-0.10639317333698273</v>
      </c>
      <c r="G24" s="52">
        <f>B24*0.7203</f>
        <v>29470487.289830998</v>
      </c>
    </row>
    <row r="25" spans="1:7" ht="15" thickBot="1">
      <c r="A25" s="25" t="s">
        <v>81</v>
      </c>
      <c r="B25" s="81">
        <f>'YR2012'!B25+'YR2013'!B25+'YR2014'!B25</f>
        <v>3526029.1500000004</v>
      </c>
      <c r="C25" s="513">
        <f>'YR2012'!C25+'YR2013'!C25+'YR2014'!C25</f>
        <v>3526029</v>
      </c>
      <c r="D25" s="503">
        <f>'YR2012'!D25+'YR2013'!D25+'YR2014'!D25</f>
        <v>0</v>
      </c>
      <c r="E25" s="81">
        <f>'YR2012'!E25+'YR2013'!E25+'YR2014'!E25</f>
        <v>0</v>
      </c>
      <c r="F25" s="83">
        <f t="shared" si="0"/>
        <v>0.15000000037252903</v>
      </c>
    </row>
    <row r="26" spans="1:7" ht="15" thickBot="1">
      <c r="A26" s="25" t="s">
        <v>82</v>
      </c>
      <c r="B26" s="81">
        <f>'YR2012'!B26+'YR2013'!B26+'YR2014'!B26</f>
        <v>5102.79</v>
      </c>
      <c r="C26" s="513">
        <f>'YR2012'!C26+'YR2013'!C26+'YR2014'!C26</f>
        <v>5102.79</v>
      </c>
      <c r="D26" s="503">
        <f>'YR2012'!D26+'YR2013'!D26+'YR2014'!D26</f>
        <v>0</v>
      </c>
      <c r="E26" s="81">
        <f>'YR2012'!E26+'YR2013'!E26+'YR2014'!E26</f>
        <v>0</v>
      </c>
      <c r="F26" s="83">
        <f t="shared" si="0"/>
        <v>0</v>
      </c>
    </row>
    <row r="27" spans="1:7" ht="15" thickBot="1">
      <c r="A27" s="25" t="s">
        <v>83</v>
      </c>
      <c r="B27" s="81">
        <f>'YR2012'!B27+'YR2013'!B27+'YR2014'!B27</f>
        <v>1484912.43</v>
      </c>
      <c r="C27" s="513">
        <f>'YR2012'!C27+'YR2013'!C27+'YR2014'!C27</f>
        <v>1484912.43</v>
      </c>
      <c r="D27" s="503">
        <f>'YR2012'!D27+'YR2013'!D27+'YR2014'!D27</f>
        <v>0</v>
      </c>
      <c r="E27" s="81">
        <f>'YR2012'!E27+'YR2013'!E27+'YR2014'!E27</f>
        <v>0</v>
      </c>
      <c r="F27" s="83">
        <f t="shared" si="0"/>
        <v>0</v>
      </c>
    </row>
    <row r="28" spans="1:7" ht="15" thickBot="1">
      <c r="A28" s="25" t="s">
        <v>84</v>
      </c>
      <c r="B28" s="81">
        <f>'YR2012'!B28+'YR2013'!B28+'YR2014'!B28</f>
        <v>214317.27</v>
      </c>
      <c r="C28" s="513">
        <f>'YR2012'!C28+'YR2013'!C28+'YR2014'!C28</f>
        <v>214317.16999999998</v>
      </c>
      <c r="D28" s="503">
        <f>'YR2012'!D28+'YR2013'!D28+'YR2014'!D28</f>
        <v>0</v>
      </c>
      <c r="E28" s="81">
        <f>'YR2012'!E28+'YR2013'!E28+'YR2014'!E28</f>
        <v>0</v>
      </c>
      <c r="F28" s="83">
        <f t="shared" si="0"/>
        <v>0.10000000000582077</v>
      </c>
    </row>
    <row r="29" spans="1:7" ht="15" thickBot="1">
      <c r="A29" s="25" t="s">
        <v>128</v>
      </c>
      <c r="B29" s="81">
        <f>'YR2012'!B29+'YR2013'!B29+'YR2014'!B29</f>
        <v>2541190.3199999998</v>
      </c>
      <c r="C29" s="513">
        <f>'YR2012'!C29+'YR2013'!C29+'YR2014'!C29</f>
        <v>2541190.3199999998</v>
      </c>
      <c r="D29" s="503">
        <f>'YR2012'!D29+'YR2013'!D29+'YR2014'!D29</f>
        <v>0</v>
      </c>
      <c r="E29" s="81">
        <f>'YR2012'!E29+'YR2013'!E29+'YR2014'!E29</f>
        <v>0</v>
      </c>
      <c r="F29" s="83">
        <f t="shared" si="0"/>
        <v>0</v>
      </c>
    </row>
    <row r="30" spans="1:7" ht="15" thickBot="1">
      <c r="A30" s="25" t="s">
        <v>86</v>
      </c>
      <c r="B30" s="81">
        <f>'YR2012'!B30+'YR2013'!B30+'YR2014'!B30</f>
        <v>1959472.0499999998</v>
      </c>
      <c r="C30" s="513">
        <f>'YR2012'!C30+'YR2013'!C30+'YR2014'!C30</f>
        <v>0</v>
      </c>
      <c r="D30" s="503">
        <f>'YR2012'!D30+'YR2013'!D30+'YR2014'!D30</f>
        <v>0</v>
      </c>
      <c r="E30" s="81">
        <f>'YR2012'!E30+'YR2013'!E30+'YR2014'!E30</f>
        <v>0</v>
      </c>
      <c r="F30" s="83">
        <f t="shared" si="0"/>
        <v>1959472.0499999998</v>
      </c>
    </row>
    <row r="31" spans="1:7" ht="15" thickBot="1">
      <c r="A31" s="25" t="s">
        <v>87</v>
      </c>
      <c r="B31" s="81">
        <f>'YR2012'!B31+'YR2013'!B31+'YR2014'!B31</f>
        <v>25508856.299999997</v>
      </c>
      <c r="C31" s="513">
        <f>'YR2012'!C31+'YR2013'!C31+'YR2014'!C31</f>
        <v>24700925.189999998</v>
      </c>
      <c r="D31" s="503">
        <f>'YR2012'!D31+'YR2013'!D31+'YR2014'!D31</f>
        <v>807931</v>
      </c>
      <c r="E31" s="81">
        <f>'YR2012'!E31+'YR2013'!E31+'YR2014'!E31</f>
        <v>0</v>
      </c>
      <c r="F31" s="83">
        <f t="shared" si="0"/>
        <v>0.10999999940395355</v>
      </c>
    </row>
    <row r="32" spans="1:7" ht="15" thickBot="1">
      <c r="A32" s="25" t="s">
        <v>129</v>
      </c>
      <c r="B32" s="81">
        <f>'YR2012'!B32+'YR2013'!B32+'YR2014'!B32</f>
        <v>63937981.439999998</v>
      </c>
      <c r="C32" s="513">
        <f>'YR2012'!C32+'YR2013'!C32+'YR2014'!C32</f>
        <v>62395787.890000001</v>
      </c>
      <c r="D32" s="503">
        <f>'YR2012'!D32+'YR2013'!D32+'YR2014'!D32</f>
        <v>1542193.5499999998</v>
      </c>
      <c r="E32" s="81">
        <f>'YR2012'!E32+'YR2013'!E32+'YR2014'!E32</f>
        <v>0</v>
      </c>
      <c r="F32" s="83">
        <f t="shared" si="0"/>
        <v>-2.7939677238464355E-9</v>
      </c>
    </row>
    <row r="33" spans="1:6" ht="15" thickBot="1">
      <c r="A33" s="25" t="s">
        <v>89</v>
      </c>
      <c r="B33" s="81">
        <f>'YR2012'!B33+'YR2013'!B33+'YR2014'!B33</f>
        <v>128905.99517254873</v>
      </c>
      <c r="C33" s="513">
        <f>'YR2012'!C33+'YR2013'!C33+'YR2014'!C33</f>
        <v>128906</v>
      </c>
      <c r="D33" s="503">
        <f>'YR2012'!D33+'YR2013'!D33+'YR2014'!D33</f>
        <v>0</v>
      </c>
      <c r="E33" s="81">
        <f>'YR2012'!E33+'YR2013'!E33+'YR2014'!E33</f>
        <v>0</v>
      </c>
      <c r="F33" s="83">
        <f t="shared" si="0"/>
        <v>-4.8274512664647773E-3</v>
      </c>
    </row>
    <row r="34" spans="1:6" ht="15" thickBot="1">
      <c r="A34" s="25" t="s">
        <v>91</v>
      </c>
      <c r="B34" s="81">
        <f>'YR2012'!B34+'YR2013'!B34+'YR2014'!B34</f>
        <v>193906.08000000002</v>
      </c>
      <c r="C34" s="513">
        <f>'YR2012'!C34+'YR2013'!C34+'YR2014'!C34</f>
        <v>193906.08000000002</v>
      </c>
      <c r="D34" s="503">
        <f>'YR2012'!D34+'YR2013'!D34+'YR2014'!D34</f>
        <v>0</v>
      </c>
      <c r="E34" s="81">
        <f>'YR2012'!E34+'YR2013'!E34+'YR2014'!E34</f>
        <v>0</v>
      </c>
      <c r="F34" s="83">
        <f t="shared" si="0"/>
        <v>0</v>
      </c>
    </row>
    <row r="35" spans="1:6" ht="15" thickBot="1">
      <c r="A35" s="25" t="s">
        <v>92</v>
      </c>
      <c r="B35" s="81">
        <f>'YR2012'!B35+'YR2013'!B35+'YR2014'!B35</f>
        <v>45925.14</v>
      </c>
      <c r="C35" s="513">
        <f>'YR2012'!C35+'YR2013'!C35+'YR2014'!C35</f>
        <v>45925.14</v>
      </c>
      <c r="D35" s="503">
        <f>'YR2012'!D35+'YR2013'!D35+'YR2014'!D35</f>
        <v>0</v>
      </c>
      <c r="E35" s="81">
        <f>'YR2012'!E35+'YR2013'!E35+'YR2014'!E35</f>
        <v>0</v>
      </c>
      <c r="F35" s="83">
        <f t="shared" si="0"/>
        <v>0</v>
      </c>
    </row>
    <row r="36" spans="1:6" ht="15" thickBot="1">
      <c r="A36" s="25" t="s">
        <v>93</v>
      </c>
      <c r="B36" s="81">
        <f>'YR2012'!B36+'YR2013'!B36+'YR2014'!B36</f>
        <v>331681.47000000003</v>
      </c>
      <c r="C36" s="513">
        <f>'YR2012'!C36+'YR2013'!C36+'YR2014'!C36</f>
        <v>331680</v>
      </c>
      <c r="D36" s="503">
        <f>'YR2012'!D36+'YR2013'!D36+'YR2014'!D36</f>
        <v>0</v>
      </c>
      <c r="E36" s="81">
        <f>'YR2012'!E36+'YR2013'!E36+'YR2014'!E36</f>
        <v>0</v>
      </c>
      <c r="F36" s="83">
        <f t="shared" si="0"/>
        <v>1.470000000030268</v>
      </c>
    </row>
    <row r="37" spans="1:6" ht="15" thickBot="1">
      <c r="A37" s="25" t="s">
        <v>94</v>
      </c>
      <c r="B37" s="81">
        <f>'YR2012'!B37+'YR2013'!B37+'YR2014'!B37</f>
        <v>459251.25</v>
      </c>
      <c r="C37" s="513">
        <f>'YR2012'!C37+'YR2013'!C37+'YR2014'!C37</f>
        <v>459251.25</v>
      </c>
      <c r="D37" s="503">
        <f>'YR2012'!D37+'YR2013'!D37+'YR2014'!D37</f>
        <v>0</v>
      </c>
      <c r="E37" s="81">
        <f>'YR2012'!E37+'YR2013'!E37+'YR2014'!E37</f>
        <v>0</v>
      </c>
      <c r="F37" s="83">
        <f t="shared" si="0"/>
        <v>0</v>
      </c>
    </row>
    <row r="38" spans="1:6" ht="15" thickBot="1">
      <c r="A38" s="25" t="s">
        <v>95</v>
      </c>
      <c r="B38" s="81">
        <f>'YR2012'!B38+'YR2013'!B38+'YR2014'!B38</f>
        <v>86747.459999999992</v>
      </c>
      <c r="C38" s="513">
        <f>'YR2012'!C38+'YR2013'!C38+'YR2014'!C38</f>
        <v>86747.459999999992</v>
      </c>
      <c r="D38" s="503">
        <f>'YR2012'!D38+'YR2013'!D38+'YR2014'!D38</f>
        <v>0</v>
      </c>
      <c r="E38" s="81">
        <f>'YR2012'!E38+'YR2013'!E38+'YR2014'!E38</f>
        <v>0</v>
      </c>
      <c r="F38" s="83">
        <f t="shared" si="0"/>
        <v>0</v>
      </c>
    </row>
    <row r="39" spans="1:6" ht="15" thickBot="1">
      <c r="A39" s="25" t="s">
        <v>96</v>
      </c>
      <c r="B39" s="81">
        <f>'YR2012'!B39+'YR2013'!B39+'YR2014'!B39</f>
        <v>15308.369999999999</v>
      </c>
      <c r="C39" s="513">
        <f>'YR2012'!C39+'YR2013'!C39+'YR2014'!C39</f>
        <v>15308.369999999999</v>
      </c>
      <c r="D39" s="503">
        <f>'YR2012'!D39+'YR2013'!D39+'YR2014'!D39</f>
        <v>0</v>
      </c>
      <c r="E39" s="81">
        <f>'YR2012'!E39+'YR2013'!E39+'YR2014'!E39</f>
        <v>0</v>
      </c>
      <c r="F39" s="83">
        <f t="shared" si="0"/>
        <v>0</v>
      </c>
    </row>
    <row r="40" spans="1:6" ht="15" thickBot="1">
      <c r="A40" s="25" t="s">
        <v>97</v>
      </c>
      <c r="B40" s="81">
        <f>'YR2012'!B40+'YR2013'!B40+'YR2014'!B40</f>
        <v>9465678.8100000005</v>
      </c>
      <c r="C40" s="513">
        <f>'YR2012'!C40+'YR2013'!C40+'YR2014'!C40</f>
        <v>9465678.8100000005</v>
      </c>
      <c r="D40" s="503">
        <f>'YR2012'!D40+'YR2013'!D40+'YR2014'!D40</f>
        <v>0</v>
      </c>
      <c r="E40" s="81">
        <f>'YR2012'!E40+'YR2013'!E40+'YR2014'!E40</f>
        <v>0</v>
      </c>
      <c r="F40" s="83">
        <f t="shared" si="0"/>
        <v>0</v>
      </c>
    </row>
    <row r="41" spans="1:6" ht="15" thickBot="1">
      <c r="A41" s="25" t="s">
        <v>98</v>
      </c>
      <c r="B41" s="81">
        <f>'YR2012'!B41+'YR2013'!B41+'YR2014'!B41</f>
        <v>1393062.18</v>
      </c>
      <c r="C41" s="513">
        <f>'YR2012'!C41+'YR2013'!C41+'YR2014'!C41</f>
        <v>1393062.18</v>
      </c>
      <c r="D41" s="503">
        <f>'YR2012'!D41+'YR2013'!D41+'YR2014'!D41</f>
        <v>0</v>
      </c>
      <c r="E41" s="81">
        <f>'YR2012'!E41+'YR2013'!E41+'YR2014'!E41</f>
        <v>0</v>
      </c>
      <c r="F41" s="83">
        <f t="shared" si="0"/>
        <v>0</v>
      </c>
    </row>
    <row r="42" spans="1:6" ht="15" thickBot="1">
      <c r="A42" s="25" t="s">
        <v>99</v>
      </c>
      <c r="B42" s="81">
        <f>'YR2012'!B42+'YR2013'!B42+'YR2014'!B42</f>
        <v>4444531.68</v>
      </c>
      <c r="C42" s="513">
        <f>'YR2012'!C42+'YR2013'!C42+'YR2014'!C42</f>
        <v>4444531.68</v>
      </c>
      <c r="D42" s="503">
        <f>'YR2012'!D42+'YR2013'!D42+'YR2014'!D42</f>
        <v>0</v>
      </c>
      <c r="E42" s="81">
        <f>'YR2012'!E42+'YR2013'!E42+'YR2014'!E42</f>
        <v>0</v>
      </c>
      <c r="F42" s="83">
        <f t="shared" si="0"/>
        <v>0</v>
      </c>
    </row>
    <row r="43" spans="1:6" ht="15" hidden="1" thickBot="1">
      <c r="A43" s="25" t="s">
        <v>101</v>
      </c>
      <c r="B43" s="81">
        <f>'YR2012'!B43+'YR2013'!B43+'YR2014'!B43</f>
        <v>4225111.62</v>
      </c>
      <c r="C43" s="513">
        <f>'YR2012'!C43+'YR2013'!C43+'YR2014'!C43</f>
        <v>4225111.62</v>
      </c>
      <c r="D43" s="503">
        <f>'YR2012'!D43+'YR2013'!D43+'YR2014'!D43</f>
        <v>0</v>
      </c>
      <c r="E43" s="81">
        <f>'YR2012'!E43+'YR2013'!E43+'YR2014'!E43</f>
        <v>0</v>
      </c>
      <c r="F43" s="83">
        <f t="shared" si="0"/>
        <v>0</v>
      </c>
    </row>
    <row r="44" spans="1:6" ht="15" hidden="1" thickBot="1">
      <c r="A44" s="25" t="s">
        <v>102</v>
      </c>
      <c r="B44" s="81">
        <f>'YR2012'!B44+'YR2013'!B44+'YR2014'!B44</f>
        <v>2607526.62</v>
      </c>
      <c r="C44" s="513">
        <f>'YR2012'!C44+'YR2013'!C44+'YR2014'!C44</f>
        <v>2607528</v>
      </c>
      <c r="D44" s="503">
        <f>'YR2012'!D44+'YR2013'!D44+'YR2014'!D44</f>
        <v>0</v>
      </c>
      <c r="E44" s="81">
        <f>'YR2012'!E44+'YR2013'!E44+'YR2014'!E44</f>
        <v>0</v>
      </c>
      <c r="F44" s="83">
        <f t="shared" si="0"/>
        <v>-1.3799999998882413</v>
      </c>
    </row>
    <row r="45" spans="1:6" ht="15" hidden="1" thickBot="1">
      <c r="A45" s="25" t="s">
        <v>103</v>
      </c>
      <c r="B45" s="81">
        <f>'YR2012'!B45+'YR2013'!B45+'YR2014'!B45</f>
        <v>903194.15999999992</v>
      </c>
      <c r="C45" s="513">
        <f>'YR2012'!C45+'YR2013'!C45+'YR2014'!C45</f>
        <v>903194.44</v>
      </c>
      <c r="D45" s="503">
        <f>'YR2012'!D45+'YR2013'!D45+'YR2014'!D45</f>
        <v>0</v>
      </c>
      <c r="E45" s="81">
        <f>'YR2012'!E45+'YR2013'!E45+'YR2014'!E45</f>
        <v>0</v>
      </c>
      <c r="F45" s="83">
        <f t="shared" si="0"/>
        <v>-0.28000000002793968</v>
      </c>
    </row>
    <row r="46" spans="1:6" ht="15" hidden="1" thickBot="1">
      <c r="A46" s="25" t="s">
        <v>104</v>
      </c>
      <c r="B46" s="81">
        <f>'YR2012'!B46+'YR2013'!B46+'YR2014'!B46</f>
        <v>8174672.4900000002</v>
      </c>
      <c r="C46" s="513">
        <f>'YR2012'!C46+'YR2013'!C46+'YR2014'!C46</f>
        <v>5449781.6600000001</v>
      </c>
      <c r="D46" s="503">
        <f>'YR2012'!D46+'YR2013'!D46+'YR2014'!D46</f>
        <v>0</v>
      </c>
      <c r="E46" s="81">
        <f>'YR2012'!E46+'YR2013'!E46+'YR2014'!E46</f>
        <v>0</v>
      </c>
      <c r="F46" s="83">
        <f t="shared" si="0"/>
        <v>2724890.83</v>
      </c>
    </row>
    <row r="47" spans="1:6" ht="15" hidden="1" thickBot="1">
      <c r="A47" s="25" t="s">
        <v>105</v>
      </c>
      <c r="B47" s="81">
        <f>'YR2012'!B47+'YR2013'!B47+'YR2014'!B47</f>
        <v>15308.369999999999</v>
      </c>
      <c r="C47" s="513">
        <f>'YR2012'!C47+'YR2013'!C47+'YR2014'!C47</f>
        <v>15308.369999999999</v>
      </c>
      <c r="D47" s="503">
        <f>'YR2012'!D47+'YR2013'!D47+'YR2014'!D47</f>
        <v>0</v>
      </c>
      <c r="E47" s="81">
        <f>'YR2012'!E47+'YR2013'!E47+'YR2014'!E47</f>
        <v>0</v>
      </c>
      <c r="F47" s="83">
        <f t="shared" si="0"/>
        <v>0</v>
      </c>
    </row>
    <row r="48" spans="1:6" ht="15" thickBot="1">
      <c r="A48" s="25" t="s">
        <v>107</v>
      </c>
      <c r="B48" s="81">
        <f>'YR2012'!B48+'YR2013'!B48+'YR2014'!B48</f>
        <v>724596.45</v>
      </c>
      <c r="C48" s="513">
        <f>'YR2012'!C48+'YR2013'!C48+'YR2014'!C48</f>
        <v>724596.45</v>
      </c>
      <c r="D48" s="503">
        <f>'YR2012'!D48+'YR2013'!D48+'YR2014'!D48</f>
        <v>0</v>
      </c>
      <c r="E48" s="81">
        <f>'YR2012'!E48+'YR2013'!E48+'YR2014'!E48</f>
        <v>0</v>
      </c>
      <c r="F48" s="83">
        <f t="shared" si="0"/>
        <v>0</v>
      </c>
    </row>
    <row r="49" spans="1:6" ht="15" thickBot="1">
      <c r="A49" s="25" t="s">
        <v>108</v>
      </c>
      <c r="B49" s="81">
        <f>'YR2012'!B49+'YR2013'!B49+'YR2014'!B49</f>
        <v>525587.55000000005</v>
      </c>
      <c r="C49" s="513">
        <f>'YR2012'!C49+'YR2013'!C49+'YR2014'!C49</f>
        <v>525587.55000000005</v>
      </c>
      <c r="D49" s="503">
        <f>'YR2012'!D49+'YR2013'!D49+'YR2014'!D49</f>
        <v>0</v>
      </c>
      <c r="E49" s="81">
        <f>'YR2012'!E49+'YR2013'!E49+'YR2014'!E49</f>
        <v>0</v>
      </c>
      <c r="F49" s="83">
        <f t="shared" si="0"/>
        <v>0</v>
      </c>
    </row>
    <row r="50" spans="1:6" ht="15" thickBot="1">
      <c r="A50" s="166" t="s">
        <v>110</v>
      </c>
      <c r="B50" s="514">
        <f>'YR2012'!B50+'YR2013'!B50+'YR2014'!B50</f>
        <v>16211569.59</v>
      </c>
      <c r="C50" s="515">
        <f>'YR2012'!C50+'YR2013'!C50+'YR2014'!C50</f>
        <v>15320619.690000001</v>
      </c>
      <c r="D50" s="503">
        <f>'YR2012'!D50+'YR2013'!D50+'YR2014'!D50</f>
        <v>890949.9</v>
      </c>
      <c r="E50" s="81">
        <f>'YR2012'!E50+'YR2013'!E50+'YR2014'!E50</f>
        <v>0</v>
      </c>
      <c r="F50" s="83">
        <f t="shared" si="0"/>
        <v>-1.5133991837501526E-9</v>
      </c>
    </row>
    <row r="51" spans="1:6" ht="15" thickBot="1">
      <c r="A51" s="23" t="s">
        <v>130</v>
      </c>
      <c r="B51" s="511">
        <f>'YR2012'!B51+'YR2013'!B51+'YR2014'!B51</f>
        <v>5429370.4799999995</v>
      </c>
      <c r="C51" s="511">
        <f>'YR2012'!C51+'YR2013'!C51+'YR2014'!C51</f>
        <v>5429370.4799999995</v>
      </c>
      <c r="D51" s="81">
        <f>'YR2012'!D51+'YR2013'!D51+'YR2014'!D51</f>
        <v>0</v>
      </c>
      <c r="E51" s="81">
        <f>'YR2012'!E51+'YR2013'!E51+'YR2014'!E51</f>
        <v>0</v>
      </c>
      <c r="F51" s="83">
        <f t="shared" si="0"/>
        <v>0</v>
      </c>
    </row>
    <row r="52" spans="1:6" ht="15" thickBot="1">
      <c r="A52" s="25" t="s">
        <v>112</v>
      </c>
      <c r="B52" s="81">
        <f>'YR2012'!B52+'YR2013'!B52+'YR2014'!B52</f>
        <v>5766154.7400000002</v>
      </c>
      <c r="C52" s="81">
        <f>'YR2012'!C52+'YR2013'!C52+'YR2014'!C52</f>
        <v>5766154.7400000002</v>
      </c>
      <c r="D52" s="81">
        <f>'YR2012'!D52+'YR2013'!D52+'YR2014'!D52</f>
        <v>0</v>
      </c>
      <c r="E52" s="81">
        <f>'YR2012'!E52+'YR2013'!E52+'YR2014'!E52</f>
        <v>0</v>
      </c>
      <c r="F52" s="83">
        <f t="shared" si="0"/>
        <v>0</v>
      </c>
    </row>
    <row r="53" spans="1:6" ht="33" customHeight="1" thickBot="1">
      <c r="A53" s="25" t="s">
        <v>113</v>
      </c>
      <c r="B53" s="81">
        <f>'YR2012'!B53+'YR2013'!B53+'YR2014'!B53</f>
        <v>10205.58</v>
      </c>
      <c r="C53" s="81">
        <f>'YR2012'!C53+'YR2013'!C53+'YR2014'!C53</f>
        <v>0</v>
      </c>
      <c r="D53" s="81">
        <f>'YR2012'!D53+'YR2013'!D53+'YR2014'!D53</f>
        <v>0</v>
      </c>
      <c r="E53" s="81">
        <f>'YR2012'!E53+'YR2013'!E53+'YR2014'!E53</f>
        <v>0</v>
      </c>
      <c r="F53" s="83">
        <f t="shared" si="0"/>
        <v>10205.58</v>
      </c>
    </row>
    <row r="54" spans="1:6" ht="15" thickBot="1">
      <c r="A54" s="25" t="s">
        <v>115</v>
      </c>
      <c r="B54" s="81">
        <f>'YR2012'!B54+'YR2013'!B54+'YR2014'!B54</f>
        <v>443942.88</v>
      </c>
      <c r="C54" s="81">
        <f>'YR2012'!C54+'YR2013'!C54+'YR2014'!C54</f>
        <v>0</v>
      </c>
      <c r="D54" s="81">
        <f>'YR2012'!D54+'YR2013'!D54+'YR2014'!D54</f>
        <v>0</v>
      </c>
      <c r="E54" s="81">
        <f>'YR2012'!E54+'YR2013'!E54+'YR2014'!E54</f>
        <v>0</v>
      </c>
      <c r="F54" s="83">
        <f t="shared" si="0"/>
        <v>443942.88</v>
      </c>
    </row>
    <row r="55" spans="1:6" ht="15" thickBot="1">
      <c r="A55" s="25" t="s">
        <v>117</v>
      </c>
      <c r="B55" s="81">
        <f>'YR2012'!B55+'YR2013'!B55+'YR2014'!B55</f>
        <v>33698837.160000004</v>
      </c>
      <c r="C55" s="81">
        <f>'YR2012'!C55+'YR2013'!C55+'YR2014'!C55</f>
        <v>33698837.160000004</v>
      </c>
      <c r="D55" s="81">
        <f>'YR2012'!D55+'YR2013'!D55+'YR2014'!D55</f>
        <v>0</v>
      </c>
      <c r="E55" s="81">
        <f>'YR2012'!E55+'YR2013'!E55+'YR2014'!E55</f>
        <v>0</v>
      </c>
      <c r="F55" s="83">
        <f t="shared" si="0"/>
        <v>0</v>
      </c>
    </row>
    <row r="56" spans="1:6" ht="15" thickBot="1">
      <c r="A56" s="25" t="s">
        <v>118</v>
      </c>
      <c r="B56" s="81">
        <f>'YR2012'!B56+'YR2013'!B56+'YR2014'!B56</f>
        <v>84522089.590000004</v>
      </c>
      <c r="C56" s="81">
        <f>'YR2012'!C56+'YR2013'!C56+'YR2014'!C56+1</f>
        <v>84522089.599999994</v>
      </c>
      <c r="D56" s="81">
        <f>'YR2012'!D56+'YR2013'!D56+'YR2014'!D56</f>
        <v>0</v>
      </c>
      <c r="E56" s="81">
        <f>'YR2012'!E56+'YR2013'!E56+'YR2014'!E56</f>
        <v>0</v>
      </c>
      <c r="F56" s="83">
        <f t="shared" si="0"/>
        <v>-9.9999904632568359E-3</v>
      </c>
    </row>
    <row r="57" spans="1:6" ht="15" thickBot="1">
      <c r="A57" s="26" t="s">
        <v>119</v>
      </c>
      <c r="B57" s="81">
        <f>'YR2012'!B57+'YR2013'!B57+'YR2014'!B57</f>
        <v>51027.930000000008</v>
      </c>
      <c r="C57" s="81">
        <f>'YR2012'!C57+'YR2013'!C57+'YR2014'!C57</f>
        <v>0</v>
      </c>
      <c r="D57" s="81">
        <f>'YR2012'!D57+'YR2013'!D57+'YR2014'!D57</f>
        <v>0</v>
      </c>
      <c r="E57" s="81">
        <f>'YR2012'!E57+'YR2013'!E57+'YR2014'!E57</f>
        <v>0</v>
      </c>
      <c r="F57" s="84">
        <f t="shared" si="0"/>
        <v>51027.930000000008</v>
      </c>
    </row>
    <row r="58" spans="1:6" ht="15" thickBot="1">
      <c r="A58" s="30" t="s">
        <v>122</v>
      </c>
      <c r="B58" s="31">
        <f>SUM(B9:B57)</f>
        <v>396815724.52517265</v>
      </c>
      <c r="C58" s="31">
        <f>SUM(C9:C57)</f>
        <v>379922492.53021634</v>
      </c>
      <c r="D58" s="31">
        <f>SUM(D9:D57)</f>
        <v>11412900.450000001</v>
      </c>
      <c r="E58" s="31">
        <f>SUM(E9:E57)</f>
        <v>-2.3606829345226288E-2</v>
      </c>
      <c r="F58" s="85">
        <f>SUM(F9:F57)</f>
        <v>5480331.5685631</v>
      </c>
    </row>
    <row r="59" spans="1:6" ht="15" thickBot="1">
      <c r="A59" s="86" t="s">
        <v>131</v>
      </c>
      <c r="B59" s="87">
        <f>'YR2012'!B59+'YR2013'!B59+'YR2014'!B59</f>
        <v>3477910.4</v>
      </c>
      <c r="C59" s="87"/>
      <c r="D59" s="87"/>
      <c r="E59" s="87"/>
      <c r="F59" s="88">
        <f>B59-C59-D59-E59</f>
        <v>3477910.4</v>
      </c>
    </row>
    <row r="60" spans="1:6" ht="15" thickBot="1">
      <c r="A60" s="38" t="s">
        <v>132</v>
      </c>
      <c r="B60" s="31">
        <f>B58+B59</f>
        <v>400293634.92517263</v>
      </c>
      <c r="C60" s="31">
        <f>C58+C59</f>
        <v>379922492.53021634</v>
      </c>
      <c r="D60" s="31">
        <f>D58+D59</f>
        <v>11412900.450000001</v>
      </c>
      <c r="E60" s="31">
        <f>E58+E59</f>
        <v>-2.3606829345226288E-2</v>
      </c>
      <c r="F60" s="85">
        <f>F58+F59</f>
        <v>8958241.9685631003</v>
      </c>
    </row>
    <row r="61" spans="1:6">
      <c r="A61" s="55" t="s">
        <v>135</v>
      </c>
      <c r="B61" s="89"/>
      <c r="C61" s="89"/>
      <c r="D61" s="89"/>
      <c r="E61" s="89"/>
      <c r="F61" s="89"/>
    </row>
    <row r="62" spans="1:6">
      <c r="A62" s="56"/>
      <c r="B62" s="90"/>
      <c r="C62" s="90"/>
      <c r="D62" s="90"/>
      <c r="E62" s="90"/>
      <c r="F62" s="90"/>
    </row>
    <row r="63" spans="1:6" ht="15" thickBot="1">
      <c r="A63" s="50"/>
      <c r="B63" s="89"/>
      <c r="C63" s="89"/>
      <c r="D63" s="89"/>
      <c r="E63" s="89"/>
      <c r="F63" s="89"/>
    </row>
    <row r="64" spans="1:6" ht="15" thickBot="1">
      <c r="A64" s="42" t="s">
        <v>133</v>
      </c>
      <c r="B64" s="91">
        <f>B12+B13+B15+B19+B21+B27+B34+B36+B43+B46+B48+B49+B53+B54+B57</f>
        <v>18635395.709999997</v>
      </c>
      <c r="C64" s="91">
        <f>C12+C13+C15+C19+C21+C26+C34+C36+C43+C46+C48+C49+C53+C54+C57</f>
        <v>13634658.23</v>
      </c>
      <c r="D64" s="91">
        <f>D12+D13+D15+D19+D21+D26+D34+D36+D43+D46+D48+D49+D53+D54+D57</f>
        <v>0</v>
      </c>
      <c r="E64" s="91">
        <f>E12+E13+E15+E19+E21+E26+E34+E36+E43+E46+E48+E49+E53+E54+E57</f>
        <v>0</v>
      </c>
      <c r="F64" s="92">
        <f>B64-C64-D64-E64</f>
        <v>5000737.4799999967</v>
      </c>
    </row>
    <row r="65" spans="2:6">
      <c r="C65" s="93"/>
    </row>
    <row r="66" spans="2:6" s="54" customFormat="1" ht="12.5">
      <c r="B66" s="93"/>
      <c r="C66" s="93"/>
      <c r="D66" s="93"/>
      <c r="E66" s="93"/>
      <c r="F66" s="93"/>
    </row>
    <row r="68" spans="2:6">
      <c r="C68" s="93"/>
    </row>
    <row r="69" spans="2:6">
      <c r="C69" s="93"/>
    </row>
    <row r="70" spans="2:6">
      <c r="C70" s="93"/>
    </row>
  </sheetData>
  <mergeCells count="4">
    <mergeCell ref="A1:B1"/>
    <mergeCell ref="A5:F5"/>
    <mergeCell ref="A6:F6"/>
    <mergeCell ref="A7:F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6585-2531-4A35-84B8-4578B51A48E7}">
  <dimension ref="A1:I70"/>
  <sheetViews>
    <sheetView topLeftCell="A40" workbookViewId="0">
      <selection activeCell="L68" sqref="L68"/>
    </sheetView>
  </sheetViews>
  <sheetFormatPr defaultRowHeight="14.5"/>
  <cols>
    <col min="1" max="1" width="25" customWidth="1"/>
    <col min="2" max="6" width="16.7265625" customWidth="1"/>
    <col min="7" max="7" width="16.36328125" hidden="1" customWidth="1"/>
    <col min="8" max="8" width="16.36328125" bestFit="1" customWidth="1"/>
    <col min="9" max="9" width="17.54296875" style="52" bestFit="1" customWidth="1"/>
  </cols>
  <sheetData>
    <row r="1" spans="1:6" ht="18">
      <c r="A1" s="793" t="str">
        <f>[1]Status!C1</f>
        <v>UNEP/OzL.Pro/ExCom/94/3</v>
      </c>
      <c r="B1" s="793"/>
      <c r="C1" s="1"/>
      <c r="D1" s="1"/>
      <c r="E1" s="1"/>
      <c r="F1" s="1"/>
    </row>
    <row r="2" spans="1:6" ht="18">
      <c r="A2" s="35" t="s">
        <v>0</v>
      </c>
      <c r="B2" s="1"/>
      <c r="C2" s="1"/>
      <c r="D2" s="1"/>
      <c r="E2" s="1"/>
      <c r="F2" s="1"/>
    </row>
    <row r="3" spans="1:6" ht="18">
      <c r="A3" s="8" t="s">
        <v>148</v>
      </c>
      <c r="B3" s="1"/>
      <c r="C3" s="1"/>
      <c r="D3" s="1"/>
      <c r="E3" s="1"/>
      <c r="F3" s="1"/>
    </row>
    <row r="4" spans="1:6" ht="15.5">
      <c r="A4" s="1"/>
      <c r="B4" s="1"/>
      <c r="C4" s="1"/>
      <c r="D4" s="1"/>
      <c r="E4" s="1"/>
      <c r="F4" s="1"/>
    </row>
    <row r="5" spans="1:6" ht="16">
      <c r="A5" s="794" t="s">
        <v>2</v>
      </c>
      <c r="B5" s="794"/>
      <c r="C5" s="794"/>
      <c r="D5" s="794"/>
      <c r="E5" s="794"/>
      <c r="F5" s="794"/>
    </row>
    <row r="6" spans="1:6" ht="15.5">
      <c r="A6" s="795" t="s">
        <v>146</v>
      </c>
      <c r="B6" s="795"/>
      <c r="C6" s="795"/>
      <c r="D6" s="795"/>
      <c r="E6" s="795"/>
      <c r="F6" s="795"/>
    </row>
    <row r="7" spans="1:6" ht="16.5" thickBot="1">
      <c r="A7" s="798" t="str">
        <f>[1]Status!A6</f>
        <v>As at 24/05/2024</v>
      </c>
      <c r="B7" s="798"/>
      <c r="C7" s="798"/>
      <c r="D7" s="798"/>
      <c r="E7" s="798"/>
      <c r="F7" s="798"/>
    </row>
    <row r="8" spans="1:6" ht="33" customHeight="1" thickBot="1">
      <c r="A8" s="19" t="s">
        <v>59</v>
      </c>
      <c r="B8" s="94" t="s">
        <v>60</v>
      </c>
      <c r="C8" s="94" t="s">
        <v>61</v>
      </c>
      <c r="D8" s="94" t="s">
        <v>62</v>
      </c>
      <c r="E8" s="94" t="s">
        <v>63</v>
      </c>
      <c r="F8" s="95" t="s">
        <v>64</v>
      </c>
    </row>
    <row r="9" spans="1:6">
      <c r="A9" s="68" t="s">
        <v>65</v>
      </c>
      <c r="B9" s="69">
        <v>11906.51</v>
      </c>
      <c r="C9" s="69">
        <v>11906.51</v>
      </c>
      <c r="D9" s="96"/>
      <c r="E9" s="96"/>
      <c r="F9" s="97">
        <f t="shared" ref="F9:F57" si="0">B9-C9-D9-E9</f>
        <v>0</v>
      </c>
    </row>
    <row r="10" spans="1:6">
      <c r="A10" s="23" t="s">
        <v>124</v>
      </c>
      <c r="B10" s="71">
        <v>3287898.86</v>
      </c>
      <c r="C10" s="71">
        <v>3287898.86</v>
      </c>
      <c r="D10" s="98"/>
      <c r="E10" s="98"/>
      <c r="F10" s="97">
        <f t="shared" si="0"/>
        <v>0</v>
      </c>
    </row>
    <row r="11" spans="1:6">
      <c r="A11" s="25" t="s">
        <v>67</v>
      </c>
      <c r="B11" s="73">
        <v>1447491.95</v>
      </c>
      <c r="C11" s="73">
        <v>1447491.95</v>
      </c>
      <c r="D11" s="99"/>
      <c r="E11" s="99"/>
      <c r="F11" s="97">
        <f t="shared" si="0"/>
        <v>0</v>
      </c>
    </row>
    <row r="12" spans="1:6">
      <c r="A12" s="36" t="s">
        <v>68</v>
      </c>
      <c r="B12" s="73">
        <v>25513.96</v>
      </c>
      <c r="C12" s="99"/>
      <c r="D12" s="99"/>
      <c r="E12" s="99"/>
      <c r="F12" s="97">
        <f t="shared" si="0"/>
        <v>25513.96</v>
      </c>
    </row>
    <row r="13" spans="1:6">
      <c r="A13" s="25" t="s">
        <v>69</v>
      </c>
      <c r="B13" s="73">
        <v>71439.09</v>
      </c>
      <c r="C13" s="99"/>
      <c r="D13" s="99"/>
      <c r="E13" s="99"/>
      <c r="F13" s="97">
        <f t="shared" si="0"/>
        <v>71439.09</v>
      </c>
    </row>
    <row r="14" spans="1:6">
      <c r="A14" s="25" t="s">
        <v>70</v>
      </c>
      <c r="B14" s="73">
        <v>1828500.4</v>
      </c>
      <c r="C14" s="73">
        <v>1828500.4</v>
      </c>
      <c r="D14" s="99"/>
      <c r="E14" s="99"/>
      <c r="F14" s="97">
        <f t="shared" si="0"/>
        <v>0</v>
      </c>
    </row>
    <row r="15" spans="1:6">
      <c r="A15" s="25" t="s">
        <v>71</v>
      </c>
      <c r="B15" s="73">
        <v>64635.360000000001</v>
      </c>
      <c r="C15" s="73">
        <v>64635.360000000001</v>
      </c>
      <c r="D15" s="99"/>
      <c r="E15" s="99"/>
      <c r="F15" s="97">
        <f t="shared" si="0"/>
        <v>0</v>
      </c>
    </row>
    <row r="16" spans="1:6">
      <c r="A16" s="25" t="s">
        <v>125</v>
      </c>
      <c r="B16" s="73">
        <v>5454884.4500000002</v>
      </c>
      <c r="C16" s="99">
        <f>4353784.49021628+1101100-0.04</f>
        <v>5454884.4502162803</v>
      </c>
      <c r="D16" s="99"/>
      <c r="E16" s="99"/>
      <c r="F16" s="97">
        <f t="shared" si="0"/>
        <v>-2.1628011018037796E-4</v>
      </c>
    </row>
    <row r="17" spans="1:8">
      <c r="A17" s="25" t="s">
        <v>73</v>
      </c>
      <c r="B17" s="100">
        <v>164728.94</v>
      </c>
      <c r="C17" s="101">
        <v>164728.94</v>
      </c>
      <c r="D17" s="99"/>
      <c r="E17" s="99"/>
      <c r="F17" s="97">
        <f t="shared" si="0"/>
        <v>0</v>
      </c>
    </row>
    <row r="18" spans="1:8">
      <c r="A18" s="25" t="s">
        <v>74</v>
      </c>
      <c r="B18" s="73">
        <v>78242.81</v>
      </c>
      <c r="C18" s="73">
        <v>78242.81</v>
      </c>
      <c r="D18" s="99"/>
      <c r="E18" s="99"/>
      <c r="F18" s="97">
        <f t="shared" si="0"/>
        <v>0</v>
      </c>
    </row>
    <row r="19" spans="1:8">
      <c r="A19" s="25" t="s">
        <v>75</v>
      </c>
      <c r="B19" s="73">
        <v>593624.78</v>
      </c>
      <c r="C19" s="73">
        <v>593624.78</v>
      </c>
      <c r="D19" s="99"/>
      <c r="E19" s="99"/>
      <c r="F19" s="97">
        <f t="shared" si="0"/>
        <v>0</v>
      </c>
    </row>
    <row r="20" spans="1:8">
      <c r="A20" s="25" t="s">
        <v>76</v>
      </c>
      <c r="B20" s="73">
        <v>1251884.93</v>
      </c>
      <c r="C20" s="73">
        <v>1251884.93</v>
      </c>
      <c r="D20" s="99"/>
      <c r="E20" s="99"/>
      <c r="F20" s="97">
        <f t="shared" si="0"/>
        <v>0</v>
      </c>
    </row>
    <row r="21" spans="1:8">
      <c r="A21" s="25" t="s">
        <v>77</v>
      </c>
      <c r="B21" s="73">
        <v>68037.22</v>
      </c>
      <c r="C21" s="73">
        <v>68037.22</v>
      </c>
      <c r="D21" s="99"/>
      <c r="E21" s="99"/>
      <c r="F21" s="97">
        <f t="shared" si="0"/>
        <v>0</v>
      </c>
    </row>
    <row r="22" spans="1:8">
      <c r="A22" s="25" t="s">
        <v>78</v>
      </c>
      <c r="B22" s="73">
        <v>962726.72</v>
      </c>
      <c r="C22" s="73">
        <v>962726.72</v>
      </c>
      <c r="D22" s="99"/>
      <c r="E22" s="99"/>
      <c r="F22" s="97">
        <f t="shared" si="0"/>
        <v>0</v>
      </c>
    </row>
    <row r="23" spans="1:8">
      <c r="A23" s="25" t="s">
        <v>126</v>
      </c>
      <c r="B23" s="73">
        <v>10414798.1</v>
      </c>
      <c r="C23" s="99">
        <f>5983010.97+1832468.35+1939719.88+282500+110064</f>
        <v>10147763.199999999</v>
      </c>
      <c r="D23" s="99">
        <f>659599-282500-110064</f>
        <v>267035</v>
      </c>
      <c r="E23" s="99"/>
      <c r="F23" s="97">
        <f t="shared" si="0"/>
        <v>-9.999999962747097E-2</v>
      </c>
    </row>
    <row r="24" spans="1:8">
      <c r="A24" s="25" t="s">
        <v>127</v>
      </c>
      <c r="B24" s="73">
        <v>13638061.59</v>
      </c>
      <c r="C24" s="99">
        <f>1818408.22+909204.11+909204.12+909204.12+909204.11+2281343</f>
        <v>7736567.6800000006</v>
      </c>
      <c r="D24" s="99">
        <f>180267+1927636+434836+94920+50835-2281343</f>
        <v>407151</v>
      </c>
      <c r="E24" s="73">
        <f>5455224.65639317-1818408.22-909204.11-909204.12-909204.12-909204.11</f>
        <v>-2.3606829345226288E-2</v>
      </c>
      <c r="F24" s="97">
        <f t="shared" si="0"/>
        <v>5494342.9336068286</v>
      </c>
      <c r="G24" s="52">
        <f>B24*0.7203</f>
        <v>9823495.7632769998</v>
      </c>
      <c r="H24" s="52"/>
    </row>
    <row r="25" spans="1:8">
      <c r="A25" s="25" t="s">
        <v>81</v>
      </c>
      <c r="B25" s="73">
        <v>1175343.05</v>
      </c>
      <c r="C25" s="99">
        <v>1175343</v>
      </c>
      <c r="D25" s="99"/>
      <c r="E25" s="99"/>
      <c r="F25" s="97">
        <f t="shared" si="0"/>
        <v>5.0000000046566129E-2</v>
      </c>
    </row>
    <row r="26" spans="1:8">
      <c r="A26" s="25" t="s">
        <v>82</v>
      </c>
      <c r="B26" s="73">
        <v>1700.93</v>
      </c>
      <c r="C26" s="73">
        <v>1700.93</v>
      </c>
      <c r="D26" s="99"/>
      <c r="E26" s="99"/>
      <c r="F26" s="97">
        <f t="shared" si="0"/>
        <v>0</v>
      </c>
    </row>
    <row r="27" spans="1:8">
      <c r="A27" s="25" t="s">
        <v>83</v>
      </c>
      <c r="B27" s="73">
        <v>494970.81</v>
      </c>
      <c r="C27" s="73">
        <v>494970.81</v>
      </c>
      <c r="D27" s="99"/>
      <c r="E27" s="99"/>
      <c r="F27" s="97">
        <f t="shared" si="0"/>
        <v>0</v>
      </c>
    </row>
    <row r="28" spans="1:8">
      <c r="A28" s="25" t="s">
        <v>84</v>
      </c>
      <c r="B28" s="73">
        <v>71439.09</v>
      </c>
      <c r="C28" s="73">
        <v>71439</v>
      </c>
      <c r="D28" s="99"/>
      <c r="E28" s="99"/>
      <c r="F28" s="97">
        <f t="shared" si="0"/>
        <v>8.999999999650754E-2</v>
      </c>
    </row>
    <row r="29" spans="1:8">
      <c r="A29" s="25" t="s">
        <v>128</v>
      </c>
      <c r="B29" s="73">
        <v>847063.44</v>
      </c>
      <c r="C29" s="73">
        <v>847063.44</v>
      </c>
      <c r="D29" s="99"/>
      <c r="E29" s="99"/>
      <c r="F29" s="97">
        <f t="shared" si="0"/>
        <v>0</v>
      </c>
    </row>
    <row r="30" spans="1:8">
      <c r="A30" s="25" t="s">
        <v>86</v>
      </c>
      <c r="B30" s="73">
        <v>653157.35</v>
      </c>
      <c r="C30" s="99"/>
      <c r="D30" s="99"/>
      <c r="E30" s="99"/>
      <c r="F30" s="97">
        <f t="shared" si="0"/>
        <v>653157.35</v>
      </c>
    </row>
    <row r="31" spans="1:8">
      <c r="A31" s="25" t="s">
        <v>87</v>
      </c>
      <c r="B31" s="73">
        <v>8502952.0999999996</v>
      </c>
      <c r="C31" s="99">
        <f>1498354.28+350599.38+2455622.7+3458245</f>
        <v>7762821.3600000003</v>
      </c>
      <c r="D31" s="99">
        <f>72375+667756</f>
        <v>740131</v>
      </c>
      <c r="E31" s="99"/>
      <c r="F31" s="97">
        <f t="shared" si="0"/>
        <v>-0.26000000070780516</v>
      </c>
    </row>
    <row r="32" spans="1:8">
      <c r="A32" s="25" t="s">
        <v>129</v>
      </c>
      <c r="B32" s="73">
        <v>21312660.48</v>
      </c>
      <c r="C32" s="74">
        <f>7372578+13940082.48-90021-379-28815</f>
        <v>21193445.48</v>
      </c>
      <c r="D32" s="99">
        <f>90021+379+28815</f>
        <v>119215</v>
      </c>
      <c r="E32" s="99"/>
      <c r="F32" s="97">
        <f t="shared" si="0"/>
        <v>0</v>
      </c>
      <c r="H32" s="66"/>
    </row>
    <row r="33" spans="1:8">
      <c r="A33" s="25" t="s">
        <v>89</v>
      </c>
      <c r="B33" s="102">
        <v>128905.99517254873</v>
      </c>
      <c r="C33" s="45">
        <v>128906</v>
      </c>
      <c r="D33" s="99"/>
      <c r="E33" s="99"/>
      <c r="F33" s="97">
        <f t="shared" si="0"/>
        <v>-4.8274512664647773E-3</v>
      </c>
      <c r="H33" s="52"/>
    </row>
    <row r="34" spans="1:8">
      <c r="A34" s="25" t="s">
        <v>91</v>
      </c>
      <c r="B34" s="73">
        <v>64635.360000000001</v>
      </c>
      <c r="C34" s="74">
        <v>64635.360000000001</v>
      </c>
      <c r="D34" s="99"/>
      <c r="E34" s="99"/>
      <c r="F34" s="97">
        <f t="shared" si="0"/>
        <v>0</v>
      </c>
    </row>
    <row r="35" spans="1:8">
      <c r="A35" s="25" t="s">
        <v>92</v>
      </c>
      <c r="B35" s="73">
        <v>15308.38</v>
      </c>
      <c r="C35" s="73">
        <v>15308.38</v>
      </c>
      <c r="D35" s="99"/>
      <c r="E35" s="99"/>
      <c r="F35" s="97">
        <f t="shared" si="0"/>
        <v>0</v>
      </c>
    </row>
    <row r="36" spans="1:8">
      <c r="A36" s="25" t="s">
        <v>93</v>
      </c>
      <c r="B36" s="73">
        <v>110560.49</v>
      </c>
      <c r="C36" s="73">
        <v>110560</v>
      </c>
      <c r="D36" s="99"/>
      <c r="E36" s="99"/>
      <c r="F36" s="97">
        <f t="shared" si="0"/>
        <v>0.49000000000523869</v>
      </c>
    </row>
    <row r="37" spans="1:8">
      <c r="A37" s="25" t="s">
        <v>94</v>
      </c>
      <c r="B37" s="73">
        <v>153083.75</v>
      </c>
      <c r="C37" s="73">
        <v>153083.75</v>
      </c>
      <c r="D37" s="99"/>
      <c r="E37" s="99"/>
      <c r="F37" s="97">
        <f t="shared" si="0"/>
        <v>0</v>
      </c>
    </row>
    <row r="38" spans="1:8">
      <c r="A38" s="25" t="s">
        <v>95</v>
      </c>
      <c r="B38" s="73">
        <v>28915.82</v>
      </c>
      <c r="C38" s="73">
        <v>28915.82</v>
      </c>
      <c r="D38" s="99"/>
      <c r="E38" s="99"/>
      <c r="F38" s="97">
        <f t="shared" si="0"/>
        <v>0</v>
      </c>
    </row>
    <row r="39" spans="1:8">
      <c r="A39" s="25" t="s">
        <v>96</v>
      </c>
      <c r="B39" s="73">
        <v>5102.79</v>
      </c>
      <c r="C39" s="73">
        <v>5102.79</v>
      </c>
      <c r="D39" s="99"/>
      <c r="E39" s="99"/>
      <c r="F39" s="97">
        <f t="shared" si="0"/>
        <v>0</v>
      </c>
    </row>
    <row r="40" spans="1:8">
      <c r="A40" s="25" t="s">
        <v>97</v>
      </c>
      <c r="B40" s="73">
        <v>3155226.27</v>
      </c>
      <c r="C40" s="73">
        <v>3155226.27</v>
      </c>
      <c r="D40" s="99"/>
      <c r="E40" s="99"/>
      <c r="F40" s="97">
        <f t="shared" si="0"/>
        <v>0</v>
      </c>
    </row>
    <row r="41" spans="1:8">
      <c r="A41" s="25" t="s">
        <v>98</v>
      </c>
      <c r="B41" s="73">
        <v>464354.06</v>
      </c>
      <c r="C41" s="73">
        <v>464354.06</v>
      </c>
      <c r="D41" s="99"/>
      <c r="E41" s="99"/>
      <c r="F41" s="97">
        <f t="shared" si="0"/>
        <v>0</v>
      </c>
    </row>
    <row r="42" spans="1:8">
      <c r="A42" s="25" t="s">
        <v>99</v>
      </c>
      <c r="B42" s="73">
        <v>1481510.56</v>
      </c>
      <c r="C42" s="73">
        <v>1481510.56</v>
      </c>
      <c r="D42" s="99"/>
      <c r="E42" s="99"/>
      <c r="F42" s="97">
        <f t="shared" si="0"/>
        <v>0</v>
      </c>
    </row>
    <row r="43" spans="1:8">
      <c r="A43" s="25" t="s">
        <v>101</v>
      </c>
      <c r="B43" s="73">
        <v>1408370.54</v>
      </c>
      <c r="C43" s="73">
        <v>1408370.54</v>
      </c>
      <c r="D43" s="99"/>
      <c r="E43" s="99"/>
      <c r="F43" s="97">
        <f t="shared" si="0"/>
        <v>0</v>
      </c>
    </row>
    <row r="44" spans="1:8">
      <c r="A44" s="25" t="s">
        <v>102</v>
      </c>
      <c r="B44" s="73">
        <v>869175.54</v>
      </c>
      <c r="C44" s="73">
        <v>869176</v>
      </c>
      <c r="D44" s="99"/>
      <c r="E44" s="99"/>
      <c r="F44" s="97">
        <f t="shared" si="0"/>
        <v>-0.4599999999627471</v>
      </c>
    </row>
    <row r="45" spans="1:8">
      <c r="A45" s="25" t="s">
        <v>103</v>
      </c>
      <c r="B45" s="73">
        <v>301064.71999999997</v>
      </c>
      <c r="C45" s="103">
        <v>301065</v>
      </c>
      <c r="D45" s="99"/>
      <c r="E45" s="99"/>
      <c r="F45" s="97">
        <f t="shared" si="0"/>
        <v>-0.28000000002793968</v>
      </c>
    </row>
    <row r="46" spans="1:8">
      <c r="A46" s="25" t="s">
        <v>104</v>
      </c>
      <c r="B46" s="73">
        <v>2724890.83</v>
      </c>
      <c r="C46" s="73">
        <f>2275000+262300+90600+96990.83</f>
        <v>2724890.83</v>
      </c>
      <c r="D46" s="99"/>
      <c r="E46" s="99"/>
      <c r="F46" s="97">
        <f t="shared" si="0"/>
        <v>0</v>
      </c>
    </row>
    <row r="47" spans="1:8">
      <c r="A47" s="23" t="s">
        <v>105</v>
      </c>
      <c r="B47" s="73">
        <v>5102.79</v>
      </c>
      <c r="C47" s="73">
        <v>5102.79</v>
      </c>
      <c r="D47" s="99"/>
      <c r="E47" s="99"/>
      <c r="F47" s="97">
        <f t="shared" si="0"/>
        <v>0</v>
      </c>
    </row>
    <row r="48" spans="1:8">
      <c r="A48" s="23" t="s">
        <v>107</v>
      </c>
      <c r="B48" s="73">
        <v>241532.15</v>
      </c>
      <c r="C48" s="73">
        <v>241532.15</v>
      </c>
      <c r="D48" s="99"/>
      <c r="E48" s="99"/>
      <c r="F48" s="97">
        <f t="shared" si="0"/>
        <v>0</v>
      </c>
    </row>
    <row r="49" spans="1:6">
      <c r="A49" s="25" t="s">
        <v>108</v>
      </c>
      <c r="B49" s="73">
        <v>175195.85</v>
      </c>
      <c r="C49" s="73">
        <v>175195.85</v>
      </c>
      <c r="D49" s="99"/>
      <c r="E49" s="99"/>
      <c r="F49" s="97">
        <f t="shared" si="0"/>
        <v>0</v>
      </c>
    </row>
    <row r="50" spans="1:6">
      <c r="A50" s="25" t="s">
        <v>110</v>
      </c>
      <c r="B50" s="73">
        <v>5403856.5300000003</v>
      </c>
      <c r="C50" s="73">
        <v>5403856.5300000003</v>
      </c>
      <c r="D50" s="99"/>
      <c r="E50" s="99"/>
      <c r="F50" s="97">
        <f t="shared" si="0"/>
        <v>0</v>
      </c>
    </row>
    <row r="51" spans="1:6">
      <c r="A51" s="25" t="s">
        <v>130</v>
      </c>
      <c r="B51" s="73">
        <v>1809790.16</v>
      </c>
      <c r="C51" s="73">
        <v>1809790.16</v>
      </c>
      <c r="D51" s="99"/>
      <c r="E51" s="99"/>
      <c r="F51" s="97">
        <f t="shared" si="0"/>
        <v>0</v>
      </c>
    </row>
    <row r="52" spans="1:6">
      <c r="A52" s="25" t="s">
        <v>112</v>
      </c>
      <c r="B52" s="73">
        <v>1922051.58</v>
      </c>
      <c r="C52" s="73">
        <v>1922051.58</v>
      </c>
      <c r="D52" s="99"/>
      <c r="E52" s="99"/>
      <c r="F52" s="97">
        <f t="shared" si="0"/>
        <v>0</v>
      </c>
    </row>
    <row r="53" spans="1:6">
      <c r="A53" s="25" t="s">
        <v>113</v>
      </c>
      <c r="B53" s="73">
        <v>3401.86</v>
      </c>
      <c r="C53" s="99"/>
      <c r="D53" s="99"/>
      <c r="E53" s="99"/>
      <c r="F53" s="97">
        <f t="shared" si="0"/>
        <v>3401.86</v>
      </c>
    </row>
    <row r="54" spans="1:6">
      <c r="A54" s="25" t="s">
        <v>115</v>
      </c>
      <c r="B54" s="73">
        <v>147980.96</v>
      </c>
      <c r="C54" s="99"/>
      <c r="D54" s="99"/>
      <c r="E54" s="99"/>
      <c r="F54" s="97">
        <f t="shared" si="0"/>
        <v>147980.96</v>
      </c>
    </row>
    <row r="55" spans="1:6">
      <c r="A55" s="25" t="s">
        <v>117</v>
      </c>
      <c r="B55" s="73">
        <v>11232945.720000001</v>
      </c>
      <c r="C55" s="73">
        <v>11232945.720000001</v>
      </c>
      <c r="D55" s="99"/>
      <c r="E55" s="73"/>
      <c r="F55" s="97">
        <f t="shared" si="0"/>
        <v>0</v>
      </c>
    </row>
    <row r="56" spans="1:6">
      <c r="A56" s="25" t="s">
        <v>118</v>
      </c>
      <c r="B56" s="73">
        <f>29333333.33-714323.4</f>
        <v>28619009.93</v>
      </c>
      <c r="C56" s="99">
        <f>4500000+1678652+1467000+1514000+6412244+399677+3612941+6814819-714323.4+1467000+1467000</f>
        <v>28619009.600000001</v>
      </c>
      <c r="D56" s="99"/>
      <c r="E56" s="99"/>
      <c r="F56" s="97">
        <f t="shared" si="0"/>
        <v>0.32999999821186066</v>
      </c>
    </row>
    <row r="57" spans="1:6" ht="15" thickBot="1">
      <c r="A57" s="26" t="s">
        <v>119</v>
      </c>
      <c r="B57" s="73">
        <v>17009.310000000001</v>
      </c>
      <c r="C57" s="104"/>
      <c r="D57" s="105"/>
      <c r="E57" s="106"/>
      <c r="F57" s="97">
        <f t="shared" si="0"/>
        <v>17009.310000000001</v>
      </c>
    </row>
    <row r="58" spans="1:6" ht="15" thickBot="1">
      <c r="A58" s="30" t="s">
        <v>122</v>
      </c>
      <c r="B58" s="28">
        <f>SUM(B9:B57)</f>
        <v>132912644.86517254</v>
      </c>
      <c r="C58" s="107">
        <f>SUM(C9:C57)</f>
        <v>124966267.5702163</v>
      </c>
      <c r="D58" s="107">
        <f>SUM(D9:D57)</f>
        <v>1533532</v>
      </c>
      <c r="E58" s="107">
        <f>SUM(E9:E57)</f>
        <v>-2.3606829345226288E-2</v>
      </c>
      <c r="F58" s="108">
        <f>SUM(F9:F57)</f>
        <v>6412845.3185630944</v>
      </c>
    </row>
    <row r="59" spans="1:6" ht="15" thickBot="1">
      <c r="A59" s="37" t="s">
        <v>131</v>
      </c>
      <c r="B59" s="109">
        <v>714323.4</v>
      </c>
      <c r="C59" s="109"/>
      <c r="D59" s="109"/>
      <c r="E59" s="109"/>
      <c r="F59" s="110">
        <f>B59-C59-D59-E59</f>
        <v>714323.4</v>
      </c>
    </row>
    <row r="60" spans="1:6" ht="15" thickBot="1">
      <c r="A60" s="38" t="s">
        <v>132</v>
      </c>
      <c r="B60" s="32">
        <f>B58+B59</f>
        <v>133626968.26517254</v>
      </c>
      <c r="C60" s="32">
        <f>C58+C59</f>
        <v>124966267.5702163</v>
      </c>
      <c r="D60" s="32">
        <f>D58+D59</f>
        <v>1533532</v>
      </c>
      <c r="E60" s="32">
        <f>E58+E59</f>
        <v>-2.3606829345226288E-2</v>
      </c>
      <c r="F60" s="111">
        <f>F58+F59</f>
        <v>7127168.7185630947</v>
      </c>
    </row>
    <row r="61" spans="1:6">
      <c r="A61" s="55" t="s">
        <v>135</v>
      </c>
      <c r="B61" s="50"/>
      <c r="C61" s="50"/>
      <c r="D61" s="50"/>
      <c r="E61" s="50"/>
      <c r="F61" s="50"/>
    </row>
    <row r="62" spans="1:6">
      <c r="A62" s="56"/>
      <c r="B62" s="56"/>
      <c r="C62" s="56"/>
      <c r="D62" s="56"/>
      <c r="E62" s="56"/>
      <c r="F62" s="56"/>
    </row>
    <row r="63" spans="1:6" ht="15" thickBot="1">
      <c r="A63" s="50"/>
      <c r="B63" s="50"/>
      <c r="C63" s="50"/>
      <c r="D63" s="50"/>
      <c r="E63" s="50"/>
      <c r="F63" s="50"/>
    </row>
    <row r="64" spans="1:6" ht="15" thickBot="1">
      <c r="A64" s="42" t="s">
        <v>133</v>
      </c>
      <c r="B64" s="112">
        <f>B12+B13+B15+B19+B21+B27+B34+B36+B43+B46+B48+B49+B53+B54+B57</f>
        <v>6211798.5700000003</v>
      </c>
      <c r="C64" s="112">
        <f>C12+C13+C15+C19+C21+C26+C34+C36+C43+C46+C48+C49+C53+C54+C57</f>
        <v>5453183.0199999996</v>
      </c>
      <c r="D64" s="112">
        <f>D12+D13+D15+D19+D21+D26+D34+D36+D43+D46+D48+D49+D53+D54+D57</f>
        <v>0</v>
      </c>
      <c r="E64" s="112">
        <f>E12+E13+E15+E19+E21+E26+E34+E36+E43+E46+E48+E49+E53+E54+E57</f>
        <v>0</v>
      </c>
      <c r="F64" s="113">
        <f>B64-C64-D64-E64</f>
        <v>758615.55000000075</v>
      </c>
    </row>
    <row r="65" spans="2:9">
      <c r="C65" s="66"/>
    </row>
    <row r="66" spans="2:9" s="54" customFormat="1" ht="12.5">
      <c r="B66" s="66"/>
      <c r="C66" s="51"/>
      <c r="F66" s="114"/>
      <c r="I66" s="115"/>
    </row>
    <row r="67" spans="2:9">
      <c r="C67" s="93"/>
      <c r="F67" s="116"/>
    </row>
    <row r="68" spans="2:9">
      <c r="C68" s="117"/>
    </row>
    <row r="69" spans="2:9">
      <c r="C69" s="66"/>
    </row>
    <row r="70" spans="2:9">
      <c r="C70" s="66"/>
    </row>
  </sheetData>
  <mergeCells count="4">
    <mergeCell ref="A1:B1"/>
    <mergeCell ref="A5:F5"/>
    <mergeCell ref="A6:F6"/>
    <mergeCell ref="A7:F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90DD-AC45-411E-B361-A0DBC5D49E21}">
  <sheetPr>
    <pageSetUpPr fitToPage="1"/>
  </sheetPr>
  <dimension ref="A1:EA226"/>
  <sheetViews>
    <sheetView zoomScaleNormal="100" workbookViewId="0">
      <selection activeCell="C3" sqref="C3"/>
    </sheetView>
  </sheetViews>
  <sheetFormatPr defaultColWidth="9.7265625" defaultRowHeight="15.5" outlineLevelCol="1"/>
  <cols>
    <col min="1" max="1" width="9.7265625" style="229"/>
    <col min="2" max="2" width="40.7265625" style="229" customWidth="1"/>
    <col min="3" max="10" width="20.7265625" style="229" customWidth="1" outlineLevel="1"/>
    <col min="11" max="14" width="20.7265625" style="420" customWidth="1" outlineLevel="1"/>
    <col min="15" max="15" width="20.7265625" style="420" customWidth="1"/>
    <col min="16" max="16" width="17.7265625" style="229" customWidth="1"/>
    <col min="17" max="17" width="18.7265625" style="229" bestFit="1" customWidth="1"/>
    <col min="18" max="16384" width="9.7265625" style="229"/>
  </cols>
  <sheetData>
    <row r="1" spans="1:131" ht="18" customHeight="1">
      <c r="A1" s="596"/>
      <c r="B1" s="636"/>
      <c r="C1" s="637"/>
      <c r="D1" s="637"/>
      <c r="E1" s="611"/>
      <c r="F1" s="596"/>
      <c r="G1" s="596"/>
      <c r="H1" s="596"/>
      <c r="I1" s="596"/>
      <c r="J1" s="596"/>
      <c r="K1" s="638"/>
      <c r="L1" s="638"/>
      <c r="M1" s="638"/>
      <c r="N1" s="781" t="s">
        <v>260</v>
      </c>
      <c r="O1" s="781"/>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596"/>
      <c r="BE1" s="596"/>
      <c r="BF1" s="596"/>
      <c r="BG1" s="596"/>
      <c r="BH1" s="596"/>
      <c r="BI1" s="596"/>
      <c r="BJ1" s="596"/>
      <c r="BK1" s="596"/>
      <c r="BL1" s="596"/>
      <c r="BM1" s="596"/>
      <c r="BN1" s="596"/>
      <c r="BO1" s="596"/>
      <c r="BP1" s="596"/>
      <c r="BQ1" s="596"/>
      <c r="BR1" s="596"/>
      <c r="BS1" s="596"/>
      <c r="BT1" s="596"/>
      <c r="BU1" s="596"/>
      <c r="BV1" s="596"/>
      <c r="BW1" s="596"/>
      <c r="BX1" s="596"/>
      <c r="BY1" s="596"/>
      <c r="BZ1" s="596"/>
      <c r="CA1" s="596"/>
      <c r="CB1" s="596"/>
      <c r="CC1" s="596"/>
      <c r="CD1" s="596"/>
      <c r="CE1" s="596"/>
      <c r="CF1" s="596"/>
      <c r="CG1" s="596"/>
      <c r="CH1" s="596"/>
      <c r="CI1" s="596"/>
      <c r="CJ1" s="596"/>
      <c r="CK1" s="596"/>
      <c r="CL1" s="596"/>
      <c r="CM1" s="596"/>
      <c r="CN1" s="596"/>
      <c r="CO1" s="596"/>
      <c r="CP1" s="596"/>
      <c r="CQ1" s="596"/>
      <c r="CR1" s="596"/>
      <c r="CS1" s="596"/>
      <c r="CT1" s="596"/>
      <c r="CU1" s="596"/>
      <c r="CV1" s="596"/>
      <c r="CW1" s="596"/>
      <c r="CX1" s="596"/>
      <c r="CY1" s="596"/>
      <c r="CZ1" s="596"/>
      <c r="DA1" s="596"/>
      <c r="DB1" s="596"/>
      <c r="DC1" s="596"/>
      <c r="DD1" s="596"/>
      <c r="DE1" s="596"/>
      <c r="DF1" s="596"/>
      <c r="DG1" s="596"/>
      <c r="DH1" s="596"/>
      <c r="DI1" s="596"/>
      <c r="DJ1" s="596"/>
      <c r="DK1" s="596"/>
      <c r="DL1" s="596"/>
      <c r="DM1" s="596"/>
      <c r="DN1" s="596"/>
      <c r="DO1" s="596"/>
      <c r="DP1" s="596"/>
      <c r="DQ1" s="596"/>
      <c r="DR1" s="596"/>
      <c r="DS1" s="596"/>
      <c r="DT1" s="596"/>
      <c r="DU1" s="596"/>
      <c r="DV1" s="596"/>
      <c r="DW1" s="596"/>
      <c r="DX1" s="596"/>
      <c r="DY1" s="596"/>
      <c r="DZ1" s="596"/>
      <c r="EA1" s="596"/>
    </row>
    <row r="2" spans="1:131" ht="18" customHeight="1">
      <c r="A2" s="596"/>
      <c r="B2" s="636"/>
      <c r="C2" s="596"/>
      <c r="D2" s="596"/>
      <c r="E2" s="640"/>
      <c r="F2" s="640"/>
      <c r="G2" s="640"/>
      <c r="H2" s="640"/>
      <c r="I2" s="640"/>
      <c r="J2" s="641"/>
      <c r="K2" s="638"/>
      <c r="L2" s="638"/>
      <c r="M2" s="638"/>
      <c r="N2" s="638"/>
      <c r="O2" s="639" t="s">
        <v>0</v>
      </c>
      <c r="P2" s="596"/>
      <c r="Q2" s="596"/>
      <c r="R2" s="596"/>
      <c r="S2" s="596"/>
      <c r="T2" s="596"/>
      <c r="U2" s="596"/>
      <c r="V2" s="596"/>
      <c r="W2" s="596"/>
      <c r="X2" s="596"/>
      <c r="Y2" s="596"/>
      <c r="Z2" s="596"/>
      <c r="AA2" s="596"/>
      <c r="AB2" s="596"/>
      <c r="AC2" s="596"/>
      <c r="AD2" s="596"/>
      <c r="AE2" s="596"/>
      <c r="AF2" s="596"/>
      <c r="AG2" s="596"/>
      <c r="AH2" s="596"/>
      <c r="AI2" s="596"/>
      <c r="AJ2" s="596"/>
      <c r="AK2" s="596"/>
      <c r="AL2" s="596"/>
      <c r="AM2" s="596"/>
      <c r="AN2" s="596"/>
      <c r="AO2" s="596"/>
      <c r="AP2" s="596"/>
      <c r="AQ2" s="596"/>
      <c r="AR2" s="596"/>
      <c r="AS2" s="596"/>
      <c r="AT2" s="596"/>
      <c r="AU2" s="596"/>
      <c r="AV2" s="596"/>
      <c r="AW2" s="596"/>
      <c r="AX2" s="596"/>
      <c r="AY2" s="596"/>
      <c r="AZ2" s="596"/>
      <c r="BA2" s="596"/>
      <c r="BB2" s="596"/>
      <c r="BC2" s="596"/>
      <c r="BD2" s="596"/>
      <c r="BE2" s="596"/>
      <c r="BF2" s="596"/>
      <c r="BG2" s="596"/>
      <c r="BH2" s="596"/>
      <c r="BI2" s="596"/>
      <c r="BJ2" s="596"/>
      <c r="BK2" s="596"/>
      <c r="BL2" s="596"/>
      <c r="BM2" s="596"/>
      <c r="BN2" s="596"/>
      <c r="BO2" s="596"/>
      <c r="BP2" s="596"/>
      <c r="BQ2" s="596"/>
      <c r="BR2" s="596"/>
      <c r="BS2" s="596"/>
      <c r="BT2" s="596"/>
      <c r="BU2" s="596"/>
      <c r="BV2" s="596"/>
      <c r="BW2" s="596"/>
      <c r="BX2" s="596"/>
      <c r="BY2" s="596"/>
      <c r="BZ2" s="596"/>
      <c r="CA2" s="596"/>
      <c r="CB2" s="596"/>
      <c r="CC2" s="596"/>
      <c r="CD2" s="596"/>
      <c r="CE2" s="596"/>
      <c r="CF2" s="596"/>
      <c r="CG2" s="596"/>
      <c r="CH2" s="596"/>
      <c r="CI2" s="596"/>
      <c r="CJ2" s="596"/>
      <c r="CK2" s="596"/>
      <c r="CL2" s="596"/>
      <c r="CM2" s="596"/>
      <c r="CN2" s="596"/>
      <c r="CO2" s="596"/>
      <c r="CP2" s="596"/>
      <c r="CQ2" s="596"/>
      <c r="CR2" s="596"/>
      <c r="CS2" s="596"/>
      <c r="CT2" s="596"/>
      <c r="CU2" s="596"/>
      <c r="CV2" s="596"/>
      <c r="CW2" s="596"/>
      <c r="CX2" s="596"/>
      <c r="CY2" s="596"/>
      <c r="CZ2" s="596"/>
      <c r="DA2" s="596"/>
      <c r="DB2" s="596"/>
      <c r="DC2" s="596"/>
      <c r="DD2" s="596"/>
      <c r="DE2" s="596"/>
      <c r="DF2" s="596"/>
      <c r="DG2" s="596"/>
      <c r="DH2" s="596"/>
      <c r="DI2" s="596"/>
      <c r="DJ2" s="596"/>
      <c r="DK2" s="596"/>
      <c r="DL2" s="596"/>
      <c r="DM2" s="596"/>
      <c r="DN2" s="596"/>
      <c r="DO2" s="596"/>
      <c r="DP2" s="596"/>
      <c r="DQ2" s="596"/>
      <c r="DR2" s="596"/>
      <c r="DS2" s="596"/>
      <c r="DT2" s="596"/>
      <c r="DU2" s="596"/>
      <c r="DV2" s="596"/>
      <c r="DW2" s="596"/>
      <c r="DX2" s="596"/>
      <c r="DY2" s="596"/>
      <c r="DZ2" s="596"/>
      <c r="EA2" s="596"/>
    </row>
    <row r="3" spans="1:131" ht="18" customHeight="1">
      <c r="A3" s="596"/>
      <c r="B3" s="636"/>
      <c r="C3" s="611"/>
      <c r="D3" s="611"/>
      <c r="E3" s="642"/>
      <c r="F3" s="642"/>
      <c r="G3" s="642"/>
      <c r="H3" s="642"/>
      <c r="I3" s="642"/>
      <c r="J3" s="642"/>
      <c r="K3" s="638"/>
      <c r="L3" s="638"/>
      <c r="M3" s="638"/>
      <c r="N3" s="638"/>
      <c r="O3" s="639" t="s">
        <v>26</v>
      </c>
      <c r="P3" s="596"/>
      <c r="Q3" s="596"/>
      <c r="R3" s="596"/>
      <c r="S3" s="596"/>
      <c r="T3" s="596"/>
      <c r="U3" s="596"/>
      <c r="V3" s="596"/>
      <c r="W3" s="596"/>
      <c r="X3" s="596"/>
      <c r="Y3" s="596"/>
      <c r="Z3" s="596"/>
      <c r="AA3" s="596"/>
      <c r="AB3" s="596"/>
      <c r="AC3" s="596"/>
      <c r="AD3" s="596"/>
      <c r="AE3" s="596"/>
      <c r="AF3" s="596"/>
      <c r="AG3" s="596"/>
      <c r="AH3" s="596"/>
      <c r="AI3" s="596"/>
      <c r="AJ3" s="596"/>
      <c r="AK3" s="596"/>
      <c r="AL3" s="596"/>
      <c r="AM3" s="596"/>
      <c r="AN3" s="596"/>
      <c r="AO3" s="596"/>
      <c r="AP3" s="596"/>
      <c r="AQ3" s="596"/>
      <c r="AR3" s="596"/>
      <c r="AS3" s="596"/>
      <c r="AT3" s="596"/>
      <c r="AU3" s="596"/>
      <c r="AV3" s="596"/>
      <c r="AW3" s="596"/>
      <c r="AX3" s="596"/>
      <c r="AY3" s="596"/>
      <c r="AZ3" s="596"/>
      <c r="BA3" s="596"/>
      <c r="BB3" s="596"/>
      <c r="BC3" s="596"/>
      <c r="BD3" s="596"/>
      <c r="BE3" s="596"/>
      <c r="BF3" s="596"/>
      <c r="BG3" s="596"/>
      <c r="BH3" s="596"/>
      <c r="BI3" s="596"/>
      <c r="BJ3" s="596"/>
      <c r="BK3" s="596"/>
      <c r="BL3" s="596"/>
      <c r="BM3" s="596"/>
      <c r="BN3" s="596"/>
      <c r="BO3" s="596"/>
      <c r="BP3" s="596"/>
      <c r="BQ3" s="596"/>
      <c r="BR3" s="596"/>
      <c r="BS3" s="596"/>
      <c r="BT3" s="596"/>
      <c r="BU3" s="596"/>
      <c r="BV3" s="596"/>
      <c r="BW3" s="596"/>
      <c r="BX3" s="596"/>
      <c r="BY3" s="596"/>
      <c r="BZ3" s="596"/>
      <c r="CA3" s="596"/>
      <c r="CB3" s="596"/>
      <c r="CC3" s="596"/>
      <c r="CD3" s="596"/>
      <c r="CE3" s="596"/>
      <c r="CF3" s="596"/>
      <c r="CG3" s="596"/>
      <c r="CH3" s="596"/>
      <c r="CI3" s="596"/>
      <c r="CJ3" s="596"/>
      <c r="CK3" s="596"/>
      <c r="CL3" s="596"/>
      <c r="CM3" s="596"/>
      <c r="CN3" s="596"/>
      <c r="CO3" s="596"/>
      <c r="CP3" s="596"/>
      <c r="CQ3" s="596"/>
      <c r="CR3" s="596"/>
      <c r="CS3" s="596"/>
      <c r="CT3" s="596"/>
      <c r="CU3" s="596"/>
      <c r="CV3" s="596"/>
      <c r="CW3" s="596"/>
      <c r="CX3" s="596"/>
      <c r="CY3" s="596"/>
      <c r="CZ3" s="596"/>
      <c r="DA3" s="596"/>
      <c r="DB3" s="596"/>
      <c r="DC3" s="596"/>
      <c r="DD3" s="596"/>
      <c r="DE3" s="596"/>
      <c r="DF3" s="596"/>
      <c r="DG3" s="596"/>
      <c r="DH3" s="596"/>
      <c r="DI3" s="596"/>
      <c r="DJ3" s="596"/>
      <c r="DK3" s="596"/>
      <c r="DL3" s="596"/>
      <c r="DM3" s="596"/>
      <c r="DN3" s="596"/>
      <c r="DO3" s="596"/>
      <c r="DP3" s="596"/>
      <c r="DQ3" s="596"/>
      <c r="DR3" s="596"/>
      <c r="DS3" s="596"/>
      <c r="DT3" s="596"/>
      <c r="DU3" s="596"/>
      <c r="DV3" s="596"/>
      <c r="DW3" s="596"/>
      <c r="DX3" s="596"/>
      <c r="DY3" s="596"/>
      <c r="DZ3" s="596"/>
      <c r="EA3" s="596"/>
    </row>
    <row r="4" spans="1:131">
      <c r="A4" s="596"/>
      <c r="B4" s="596"/>
      <c r="C4" s="596"/>
      <c r="D4" s="596"/>
      <c r="E4" s="596"/>
      <c r="F4" s="596"/>
      <c r="G4" s="596"/>
      <c r="H4" s="596"/>
      <c r="I4" s="596"/>
      <c r="J4" s="596"/>
      <c r="K4" s="638"/>
      <c r="L4" s="638"/>
      <c r="M4" s="638"/>
      <c r="N4" s="638"/>
      <c r="O4" s="638"/>
      <c r="P4" s="596"/>
      <c r="Q4" s="596"/>
      <c r="R4" s="596"/>
      <c r="S4" s="596"/>
      <c r="T4" s="596"/>
      <c r="U4" s="596"/>
      <c r="V4" s="596"/>
      <c r="W4" s="596"/>
      <c r="X4" s="596"/>
      <c r="Y4" s="596"/>
      <c r="Z4" s="596"/>
      <c r="AA4" s="596"/>
      <c r="AB4" s="596"/>
      <c r="AC4" s="596"/>
      <c r="AD4" s="596"/>
      <c r="AE4" s="596"/>
      <c r="AF4" s="596"/>
      <c r="AG4" s="596"/>
      <c r="AH4" s="596"/>
      <c r="AI4" s="596"/>
      <c r="AJ4" s="596"/>
      <c r="AK4" s="596"/>
      <c r="AL4" s="596"/>
      <c r="AM4" s="596"/>
      <c r="AN4" s="596"/>
      <c r="AO4" s="596"/>
      <c r="AP4" s="596"/>
      <c r="AQ4" s="596"/>
      <c r="AR4" s="596"/>
      <c r="AS4" s="596"/>
      <c r="AT4" s="596"/>
      <c r="AU4" s="596"/>
      <c r="AV4" s="596"/>
      <c r="AW4" s="596"/>
      <c r="AX4" s="596"/>
      <c r="AY4" s="596"/>
      <c r="AZ4" s="596"/>
      <c r="BA4" s="596"/>
      <c r="BB4" s="596"/>
      <c r="BC4" s="596"/>
      <c r="BD4" s="596"/>
      <c r="BE4" s="596"/>
      <c r="BF4" s="596"/>
      <c r="BG4" s="596"/>
      <c r="BH4" s="596"/>
      <c r="BI4" s="596"/>
      <c r="BJ4" s="596"/>
      <c r="BK4" s="596"/>
      <c r="BL4" s="596"/>
      <c r="BM4" s="596"/>
      <c r="BN4" s="596"/>
      <c r="BO4" s="596"/>
      <c r="BP4" s="596"/>
      <c r="BQ4" s="596"/>
      <c r="BR4" s="596"/>
      <c r="BS4" s="596"/>
      <c r="BT4" s="596"/>
      <c r="BU4" s="596"/>
      <c r="BV4" s="596"/>
      <c r="BW4" s="596"/>
      <c r="BX4" s="596"/>
      <c r="BY4" s="596"/>
      <c r="BZ4" s="596"/>
      <c r="CA4" s="596"/>
      <c r="CB4" s="596"/>
      <c r="CC4" s="596"/>
      <c r="CD4" s="596"/>
      <c r="CE4" s="596"/>
      <c r="CF4" s="596"/>
      <c r="CG4" s="596"/>
      <c r="CH4" s="596"/>
      <c r="CI4" s="596"/>
      <c r="CJ4" s="596"/>
      <c r="CK4" s="596"/>
      <c r="CL4" s="596"/>
      <c r="CM4" s="596"/>
      <c r="CN4" s="596"/>
      <c r="CO4" s="596"/>
      <c r="CP4" s="596"/>
      <c r="CQ4" s="596"/>
      <c r="CR4" s="596"/>
      <c r="CS4" s="596"/>
      <c r="CT4" s="596"/>
      <c r="CU4" s="596"/>
      <c r="CV4" s="596"/>
      <c r="CW4" s="596"/>
      <c r="CX4" s="596"/>
      <c r="CY4" s="596"/>
      <c r="CZ4" s="596"/>
      <c r="DA4" s="596"/>
      <c r="DB4" s="596"/>
      <c r="DC4" s="596"/>
      <c r="DD4" s="596"/>
      <c r="DE4" s="596"/>
      <c r="DF4" s="596"/>
      <c r="DG4" s="596"/>
      <c r="DH4" s="596"/>
      <c r="DI4" s="596"/>
      <c r="DJ4" s="596"/>
      <c r="DK4" s="596"/>
      <c r="DL4" s="596"/>
      <c r="DM4" s="596"/>
      <c r="DN4" s="596"/>
      <c r="DO4" s="596"/>
      <c r="DP4" s="596"/>
      <c r="DQ4" s="596"/>
      <c r="DR4" s="596"/>
      <c r="DS4" s="596"/>
      <c r="DT4" s="596"/>
      <c r="DU4" s="596"/>
      <c r="DV4" s="596"/>
      <c r="DW4" s="596"/>
      <c r="DX4" s="596"/>
      <c r="DY4" s="596"/>
      <c r="DZ4" s="596"/>
      <c r="EA4" s="596"/>
    </row>
    <row r="5" spans="1:131">
      <c r="A5" s="596"/>
      <c r="B5" s="596"/>
      <c r="C5" s="596"/>
      <c r="D5" s="596"/>
      <c r="E5" s="596"/>
      <c r="F5" s="596"/>
      <c r="G5" s="596"/>
      <c r="H5" s="596"/>
      <c r="I5" s="596"/>
      <c r="J5" s="596"/>
      <c r="K5" s="638"/>
      <c r="L5" s="638"/>
      <c r="M5" s="638"/>
      <c r="N5" s="638"/>
      <c r="O5" s="638"/>
      <c r="P5" s="596"/>
      <c r="Q5" s="596"/>
      <c r="R5" s="596"/>
      <c r="S5" s="596"/>
      <c r="T5" s="596"/>
      <c r="U5" s="596"/>
      <c r="V5" s="596"/>
      <c r="W5" s="596"/>
      <c r="X5" s="596"/>
      <c r="Y5" s="596"/>
      <c r="Z5" s="596"/>
      <c r="AA5" s="596"/>
      <c r="AB5" s="596"/>
      <c r="AC5" s="596"/>
      <c r="AD5" s="596"/>
      <c r="AE5" s="596"/>
      <c r="AF5" s="596"/>
      <c r="AG5" s="596"/>
      <c r="AH5" s="596"/>
      <c r="AI5" s="596"/>
      <c r="AJ5" s="596"/>
      <c r="AK5" s="596"/>
      <c r="AL5" s="596"/>
      <c r="AM5" s="596"/>
      <c r="AN5" s="596"/>
      <c r="AO5" s="596"/>
      <c r="AP5" s="596"/>
      <c r="AQ5" s="596"/>
      <c r="AR5" s="596"/>
      <c r="AS5" s="596"/>
      <c r="AT5" s="596"/>
      <c r="AU5" s="596"/>
      <c r="AV5" s="596"/>
      <c r="AW5" s="596"/>
      <c r="AX5" s="596"/>
      <c r="AY5" s="596"/>
      <c r="AZ5" s="596"/>
      <c r="BA5" s="596"/>
      <c r="BB5" s="596"/>
      <c r="BC5" s="596"/>
      <c r="BD5" s="596"/>
      <c r="BE5" s="596"/>
      <c r="BF5" s="596"/>
      <c r="BG5" s="596"/>
      <c r="BH5" s="596"/>
      <c r="BI5" s="596"/>
      <c r="BJ5" s="596"/>
      <c r="BK5" s="596"/>
      <c r="BL5" s="596"/>
      <c r="BM5" s="596"/>
      <c r="BN5" s="596"/>
      <c r="BO5" s="596"/>
      <c r="BP5" s="596"/>
      <c r="BQ5" s="596"/>
      <c r="BR5" s="596"/>
      <c r="BS5" s="596"/>
      <c r="BT5" s="596"/>
      <c r="BU5" s="596"/>
      <c r="BV5" s="596"/>
      <c r="BW5" s="596"/>
      <c r="BX5" s="596"/>
      <c r="BY5" s="596"/>
      <c r="BZ5" s="596"/>
      <c r="CA5" s="596"/>
      <c r="CB5" s="596"/>
      <c r="CC5" s="596"/>
      <c r="CD5" s="596"/>
      <c r="CE5" s="596"/>
      <c r="CF5" s="596"/>
      <c r="CG5" s="596"/>
      <c r="CH5" s="596"/>
      <c r="CI5" s="596"/>
      <c r="CJ5" s="596"/>
      <c r="CK5" s="596"/>
      <c r="CL5" s="596"/>
      <c r="CM5" s="596"/>
      <c r="CN5" s="596"/>
      <c r="CO5" s="596"/>
      <c r="CP5" s="596"/>
      <c r="CQ5" s="596"/>
      <c r="CR5" s="596"/>
      <c r="CS5" s="596"/>
      <c r="CT5" s="596"/>
      <c r="CU5" s="596"/>
      <c r="CV5" s="596"/>
      <c r="CW5" s="596"/>
      <c r="CX5" s="596"/>
      <c r="CY5" s="596"/>
      <c r="CZ5" s="596"/>
      <c r="DA5" s="596"/>
      <c r="DB5" s="596"/>
      <c r="DC5" s="596"/>
      <c r="DD5" s="596"/>
      <c r="DE5" s="596"/>
      <c r="DF5" s="596"/>
      <c r="DG5" s="596"/>
      <c r="DH5" s="596"/>
      <c r="DI5" s="596"/>
      <c r="DJ5" s="596"/>
      <c r="DK5" s="596"/>
      <c r="DL5" s="596"/>
      <c r="DM5" s="596"/>
      <c r="DN5" s="596"/>
      <c r="DO5" s="596"/>
      <c r="DP5" s="596"/>
      <c r="DQ5" s="596"/>
      <c r="DR5" s="596"/>
      <c r="DS5" s="596"/>
      <c r="DT5" s="596"/>
      <c r="DU5" s="596"/>
      <c r="DV5" s="596"/>
      <c r="DW5" s="596"/>
      <c r="DX5" s="596"/>
      <c r="DY5" s="596"/>
      <c r="DZ5" s="596"/>
      <c r="EA5" s="596"/>
    </row>
    <row r="6" spans="1:131" ht="16">
      <c r="A6" s="596"/>
      <c r="B6" s="782" t="s">
        <v>282</v>
      </c>
      <c r="C6" s="782"/>
      <c r="D6" s="782"/>
      <c r="E6" s="782"/>
      <c r="F6" s="782"/>
      <c r="G6" s="782"/>
      <c r="H6" s="782"/>
      <c r="I6" s="782"/>
      <c r="J6" s="782"/>
      <c r="K6" s="782"/>
      <c r="L6" s="782"/>
      <c r="M6" s="782"/>
      <c r="N6" s="782"/>
      <c r="O6" s="782"/>
      <c r="P6" s="596"/>
      <c r="Q6" s="596"/>
      <c r="R6" s="596"/>
      <c r="S6" s="596"/>
      <c r="T6" s="596"/>
      <c r="U6" s="596"/>
      <c r="V6" s="596"/>
      <c r="W6" s="596"/>
      <c r="X6" s="596"/>
      <c r="Y6" s="596"/>
      <c r="Z6" s="596"/>
      <c r="AA6" s="596"/>
      <c r="AB6" s="596"/>
      <c r="AC6" s="596"/>
      <c r="AD6" s="596"/>
      <c r="AE6" s="596"/>
      <c r="AF6" s="596"/>
      <c r="AG6" s="596"/>
      <c r="AH6" s="596"/>
      <c r="AI6" s="596"/>
      <c r="AJ6" s="596"/>
      <c r="AK6" s="596"/>
      <c r="AL6" s="596"/>
      <c r="AM6" s="596"/>
      <c r="AN6" s="596"/>
      <c r="AO6" s="596"/>
      <c r="AP6" s="596"/>
      <c r="AQ6" s="596"/>
      <c r="AR6" s="596"/>
      <c r="AS6" s="596"/>
      <c r="AT6" s="596"/>
      <c r="AU6" s="596"/>
      <c r="AV6" s="596"/>
      <c r="AW6" s="596"/>
      <c r="AX6" s="596"/>
      <c r="AY6" s="596"/>
      <c r="AZ6" s="596"/>
      <c r="BA6" s="596"/>
      <c r="BB6" s="596"/>
      <c r="BC6" s="596"/>
      <c r="BD6" s="596"/>
      <c r="BE6" s="596"/>
      <c r="BF6" s="596"/>
      <c r="BG6" s="596"/>
      <c r="BH6" s="596"/>
      <c r="BI6" s="596"/>
      <c r="BJ6" s="596"/>
      <c r="BK6" s="596"/>
      <c r="BL6" s="596"/>
      <c r="BM6" s="596"/>
      <c r="BN6" s="596"/>
      <c r="BO6" s="596"/>
      <c r="BP6" s="596"/>
      <c r="BQ6" s="596"/>
      <c r="BR6" s="596"/>
      <c r="BS6" s="596"/>
      <c r="BT6" s="596"/>
      <c r="BU6" s="596"/>
      <c r="BV6" s="596"/>
      <c r="BW6" s="596"/>
      <c r="BX6" s="596"/>
      <c r="BY6" s="596"/>
      <c r="BZ6" s="596"/>
      <c r="CA6" s="596"/>
      <c r="CB6" s="596"/>
      <c r="CC6" s="596"/>
      <c r="CD6" s="596"/>
      <c r="CE6" s="596"/>
      <c r="CF6" s="596"/>
      <c r="CG6" s="596"/>
      <c r="CH6" s="596"/>
      <c r="CI6" s="596"/>
      <c r="CJ6" s="596"/>
      <c r="CK6" s="596"/>
      <c r="CL6" s="596"/>
      <c r="CM6" s="596"/>
      <c r="CN6" s="596"/>
      <c r="CO6" s="596"/>
      <c r="CP6" s="596"/>
      <c r="CQ6" s="596"/>
      <c r="CR6" s="596"/>
      <c r="CS6" s="596"/>
      <c r="CT6" s="596"/>
      <c r="CU6" s="596"/>
      <c r="CV6" s="596"/>
      <c r="CW6" s="596"/>
      <c r="CX6" s="596"/>
      <c r="CY6" s="596"/>
      <c r="CZ6" s="596"/>
      <c r="DA6" s="596"/>
      <c r="DB6" s="596"/>
      <c r="DC6" s="596"/>
      <c r="DD6" s="596"/>
      <c r="DE6" s="596"/>
      <c r="DF6" s="596"/>
      <c r="DG6" s="596"/>
      <c r="DH6" s="596"/>
      <c r="DI6" s="596"/>
      <c r="DJ6" s="596"/>
      <c r="DK6" s="596"/>
      <c r="DL6" s="596"/>
      <c r="DM6" s="596"/>
      <c r="DN6" s="596"/>
      <c r="DO6" s="596"/>
      <c r="DP6" s="596"/>
      <c r="DQ6" s="596"/>
      <c r="DR6" s="596"/>
      <c r="DS6" s="596"/>
      <c r="DT6" s="596"/>
      <c r="DU6" s="596"/>
      <c r="DV6" s="596"/>
      <c r="DW6" s="596"/>
      <c r="DX6" s="596"/>
      <c r="DY6" s="596"/>
      <c r="DZ6" s="596"/>
      <c r="EA6" s="596"/>
    </row>
    <row r="7" spans="1:131">
      <c r="A7" s="596"/>
      <c r="B7" s="783" t="s">
        <v>281</v>
      </c>
      <c r="C7" s="783"/>
      <c r="D7" s="783"/>
      <c r="E7" s="783"/>
      <c r="F7" s="783"/>
      <c r="G7" s="783"/>
      <c r="H7" s="783"/>
      <c r="I7" s="783"/>
      <c r="J7" s="783"/>
      <c r="K7" s="783"/>
      <c r="L7" s="783"/>
      <c r="M7" s="783"/>
      <c r="N7" s="783"/>
      <c r="O7" s="783"/>
      <c r="P7" s="596"/>
      <c r="Q7" s="596"/>
      <c r="R7" s="596"/>
      <c r="S7" s="596"/>
      <c r="T7" s="596"/>
      <c r="U7" s="596"/>
      <c r="V7" s="596"/>
      <c r="W7" s="596"/>
      <c r="X7" s="596"/>
      <c r="Y7" s="596"/>
      <c r="Z7" s="596"/>
      <c r="AA7" s="596"/>
      <c r="AB7" s="596"/>
      <c r="AC7" s="596"/>
      <c r="AD7" s="596"/>
      <c r="AE7" s="596"/>
      <c r="AF7" s="596"/>
      <c r="AG7" s="596"/>
      <c r="AH7" s="596"/>
      <c r="AI7" s="596"/>
      <c r="AJ7" s="596"/>
      <c r="AK7" s="596"/>
      <c r="AL7" s="596"/>
      <c r="AM7" s="596"/>
      <c r="AN7" s="596"/>
      <c r="AO7" s="596"/>
      <c r="AP7" s="596"/>
      <c r="AQ7" s="596"/>
      <c r="AR7" s="596"/>
      <c r="AS7" s="596"/>
      <c r="AT7" s="596"/>
      <c r="AU7" s="596"/>
      <c r="AV7" s="596"/>
      <c r="AW7" s="596"/>
      <c r="AX7" s="596"/>
      <c r="AY7" s="596"/>
      <c r="AZ7" s="596"/>
      <c r="BA7" s="596"/>
      <c r="BB7" s="596"/>
      <c r="BC7" s="596"/>
      <c r="BD7" s="596"/>
      <c r="BE7" s="596"/>
      <c r="BF7" s="596"/>
      <c r="BG7" s="596"/>
      <c r="BH7" s="596"/>
      <c r="BI7" s="596"/>
      <c r="BJ7" s="596"/>
      <c r="BK7" s="596"/>
      <c r="BL7" s="596"/>
      <c r="BM7" s="596"/>
      <c r="BN7" s="596"/>
      <c r="BO7" s="596"/>
      <c r="BP7" s="596"/>
      <c r="BQ7" s="596"/>
      <c r="BR7" s="596"/>
      <c r="BS7" s="596"/>
      <c r="BT7" s="596"/>
      <c r="BU7" s="596"/>
      <c r="BV7" s="596"/>
      <c r="BW7" s="596"/>
      <c r="BX7" s="596"/>
      <c r="BY7" s="596"/>
      <c r="BZ7" s="596"/>
      <c r="CA7" s="596"/>
      <c r="CB7" s="596"/>
      <c r="CC7" s="596"/>
      <c r="CD7" s="596"/>
      <c r="CE7" s="596"/>
      <c r="CF7" s="596"/>
      <c r="CG7" s="596"/>
      <c r="CH7" s="596"/>
      <c r="CI7" s="596"/>
      <c r="CJ7" s="596"/>
      <c r="CK7" s="596"/>
      <c r="CL7" s="596"/>
      <c r="CM7" s="596"/>
      <c r="CN7" s="596"/>
      <c r="CO7" s="596"/>
      <c r="CP7" s="596"/>
      <c r="CQ7" s="596"/>
      <c r="CR7" s="596"/>
      <c r="CS7" s="596"/>
      <c r="CT7" s="596"/>
      <c r="CU7" s="596"/>
      <c r="CV7" s="596"/>
      <c r="CW7" s="596"/>
      <c r="CX7" s="596"/>
      <c r="CY7" s="596"/>
      <c r="CZ7" s="596"/>
      <c r="DA7" s="596"/>
      <c r="DB7" s="596"/>
      <c r="DC7" s="596"/>
      <c r="DD7" s="596"/>
      <c r="DE7" s="596"/>
      <c r="DF7" s="596"/>
      <c r="DG7" s="596"/>
      <c r="DH7" s="596"/>
      <c r="DI7" s="596"/>
      <c r="DJ7" s="596"/>
      <c r="DK7" s="596"/>
      <c r="DL7" s="596"/>
      <c r="DM7" s="596"/>
      <c r="DN7" s="596"/>
      <c r="DO7" s="596"/>
      <c r="DP7" s="596"/>
      <c r="DQ7" s="596"/>
      <c r="DR7" s="596"/>
      <c r="DS7" s="596"/>
      <c r="DT7" s="596"/>
      <c r="DU7" s="596"/>
      <c r="DV7" s="596"/>
      <c r="DW7" s="596"/>
      <c r="DX7" s="596"/>
      <c r="DY7" s="596"/>
      <c r="DZ7" s="596"/>
      <c r="EA7" s="596"/>
    </row>
    <row r="8" spans="1:131" ht="16">
      <c r="A8" s="596"/>
      <c r="B8" s="782" t="s">
        <v>283</v>
      </c>
      <c r="C8" s="782"/>
      <c r="D8" s="782"/>
      <c r="E8" s="782"/>
      <c r="F8" s="782"/>
      <c r="G8" s="782"/>
      <c r="H8" s="782"/>
      <c r="I8" s="782"/>
      <c r="J8" s="782"/>
      <c r="K8" s="782"/>
      <c r="L8" s="782"/>
      <c r="M8" s="782"/>
      <c r="N8" s="782"/>
      <c r="O8" s="782"/>
      <c r="P8" s="596"/>
      <c r="Q8" s="596"/>
      <c r="R8" s="596"/>
      <c r="S8" s="596"/>
      <c r="T8" s="596"/>
      <c r="U8" s="596"/>
      <c r="V8" s="596"/>
      <c r="W8" s="596"/>
      <c r="X8" s="596"/>
      <c r="Y8" s="596"/>
      <c r="Z8" s="596"/>
      <c r="AA8" s="596"/>
      <c r="AB8" s="596"/>
      <c r="AC8" s="596"/>
      <c r="AD8" s="596"/>
      <c r="AE8" s="596"/>
      <c r="AF8" s="596"/>
      <c r="AG8" s="596"/>
      <c r="AH8" s="596"/>
      <c r="AI8" s="596"/>
      <c r="AJ8" s="596"/>
      <c r="AK8" s="596"/>
      <c r="AL8" s="596"/>
      <c r="AM8" s="596"/>
      <c r="AN8" s="596"/>
      <c r="AO8" s="596"/>
      <c r="AP8" s="596"/>
      <c r="AQ8" s="596"/>
      <c r="AR8" s="596"/>
      <c r="AS8" s="596"/>
      <c r="AT8" s="596"/>
      <c r="AU8" s="596"/>
      <c r="AV8" s="596"/>
      <c r="AW8" s="596"/>
      <c r="AX8" s="596"/>
      <c r="AY8" s="596"/>
      <c r="AZ8" s="596"/>
      <c r="BA8" s="596"/>
      <c r="BB8" s="596"/>
      <c r="BC8" s="596"/>
      <c r="BD8" s="596"/>
      <c r="BE8" s="596"/>
      <c r="BF8" s="596"/>
      <c r="BG8" s="596"/>
      <c r="BH8" s="596"/>
      <c r="BI8" s="596"/>
      <c r="BJ8" s="596"/>
      <c r="BK8" s="596"/>
      <c r="BL8" s="596"/>
      <c r="BM8" s="596"/>
      <c r="BN8" s="596"/>
      <c r="BO8" s="596"/>
      <c r="BP8" s="596"/>
      <c r="BQ8" s="596"/>
      <c r="BR8" s="596"/>
      <c r="BS8" s="596"/>
      <c r="BT8" s="596"/>
      <c r="BU8" s="596"/>
      <c r="BV8" s="596"/>
      <c r="BW8" s="596"/>
      <c r="BX8" s="596"/>
      <c r="BY8" s="596"/>
      <c r="BZ8" s="596"/>
      <c r="CA8" s="596"/>
      <c r="CB8" s="596"/>
      <c r="CC8" s="596"/>
      <c r="CD8" s="596"/>
      <c r="CE8" s="596"/>
      <c r="CF8" s="596"/>
      <c r="CG8" s="596"/>
      <c r="CH8" s="596"/>
      <c r="CI8" s="596"/>
      <c r="CJ8" s="596"/>
      <c r="CK8" s="596"/>
      <c r="CL8" s="596"/>
      <c r="CM8" s="596"/>
      <c r="CN8" s="596"/>
      <c r="CO8" s="596"/>
      <c r="CP8" s="596"/>
      <c r="CQ8" s="596"/>
      <c r="CR8" s="596"/>
      <c r="CS8" s="596"/>
      <c r="CT8" s="596"/>
      <c r="CU8" s="596"/>
      <c r="CV8" s="596"/>
      <c r="CW8" s="596"/>
      <c r="CX8" s="596"/>
      <c r="CY8" s="596"/>
      <c r="CZ8" s="596"/>
      <c r="DA8" s="596"/>
      <c r="DB8" s="596"/>
      <c r="DC8" s="596"/>
      <c r="DD8" s="596"/>
      <c r="DE8" s="596"/>
      <c r="DF8" s="596"/>
      <c r="DG8" s="596"/>
      <c r="DH8" s="596"/>
      <c r="DI8" s="596"/>
      <c r="DJ8" s="596"/>
      <c r="DK8" s="596"/>
      <c r="DL8" s="596"/>
      <c r="DM8" s="596"/>
      <c r="DN8" s="596"/>
      <c r="DO8" s="596"/>
      <c r="DP8" s="596"/>
      <c r="DQ8" s="596"/>
      <c r="DR8" s="596"/>
      <c r="DS8" s="596"/>
      <c r="DT8" s="596"/>
      <c r="DU8" s="596"/>
      <c r="DV8" s="596"/>
      <c r="DW8" s="596"/>
      <c r="DX8" s="596"/>
      <c r="DY8" s="596"/>
      <c r="DZ8" s="596"/>
      <c r="EA8" s="596"/>
    </row>
    <row r="9" spans="1:131" ht="16">
      <c r="A9" s="596"/>
      <c r="B9" s="784" t="str">
        <f>[1]Status!A6</f>
        <v>As at 24/05/2024</v>
      </c>
      <c r="C9" s="775"/>
      <c r="D9" s="775"/>
      <c r="E9" s="775"/>
      <c r="F9" s="775"/>
      <c r="G9" s="775"/>
      <c r="H9" s="775"/>
      <c r="I9" s="775"/>
      <c r="J9" s="775"/>
      <c r="K9" s="775"/>
      <c r="L9" s="775"/>
      <c r="M9" s="775"/>
      <c r="N9" s="775"/>
      <c r="O9" s="775"/>
      <c r="P9" s="596"/>
      <c r="Q9" s="596"/>
      <c r="R9" s="596"/>
      <c r="S9" s="596"/>
      <c r="T9" s="596"/>
      <c r="U9" s="596"/>
      <c r="V9" s="596"/>
      <c r="W9" s="596"/>
      <c r="X9" s="596"/>
      <c r="Y9" s="596"/>
      <c r="Z9" s="596"/>
      <c r="AA9" s="596"/>
      <c r="AB9" s="596"/>
      <c r="AC9" s="596"/>
      <c r="AD9" s="596"/>
      <c r="AE9" s="596"/>
      <c r="AF9" s="596"/>
      <c r="AG9" s="596"/>
      <c r="AH9" s="596"/>
      <c r="AI9" s="596"/>
      <c r="AJ9" s="596"/>
      <c r="AK9" s="596"/>
      <c r="AL9" s="596"/>
      <c r="AM9" s="596"/>
      <c r="AN9" s="596"/>
      <c r="AO9" s="596"/>
      <c r="AP9" s="596"/>
      <c r="AQ9" s="596"/>
      <c r="AR9" s="596"/>
      <c r="AS9" s="596"/>
      <c r="AT9" s="596"/>
      <c r="AU9" s="596"/>
      <c r="AV9" s="596"/>
      <c r="AW9" s="596"/>
      <c r="AX9" s="596"/>
      <c r="AY9" s="596"/>
      <c r="AZ9" s="596"/>
      <c r="BA9" s="596"/>
      <c r="BB9" s="596"/>
      <c r="BC9" s="596"/>
      <c r="BD9" s="596"/>
      <c r="BE9" s="596"/>
      <c r="BF9" s="596"/>
      <c r="BG9" s="596"/>
      <c r="BH9" s="596"/>
      <c r="BI9" s="596"/>
      <c r="BJ9" s="596"/>
      <c r="BK9" s="596"/>
      <c r="BL9" s="596"/>
      <c r="BM9" s="596"/>
      <c r="BN9" s="596"/>
      <c r="BO9" s="596"/>
      <c r="BP9" s="596"/>
      <c r="BQ9" s="596"/>
      <c r="BR9" s="596"/>
      <c r="BS9" s="596"/>
      <c r="BT9" s="596"/>
      <c r="BU9" s="596"/>
      <c r="BV9" s="596"/>
      <c r="BW9" s="596"/>
      <c r="BX9" s="596"/>
      <c r="BY9" s="596"/>
      <c r="BZ9" s="596"/>
      <c r="CA9" s="596"/>
      <c r="CB9" s="596"/>
      <c r="CC9" s="596"/>
      <c r="CD9" s="596"/>
      <c r="CE9" s="596"/>
      <c r="CF9" s="596"/>
      <c r="CG9" s="596"/>
      <c r="CH9" s="596"/>
      <c r="CI9" s="596"/>
      <c r="CJ9" s="596"/>
      <c r="CK9" s="596"/>
      <c r="CL9" s="596"/>
      <c r="CM9" s="596"/>
      <c r="CN9" s="596"/>
      <c r="CO9" s="596"/>
      <c r="CP9" s="596"/>
      <c r="CQ9" s="596"/>
      <c r="CR9" s="596"/>
      <c r="CS9" s="596"/>
      <c r="CT9" s="596"/>
      <c r="CU9" s="596"/>
      <c r="CV9" s="596"/>
      <c r="CW9" s="596"/>
      <c r="CX9" s="596"/>
      <c r="CY9" s="596"/>
      <c r="CZ9" s="596"/>
      <c r="DA9" s="596"/>
      <c r="DB9" s="596"/>
      <c r="DC9" s="596"/>
      <c r="DD9" s="596"/>
      <c r="DE9" s="596"/>
      <c r="DF9" s="596"/>
      <c r="DG9" s="596"/>
      <c r="DH9" s="596"/>
      <c r="DI9" s="596"/>
      <c r="DJ9" s="596"/>
      <c r="DK9" s="596"/>
      <c r="DL9" s="596"/>
      <c r="DM9" s="596"/>
      <c r="DN9" s="596"/>
      <c r="DO9" s="596"/>
      <c r="DP9" s="596"/>
      <c r="DQ9" s="596"/>
      <c r="DR9" s="596"/>
      <c r="DS9" s="596"/>
      <c r="DT9" s="596"/>
      <c r="DU9" s="596"/>
      <c r="DV9" s="596"/>
      <c r="DW9" s="596"/>
      <c r="DX9" s="596"/>
      <c r="DY9" s="596"/>
      <c r="DZ9" s="596"/>
      <c r="EA9" s="596"/>
    </row>
    <row r="10" spans="1:131" ht="16.5" thickBot="1">
      <c r="A10" s="596"/>
      <c r="B10" s="643"/>
      <c r="C10" s="644"/>
      <c r="D10" s="644"/>
      <c r="E10" s="644"/>
      <c r="F10" s="644"/>
      <c r="G10" s="644"/>
      <c r="H10" s="644"/>
      <c r="I10" s="644"/>
      <c r="J10" s="644"/>
      <c r="K10" s="644"/>
      <c r="L10" s="644"/>
      <c r="M10" s="644"/>
      <c r="N10" s="644"/>
      <c r="O10" s="644"/>
      <c r="P10" s="596"/>
      <c r="Q10" s="596"/>
      <c r="R10" s="596"/>
      <c r="S10" s="596"/>
      <c r="T10" s="596"/>
      <c r="U10" s="596"/>
      <c r="V10" s="596"/>
      <c r="W10" s="596"/>
      <c r="X10" s="596"/>
      <c r="Y10" s="596"/>
      <c r="Z10" s="596"/>
      <c r="AA10" s="596"/>
      <c r="AB10" s="596"/>
      <c r="AC10" s="596"/>
      <c r="AD10" s="596"/>
      <c r="AE10" s="596"/>
      <c r="AF10" s="596"/>
      <c r="AG10" s="596"/>
      <c r="AH10" s="596"/>
      <c r="AI10" s="596"/>
      <c r="AJ10" s="596"/>
      <c r="AK10" s="596"/>
      <c r="AL10" s="596"/>
      <c r="AM10" s="596"/>
      <c r="AN10" s="596"/>
      <c r="AO10" s="596"/>
      <c r="AP10" s="596"/>
      <c r="AQ10" s="596"/>
      <c r="AR10" s="596"/>
      <c r="AS10" s="596"/>
      <c r="AT10" s="596"/>
      <c r="AU10" s="596"/>
      <c r="AV10" s="596"/>
      <c r="AW10" s="596"/>
      <c r="AX10" s="596"/>
      <c r="AY10" s="596"/>
      <c r="AZ10" s="596"/>
      <c r="BA10" s="596"/>
      <c r="BB10" s="596"/>
      <c r="BC10" s="596"/>
      <c r="BD10" s="596"/>
      <c r="BE10" s="596"/>
      <c r="BF10" s="596"/>
      <c r="BG10" s="596"/>
      <c r="BH10" s="596"/>
      <c r="BI10" s="596"/>
      <c r="BJ10" s="596"/>
      <c r="BK10" s="596"/>
      <c r="BL10" s="596"/>
      <c r="BM10" s="596"/>
      <c r="BN10" s="596"/>
      <c r="BO10" s="596"/>
      <c r="BP10" s="596"/>
      <c r="BQ10" s="596"/>
      <c r="BR10" s="596"/>
      <c r="BS10" s="596"/>
      <c r="BT10" s="596"/>
      <c r="BU10" s="596"/>
      <c r="BV10" s="596"/>
      <c r="BW10" s="596"/>
      <c r="BX10" s="596"/>
      <c r="BY10" s="596"/>
      <c r="BZ10" s="596"/>
      <c r="CA10" s="596"/>
      <c r="CB10" s="596"/>
      <c r="CC10" s="596"/>
      <c r="CD10" s="596"/>
      <c r="CE10" s="596"/>
      <c r="CF10" s="596"/>
      <c r="CG10" s="596"/>
      <c r="CH10" s="596"/>
      <c r="CI10" s="596"/>
      <c r="CJ10" s="596"/>
      <c r="CK10" s="596"/>
      <c r="CL10" s="596"/>
      <c r="CM10" s="596"/>
      <c r="CN10" s="596"/>
      <c r="CO10" s="596"/>
      <c r="CP10" s="596"/>
      <c r="CQ10" s="596"/>
      <c r="CR10" s="596"/>
      <c r="CS10" s="596"/>
      <c r="CT10" s="596"/>
      <c r="CU10" s="596"/>
      <c r="CV10" s="596"/>
      <c r="CW10" s="596"/>
      <c r="CX10" s="596"/>
      <c r="CY10" s="596"/>
      <c r="CZ10" s="596"/>
      <c r="DA10" s="596"/>
      <c r="DB10" s="596"/>
      <c r="DC10" s="596"/>
      <c r="DD10" s="596"/>
      <c r="DE10" s="596"/>
      <c r="DF10" s="596"/>
      <c r="DG10" s="596"/>
      <c r="DH10" s="596"/>
      <c r="DI10" s="596"/>
      <c r="DJ10" s="596"/>
      <c r="DK10" s="596"/>
      <c r="DL10" s="596"/>
      <c r="DM10" s="596"/>
      <c r="DN10" s="596"/>
      <c r="DO10" s="596"/>
      <c r="DP10" s="596"/>
      <c r="DQ10" s="596"/>
      <c r="DR10" s="596"/>
      <c r="DS10" s="596"/>
      <c r="DT10" s="596"/>
      <c r="DU10" s="596"/>
      <c r="DV10" s="596"/>
      <c r="DW10" s="596"/>
      <c r="DX10" s="596"/>
      <c r="DY10" s="596"/>
      <c r="DZ10" s="596"/>
      <c r="EA10" s="596"/>
    </row>
    <row r="11" spans="1:131" s="540" customFormat="1" ht="16" thickBot="1">
      <c r="A11" s="645"/>
      <c r="B11" s="646" t="s">
        <v>27</v>
      </c>
      <c r="C11" s="647" t="s">
        <v>28</v>
      </c>
      <c r="D11" s="648" t="s">
        <v>29</v>
      </c>
      <c r="E11" s="649" t="s">
        <v>30</v>
      </c>
      <c r="F11" s="647" t="s">
        <v>31</v>
      </c>
      <c r="G11" s="647" t="s">
        <v>32</v>
      </c>
      <c r="H11" s="647" t="s">
        <v>33</v>
      </c>
      <c r="I11" s="650" t="s">
        <v>34</v>
      </c>
      <c r="J11" s="650" t="s">
        <v>35</v>
      </c>
      <c r="K11" s="650" t="s">
        <v>36</v>
      </c>
      <c r="L11" s="651" t="s">
        <v>37</v>
      </c>
      <c r="M11" s="651" t="s">
        <v>235</v>
      </c>
      <c r="N11" s="651" t="s">
        <v>261</v>
      </c>
      <c r="O11" s="652" t="s">
        <v>294</v>
      </c>
      <c r="P11" s="645"/>
      <c r="Q11" s="645"/>
      <c r="R11" s="645"/>
      <c r="S11" s="645"/>
      <c r="T11" s="645"/>
      <c r="U11" s="645"/>
      <c r="V11" s="645"/>
      <c r="W11" s="645"/>
      <c r="X11" s="645"/>
      <c r="Y11" s="645"/>
      <c r="Z11" s="645"/>
      <c r="AA11" s="645"/>
      <c r="AB11" s="645"/>
      <c r="AC11" s="645"/>
      <c r="AD11" s="645"/>
      <c r="AE11" s="645"/>
      <c r="AF11" s="645"/>
      <c r="AG11" s="645"/>
      <c r="AH11" s="645"/>
      <c r="AI11" s="645"/>
      <c r="AJ11" s="645"/>
      <c r="AK11" s="645"/>
      <c r="AL11" s="645"/>
      <c r="AM11" s="645"/>
      <c r="AN11" s="645"/>
      <c r="AO11" s="645"/>
      <c r="AP11" s="645"/>
      <c r="AQ11" s="645"/>
      <c r="AR11" s="645"/>
      <c r="AS11" s="645"/>
      <c r="AT11" s="645"/>
      <c r="AU11" s="645"/>
      <c r="AV11" s="645"/>
      <c r="AW11" s="645"/>
      <c r="AX11" s="645"/>
      <c r="AY11" s="645"/>
      <c r="AZ11" s="645"/>
      <c r="BA11" s="645"/>
      <c r="BB11" s="645"/>
      <c r="BC11" s="645"/>
      <c r="BD11" s="645"/>
      <c r="BE11" s="645"/>
      <c r="BF11" s="645"/>
      <c r="BG11" s="645"/>
      <c r="BH11" s="645"/>
      <c r="BI11" s="645"/>
      <c r="BJ11" s="645"/>
      <c r="BK11" s="645"/>
      <c r="BL11" s="645"/>
      <c r="BM11" s="645"/>
      <c r="BN11" s="645"/>
      <c r="BO11" s="645"/>
      <c r="BP11" s="645"/>
      <c r="BQ11" s="645"/>
      <c r="BR11" s="645"/>
      <c r="BS11" s="645"/>
      <c r="BT11" s="645"/>
      <c r="BU11" s="645"/>
      <c r="BV11" s="645"/>
      <c r="BW11" s="645"/>
      <c r="BX11" s="645"/>
      <c r="BY11" s="645"/>
      <c r="BZ11" s="645"/>
      <c r="CA11" s="645"/>
      <c r="CB11" s="645"/>
      <c r="CC11" s="645"/>
      <c r="CD11" s="645"/>
      <c r="CE11" s="645"/>
      <c r="CF11" s="645"/>
      <c r="CG11" s="645"/>
      <c r="CH11" s="645"/>
      <c r="CI11" s="645"/>
      <c r="CJ11" s="645"/>
      <c r="CK11" s="645"/>
      <c r="CL11" s="645"/>
      <c r="CM11" s="645"/>
      <c r="CN11" s="645"/>
      <c r="CO11" s="645"/>
      <c r="CP11" s="645"/>
      <c r="CQ11" s="645"/>
      <c r="CR11" s="645"/>
      <c r="CS11" s="645"/>
      <c r="CT11" s="645"/>
      <c r="CU11" s="645"/>
      <c r="CV11" s="645"/>
      <c r="CW11" s="645"/>
      <c r="CX11" s="645"/>
      <c r="CY11" s="645"/>
      <c r="CZ11" s="645"/>
      <c r="DA11" s="645"/>
      <c r="DB11" s="645"/>
      <c r="DC11" s="645"/>
      <c r="DD11" s="645"/>
      <c r="DE11" s="645"/>
      <c r="DF11" s="645"/>
      <c r="DG11" s="645"/>
      <c r="DH11" s="645"/>
      <c r="DI11" s="645"/>
      <c r="DJ11" s="645"/>
      <c r="DK11" s="645"/>
      <c r="DL11" s="645"/>
      <c r="DM11" s="645"/>
      <c r="DN11" s="645"/>
      <c r="DO11" s="645"/>
      <c r="DP11" s="645"/>
      <c r="DQ11" s="645"/>
      <c r="DR11" s="645"/>
      <c r="DS11" s="645"/>
      <c r="DT11" s="645"/>
      <c r="DU11" s="645"/>
      <c r="DV11" s="645"/>
      <c r="DW11" s="645"/>
      <c r="DX11" s="645"/>
      <c r="DY11" s="645"/>
      <c r="DZ11" s="645"/>
      <c r="EA11" s="645"/>
    </row>
    <row r="12" spans="1:131">
      <c r="A12" s="596"/>
      <c r="B12" s="653" t="s">
        <v>38</v>
      </c>
      <c r="C12" s="654">
        <f>YR1991_93!B59</f>
        <v>235029241</v>
      </c>
      <c r="D12" s="654">
        <f>YR1994_96!B59</f>
        <v>424841347</v>
      </c>
      <c r="E12" s="654">
        <f>YR1997_99!B59</f>
        <v>472567009</v>
      </c>
      <c r="F12" s="655">
        <f>YR2000_02!B51</f>
        <v>440000001</v>
      </c>
      <c r="G12" s="655">
        <f>YR2003_05!B51</f>
        <v>474000001.26494682</v>
      </c>
      <c r="H12" s="655">
        <f>YR2006_08!B54</f>
        <v>368028480.29999989</v>
      </c>
      <c r="I12" s="656">
        <f>YR2009_11!B56</f>
        <v>399640706.40000004</v>
      </c>
      <c r="J12" s="655">
        <f>YR2012_14!B58</f>
        <v>396815724.52517265</v>
      </c>
      <c r="K12" s="655">
        <f>YR2015_17!B58</f>
        <v>436198530.19999999</v>
      </c>
      <c r="L12" s="655">
        <f>YR2018_20!B58</f>
        <v>496274667</v>
      </c>
      <c r="M12" s="655">
        <f>YR2021_23!B58</f>
        <v>473714766.99999988</v>
      </c>
      <c r="N12" s="657">
        <f>'2024-26 Contributions'!C60</f>
        <v>175199999</v>
      </c>
      <c r="O12" s="658">
        <f>C12+D12+E12+F12+G12+H12+I12+J12+K12+L12+M12+N12</f>
        <v>4792310473.6901188</v>
      </c>
      <c r="P12" s="659"/>
      <c r="Q12" s="611"/>
      <c r="R12" s="596"/>
      <c r="S12" s="596"/>
      <c r="T12" s="596"/>
      <c r="U12" s="596"/>
      <c r="V12" s="596"/>
      <c r="W12" s="596"/>
      <c r="X12" s="596"/>
      <c r="Y12" s="596"/>
      <c r="Z12" s="596"/>
      <c r="AA12" s="596"/>
      <c r="AB12" s="596"/>
      <c r="AC12" s="596"/>
      <c r="AD12" s="596"/>
      <c r="AE12" s="596"/>
      <c r="AF12" s="596"/>
      <c r="AG12" s="596"/>
      <c r="AH12" s="596"/>
      <c r="AI12" s="596"/>
      <c r="AJ12" s="596"/>
      <c r="AK12" s="596"/>
      <c r="AL12" s="596"/>
      <c r="AM12" s="596"/>
      <c r="AN12" s="596"/>
      <c r="AO12" s="596"/>
      <c r="AP12" s="596"/>
      <c r="AQ12" s="596"/>
      <c r="AR12" s="596"/>
      <c r="AS12" s="596"/>
      <c r="AT12" s="596"/>
      <c r="AU12" s="596"/>
      <c r="AV12" s="596"/>
      <c r="AW12" s="596"/>
      <c r="AX12" s="596"/>
      <c r="AY12" s="596"/>
      <c r="AZ12" s="596"/>
      <c r="BA12" s="596"/>
      <c r="BB12" s="596"/>
      <c r="BC12" s="596"/>
      <c r="BD12" s="596"/>
      <c r="BE12" s="596"/>
      <c r="BF12" s="596"/>
      <c r="BG12" s="596"/>
      <c r="BH12" s="596"/>
      <c r="BI12" s="596"/>
      <c r="BJ12" s="596"/>
      <c r="BK12" s="596"/>
      <c r="BL12" s="596"/>
      <c r="BM12" s="596"/>
      <c r="BN12" s="596"/>
      <c r="BO12" s="596"/>
      <c r="BP12" s="596"/>
      <c r="BQ12" s="596"/>
      <c r="BR12" s="596"/>
      <c r="BS12" s="596"/>
      <c r="BT12" s="596"/>
      <c r="BU12" s="596"/>
      <c r="BV12" s="596"/>
      <c r="BW12" s="596"/>
      <c r="BX12" s="596"/>
      <c r="BY12" s="596"/>
      <c r="BZ12" s="596"/>
      <c r="CA12" s="596"/>
      <c r="CB12" s="596"/>
      <c r="CC12" s="596"/>
      <c r="CD12" s="596"/>
      <c r="CE12" s="596"/>
      <c r="CF12" s="596"/>
      <c r="CG12" s="596"/>
      <c r="CH12" s="596"/>
      <c r="CI12" s="596"/>
      <c r="CJ12" s="596"/>
      <c r="CK12" s="596"/>
      <c r="CL12" s="596"/>
      <c r="CM12" s="596"/>
      <c r="CN12" s="596"/>
      <c r="CO12" s="596"/>
      <c r="CP12" s="596"/>
      <c r="CQ12" s="596"/>
      <c r="CR12" s="596"/>
      <c r="CS12" s="596"/>
      <c r="CT12" s="596"/>
      <c r="CU12" s="596"/>
      <c r="CV12" s="596"/>
      <c r="CW12" s="596"/>
      <c r="CX12" s="596"/>
      <c r="CY12" s="596"/>
      <c r="CZ12" s="596"/>
      <c r="DA12" s="596"/>
      <c r="DB12" s="596"/>
      <c r="DC12" s="596"/>
      <c r="DD12" s="596"/>
      <c r="DE12" s="596"/>
      <c r="DF12" s="596"/>
      <c r="DG12" s="596"/>
      <c r="DH12" s="596"/>
      <c r="DI12" s="596"/>
      <c r="DJ12" s="596"/>
      <c r="DK12" s="596"/>
      <c r="DL12" s="596"/>
      <c r="DM12" s="596"/>
      <c r="DN12" s="596"/>
      <c r="DO12" s="596"/>
      <c r="DP12" s="596"/>
      <c r="DQ12" s="596"/>
      <c r="DR12" s="596"/>
      <c r="DS12" s="596"/>
      <c r="DT12" s="596"/>
      <c r="DU12" s="596"/>
      <c r="DV12" s="596"/>
      <c r="DW12" s="596"/>
      <c r="DX12" s="596"/>
      <c r="DY12" s="596"/>
      <c r="DZ12" s="596"/>
      <c r="EA12" s="596"/>
    </row>
    <row r="13" spans="1:131">
      <c r="A13" s="596"/>
      <c r="B13" s="660" t="s">
        <v>39</v>
      </c>
      <c r="C13" s="661">
        <f>YR1991_93!C59</f>
        <v>206611034.09999999</v>
      </c>
      <c r="D13" s="661">
        <f>YR1994_96!C59</f>
        <v>381594829</v>
      </c>
      <c r="E13" s="661">
        <f>YR1997_99!C59</f>
        <v>418966144.33000004</v>
      </c>
      <c r="F13" s="662">
        <f>YR2000_02!C51</f>
        <v>406691769.03000003</v>
      </c>
      <c r="G13" s="662">
        <f>YR2003_05!C51</f>
        <v>421323975.82000011</v>
      </c>
      <c r="H13" s="662">
        <f>YR2006_08!C54</f>
        <v>339225802.9799999</v>
      </c>
      <c r="I13" s="662">
        <f>YR2009_11!C56</f>
        <v>376678075.12</v>
      </c>
      <c r="J13" s="662">
        <f>YR2012_14!C58</f>
        <v>379922492.53021634</v>
      </c>
      <c r="K13" s="662">
        <f>YR2015_17!C58</f>
        <v>418531677.33000004</v>
      </c>
      <c r="L13" s="662">
        <f>YR2018_20!C58</f>
        <v>478141866.64000005</v>
      </c>
      <c r="M13" s="662">
        <f>YR2021_23!C58</f>
        <v>436814356.03000009</v>
      </c>
      <c r="N13" s="663">
        <f>'2024-26 Contributions'!D60</f>
        <v>0</v>
      </c>
      <c r="O13" s="550">
        <f t="shared" ref="O13:O18" si="0">SUM(C13:N13)</f>
        <v>4264502022.9102163</v>
      </c>
      <c r="P13" s="659"/>
      <c r="Q13" s="611"/>
      <c r="R13" s="780"/>
      <c r="S13" s="596"/>
      <c r="T13" s="596"/>
      <c r="U13" s="596"/>
      <c r="V13" s="596"/>
      <c r="W13" s="596"/>
      <c r="X13" s="596"/>
      <c r="Y13" s="596"/>
      <c r="Z13" s="596"/>
      <c r="AA13" s="596"/>
      <c r="AB13" s="596"/>
      <c r="AC13" s="596"/>
      <c r="AD13" s="596"/>
      <c r="AE13" s="596"/>
      <c r="AF13" s="596"/>
      <c r="AG13" s="596"/>
      <c r="AH13" s="596"/>
      <c r="AI13" s="596"/>
      <c r="AJ13" s="596"/>
      <c r="AK13" s="596"/>
      <c r="AL13" s="596"/>
      <c r="AM13" s="596"/>
      <c r="AN13" s="596"/>
      <c r="AO13" s="596"/>
      <c r="AP13" s="596"/>
      <c r="AQ13" s="596"/>
      <c r="AR13" s="596"/>
      <c r="AS13" s="596"/>
      <c r="AT13" s="596"/>
      <c r="AU13" s="596"/>
      <c r="AV13" s="596"/>
      <c r="AW13" s="596"/>
      <c r="AX13" s="596"/>
      <c r="AY13" s="596"/>
      <c r="AZ13" s="596"/>
      <c r="BA13" s="596"/>
      <c r="BB13" s="596"/>
      <c r="BC13" s="596"/>
      <c r="BD13" s="596"/>
      <c r="BE13" s="596"/>
      <c r="BF13" s="596"/>
      <c r="BG13" s="596"/>
      <c r="BH13" s="596"/>
      <c r="BI13" s="596"/>
      <c r="BJ13" s="596"/>
      <c r="BK13" s="596"/>
      <c r="BL13" s="596"/>
      <c r="BM13" s="596"/>
      <c r="BN13" s="596"/>
      <c r="BO13" s="596"/>
      <c r="BP13" s="596"/>
      <c r="BQ13" s="596"/>
      <c r="BR13" s="596"/>
      <c r="BS13" s="596"/>
      <c r="BT13" s="596"/>
      <c r="BU13" s="596"/>
      <c r="BV13" s="596"/>
      <c r="BW13" s="596"/>
      <c r="BX13" s="596"/>
      <c r="BY13" s="596"/>
      <c r="BZ13" s="596"/>
      <c r="CA13" s="596"/>
      <c r="CB13" s="596"/>
      <c r="CC13" s="596"/>
      <c r="CD13" s="596"/>
      <c r="CE13" s="596"/>
      <c r="CF13" s="596"/>
      <c r="CG13" s="596"/>
      <c r="CH13" s="596"/>
      <c r="CI13" s="596"/>
      <c r="CJ13" s="596"/>
      <c r="CK13" s="596"/>
      <c r="CL13" s="596"/>
      <c r="CM13" s="596"/>
      <c r="CN13" s="596"/>
      <c r="CO13" s="596"/>
      <c r="CP13" s="596"/>
      <c r="CQ13" s="596"/>
      <c r="CR13" s="596"/>
      <c r="CS13" s="596"/>
      <c r="CT13" s="596"/>
      <c r="CU13" s="596"/>
      <c r="CV13" s="596"/>
      <c r="CW13" s="596"/>
      <c r="CX13" s="596"/>
      <c r="CY13" s="596"/>
      <c r="CZ13" s="596"/>
      <c r="DA13" s="596"/>
      <c r="DB13" s="596"/>
      <c r="DC13" s="596"/>
      <c r="DD13" s="596"/>
      <c r="DE13" s="596"/>
      <c r="DF13" s="596"/>
      <c r="DG13" s="596"/>
      <c r="DH13" s="596"/>
      <c r="DI13" s="596"/>
      <c r="DJ13" s="596"/>
      <c r="DK13" s="596"/>
      <c r="DL13" s="596"/>
      <c r="DM13" s="596"/>
      <c r="DN13" s="596"/>
      <c r="DO13" s="596"/>
      <c r="DP13" s="596"/>
      <c r="DQ13" s="596"/>
      <c r="DR13" s="596"/>
      <c r="DS13" s="596"/>
      <c r="DT13" s="596"/>
      <c r="DU13" s="596"/>
      <c r="DV13" s="596"/>
      <c r="DW13" s="596"/>
      <c r="DX13" s="596"/>
      <c r="DY13" s="596"/>
      <c r="DZ13" s="596"/>
      <c r="EA13" s="596"/>
    </row>
    <row r="14" spans="1:131">
      <c r="A14" s="596"/>
      <c r="B14" s="660" t="s">
        <v>40</v>
      </c>
      <c r="C14" s="661">
        <f>YR1991_93!D59</f>
        <v>4366255</v>
      </c>
      <c r="D14" s="661">
        <f>YR1994_96!D59</f>
        <v>11870240</v>
      </c>
      <c r="E14" s="661">
        <f>YR1997_99!D59</f>
        <v>20836903.199999999</v>
      </c>
      <c r="F14" s="662">
        <f>YR2000_02!D51</f>
        <v>22591302.25</v>
      </c>
      <c r="G14" s="662">
        <f>YR2003_05!D51</f>
        <v>44246306.100000001</v>
      </c>
      <c r="H14" s="662">
        <f>YR2006_08!D54</f>
        <v>19671519.060000002</v>
      </c>
      <c r="I14" s="662">
        <f>YR2009_11!D56</f>
        <v>14151636.059999999</v>
      </c>
      <c r="J14" s="662">
        <f>YR2012_14!D58</f>
        <v>11412900.450000001</v>
      </c>
      <c r="K14" s="662">
        <f>YR2015_17!D58</f>
        <v>14168565</v>
      </c>
      <c r="L14" s="662">
        <f>YR2018_20!D58</f>
        <v>13681572</v>
      </c>
      <c r="M14" s="662">
        <f>YR2021_23!D58</f>
        <v>11762610</v>
      </c>
      <c r="N14" s="663">
        <f>'2024-26 Contributions'!E60</f>
        <v>0</v>
      </c>
      <c r="O14" s="550">
        <f t="shared" si="0"/>
        <v>188759809.12</v>
      </c>
      <c r="P14" s="659"/>
      <c r="Q14" s="611"/>
      <c r="R14" s="780"/>
      <c r="S14" s="596"/>
      <c r="T14" s="596"/>
      <c r="U14" s="596"/>
      <c r="V14" s="596"/>
      <c r="W14" s="596"/>
      <c r="X14" s="596"/>
      <c r="Y14" s="596"/>
      <c r="Z14" s="596"/>
      <c r="AA14" s="596"/>
      <c r="AB14" s="596"/>
      <c r="AC14" s="596"/>
      <c r="AD14" s="596"/>
      <c r="AE14" s="596"/>
      <c r="AF14" s="596"/>
      <c r="AG14" s="596"/>
      <c r="AH14" s="596"/>
      <c r="AI14" s="596"/>
      <c r="AJ14" s="596"/>
      <c r="AK14" s="596"/>
      <c r="AL14" s="596"/>
      <c r="AM14" s="596"/>
      <c r="AN14" s="596"/>
      <c r="AO14" s="596"/>
      <c r="AP14" s="596"/>
      <c r="AQ14" s="596"/>
      <c r="AR14" s="596"/>
      <c r="AS14" s="596"/>
      <c r="AT14" s="596"/>
      <c r="AU14" s="596"/>
      <c r="AV14" s="596"/>
      <c r="AW14" s="596"/>
      <c r="AX14" s="596"/>
      <c r="AY14" s="596"/>
      <c r="AZ14" s="596"/>
      <c r="BA14" s="596"/>
      <c r="BB14" s="596"/>
      <c r="BC14" s="596"/>
      <c r="BD14" s="596"/>
      <c r="BE14" s="596"/>
      <c r="BF14" s="596"/>
      <c r="BG14" s="596"/>
      <c r="BH14" s="596"/>
      <c r="BI14" s="596"/>
      <c r="BJ14" s="596"/>
      <c r="BK14" s="596"/>
      <c r="BL14" s="596"/>
      <c r="BM14" s="596"/>
      <c r="BN14" s="596"/>
      <c r="BO14" s="596"/>
      <c r="BP14" s="596"/>
      <c r="BQ14" s="596"/>
      <c r="BR14" s="596"/>
      <c r="BS14" s="596"/>
      <c r="BT14" s="596"/>
      <c r="BU14" s="596"/>
      <c r="BV14" s="596"/>
      <c r="BW14" s="596"/>
      <c r="BX14" s="596"/>
      <c r="BY14" s="596"/>
      <c r="BZ14" s="596"/>
      <c r="CA14" s="596"/>
      <c r="CB14" s="596"/>
      <c r="CC14" s="596"/>
      <c r="CD14" s="596"/>
      <c r="CE14" s="596"/>
      <c r="CF14" s="596"/>
      <c r="CG14" s="596"/>
      <c r="CH14" s="596"/>
      <c r="CI14" s="596"/>
      <c r="CJ14" s="596"/>
      <c r="CK14" s="596"/>
      <c r="CL14" s="596"/>
      <c r="CM14" s="596"/>
      <c r="CN14" s="596"/>
      <c r="CO14" s="596"/>
      <c r="CP14" s="596"/>
      <c r="CQ14" s="596"/>
      <c r="CR14" s="596"/>
      <c r="CS14" s="596"/>
      <c r="CT14" s="596"/>
      <c r="CU14" s="596"/>
      <c r="CV14" s="596"/>
      <c r="CW14" s="596"/>
      <c r="CX14" s="596"/>
      <c r="CY14" s="596"/>
      <c r="CZ14" s="596"/>
      <c r="DA14" s="596"/>
      <c r="DB14" s="596"/>
      <c r="DC14" s="596"/>
      <c r="DD14" s="596"/>
      <c r="DE14" s="596"/>
      <c r="DF14" s="596"/>
      <c r="DG14" s="596"/>
      <c r="DH14" s="596"/>
      <c r="DI14" s="596"/>
      <c r="DJ14" s="596"/>
      <c r="DK14" s="596"/>
      <c r="DL14" s="596"/>
      <c r="DM14" s="596"/>
      <c r="DN14" s="596"/>
      <c r="DO14" s="596"/>
      <c r="DP14" s="596"/>
      <c r="DQ14" s="596"/>
      <c r="DR14" s="596"/>
      <c r="DS14" s="596"/>
      <c r="DT14" s="596"/>
      <c r="DU14" s="596"/>
      <c r="DV14" s="596"/>
      <c r="DW14" s="596"/>
      <c r="DX14" s="596"/>
      <c r="DY14" s="596"/>
      <c r="DZ14" s="596"/>
      <c r="EA14" s="596"/>
    </row>
    <row r="15" spans="1:131">
      <c r="A15" s="596"/>
      <c r="B15" s="660" t="s">
        <v>41</v>
      </c>
      <c r="C15" s="661">
        <f>YR1991_93!E59</f>
        <v>0</v>
      </c>
      <c r="D15" s="661">
        <f>YR1994_96!E59</f>
        <v>0</v>
      </c>
      <c r="E15" s="661">
        <f>YR1997_99!E59</f>
        <v>0</v>
      </c>
      <c r="F15" s="662">
        <f>YR2000_02!E51</f>
        <v>0</v>
      </c>
      <c r="G15" s="662">
        <f>YR2003_05!E51</f>
        <v>4.999999888241291E-2</v>
      </c>
      <c r="H15" s="662">
        <f>YR2006_08!E54</f>
        <v>-0.44000000040978193</v>
      </c>
      <c r="I15" s="665">
        <v>0.40999999875202775</v>
      </c>
      <c r="J15" s="662">
        <f>YR2012_14!E58</f>
        <v>-2.3606829345226288E-2</v>
      </c>
      <c r="K15" s="662">
        <f>YR2015_17!E58</f>
        <v>-0.10624981066212058</v>
      </c>
      <c r="L15" s="662">
        <f>YR2018_20!E58</f>
        <v>0</v>
      </c>
      <c r="M15" s="662">
        <f>YR2021_23!E58</f>
        <v>0</v>
      </c>
      <c r="N15" s="663">
        <f>'2024-26 Contributions'!F60</f>
        <v>0</v>
      </c>
      <c r="O15" s="550">
        <f t="shared" si="0"/>
        <v>-0.10985664278268814</v>
      </c>
      <c r="P15" s="659"/>
      <c r="Q15" s="611"/>
      <c r="R15" s="664"/>
      <c r="S15" s="596"/>
      <c r="T15" s="596"/>
      <c r="U15" s="596"/>
      <c r="V15" s="596"/>
      <c r="W15" s="596"/>
      <c r="X15" s="596"/>
      <c r="Y15" s="596"/>
      <c r="Z15" s="596"/>
      <c r="AA15" s="596"/>
      <c r="AB15" s="596"/>
      <c r="AC15" s="596"/>
      <c r="AD15" s="596"/>
      <c r="AE15" s="596"/>
      <c r="AF15" s="596"/>
      <c r="AG15" s="596"/>
      <c r="AH15" s="596"/>
      <c r="AI15" s="596"/>
      <c r="AJ15" s="596"/>
      <c r="AK15" s="596"/>
      <c r="AL15" s="596"/>
      <c r="AM15" s="596"/>
      <c r="AN15" s="596"/>
      <c r="AO15" s="596"/>
      <c r="AP15" s="596"/>
      <c r="AQ15" s="596"/>
      <c r="AR15" s="596"/>
      <c r="AS15" s="596"/>
      <c r="AT15" s="596"/>
      <c r="AU15" s="596"/>
      <c r="AV15" s="596"/>
      <c r="AW15" s="596"/>
      <c r="AX15" s="596"/>
      <c r="AY15" s="596"/>
      <c r="AZ15" s="596"/>
      <c r="BA15" s="596"/>
      <c r="BB15" s="596"/>
      <c r="BC15" s="596"/>
      <c r="BD15" s="596"/>
      <c r="BE15" s="596"/>
      <c r="BF15" s="596"/>
      <c r="BG15" s="596"/>
      <c r="BH15" s="596"/>
      <c r="BI15" s="596"/>
      <c r="BJ15" s="596"/>
      <c r="BK15" s="596"/>
      <c r="BL15" s="596"/>
      <c r="BM15" s="596"/>
      <c r="BN15" s="596"/>
      <c r="BO15" s="596"/>
      <c r="BP15" s="596"/>
      <c r="BQ15" s="596"/>
      <c r="BR15" s="596"/>
      <c r="BS15" s="596"/>
      <c r="BT15" s="596"/>
      <c r="BU15" s="596"/>
      <c r="BV15" s="596"/>
      <c r="BW15" s="596"/>
      <c r="BX15" s="596"/>
      <c r="BY15" s="596"/>
      <c r="BZ15" s="596"/>
      <c r="CA15" s="596"/>
      <c r="CB15" s="596"/>
      <c r="CC15" s="596"/>
      <c r="CD15" s="596"/>
      <c r="CE15" s="596"/>
      <c r="CF15" s="596"/>
      <c r="CG15" s="596"/>
      <c r="CH15" s="596"/>
      <c r="CI15" s="596"/>
      <c r="CJ15" s="596"/>
      <c r="CK15" s="596"/>
      <c r="CL15" s="596"/>
      <c r="CM15" s="596"/>
      <c r="CN15" s="596"/>
      <c r="CO15" s="596"/>
      <c r="CP15" s="596"/>
      <c r="CQ15" s="596"/>
      <c r="CR15" s="596"/>
      <c r="CS15" s="596"/>
      <c r="CT15" s="596"/>
      <c r="CU15" s="596"/>
      <c r="CV15" s="596"/>
      <c r="CW15" s="596"/>
      <c r="CX15" s="596"/>
      <c r="CY15" s="596"/>
      <c r="CZ15" s="596"/>
      <c r="DA15" s="596"/>
      <c r="DB15" s="596"/>
      <c r="DC15" s="596"/>
      <c r="DD15" s="596"/>
      <c r="DE15" s="596"/>
      <c r="DF15" s="596"/>
      <c r="DG15" s="596"/>
      <c r="DH15" s="596"/>
      <c r="DI15" s="596"/>
      <c r="DJ15" s="596"/>
      <c r="DK15" s="596"/>
      <c r="DL15" s="596"/>
      <c r="DM15" s="596"/>
      <c r="DN15" s="596"/>
      <c r="DO15" s="596"/>
      <c r="DP15" s="596"/>
      <c r="DQ15" s="596"/>
      <c r="DR15" s="596"/>
      <c r="DS15" s="596"/>
      <c r="DT15" s="596"/>
      <c r="DU15" s="596"/>
      <c r="DV15" s="596"/>
      <c r="DW15" s="596"/>
      <c r="DX15" s="596"/>
      <c r="DY15" s="596"/>
      <c r="DZ15" s="596"/>
      <c r="EA15" s="596"/>
    </row>
    <row r="16" spans="1:131" s="535" customFormat="1" ht="15">
      <c r="A16" s="622"/>
      <c r="B16" s="666" t="s">
        <v>42</v>
      </c>
      <c r="C16" s="667">
        <f t="shared" ref="C16:K16" si="1">SUM(C13:C15)</f>
        <v>210977289.09999999</v>
      </c>
      <c r="D16" s="667">
        <f t="shared" si="1"/>
        <v>393465069</v>
      </c>
      <c r="E16" s="667">
        <f>SUM(E13:E15)</f>
        <v>439803047.53000003</v>
      </c>
      <c r="F16" s="667">
        <f t="shared" si="1"/>
        <v>429283071.28000003</v>
      </c>
      <c r="G16" s="667">
        <f t="shared" si="1"/>
        <v>465570281.97000015</v>
      </c>
      <c r="H16" s="667">
        <f t="shared" si="1"/>
        <v>358897321.5999999</v>
      </c>
      <c r="I16" s="668">
        <f t="shared" si="1"/>
        <v>390829711.59000003</v>
      </c>
      <c r="J16" s="667">
        <f t="shared" si="1"/>
        <v>391335392.95660949</v>
      </c>
      <c r="K16" s="668">
        <f t="shared" si="1"/>
        <v>432700242.22375023</v>
      </c>
      <c r="L16" s="668">
        <f>SUM(L13:L15)</f>
        <v>491823438.64000005</v>
      </c>
      <c r="M16" s="668">
        <f>SUM(M13:M15)</f>
        <v>448576966.03000009</v>
      </c>
      <c r="N16" s="668">
        <f>SUM(N13:N15)</f>
        <v>0</v>
      </c>
      <c r="O16" s="549">
        <f t="shared" si="0"/>
        <v>4453261831.9203596</v>
      </c>
      <c r="P16" s="622"/>
      <c r="Q16" s="669"/>
      <c r="R16" s="622"/>
      <c r="S16" s="622"/>
      <c r="T16" s="622"/>
      <c r="U16" s="622"/>
      <c r="V16" s="622"/>
      <c r="W16" s="622"/>
      <c r="X16" s="622"/>
      <c r="Y16" s="622"/>
      <c r="Z16" s="622"/>
      <c r="AA16" s="622"/>
      <c r="AB16" s="622"/>
      <c r="AC16" s="622"/>
      <c r="AD16" s="622"/>
      <c r="AE16" s="622"/>
      <c r="AF16" s="622"/>
      <c r="AG16" s="622"/>
      <c r="AH16" s="622"/>
      <c r="AI16" s="622"/>
      <c r="AJ16" s="622"/>
      <c r="AK16" s="622"/>
      <c r="AL16" s="622"/>
      <c r="AM16" s="622"/>
      <c r="AN16" s="622"/>
      <c r="AO16" s="622"/>
      <c r="AP16" s="622"/>
      <c r="AQ16" s="622"/>
      <c r="AR16" s="622"/>
      <c r="AS16" s="622"/>
      <c r="AT16" s="622"/>
      <c r="AU16" s="622"/>
      <c r="AV16" s="622"/>
      <c r="AW16" s="622"/>
      <c r="AX16" s="622"/>
      <c r="AY16" s="622"/>
      <c r="AZ16" s="622"/>
      <c r="BA16" s="622"/>
      <c r="BB16" s="622"/>
      <c r="BC16" s="622"/>
      <c r="BD16" s="622"/>
      <c r="BE16" s="622"/>
      <c r="BF16" s="622"/>
      <c r="BG16" s="622"/>
      <c r="BH16" s="622"/>
      <c r="BI16" s="622"/>
      <c r="BJ16" s="622"/>
      <c r="BK16" s="622"/>
      <c r="BL16" s="622"/>
      <c r="BM16" s="622"/>
      <c r="BN16" s="622"/>
      <c r="BO16" s="622"/>
      <c r="BP16" s="622"/>
      <c r="BQ16" s="622"/>
      <c r="BR16" s="622"/>
      <c r="BS16" s="622"/>
      <c r="BT16" s="622"/>
      <c r="BU16" s="622"/>
      <c r="BV16" s="622"/>
      <c r="BW16" s="622"/>
      <c r="BX16" s="622"/>
      <c r="BY16" s="622"/>
      <c r="BZ16" s="622"/>
      <c r="CA16" s="622"/>
      <c r="CB16" s="622"/>
      <c r="CC16" s="622"/>
      <c r="CD16" s="622"/>
      <c r="CE16" s="622"/>
      <c r="CF16" s="622"/>
      <c r="CG16" s="622"/>
      <c r="CH16" s="622"/>
      <c r="CI16" s="622"/>
      <c r="CJ16" s="622"/>
      <c r="CK16" s="622"/>
      <c r="CL16" s="622"/>
      <c r="CM16" s="622"/>
      <c r="CN16" s="622"/>
      <c r="CO16" s="622"/>
      <c r="CP16" s="622"/>
      <c r="CQ16" s="622"/>
      <c r="CR16" s="622"/>
      <c r="CS16" s="622"/>
      <c r="CT16" s="622"/>
      <c r="CU16" s="622"/>
      <c r="CV16" s="622"/>
      <c r="CW16" s="622"/>
      <c r="CX16" s="622"/>
      <c r="CY16" s="622"/>
      <c r="CZ16" s="622"/>
      <c r="DA16" s="622"/>
      <c r="DB16" s="622"/>
      <c r="DC16" s="622"/>
      <c r="DD16" s="622"/>
      <c r="DE16" s="622"/>
      <c r="DF16" s="622"/>
      <c r="DG16" s="622"/>
      <c r="DH16" s="622"/>
      <c r="DI16" s="622"/>
      <c r="DJ16" s="622"/>
      <c r="DK16" s="622"/>
      <c r="DL16" s="622"/>
      <c r="DM16" s="622"/>
      <c r="DN16" s="622"/>
      <c r="DO16" s="622"/>
      <c r="DP16" s="622"/>
      <c r="DQ16" s="622"/>
      <c r="DR16" s="622"/>
      <c r="DS16" s="622"/>
      <c r="DT16" s="622"/>
      <c r="DU16" s="622"/>
      <c r="DV16" s="622"/>
      <c r="DW16" s="622"/>
      <c r="DX16" s="622"/>
      <c r="DY16" s="622"/>
      <c r="DZ16" s="622"/>
      <c r="EA16" s="622"/>
    </row>
    <row r="17" spans="1:131">
      <c r="A17" s="596"/>
      <c r="B17" s="660" t="s">
        <v>43</v>
      </c>
      <c r="C17" s="661">
        <v>0</v>
      </c>
      <c r="D17" s="661">
        <f>YR1994_96!B60</f>
        <v>8098267</v>
      </c>
      <c r="E17" s="661">
        <v>0</v>
      </c>
      <c r="F17" s="661">
        <v>0</v>
      </c>
      <c r="G17" s="661">
        <v>0</v>
      </c>
      <c r="H17" s="661">
        <f>YR2006_08!B55</f>
        <v>32471642</v>
      </c>
      <c r="I17" s="670">
        <f>YR2009_11!B57</f>
        <v>405792</v>
      </c>
      <c r="J17" s="661">
        <f>YR2012_14!B59</f>
        <v>3477910.4</v>
      </c>
      <c r="K17" s="662">
        <f>YR2015_17!B59</f>
        <v>1301470</v>
      </c>
      <c r="L17" s="662">
        <f>YR2018_20!B59</f>
        <v>3725331</v>
      </c>
      <c r="M17" s="662">
        <f>YR2021_23!B59</f>
        <v>1285232</v>
      </c>
      <c r="N17" s="663">
        <f>'2024-26 Contributions'!C61</f>
        <v>0</v>
      </c>
      <c r="O17" s="550">
        <f t="shared" si="0"/>
        <v>50765644.399999999</v>
      </c>
      <c r="P17" s="596"/>
      <c r="Q17" s="671"/>
      <c r="R17" s="596"/>
      <c r="S17" s="596"/>
      <c r="T17" s="596"/>
      <c r="U17" s="596"/>
      <c r="V17" s="596"/>
      <c r="W17" s="596"/>
      <c r="X17" s="596"/>
      <c r="Y17" s="596"/>
      <c r="Z17" s="596"/>
      <c r="AA17" s="596"/>
      <c r="AB17" s="596"/>
      <c r="AC17" s="596"/>
      <c r="AD17" s="596"/>
      <c r="AE17" s="596"/>
      <c r="AF17" s="596"/>
      <c r="AG17" s="596"/>
      <c r="AH17" s="596"/>
      <c r="AI17" s="596"/>
      <c r="AJ17" s="596"/>
      <c r="AK17" s="596"/>
      <c r="AL17" s="596"/>
      <c r="AM17" s="596"/>
      <c r="AN17" s="596"/>
      <c r="AO17" s="596"/>
      <c r="AP17" s="596"/>
      <c r="AQ17" s="596"/>
      <c r="AR17" s="596"/>
      <c r="AS17" s="596"/>
      <c r="AT17" s="596"/>
      <c r="AU17" s="596"/>
      <c r="AV17" s="596"/>
      <c r="AW17" s="596"/>
      <c r="AX17" s="596"/>
      <c r="AY17" s="596"/>
      <c r="AZ17" s="596"/>
      <c r="BA17" s="596"/>
      <c r="BB17" s="596"/>
      <c r="BC17" s="596"/>
      <c r="BD17" s="596"/>
      <c r="BE17" s="596"/>
      <c r="BF17" s="596"/>
      <c r="BG17" s="596"/>
      <c r="BH17" s="596"/>
      <c r="BI17" s="596"/>
      <c r="BJ17" s="596"/>
      <c r="BK17" s="596"/>
      <c r="BL17" s="596"/>
      <c r="BM17" s="596"/>
      <c r="BN17" s="596"/>
      <c r="BO17" s="596"/>
      <c r="BP17" s="596"/>
      <c r="BQ17" s="596"/>
      <c r="BR17" s="596"/>
      <c r="BS17" s="596"/>
      <c r="BT17" s="596"/>
      <c r="BU17" s="596"/>
      <c r="BV17" s="596"/>
      <c r="BW17" s="596"/>
      <c r="BX17" s="596"/>
      <c r="BY17" s="596"/>
      <c r="BZ17" s="596"/>
      <c r="CA17" s="596"/>
      <c r="CB17" s="596"/>
      <c r="CC17" s="596"/>
      <c r="CD17" s="596"/>
      <c r="CE17" s="596"/>
      <c r="CF17" s="596"/>
      <c r="CG17" s="596"/>
      <c r="CH17" s="596"/>
      <c r="CI17" s="596"/>
      <c r="CJ17" s="596"/>
      <c r="CK17" s="596"/>
      <c r="CL17" s="596"/>
      <c r="CM17" s="596"/>
      <c r="CN17" s="596"/>
      <c r="CO17" s="596"/>
      <c r="CP17" s="596"/>
      <c r="CQ17" s="596"/>
      <c r="CR17" s="596"/>
      <c r="CS17" s="596"/>
      <c r="CT17" s="596"/>
      <c r="CU17" s="596"/>
      <c r="CV17" s="596"/>
      <c r="CW17" s="596"/>
      <c r="CX17" s="596"/>
      <c r="CY17" s="596"/>
      <c r="CZ17" s="596"/>
      <c r="DA17" s="596"/>
      <c r="DB17" s="596"/>
      <c r="DC17" s="596"/>
      <c r="DD17" s="596"/>
      <c r="DE17" s="596"/>
      <c r="DF17" s="596"/>
      <c r="DG17" s="596"/>
      <c r="DH17" s="596"/>
      <c r="DI17" s="596"/>
      <c r="DJ17" s="596"/>
      <c r="DK17" s="596"/>
      <c r="DL17" s="596"/>
      <c r="DM17" s="596"/>
      <c r="DN17" s="596"/>
      <c r="DO17" s="596"/>
      <c r="DP17" s="596"/>
      <c r="DQ17" s="596"/>
      <c r="DR17" s="596"/>
      <c r="DS17" s="596"/>
      <c r="DT17" s="596"/>
      <c r="DU17" s="596"/>
      <c r="DV17" s="596"/>
      <c r="DW17" s="596"/>
      <c r="DX17" s="596"/>
      <c r="DY17" s="596"/>
      <c r="DZ17" s="596"/>
      <c r="EA17" s="596"/>
    </row>
    <row r="18" spans="1:131">
      <c r="A18" s="596"/>
      <c r="B18" s="660" t="s">
        <v>44</v>
      </c>
      <c r="C18" s="661">
        <f t="shared" ref="C18:K18" si="2">C12-C16</f>
        <v>24051951.900000006</v>
      </c>
      <c r="D18" s="661">
        <f t="shared" si="2"/>
        <v>31376278</v>
      </c>
      <c r="E18" s="661">
        <f t="shared" si="2"/>
        <v>32763961.469999969</v>
      </c>
      <c r="F18" s="661">
        <f t="shared" si="2"/>
        <v>10716929.719999969</v>
      </c>
      <c r="G18" s="661">
        <f t="shared" si="2"/>
        <v>8429719.2949466705</v>
      </c>
      <c r="H18" s="661">
        <f t="shared" si="2"/>
        <v>9131158.6999999881</v>
      </c>
      <c r="I18" s="670">
        <f t="shared" si="2"/>
        <v>8810994.8100000024</v>
      </c>
      <c r="J18" s="661">
        <f t="shared" si="2"/>
        <v>5480331.5685631633</v>
      </c>
      <c r="K18" s="670">
        <f t="shared" si="2"/>
        <v>3498287.9762497544</v>
      </c>
      <c r="L18" s="670">
        <f>YR2018_20!F58</f>
        <v>4451228.3600000003</v>
      </c>
      <c r="M18" s="670">
        <f>YR2021_23!F58</f>
        <v>25137800.969999902</v>
      </c>
      <c r="N18" s="672">
        <f>'2024-26 Contributions'!G60</f>
        <v>166959606.83200002</v>
      </c>
      <c r="O18" s="550">
        <f t="shared" si="0"/>
        <v>330808249.60175943</v>
      </c>
      <c r="P18" s="596"/>
      <c r="Q18" s="611"/>
      <c r="R18" s="596"/>
      <c r="S18" s="596"/>
      <c r="T18" s="596"/>
      <c r="U18" s="596"/>
      <c r="V18" s="596"/>
      <c r="W18" s="596"/>
      <c r="X18" s="596"/>
      <c r="Y18" s="596"/>
      <c r="Z18" s="596"/>
      <c r="AA18" s="596"/>
      <c r="AB18" s="596"/>
      <c r="AC18" s="596"/>
      <c r="AD18" s="596"/>
      <c r="AE18" s="596"/>
      <c r="AF18" s="596"/>
      <c r="AG18" s="596"/>
      <c r="AH18" s="596"/>
      <c r="AI18" s="596"/>
      <c r="AJ18" s="596"/>
      <c r="AK18" s="596"/>
      <c r="AL18" s="596"/>
      <c r="AM18" s="596"/>
      <c r="AN18" s="596"/>
      <c r="AO18" s="596"/>
      <c r="AP18" s="596"/>
      <c r="AQ18" s="596"/>
      <c r="AR18" s="596"/>
      <c r="AS18" s="596"/>
      <c r="AT18" s="596"/>
      <c r="AU18" s="596"/>
      <c r="AV18" s="596"/>
      <c r="AW18" s="596"/>
      <c r="AX18" s="596"/>
      <c r="AY18" s="596"/>
      <c r="AZ18" s="596"/>
      <c r="BA18" s="596"/>
      <c r="BB18" s="596"/>
      <c r="BC18" s="596"/>
      <c r="BD18" s="596"/>
      <c r="BE18" s="596"/>
      <c r="BF18" s="596"/>
      <c r="BG18" s="596"/>
      <c r="BH18" s="596"/>
      <c r="BI18" s="596"/>
      <c r="BJ18" s="596"/>
      <c r="BK18" s="596"/>
      <c r="BL18" s="596"/>
      <c r="BM18" s="596"/>
      <c r="BN18" s="596"/>
      <c r="BO18" s="596"/>
      <c r="BP18" s="596"/>
      <c r="BQ18" s="596"/>
      <c r="BR18" s="596"/>
      <c r="BS18" s="596"/>
      <c r="BT18" s="596"/>
      <c r="BU18" s="596"/>
      <c r="BV18" s="596"/>
      <c r="BW18" s="596"/>
      <c r="BX18" s="596"/>
      <c r="BY18" s="596"/>
      <c r="BZ18" s="596"/>
      <c r="CA18" s="596"/>
      <c r="CB18" s="596"/>
      <c r="CC18" s="596"/>
      <c r="CD18" s="596"/>
      <c r="CE18" s="596"/>
      <c r="CF18" s="596"/>
      <c r="CG18" s="596"/>
      <c r="CH18" s="596"/>
      <c r="CI18" s="596"/>
      <c r="CJ18" s="596"/>
      <c r="CK18" s="596"/>
      <c r="CL18" s="596"/>
      <c r="CM18" s="596"/>
      <c r="CN18" s="596"/>
      <c r="CO18" s="596"/>
      <c r="CP18" s="596"/>
      <c r="CQ18" s="596"/>
      <c r="CR18" s="596"/>
      <c r="CS18" s="596"/>
      <c r="CT18" s="596"/>
      <c r="CU18" s="596"/>
      <c r="CV18" s="596"/>
      <c r="CW18" s="596"/>
      <c r="CX18" s="596"/>
      <c r="CY18" s="596"/>
      <c r="CZ18" s="596"/>
      <c r="DA18" s="596"/>
      <c r="DB18" s="596"/>
      <c r="DC18" s="596"/>
      <c r="DD18" s="596"/>
      <c r="DE18" s="596"/>
      <c r="DF18" s="596"/>
      <c r="DG18" s="596"/>
      <c r="DH18" s="596"/>
      <c r="DI18" s="596"/>
      <c r="DJ18" s="596"/>
      <c r="DK18" s="596"/>
      <c r="DL18" s="596"/>
      <c r="DM18" s="596"/>
      <c r="DN18" s="596"/>
      <c r="DO18" s="596"/>
      <c r="DP18" s="596"/>
      <c r="DQ18" s="596"/>
      <c r="DR18" s="596"/>
      <c r="DS18" s="596"/>
      <c r="DT18" s="596"/>
      <c r="DU18" s="596"/>
      <c r="DV18" s="596"/>
      <c r="DW18" s="596"/>
      <c r="DX18" s="596"/>
      <c r="DY18" s="596"/>
      <c r="DZ18" s="596"/>
      <c r="EA18" s="596"/>
    </row>
    <row r="19" spans="1:131">
      <c r="A19" s="596"/>
      <c r="B19" s="660" t="s">
        <v>45</v>
      </c>
      <c r="C19" s="673">
        <f t="shared" ref="C19:K19" si="3">C16/C12</f>
        <v>0.8976640021570762</v>
      </c>
      <c r="D19" s="673">
        <f t="shared" si="3"/>
        <v>0.92614589370464451</v>
      </c>
      <c r="E19" s="673">
        <f t="shared" si="3"/>
        <v>0.93066811511169212</v>
      </c>
      <c r="F19" s="673">
        <f t="shared" si="3"/>
        <v>0.97564334160081068</v>
      </c>
      <c r="G19" s="673">
        <f t="shared" si="3"/>
        <v>0.98221578212563165</v>
      </c>
      <c r="H19" s="673">
        <f t="shared" si="3"/>
        <v>0.97518898892673556</v>
      </c>
      <c r="I19" s="673">
        <f t="shared" si="3"/>
        <v>0.97795270934892931</v>
      </c>
      <c r="J19" s="673">
        <f t="shared" si="3"/>
        <v>0.98618922782074503</v>
      </c>
      <c r="K19" s="673">
        <f t="shared" si="3"/>
        <v>0.99198005556175128</v>
      </c>
      <c r="L19" s="673">
        <f>L16/L12</f>
        <v>0.99103071614171279</v>
      </c>
      <c r="M19" s="673">
        <f>M16/M12</f>
        <v>0.94693473220352486</v>
      </c>
      <c r="N19" s="673">
        <f>N16/N12</f>
        <v>0</v>
      </c>
      <c r="O19" s="551">
        <f>O16/O12</f>
        <v>0.92925152833249369</v>
      </c>
      <c r="P19" s="596"/>
      <c r="Q19" s="596"/>
      <c r="R19" s="596"/>
      <c r="S19" s="596"/>
      <c r="T19" s="596"/>
      <c r="U19" s="596"/>
      <c r="V19" s="596"/>
      <c r="W19" s="596"/>
      <c r="X19" s="596"/>
      <c r="Y19" s="596"/>
      <c r="Z19" s="596"/>
      <c r="AA19" s="596"/>
      <c r="AB19" s="596"/>
      <c r="AC19" s="596"/>
      <c r="AD19" s="596"/>
      <c r="AE19" s="596"/>
      <c r="AF19" s="596"/>
      <c r="AG19" s="596"/>
      <c r="AH19" s="596"/>
      <c r="AI19" s="596"/>
      <c r="AJ19" s="596"/>
      <c r="AK19" s="596"/>
      <c r="AL19" s="596"/>
      <c r="AM19" s="596"/>
      <c r="AN19" s="596"/>
      <c r="AO19" s="596"/>
      <c r="AP19" s="596"/>
      <c r="AQ19" s="596"/>
      <c r="AR19" s="596"/>
      <c r="AS19" s="596"/>
      <c r="AT19" s="596"/>
      <c r="AU19" s="596"/>
      <c r="AV19" s="596"/>
      <c r="AW19" s="596"/>
      <c r="AX19" s="596"/>
      <c r="AY19" s="596"/>
      <c r="AZ19" s="596"/>
      <c r="BA19" s="596"/>
      <c r="BB19" s="596"/>
      <c r="BC19" s="596"/>
      <c r="BD19" s="596"/>
      <c r="BE19" s="596"/>
      <c r="BF19" s="596"/>
      <c r="BG19" s="596"/>
      <c r="BH19" s="596"/>
      <c r="BI19" s="596"/>
      <c r="BJ19" s="596"/>
      <c r="BK19" s="596"/>
      <c r="BL19" s="596"/>
      <c r="BM19" s="596"/>
      <c r="BN19" s="596"/>
      <c r="BO19" s="596"/>
      <c r="BP19" s="596"/>
      <c r="BQ19" s="596"/>
      <c r="BR19" s="596"/>
      <c r="BS19" s="596"/>
      <c r="BT19" s="596"/>
      <c r="BU19" s="596"/>
      <c r="BV19" s="596"/>
      <c r="BW19" s="596"/>
      <c r="BX19" s="596"/>
      <c r="BY19" s="596"/>
      <c r="BZ19" s="596"/>
      <c r="CA19" s="596"/>
      <c r="CB19" s="596"/>
      <c r="CC19" s="596"/>
      <c r="CD19" s="596"/>
      <c r="CE19" s="596"/>
      <c r="CF19" s="596"/>
      <c r="CG19" s="596"/>
      <c r="CH19" s="596"/>
      <c r="CI19" s="596"/>
      <c r="CJ19" s="596"/>
      <c r="CK19" s="596"/>
      <c r="CL19" s="596"/>
      <c r="CM19" s="596"/>
      <c r="CN19" s="596"/>
      <c r="CO19" s="596"/>
      <c r="CP19" s="596"/>
      <c r="CQ19" s="596"/>
      <c r="CR19" s="596"/>
      <c r="CS19" s="596"/>
      <c r="CT19" s="596"/>
      <c r="CU19" s="596"/>
      <c r="CV19" s="596"/>
      <c r="CW19" s="596"/>
      <c r="CX19" s="596"/>
      <c r="CY19" s="596"/>
      <c r="CZ19" s="596"/>
      <c r="DA19" s="596"/>
      <c r="DB19" s="596"/>
      <c r="DC19" s="596"/>
      <c r="DD19" s="596"/>
      <c r="DE19" s="596"/>
      <c r="DF19" s="596"/>
      <c r="DG19" s="596"/>
      <c r="DH19" s="596"/>
      <c r="DI19" s="596"/>
      <c r="DJ19" s="596"/>
      <c r="DK19" s="596"/>
      <c r="DL19" s="596"/>
      <c r="DM19" s="596"/>
      <c r="DN19" s="596"/>
      <c r="DO19" s="596"/>
      <c r="DP19" s="596"/>
      <c r="DQ19" s="596"/>
      <c r="DR19" s="596"/>
      <c r="DS19" s="596"/>
      <c r="DT19" s="596"/>
      <c r="DU19" s="596"/>
      <c r="DV19" s="596"/>
      <c r="DW19" s="596"/>
      <c r="DX19" s="596"/>
      <c r="DY19" s="596"/>
      <c r="DZ19" s="596"/>
      <c r="EA19" s="596"/>
    </row>
    <row r="20" spans="1:131">
      <c r="A20" s="596"/>
      <c r="B20" s="674"/>
      <c r="C20" s="675"/>
      <c r="D20" s="675"/>
      <c r="E20" s="675"/>
      <c r="F20" s="675"/>
      <c r="G20" s="675"/>
      <c r="H20" s="675"/>
      <c r="I20" s="676"/>
      <c r="J20" s="675"/>
      <c r="K20" s="665"/>
      <c r="L20" s="665"/>
      <c r="M20" s="665"/>
      <c r="N20" s="677"/>
      <c r="O20" s="552"/>
      <c r="P20" s="596"/>
      <c r="Q20" s="596"/>
      <c r="R20" s="596"/>
      <c r="S20" s="596"/>
      <c r="T20" s="596"/>
      <c r="U20" s="596"/>
      <c r="V20" s="596"/>
      <c r="W20" s="596"/>
      <c r="X20" s="596"/>
      <c r="Y20" s="596"/>
      <c r="Z20" s="596"/>
      <c r="AA20" s="596"/>
      <c r="AB20" s="596"/>
      <c r="AC20" s="596"/>
      <c r="AD20" s="596"/>
      <c r="AE20" s="596"/>
      <c r="AF20" s="596"/>
      <c r="AG20" s="596"/>
      <c r="AH20" s="596"/>
      <c r="AI20" s="596"/>
      <c r="AJ20" s="596"/>
      <c r="AK20" s="596"/>
      <c r="AL20" s="596"/>
      <c r="AM20" s="596"/>
      <c r="AN20" s="596"/>
      <c r="AO20" s="596"/>
      <c r="AP20" s="596"/>
      <c r="AQ20" s="596"/>
      <c r="AR20" s="596"/>
      <c r="AS20" s="596"/>
      <c r="AT20" s="596"/>
      <c r="AU20" s="596"/>
      <c r="AV20" s="596"/>
      <c r="AW20" s="596"/>
      <c r="AX20" s="596"/>
      <c r="AY20" s="596"/>
      <c r="AZ20" s="596"/>
      <c r="BA20" s="596"/>
      <c r="BB20" s="596"/>
      <c r="BC20" s="596"/>
      <c r="BD20" s="596"/>
      <c r="BE20" s="596"/>
      <c r="BF20" s="596"/>
      <c r="BG20" s="596"/>
      <c r="BH20" s="596"/>
      <c r="BI20" s="596"/>
      <c r="BJ20" s="596"/>
      <c r="BK20" s="596"/>
      <c r="BL20" s="596"/>
      <c r="BM20" s="596"/>
      <c r="BN20" s="596"/>
      <c r="BO20" s="596"/>
      <c r="BP20" s="596"/>
      <c r="BQ20" s="596"/>
      <c r="BR20" s="596"/>
      <c r="BS20" s="596"/>
      <c r="BT20" s="596"/>
      <c r="BU20" s="596"/>
      <c r="BV20" s="596"/>
      <c r="BW20" s="596"/>
      <c r="BX20" s="596"/>
      <c r="BY20" s="596"/>
      <c r="BZ20" s="596"/>
      <c r="CA20" s="596"/>
      <c r="CB20" s="596"/>
      <c r="CC20" s="596"/>
      <c r="CD20" s="596"/>
      <c r="CE20" s="596"/>
      <c r="CF20" s="596"/>
      <c r="CG20" s="596"/>
      <c r="CH20" s="596"/>
      <c r="CI20" s="596"/>
      <c r="CJ20" s="596"/>
      <c r="CK20" s="596"/>
      <c r="CL20" s="596"/>
      <c r="CM20" s="596"/>
      <c r="CN20" s="596"/>
      <c r="CO20" s="596"/>
      <c r="CP20" s="596"/>
      <c r="CQ20" s="596"/>
      <c r="CR20" s="596"/>
      <c r="CS20" s="596"/>
      <c r="CT20" s="596"/>
      <c r="CU20" s="596"/>
      <c r="CV20" s="596"/>
      <c r="CW20" s="596"/>
      <c r="CX20" s="596"/>
      <c r="CY20" s="596"/>
      <c r="CZ20" s="596"/>
      <c r="DA20" s="596"/>
      <c r="DB20" s="596"/>
      <c r="DC20" s="596"/>
      <c r="DD20" s="596"/>
      <c r="DE20" s="596"/>
      <c r="DF20" s="596"/>
      <c r="DG20" s="596"/>
      <c r="DH20" s="596"/>
      <c r="DI20" s="596"/>
      <c r="DJ20" s="596"/>
      <c r="DK20" s="596"/>
      <c r="DL20" s="596"/>
      <c r="DM20" s="596"/>
      <c r="DN20" s="596"/>
      <c r="DO20" s="596"/>
      <c r="DP20" s="596"/>
      <c r="DQ20" s="596"/>
      <c r="DR20" s="596"/>
      <c r="DS20" s="596"/>
      <c r="DT20" s="596"/>
      <c r="DU20" s="596"/>
      <c r="DV20" s="596"/>
      <c r="DW20" s="596"/>
      <c r="DX20" s="596"/>
      <c r="DY20" s="596"/>
      <c r="DZ20" s="596"/>
      <c r="EA20" s="596"/>
    </row>
    <row r="21" spans="1:131" s="535" customFormat="1" ht="15">
      <c r="A21" s="622"/>
      <c r="B21" s="678" t="s">
        <v>46</v>
      </c>
      <c r="C21" s="667">
        <f>540614+1757933+3025097</f>
        <v>5323644</v>
      </c>
      <c r="D21" s="667">
        <f>5701779+11211677+11612277</f>
        <v>28525733</v>
      </c>
      <c r="E21" s="667">
        <f>18328786+17676694+8680036</f>
        <v>44685516</v>
      </c>
      <c r="F21" s="667">
        <f>25264748+17588394+11093459</f>
        <v>53946601</v>
      </c>
      <c r="G21" s="667">
        <f>7227409+4662511+68190+7416339</f>
        <v>19374449</v>
      </c>
      <c r="H21" s="667">
        <f>13773709+18998156+11964896-1198947</f>
        <v>43537814</v>
      </c>
      <c r="I21" s="668">
        <f>4403437+3645451+258151+579758+642792+675973+339069</f>
        <v>10544631</v>
      </c>
      <c r="J21" s="668">
        <f>2347348.17+2369301.95+1898402.88</f>
        <v>6615053</v>
      </c>
      <c r="K21" s="679">
        <v>8836636.5300000012</v>
      </c>
      <c r="L21" s="679">
        <v>25295185.84</v>
      </c>
      <c r="M21" s="679">
        <f>'[2]2021_23_Interest'!$D$68</f>
        <v>38706412.780000001</v>
      </c>
      <c r="N21" s="680"/>
      <c r="O21" s="681">
        <f>SUM(C21:N21)</f>
        <v>285391676.14999998</v>
      </c>
      <c r="P21" s="622"/>
      <c r="Q21" s="622"/>
      <c r="R21" s="622"/>
      <c r="S21" s="622"/>
      <c r="T21" s="622"/>
      <c r="U21" s="622"/>
      <c r="V21" s="622"/>
      <c r="W21" s="622"/>
      <c r="X21" s="622"/>
      <c r="Y21" s="622"/>
      <c r="Z21" s="622"/>
      <c r="AA21" s="622"/>
      <c r="AB21" s="622"/>
      <c r="AC21" s="622"/>
      <c r="AD21" s="622"/>
      <c r="AE21" s="622"/>
      <c r="AF21" s="622"/>
      <c r="AG21" s="622"/>
      <c r="AH21" s="622"/>
      <c r="AI21" s="622"/>
      <c r="AJ21" s="622"/>
      <c r="AK21" s="622"/>
      <c r="AL21" s="622"/>
      <c r="AM21" s="622"/>
      <c r="AN21" s="622"/>
      <c r="AO21" s="622"/>
      <c r="AP21" s="622"/>
      <c r="AQ21" s="622"/>
      <c r="AR21" s="622"/>
      <c r="AS21" s="622"/>
      <c r="AT21" s="622"/>
      <c r="AU21" s="622"/>
      <c r="AV21" s="622"/>
      <c r="AW21" s="622"/>
      <c r="AX21" s="622"/>
      <c r="AY21" s="622"/>
      <c r="AZ21" s="622"/>
      <c r="BA21" s="622"/>
      <c r="BB21" s="622"/>
      <c r="BC21" s="622"/>
      <c r="BD21" s="622"/>
      <c r="BE21" s="622"/>
      <c r="BF21" s="622"/>
      <c r="BG21" s="622"/>
      <c r="BH21" s="622"/>
      <c r="BI21" s="622"/>
      <c r="BJ21" s="622"/>
      <c r="BK21" s="622"/>
      <c r="BL21" s="622"/>
      <c r="BM21" s="622"/>
      <c r="BN21" s="622"/>
      <c r="BO21" s="622"/>
      <c r="BP21" s="622"/>
      <c r="BQ21" s="622"/>
      <c r="BR21" s="622"/>
      <c r="BS21" s="622"/>
      <c r="BT21" s="622"/>
      <c r="BU21" s="622"/>
      <c r="BV21" s="622"/>
      <c r="BW21" s="622"/>
      <c r="BX21" s="622"/>
      <c r="BY21" s="622"/>
      <c r="BZ21" s="622"/>
      <c r="CA21" s="622"/>
      <c r="CB21" s="622"/>
      <c r="CC21" s="622"/>
      <c r="CD21" s="622"/>
      <c r="CE21" s="622"/>
      <c r="CF21" s="622"/>
      <c r="CG21" s="622"/>
      <c r="CH21" s="622"/>
      <c r="CI21" s="622"/>
      <c r="CJ21" s="622"/>
      <c r="CK21" s="622"/>
      <c r="CL21" s="622"/>
      <c r="CM21" s="622"/>
      <c r="CN21" s="622"/>
      <c r="CO21" s="622"/>
      <c r="CP21" s="622"/>
      <c r="CQ21" s="622"/>
      <c r="CR21" s="622"/>
      <c r="CS21" s="622"/>
      <c r="CT21" s="622"/>
      <c r="CU21" s="622"/>
      <c r="CV21" s="622"/>
      <c r="CW21" s="622"/>
      <c r="CX21" s="622"/>
      <c r="CY21" s="622"/>
      <c r="CZ21" s="622"/>
      <c r="DA21" s="622"/>
      <c r="DB21" s="622"/>
      <c r="DC21" s="622"/>
      <c r="DD21" s="622"/>
      <c r="DE21" s="622"/>
      <c r="DF21" s="622"/>
      <c r="DG21" s="622"/>
      <c r="DH21" s="622"/>
      <c r="DI21" s="622"/>
      <c r="DJ21" s="622"/>
      <c r="DK21" s="622"/>
      <c r="DL21" s="622"/>
      <c r="DM21" s="622"/>
      <c r="DN21" s="622"/>
      <c r="DO21" s="622"/>
      <c r="DP21" s="622"/>
      <c r="DQ21" s="622"/>
      <c r="DR21" s="622"/>
      <c r="DS21" s="622"/>
      <c r="DT21" s="622"/>
      <c r="DU21" s="622"/>
      <c r="DV21" s="622"/>
      <c r="DW21" s="622"/>
      <c r="DX21" s="622"/>
      <c r="DY21" s="622"/>
      <c r="DZ21" s="622"/>
      <c r="EA21" s="622"/>
    </row>
    <row r="22" spans="1:131">
      <c r="A22" s="596"/>
      <c r="B22" s="674" t="s">
        <v>47</v>
      </c>
      <c r="C22" s="661"/>
      <c r="D22" s="661"/>
      <c r="E22" s="661"/>
      <c r="F22" s="661"/>
      <c r="G22" s="661"/>
      <c r="H22" s="661"/>
      <c r="I22" s="670"/>
      <c r="J22" s="670"/>
      <c r="K22" s="682"/>
      <c r="L22" s="682"/>
      <c r="M22" s="682"/>
      <c r="N22" s="683"/>
      <c r="O22" s="552"/>
      <c r="P22" s="596"/>
      <c r="Q22" s="684"/>
      <c r="R22" s="596"/>
      <c r="S22" s="596"/>
      <c r="T22" s="596"/>
      <c r="U22" s="596"/>
      <c r="V22" s="596"/>
      <c r="W22" s="596"/>
      <c r="X22" s="596"/>
      <c r="Y22" s="596"/>
      <c r="Z22" s="596"/>
      <c r="AA22" s="596"/>
      <c r="AB22" s="596"/>
      <c r="AC22" s="596"/>
      <c r="AD22" s="596"/>
      <c r="AE22" s="596"/>
      <c r="AF22" s="596"/>
      <c r="AG22" s="596"/>
      <c r="AH22" s="596"/>
      <c r="AI22" s="596"/>
      <c r="AJ22" s="596"/>
      <c r="AK22" s="596"/>
      <c r="AL22" s="596"/>
      <c r="AM22" s="596"/>
      <c r="AN22" s="596"/>
      <c r="AO22" s="596"/>
      <c r="AP22" s="596"/>
      <c r="AQ22" s="596"/>
      <c r="AR22" s="596"/>
      <c r="AS22" s="596"/>
      <c r="AT22" s="596"/>
      <c r="AU22" s="596"/>
      <c r="AV22" s="596"/>
      <c r="AW22" s="596"/>
      <c r="AX22" s="596"/>
      <c r="AY22" s="596"/>
      <c r="AZ22" s="596"/>
      <c r="BA22" s="596"/>
      <c r="BB22" s="596"/>
      <c r="BC22" s="596"/>
      <c r="BD22" s="596"/>
      <c r="BE22" s="596"/>
      <c r="BF22" s="596"/>
      <c r="BG22" s="596"/>
      <c r="BH22" s="596"/>
      <c r="BI22" s="596"/>
      <c r="BJ22" s="596"/>
      <c r="BK22" s="596"/>
      <c r="BL22" s="596"/>
      <c r="BM22" s="596"/>
      <c r="BN22" s="596"/>
      <c r="BO22" s="596"/>
      <c r="BP22" s="596"/>
      <c r="BQ22" s="596"/>
      <c r="BR22" s="596"/>
      <c r="BS22" s="596"/>
      <c r="BT22" s="596"/>
      <c r="BU22" s="596"/>
      <c r="BV22" s="596"/>
      <c r="BW22" s="596"/>
      <c r="BX22" s="596"/>
      <c r="BY22" s="596"/>
      <c r="BZ22" s="596"/>
      <c r="CA22" s="596"/>
      <c r="CB22" s="596"/>
      <c r="CC22" s="596"/>
      <c r="CD22" s="596"/>
      <c r="CE22" s="596"/>
      <c r="CF22" s="596"/>
      <c r="CG22" s="596"/>
      <c r="CH22" s="596"/>
      <c r="CI22" s="596"/>
      <c r="CJ22" s="596"/>
      <c r="CK22" s="596"/>
      <c r="CL22" s="596"/>
      <c r="CM22" s="596"/>
      <c r="CN22" s="596"/>
      <c r="CO22" s="596"/>
      <c r="CP22" s="596"/>
      <c r="CQ22" s="596"/>
      <c r="CR22" s="596"/>
      <c r="CS22" s="596"/>
      <c r="CT22" s="596"/>
      <c r="CU22" s="596"/>
      <c r="CV22" s="596"/>
      <c r="CW22" s="596"/>
      <c r="CX22" s="596"/>
      <c r="CY22" s="596"/>
      <c r="CZ22" s="596"/>
      <c r="DA22" s="596"/>
      <c r="DB22" s="596"/>
      <c r="DC22" s="596"/>
      <c r="DD22" s="596"/>
      <c r="DE22" s="596"/>
      <c r="DF22" s="596"/>
      <c r="DG22" s="596"/>
      <c r="DH22" s="596"/>
      <c r="DI22" s="596"/>
      <c r="DJ22" s="596"/>
      <c r="DK22" s="596"/>
      <c r="DL22" s="596"/>
      <c r="DM22" s="596"/>
      <c r="DN22" s="596"/>
      <c r="DO22" s="596"/>
      <c r="DP22" s="596"/>
      <c r="DQ22" s="596"/>
      <c r="DR22" s="596"/>
      <c r="DS22" s="596"/>
      <c r="DT22" s="596"/>
      <c r="DU22" s="596"/>
      <c r="DV22" s="596"/>
      <c r="DW22" s="596"/>
      <c r="DX22" s="596"/>
      <c r="DY22" s="596"/>
      <c r="DZ22" s="596"/>
      <c r="EA22" s="596"/>
    </row>
    <row r="23" spans="1:131" s="535" customFormat="1" ht="15">
      <c r="A23" s="622"/>
      <c r="B23" s="678" t="s">
        <v>48</v>
      </c>
      <c r="C23" s="667">
        <f>703333.93+522233.9+216535.43</f>
        <v>1442103.26</v>
      </c>
      <c r="D23" s="667">
        <f>651432.73+378571.43+267361.41</f>
        <v>1297365.5699999998</v>
      </c>
      <c r="E23" s="667">
        <f>548524+375073.87+300000</f>
        <v>1223597.8700000001</v>
      </c>
      <c r="F23" s="667">
        <f>300000+284089+(395193.99-45193+61935.29)+127722+1535</f>
        <v>1125282.28</v>
      </c>
      <c r="G23" s="667">
        <f>347600+457931+580646</f>
        <v>1386177</v>
      </c>
      <c r="H23" s="667">
        <f>1329111+1001142+(1172239-176347.98+51040.11)</f>
        <v>3377184.13</v>
      </c>
      <c r="I23" s="668">
        <f>968463+41623.79+125308.26+300000+298125.61+59363-51000+8988.84+940330-39883.18+31+731303+165000</f>
        <v>3547653.32</v>
      </c>
      <c r="J23" s="668">
        <f>1534909.14+1540797+2728703.86</f>
        <v>5804410</v>
      </c>
      <c r="K23" s="679">
        <f>1023142+575020.45+184671.71</f>
        <v>1782834.16</v>
      </c>
      <c r="L23" s="679">
        <f>854973+939817+871392</f>
        <v>2666182</v>
      </c>
      <c r="M23" s="679">
        <f>699622+1015163+1054878</f>
        <v>2769663</v>
      </c>
      <c r="N23" s="680"/>
      <c r="O23" s="681">
        <f>SUM(C23:M23)</f>
        <v>26422452.59</v>
      </c>
      <c r="P23" s="622"/>
      <c r="Q23" s="622"/>
      <c r="R23" s="622"/>
      <c r="S23" s="622"/>
      <c r="T23" s="622"/>
      <c r="U23" s="622"/>
      <c r="V23" s="622"/>
      <c r="W23" s="622"/>
      <c r="X23" s="622"/>
      <c r="Y23" s="622"/>
      <c r="Z23" s="622"/>
      <c r="AA23" s="622"/>
      <c r="AB23" s="622"/>
      <c r="AC23" s="622"/>
      <c r="AD23" s="622"/>
      <c r="AE23" s="622"/>
      <c r="AF23" s="622"/>
      <c r="AG23" s="622"/>
      <c r="AH23" s="622"/>
      <c r="AI23" s="622"/>
      <c r="AJ23" s="622"/>
      <c r="AK23" s="622"/>
      <c r="AL23" s="622"/>
      <c r="AM23" s="622"/>
      <c r="AN23" s="622"/>
      <c r="AO23" s="622"/>
      <c r="AP23" s="622"/>
      <c r="AQ23" s="622"/>
      <c r="AR23" s="622"/>
      <c r="AS23" s="622"/>
      <c r="AT23" s="622"/>
      <c r="AU23" s="622"/>
      <c r="AV23" s="622"/>
      <c r="AW23" s="622"/>
      <c r="AX23" s="622"/>
      <c r="AY23" s="622"/>
      <c r="AZ23" s="622"/>
      <c r="BA23" s="622"/>
      <c r="BB23" s="622"/>
      <c r="BC23" s="622"/>
      <c r="BD23" s="622"/>
      <c r="BE23" s="622"/>
      <c r="BF23" s="622"/>
      <c r="BG23" s="622"/>
      <c r="BH23" s="622"/>
      <c r="BI23" s="622"/>
      <c r="BJ23" s="622"/>
      <c r="BK23" s="622"/>
      <c r="BL23" s="622"/>
      <c r="BM23" s="622"/>
      <c r="BN23" s="622"/>
      <c r="BO23" s="622"/>
      <c r="BP23" s="622"/>
      <c r="BQ23" s="622"/>
      <c r="BR23" s="622"/>
      <c r="BS23" s="622"/>
      <c r="BT23" s="622"/>
      <c r="BU23" s="622"/>
      <c r="BV23" s="622"/>
      <c r="BW23" s="622"/>
      <c r="BX23" s="622"/>
      <c r="BY23" s="622"/>
      <c r="BZ23" s="622"/>
      <c r="CA23" s="622"/>
      <c r="CB23" s="622"/>
      <c r="CC23" s="622"/>
      <c r="CD23" s="622"/>
      <c r="CE23" s="622"/>
      <c r="CF23" s="622"/>
      <c r="CG23" s="622"/>
      <c r="CH23" s="622"/>
      <c r="CI23" s="622"/>
      <c r="CJ23" s="622"/>
      <c r="CK23" s="622"/>
      <c r="CL23" s="622"/>
      <c r="CM23" s="622"/>
      <c r="CN23" s="622"/>
      <c r="CO23" s="622"/>
      <c r="CP23" s="622"/>
      <c r="CQ23" s="622"/>
      <c r="CR23" s="622"/>
      <c r="CS23" s="622"/>
      <c r="CT23" s="622"/>
      <c r="CU23" s="622"/>
      <c r="CV23" s="622"/>
      <c r="CW23" s="622"/>
      <c r="CX23" s="622"/>
      <c r="CY23" s="622"/>
      <c r="CZ23" s="622"/>
      <c r="DA23" s="622"/>
      <c r="DB23" s="622"/>
      <c r="DC23" s="622"/>
      <c r="DD23" s="622"/>
      <c r="DE23" s="622"/>
      <c r="DF23" s="622"/>
      <c r="DG23" s="622"/>
      <c r="DH23" s="622"/>
      <c r="DI23" s="622"/>
      <c r="DJ23" s="622"/>
      <c r="DK23" s="622"/>
      <c r="DL23" s="622"/>
      <c r="DM23" s="622"/>
      <c r="DN23" s="622"/>
      <c r="DO23" s="622"/>
      <c r="DP23" s="622"/>
      <c r="DQ23" s="622"/>
      <c r="DR23" s="622"/>
      <c r="DS23" s="622"/>
      <c r="DT23" s="622"/>
      <c r="DU23" s="622"/>
      <c r="DV23" s="622"/>
      <c r="DW23" s="622"/>
      <c r="DX23" s="622"/>
      <c r="DY23" s="622"/>
      <c r="DZ23" s="622"/>
      <c r="EA23" s="622"/>
    </row>
    <row r="24" spans="1:131" ht="16" thickBot="1">
      <c r="A24" s="596"/>
      <c r="B24" s="685"/>
      <c r="C24" s="686"/>
      <c r="D24" s="686"/>
      <c r="E24" s="687"/>
      <c r="F24" s="686"/>
      <c r="G24" s="686"/>
      <c r="H24" s="686"/>
      <c r="I24" s="688"/>
      <c r="J24" s="688"/>
      <c r="K24" s="689"/>
      <c r="L24" s="690"/>
      <c r="M24" s="690"/>
      <c r="N24" s="690"/>
      <c r="O24" s="691"/>
      <c r="P24" s="596"/>
      <c r="Q24" s="596"/>
      <c r="R24" s="596"/>
      <c r="S24" s="596"/>
      <c r="T24" s="596"/>
      <c r="U24" s="596"/>
      <c r="V24" s="596"/>
      <c r="W24" s="596"/>
      <c r="X24" s="596"/>
      <c r="Y24" s="596"/>
      <c r="Z24" s="596"/>
      <c r="AA24" s="596"/>
      <c r="AB24" s="596"/>
      <c r="AC24" s="596"/>
      <c r="AD24" s="596"/>
      <c r="AE24" s="596"/>
      <c r="AF24" s="596"/>
      <c r="AG24" s="596"/>
      <c r="AH24" s="596"/>
      <c r="AI24" s="596"/>
      <c r="AJ24" s="596"/>
      <c r="AK24" s="596"/>
      <c r="AL24" s="596"/>
      <c r="AM24" s="596"/>
      <c r="AN24" s="596"/>
      <c r="AO24" s="596"/>
      <c r="AP24" s="596"/>
      <c r="AQ24" s="596"/>
      <c r="AR24" s="596"/>
      <c r="AS24" s="596"/>
      <c r="AT24" s="596"/>
      <c r="AU24" s="596"/>
      <c r="AV24" s="596"/>
      <c r="AW24" s="596"/>
      <c r="AX24" s="596"/>
      <c r="AY24" s="596"/>
      <c r="AZ24" s="596"/>
      <c r="BA24" s="596"/>
      <c r="BB24" s="596"/>
      <c r="BC24" s="596"/>
      <c r="BD24" s="596"/>
      <c r="BE24" s="596"/>
      <c r="BF24" s="596"/>
      <c r="BG24" s="596"/>
      <c r="BH24" s="596"/>
      <c r="BI24" s="596"/>
      <c r="BJ24" s="596"/>
      <c r="BK24" s="596"/>
      <c r="BL24" s="596"/>
      <c r="BM24" s="596"/>
      <c r="BN24" s="596"/>
      <c r="BO24" s="596"/>
      <c r="BP24" s="596"/>
      <c r="BQ24" s="596"/>
      <c r="BR24" s="596"/>
      <c r="BS24" s="596"/>
      <c r="BT24" s="596"/>
      <c r="BU24" s="596"/>
      <c r="BV24" s="596"/>
      <c r="BW24" s="596"/>
      <c r="BX24" s="596"/>
      <c r="BY24" s="596"/>
      <c r="BZ24" s="596"/>
      <c r="CA24" s="596"/>
      <c r="CB24" s="596"/>
      <c r="CC24" s="596"/>
      <c r="CD24" s="596"/>
      <c r="CE24" s="596"/>
      <c r="CF24" s="596"/>
      <c r="CG24" s="596"/>
      <c r="CH24" s="596"/>
      <c r="CI24" s="596"/>
      <c r="CJ24" s="596"/>
      <c r="CK24" s="596"/>
      <c r="CL24" s="596"/>
      <c r="CM24" s="596"/>
      <c r="CN24" s="596"/>
      <c r="CO24" s="596"/>
      <c r="CP24" s="596"/>
      <c r="CQ24" s="596"/>
      <c r="CR24" s="596"/>
      <c r="CS24" s="596"/>
      <c r="CT24" s="596"/>
      <c r="CU24" s="596"/>
      <c r="CV24" s="596"/>
      <c r="CW24" s="596"/>
      <c r="CX24" s="596"/>
      <c r="CY24" s="596"/>
      <c r="CZ24" s="596"/>
      <c r="DA24" s="596"/>
      <c r="DB24" s="596"/>
      <c r="DC24" s="596"/>
      <c r="DD24" s="596"/>
      <c r="DE24" s="596"/>
      <c r="DF24" s="596"/>
      <c r="DG24" s="596"/>
      <c r="DH24" s="596"/>
      <c r="DI24" s="596"/>
      <c r="DJ24" s="596"/>
      <c r="DK24" s="596"/>
      <c r="DL24" s="596"/>
      <c r="DM24" s="596"/>
      <c r="DN24" s="596"/>
      <c r="DO24" s="596"/>
      <c r="DP24" s="596"/>
      <c r="DQ24" s="596"/>
      <c r="DR24" s="596"/>
      <c r="DS24" s="596"/>
      <c r="DT24" s="596"/>
      <c r="DU24" s="596"/>
      <c r="DV24" s="596"/>
      <c r="DW24" s="596"/>
      <c r="DX24" s="596"/>
      <c r="DY24" s="596"/>
      <c r="DZ24" s="596"/>
      <c r="EA24" s="596"/>
    </row>
    <row r="25" spans="1:131" s="535" customFormat="1" thickBot="1">
      <c r="A25" s="622"/>
      <c r="B25" s="692" t="s">
        <v>49</v>
      </c>
      <c r="C25" s="580">
        <f>C16+C21+C23</f>
        <v>217743036.35999998</v>
      </c>
      <c r="D25" s="580">
        <f>D16+D21+D23</f>
        <v>423288167.56999999</v>
      </c>
      <c r="E25" s="693">
        <f>E16+E21+E23</f>
        <v>485712161.40000004</v>
      </c>
      <c r="F25" s="580">
        <f>F16+F21+F23</f>
        <v>484354954.56</v>
      </c>
      <c r="G25" s="580">
        <f>G16+G21+G23</f>
        <v>486330907.97000015</v>
      </c>
      <c r="H25" s="580">
        <f t="shared" ref="H25:K25" si="4">H16+H21+H22+H23</f>
        <v>405812319.7299999</v>
      </c>
      <c r="I25" s="694">
        <f t="shared" si="4"/>
        <v>404921995.91000003</v>
      </c>
      <c r="J25" s="694">
        <f t="shared" si="4"/>
        <v>403754855.95660949</v>
      </c>
      <c r="K25" s="695">
        <f t="shared" si="4"/>
        <v>443319712.91375023</v>
      </c>
      <c r="L25" s="695">
        <f>L16+L21+L22+L23</f>
        <v>519784806.48000002</v>
      </c>
      <c r="M25" s="695">
        <f>M16+M21+M22+M23</f>
        <v>490053041.81000006</v>
      </c>
      <c r="N25" s="695">
        <f>N16+N21+N22+N23</f>
        <v>0</v>
      </c>
      <c r="O25" s="696">
        <f>O16+O21+O22+O23</f>
        <v>4765075960.6603594</v>
      </c>
      <c r="P25" s="622"/>
      <c r="Q25" s="622"/>
      <c r="R25" s="622"/>
      <c r="S25" s="622"/>
      <c r="T25" s="622"/>
      <c r="U25" s="622"/>
      <c r="V25" s="622"/>
      <c r="W25" s="622"/>
      <c r="X25" s="622"/>
      <c r="Y25" s="622"/>
      <c r="Z25" s="622"/>
      <c r="AA25" s="622"/>
      <c r="AB25" s="622"/>
      <c r="AC25" s="622"/>
      <c r="AD25" s="622"/>
      <c r="AE25" s="622"/>
      <c r="AF25" s="622"/>
      <c r="AG25" s="622"/>
      <c r="AH25" s="622"/>
      <c r="AI25" s="622"/>
      <c r="AJ25" s="622"/>
      <c r="AK25" s="622"/>
      <c r="AL25" s="622"/>
      <c r="AM25" s="622"/>
      <c r="AN25" s="622"/>
      <c r="AO25" s="622"/>
      <c r="AP25" s="622"/>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c r="CU25" s="622"/>
      <c r="CV25" s="622"/>
      <c r="CW25" s="622"/>
      <c r="CX25" s="622"/>
      <c r="CY25" s="622"/>
      <c r="CZ25" s="622"/>
      <c r="DA25" s="622"/>
      <c r="DB25" s="622"/>
      <c r="DC25" s="622"/>
      <c r="DD25" s="622"/>
      <c r="DE25" s="622"/>
      <c r="DF25" s="622"/>
      <c r="DG25" s="622"/>
      <c r="DH25" s="622"/>
      <c r="DI25" s="622"/>
      <c r="DJ25" s="622"/>
      <c r="DK25" s="622"/>
      <c r="DL25" s="622"/>
      <c r="DM25" s="622"/>
      <c r="DN25" s="622"/>
      <c r="DO25" s="622"/>
      <c r="DP25" s="622"/>
      <c r="DQ25" s="622"/>
      <c r="DR25" s="622"/>
      <c r="DS25" s="622"/>
      <c r="DT25" s="622"/>
      <c r="DU25" s="622"/>
      <c r="DV25" s="622"/>
      <c r="DW25" s="622"/>
      <c r="DX25" s="622"/>
      <c r="DY25" s="622"/>
      <c r="DZ25" s="622"/>
      <c r="EA25" s="622"/>
    </row>
    <row r="26" spans="1:131">
      <c r="A26" s="596"/>
      <c r="B26" s="697"/>
      <c r="C26" s="655"/>
      <c r="D26" s="655"/>
      <c r="E26" s="698"/>
      <c r="F26" s="655"/>
      <c r="G26" s="655"/>
      <c r="H26" s="655"/>
      <c r="I26" s="699"/>
      <c r="J26" s="699"/>
      <c r="K26" s="700"/>
      <c r="L26" s="701"/>
      <c r="M26" s="701"/>
      <c r="N26" s="701"/>
      <c r="O26" s="702"/>
      <c r="P26" s="596"/>
      <c r="Q26" s="596"/>
      <c r="R26" s="596"/>
      <c r="S26" s="596"/>
      <c r="T26" s="596"/>
      <c r="U26" s="596"/>
      <c r="V26" s="596"/>
      <c r="W26" s="596"/>
      <c r="X26" s="596"/>
      <c r="Y26" s="596"/>
      <c r="Z26" s="596"/>
      <c r="AA26" s="596"/>
      <c r="AB26" s="596"/>
      <c r="AC26" s="596"/>
      <c r="AD26" s="596"/>
      <c r="AE26" s="596"/>
      <c r="AF26" s="596"/>
      <c r="AG26" s="596"/>
      <c r="AH26" s="596"/>
      <c r="AI26" s="596"/>
      <c r="AJ26" s="596"/>
      <c r="AK26" s="596"/>
      <c r="AL26" s="596"/>
      <c r="AM26" s="596"/>
      <c r="AN26" s="596"/>
      <c r="AO26" s="596"/>
      <c r="AP26" s="596"/>
      <c r="AQ26" s="596"/>
      <c r="AR26" s="596"/>
      <c r="AS26" s="596"/>
      <c r="AT26" s="596"/>
      <c r="AU26" s="596"/>
      <c r="AV26" s="596"/>
      <c r="AW26" s="596"/>
      <c r="AX26" s="596"/>
      <c r="AY26" s="596"/>
      <c r="AZ26" s="596"/>
      <c r="BA26" s="596"/>
      <c r="BB26" s="596"/>
      <c r="BC26" s="596"/>
      <c r="BD26" s="596"/>
      <c r="BE26" s="596"/>
      <c r="BF26" s="596"/>
      <c r="BG26" s="596"/>
      <c r="BH26" s="596"/>
      <c r="BI26" s="596"/>
      <c r="BJ26" s="596"/>
      <c r="BK26" s="596"/>
      <c r="BL26" s="596"/>
      <c r="BM26" s="596"/>
      <c r="BN26" s="596"/>
      <c r="BO26" s="596"/>
      <c r="BP26" s="596"/>
      <c r="BQ26" s="596"/>
      <c r="BR26" s="596"/>
      <c r="BS26" s="596"/>
      <c r="BT26" s="596"/>
      <c r="BU26" s="596"/>
      <c r="BV26" s="596"/>
      <c r="BW26" s="596"/>
      <c r="BX26" s="596"/>
      <c r="BY26" s="596"/>
      <c r="BZ26" s="596"/>
      <c r="CA26" s="596"/>
      <c r="CB26" s="596"/>
      <c r="CC26" s="596"/>
      <c r="CD26" s="596"/>
      <c r="CE26" s="596"/>
      <c r="CF26" s="596"/>
      <c r="CG26" s="596"/>
      <c r="CH26" s="596"/>
      <c r="CI26" s="596"/>
      <c r="CJ26" s="596"/>
      <c r="CK26" s="596"/>
      <c r="CL26" s="596"/>
      <c r="CM26" s="596"/>
      <c r="CN26" s="596"/>
      <c r="CO26" s="596"/>
      <c r="CP26" s="596"/>
      <c r="CQ26" s="596"/>
      <c r="CR26" s="596"/>
      <c r="CS26" s="596"/>
      <c r="CT26" s="596"/>
      <c r="CU26" s="596"/>
      <c r="CV26" s="596"/>
      <c r="CW26" s="596"/>
      <c r="CX26" s="596"/>
      <c r="CY26" s="596"/>
      <c r="CZ26" s="596"/>
      <c r="DA26" s="596"/>
      <c r="DB26" s="596"/>
      <c r="DC26" s="596"/>
      <c r="DD26" s="596"/>
      <c r="DE26" s="596"/>
      <c r="DF26" s="596"/>
      <c r="DG26" s="596"/>
      <c r="DH26" s="596"/>
      <c r="DI26" s="596"/>
      <c r="DJ26" s="596"/>
      <c r="DK26" s="596"/>
      <c r="DL26" s="596"/>
      <c r="DM26" s="596"/>
      <c r="DN26" s="596"/>
      <c r="DO26" s="596"/>
      <c r="DP26" s="596"/>
      <c r="DQ26" s="596"/>
      <c r="DR26" s="596"/>
      <c r="DS26" s="596"/>
      <c r="DT26" s="596"/>
      <c r="DU26" s="596"/>
      <c r="DV26" s="596"/>
      <c r="DW26" s="596"/>
      <c r="DX26" s="596"/>
      <c r="DY26" s="596"/>
      <c r="DZ26" s="596"/>
      <c r="EA26" s="596"/>
    </row>
    <row r="27" spans="1:131">
      <c r="A27" s="596"/>
      <c r="B27" s="666" t="s">
        <v>50</v>
      </c>
      <c r="C27" s="771" t="s">
        <v>28</v>
      </c>
      <c r="D27" s="771" t="s">
        <v>29</v>
      </c>
      <c r="E27" s="771" t="s">
        <v>30</v>
      </c>
      <c r="F27" s="771" t="s">
        <v>31</v>
      </c>
      <c r="G27" s="771" t="s">
        <v>32</v>
      </c>
      <c r="H27" s="771" t="s">
        <v>33</v>
      </c>
      <c r="I27" s="772" t="s">
        <v>34</v>
      </c>
      <c r="J27" s="772" t="s">
        <v>35</v>
      </c>
      <c r="K27" s="772" t="s">
        <v>36</v>
      </c>
      <c r="L27" s="772" t="s">
        <v>37</v>
      </c>
      <c r="M27" s="772" t="s">
        <v>235</v>
      </c>
      <c r="N27" s="772" t="s">
        <v>261</v>
      </c>
      <c r="O27" s="773" t="s">
        <v>262</v>
      </c>
      <c r="P27" s="596"/>
      <c r="Q27" s="596"/>
      <c r="R27" s="596"/>
      <c r="S27" s="596"/>
      <c r="T27" s="596"/>
      <c r="U27" s="596"/>
      <c r="V27" s="596"/>
      <c r="W27" s="596"/>
      <c r="X27" s="596"/>
      <c r="Y27" s="596"/>
      <c r="Z27" s="596"/>
      <c r="AA27" s="596"/>
      <c r="AB27" s="596"/>
      <c r="AC27" s="596"/>
      <c r="AD27" s="596"/>
      <c r="AE27" s="596"/>
      <c r="AF27" s="596"/>
      <c r="AG27" s="596"/>
      <c r="AH27" s="596"/>
      <c r="AI27" s="596"/>
      <c r="AJ27" s="596"/>
      <c r="AK27" s="596"/>
      <c r="AL27" s="596"/>
      <c r="AM27" s="596"/>
      <c r="AN27" s="596"/>
      <c r="AO27" s="596"/>
      <c r="AP27" s="596"/>
      <c r="AQ27" s="596"/>
      <c r="AR27" s="596"/>
      <c r="AS27" s="596"/>
      <c r="AT27" s="596"/>
      <c r="AU27" s="596"/>
      <c r="AV27" s="596"/>
      <c r="AW27" s="596"/>
      <c r="AX27" s="596"/>
      <c r="AY27" s="596"/>
      <c r="AZ27" s="596"/>
      <c r="BA27" s="596"/>
      <c r="BB27" s="596"/>
      <c r="BC27" s="596"/>
      <c r="BD27" s="596"/>
      <c r="BE27" s="596"/>
      <c r="BF27" s="596"/>
      <c r="BG27" s="596"/>
      <c r="BH27" s="596"/>
      <c r="BI27" s="596"/>
      <c r="BJ27" s="596"/>
      <c r="BK27" s="596"/>
      <c r="BL27" s="596"/>
      <c r="BM27" s="596"/>
      <c r="BN27" s="596"/>
      <c r="BO27" s="596"/>
      <c r="BP27" s="596"/>
      <c r="BQ27" s="596"/>
      <c r="BR27" s="596"/>
      <c r="BS27" s="596"/>
      <c r="BT27" s="596"/>
      <c r="BU27" s="596"/>
      <c r="BV27" s="596"/>
      <c r="BW27" s="596"/>
      <c r="BX27" s="596"/>
      <c r="BY27" s="596"/>
      <c r="BZ27" s="596"/>
      <c r="CA27" s="596"/>
      <c r="CB27" s="596"/>
      <c r="CC27" s="596"/>
      <c r="CD27" s="596"/>
      <c r="CE27" s="596"/>
      <c r="CF27" s="596"/>
      <c r="CG27" s="596"/>
      <c r="CH27" s="596"/>
      <c r="CI27" s="596"/>
      <c r="CJ27" s="596"/>
      <c r="CK27" s="596"/>
      <c r="CL27" s="596"/>
      <c r="CM27" s="596"/>
      <c r="CN27" s="596"/>
      <c r="CO27" s="596"/>
      <c r="CP27" s="596"/>
      <c r="CQ27" s="596"/>
      <c r="CR27" s="596"/>
      <c r="CS27" s="596"/>
      <c r="CT27" s="596"/>
      <c r="CU27" s="596"/>
      <c r="CV27" s="596"/>
      <c r="CW27" s="596"/>
      <c r="CX27" s="596"/>
      <c r="CY27" s="596"/>
      <c r="CZ27" s="596"/>
      <c r="DA27" s="596"/>
      <c r="DB27" s="596"/>
      <c r="DC27" s="596"/>
      <c r="DD27" s="596"/>
      <c r="DE27" s="596"/>
      <c r="DF27" s="596"/>
      <c r="DG27" s="596"/>
      <c r="DH27" s="596"/>
      <c r="DI27" s="596"/>
      <c r="DJ27" s="596"/>
      <c r="DK27" s="596"/>
      <c r="DL27" s="596"/>
      <c r="DM27" s="596"/>
      <c r="DN27" s="596"/>
      <c r="DO27" s="596"/>
      <c r="DP27" s="596"/>
      <c r="DQ27" s="596"/>
      <c r="DR27" s="596"/>
      <c r="DS27" s="596"/>
      <c r="DT27" s="596"/>
      <c r="DU27" s="596"/>
      <c r="DV27" s="596"/>
      <c r="DW27" s="596"/>
      <c r="DX27" s="596"/>
      <c r="DY27" s="596"/>
      <c r="DZ27" s="596"/>
      <c r="EA27" s="596"/>
    </row>
    <row r="28" spans="1:131">
      <c r="A28" s="596"/>
      <c r="B28" s="660" t="s">
        <v>51</v>
      </c>
      <c r="C28" s="662">
        <f t="shared" ref="C28:O28" si="5">C12</f>
        <v>235029241</v>
      </c>
      <c r="D28" s="662">
        <f t="shared" si="5"/>
        <v>424841347</v>
      </c>
      <c r="E28" s="662">
        <f t="shared" si="5"/>
        <v>472567009</v>
      </c>
      <c r="F28" s="662">
        <f t="shared" si="5"/>
        <v>440000001</v>
      </c>
      <c r="G28" s="662">
        <f t="shared" si="5"/>
        <v>474000001.26494682</v>
      </c>
      <c r="H28" s="662">
        <f t="shared" si="5"/>
        <v>368028480.29999989</v>
      </c>
      <c r="I28" s="703">
        <f t="shared" si="5"/>
        <v>399640706.40000004</v>
      </c>
      <c r="J28" s="703">
        <f t="shared" si="5"/>
        <v>396815724.52517265</v>
      </c>
      <c r="K28" s="703">
        <f t="shared" si="5"/>
        <v>436198530.19999999</v>
      </c>
      <c r="L28" s="703">
        <f>L12</f>
        <v>496274667</v>
      </c>
      <c r="M28" s="703">
        <f>M12</f>
        <v>473714766.99999988</v>
      </c>
      <c r="N28" s="703">
        <f>N12</f>
        <v>175199999</v>
      </c>
      <c r="O28" s="704">
        <f t="shared" si="5"/>
        <v>4792310473.6901188</v>
      </c>
      <c r="P28" s="596"/>
      <c r="Q28" s="596"/>
      <c r="R28" s="596"/>
      <c r="S28" s="596"/>
      <c r="T28" s="596"/>
      <c r="U28" s="596"/>
      <c r="V28" s="596"/>
      <c r="W28" s="596"/>
      <c r="X28" s="596"/>
      <c r="Y28" s="596"/>
      <c r="Z28" s="596"/>
      <c r="AA28" s="596"/>
      <c r="AB28" s="596"/>
      <c r="AC28" s="596"/>
      <c r="AD28" s="596"/>
      <c r="AE28" s="596"/>
      <c r="AF28" s="596"/>
      <c r="AG28" s="596"/>
      <c r="AH28" s="596"/>
      <c r="AI28" s="596"/>
      <c r="AJ28" s="596"/>
      <c r="AK28" s="596"/>
      <c r="AL28" s="596"/>
      <c r="AM28" s="596"/>
      <c r="AN28" s="596"/>
      <c r="AO28" s="596"/>
      <c r="AP28" s="596"/>
      <c r="AQ28" s="596"/>
      <c r="AR28" s="596"/>
      <c r="AS28" s="596"/>
      <c r="AT28" s="596"/>
      <c r="AU28" s="596"/>
      <c r="AV28" s="596"/>
      <c r="AW28" s="596"/>
      <c r="AX28" s="596"/>
      <c r="AY28" s="596"/>
      <c r="AZ28" s="596"/>
      <c r="BA28" s="596"/>
      <c r="BB28" s="596"/>
      <c r="BC28" s="596"/>
      <c r="BD28" s="596"/>
      <c r="BE28" s="596"/>
      <c r="BF28" s="596"/>
      <c r="BG28" s="596"/>
      <c r="BH28" s="596"/>
      <c r="BI28" s="596"/>
      <c r="BJ28" s="596"/>
      <c r="BK28" s="596"/>
      <c r="BL28" s="596"/>
      <c r="BM28" s="596"/>
      <c r="BN28" s="596"/>
      <c r="BO28" s="596"/>
      <c r="BP28" s="596"/>
      <c r="BQ28" s="596"/>
      <c r="BR28" s="596"/>
      <c r="BS28" s="596"/>
      <c r="BT28" s="596"/>
      <c r="BU28" s="596"/>
      <c r="BV28" s="596"/>
      <c r="BW28" s="596"/>
      <c r="BX28" s="596"/>
      <c r="BY28" s="596"/>
      <c r="BZ28" s="596"/>
      <c r="CA28" s="596"/>
      <c r="CB28" s="596"/>
      <c r="CC28" s="596"/>
      <c r="CD28" s="596"/>
      <c r="CE28" s="596"/>
      <c r="CF28" s="596"/>
      <c r="CG28" s="596"/>
      <c r="CH28" s="596"/>
      <c r="CI28" s="596"/>
      <c r="CJ28" s="596"/>
      <c r="CK28" s="596"/>
      <c r="CL28" s="596"/>
      <c r="CM28" s="596"/>
      <c r="CN28" s="596"/>
      <c r="CO28" s="596"/>
      <c r="CP28" s="596"/>
      <c r="CQ28" s="596"/>
      <c r="CR28" s="596"/>
      <c r="CS28" s="596"/>
      <c r="CT28" s="596"/>
      <c r="CU28" s="596"/>
      <c r="CV28" s="596"/>
      <c r="CW28" s="596"/>
      <c r="CX28" s="596"/>
      <c r="CY28" s="596"/>
      <c r="CZ28" s="596"/>
      <c r="DA28" s="596"/>
      <c r="DB28" s="596"/>
      <c r="DC28" s="596"/>
      <c r="DD28" s="596"/>
      <c r="DE28" s="596"/>
      <c r="DF28" s="596"/>
      <c r="DG28" s="596"/>
      <c r="DH28" s="596"/>
      <c r="DI28" s="596"/>
      <c r="DJ28" s="596"/>
      <c r="DK28" s="596"/>
      <c r="DL28" s="596"/>
      <c r="DM28" s="596"/>
      <c r="DN28" s="596"/>
      <c r="DO28" s="596"/>
      <c r="DP28" s="596"/>
      <c r="DQ28" s="596"/>
      <c r="DR28" s="596"/>
      <c r="DS28" s="596"/>
      <c r="DT28" s="596"/>
      <c r="DU28" s="596"/>
      <c r="DV28" s="596"/>
      <c r="DW28" s="596"/>
      <c r="DX28" s="596"/>
      <c r="DY28" s="596"/>
      <c r="DZ28" s="596"/>
      <c r="EA28" s="596"/>
    </row>
    <row r="29" spans="1:131">
      <c r="A29" s="596"/>
      <c r="B29" s="660" t="s">
        <v>42</v>
      </c>
      <c r="C29" s="662">
        <f t="shared" ref="C29:O29" si="6">C16</f>
        <v>210977289.09999999</v>
      </c>
      <c r="D29" s="662">
        <f t="shared" si="6"/>
        <v>393465069</v>
      </c>
      <c r="E29" s="662">
        <f t="shared" si="6"/>
        <v>439803047.53000003</v>
      </c>
      <c r="F29" s="662">
        <f t="shared" si="6"/>
        <v>429283071.28000003</v>
      </c>
      <c r="G29" s="662">
        <f t="shared" si="6"/>
        <v>465570281.97000015</v>
      </c>
      <c r="H29" s="662">
        <f t="shared" si="6"/>
        <v>358897321.5999999</v>
      </c>
      <c r="I29" s="703">
        <f t="shared" si="6"/>
        <v>390829711.59000003</v>
      </c>
      <c r="J29" s="703">
        <f t="shared" si="6"/>
        <v>391335392.95660949</v>
      </c>
      <c r="K29" s="703">
        <f t="shared" si="6"/>
        <v>432700242.22375023</v>
      </c>
      <c r="L29" s="703">
        <f>L16</f>
        <v>491823438.64000005</v>
      </c>
      <c r="M29" s="703">
        <f>M16</f>
        <v>448576966.03000009</v>
      </c>
      <c r="N29" s="703">
        <f>N16</f>
        <v>0</v>
      </c>
      <c r="O29" s="704">
        <f t="shared" si="6"/>
        <v>4453261831.9203596</v>
      </c>
      <c r="P29" s="596"/>
      <c r="Q29" s="596"/>
      <c r="R29" s="596"/>
      <c r="S29" s="596"/>
      <c r="T29" s="596"/>
      <c r="U29" s="596"/>
      <c r="V29" s="596"/>
      <c r="W29" s="596"/>
      <c r="X29" s="596"/>
      <c r="Y29" s="596"/>
      <c r="Z29" s="596"/>
      <c r="AA29" s="596"/>
      <c r="AB29" s="596"/>
      <c r="AC29" s="596"/>
      <c r="AD29" s="596"/>
      <c r="AE29" s="596"/>
      <c r="AF29" s="596"/>
      <c r="AG29" s="596"/>
      <c r="AH29" s="596"/>
      <c r="AI29" s="596"/>
      <c r="AJ29" s="596"/>
      <c r="AK29" s="596"/>
      <c r="AL29" s="596"/>
      <c r="AM29" s="596"/>
      <c r="AN29" s="596"/>
      <c r="AO29" s="596"/>
      <c r="AP29" s="596"/>
      <c r="AQ29" s="596"/>
      <c r="AR29" s="596"/>
      <c r="AS29" s="596"/>
      <c r="AT29" s="596"/>
      <c r="AU29" s="596"/>
      <c r="AV29" s="596"/>
      <c r="AW29" s="596"/>
      <c r="AX29" s="596"/>
      <c r="AY29" s="596"/>
      <c r="AZ29" s="596"/>
      <c r="BA29" s="596"/>
      <c r="BB29" s="596"/>
      <c r="BC29" s="596"/>
      <c r="BD29" s="596"/>
      <c r="BE29" s="596"/>
      <c r="BF29" s="596"/>
      <c r="BG29" s="596"/>
      <c r="BH29" s="596"/>
      <c r="BI29" s="596"/>
      <c r="BJ29" s="596"/>
      <c r="BK29" s="596"/>
      <c r="BL29" s="596"/>
      <c r="BM29" s="596"/>
      <c r="BN29" s="596"/>
      <c r="BO29" s="596"/>
      <c r="BP29" s="596"/>
      <c r="BQ29" s="596"/>
      <c r="BR29" s="596"/>
      <c r="BS29" s="596"/>
      <c r="BT29" s="596"/>
      <c r="BU29" s="596"/>
      <c r="BV29" s="596"/>
      <c r="BW29" s="596"/>
      <c r="BX29" s="596"/>
      <c r="BY29" s="596"/>
      <c r="BZ29" s="596"/>
      <c r="CA29" s="596"/>
      <c r="CB29" s="596"/>
      <c r="CC29" s="596"/>
      <c r="CD29" s="596"/>
      <c r="CE29" s="596"/>
      <c r="CF29" s="596"/>
      <c r="CG29" s="596"/>
      <c r="CH29" s="596"/>
      <c r="CI29" s="596"/>
      <c r="CJ29" s="596"/>
      <c r="CK29" s="596"/>
      <c r="CL29" s="596"/>
      <c r="CM29" s="596"/>
      <c r="CN29" s="596"/>
      <c r="CO29" s="596"/>
      <c r="CP29" s="596"/>
      <c r="CQ29" s="596"/>
      <c r="CR29" s="596"/>
      <c r="CS29" s="596"/>
      <c r="CT29" s="596"/>
      <c r="CU29" s="596"/>
      <c r="CV29" s="596"/>
      <c r="CW29" s="596"/>
      <c r="CX29" s="596"/>
      <c r="CY29" s="596"/>
      <c r="CZ29" s="596"/>
      <c r="DA29" s="596"/>
      <c r="DB29" s="596"/>
      <c r="DC29" s="596"/>
      <c r="DD29" s="596"/>
      <c r="DE29" s="596"/>
      <c r="DF29" s="596"/>
      <c r="DG29" s="596"/>
      <c r="DH29" s="596"/>
      <c r="DI29" s="596"/>
      <c r="DJ29" s="596"/>
      <c r="DK29" s="596"/>
      <c r="DL29" s="596"/>
      <c r="DM29" s="596"/>
      <c r="DN29" s="596"/>
      <c r="DO29" s="596"/>
      <c r="DP29" s="596"/>
      <c r="DQ29" s="596"/>
      <c r="DR29" s="596"/>
      <c r="DS29" s="596"/>
      <c r="DT29" s="596"/>
      <c r="DU29" s="596"/>
      <c r="DV29" s="596"/>
      <c r="DW29" s="596"/>
      <c r="DX29" s="596"/>
      <c r="DY29" s="596"/>
      <c r="DZ29" s="596"/>
      <c r="EA29" s="596"/>
    </row>
    <row r="30" spans="1:131">
      <c r="A30" s="596"/>
      <c r="B30" s="660" t="s">
        <v>45</v>
      </c>
      <c r="C30" s="673">
        <f t="shared" ref="C30:O30" si="7">C29/C28</f>
        <v>0.8976640021570762</v>
      </c>
      <c r="D30" s="673">
        <f t="shared" si="7"/>
        <v>0.92614589370464451</v>
      </c>
      <c r="E30" s="673">
        <f t="shared" si="7"/>
        <v>0.93066811511169212</v>
      </c>
      <c r="F30" s="673">
        <f t="shared" si="7"/>
        <v>0.97564334160081068</v>
      </c>
      <c r="G30" s="673">
        <f t="shared" si="7"/>
        <v>0.98221578212563165</v>
      </c>
      <c r="H30" s="673">
        <f t="shared" si="7"/>
        <v>0.97518898892673556</v>
      </c>
      <c r="I30" s="705">
        <f t="shared" si="7"/>
        <v>0.97795270934892931</v>
      </c>
      <c r="J30" s="705">
        <f t="shared" si="7"/>
        <v>0.98618922782074503</v>
      </c>
      <c r="K30" s="705">
        <f t="shared" si="7"/>
        <v>0.99198005556175128</v>
      </c>
      <c r="L30" s="705">
        <f t="shared" si="7"/>
        <v>0.99103071614171279</v>
      </c>
      <c r="M30" s="705">
        <f t="shared" si="7"/>
        <v>0.94693473220352486</v>
      </c>
      <c r="N30" s="705">
        <f t="shared" si="7"/>
        <v>0</v>
      </c>
      <c r="O30" s="706">
        <f t="shared" si="7"/>
        <v>0.92925152833249369</v>
      </c>
      <c r="P30" s="596"/>
      <c r="Q30" s="596"/>
      <c r="R30" s="596"/>
      <c r="S30" s="596"/>
      <c r="T30" s="596"/>
      <c r="U30" s="596"/>
      <c r="V30" s="596"/>
      <c r="W30" s="596"/>
      <c r="X30" s="596"/>
      <c r="Y30" s="596"/>
      <c r="Z30" s="596"/>
      <c r="AA30" s="596"/>
      <c r="AB30" s="596"/>
      <c r="AC30" s="596"/>
      <c r="AD30" s="596"/>
      <c r="AE30" s="596"/>
      <c r="AF30" s="596"/>
      <c r="AG30" s="596"/>
      <c r="AH30" s="596"/>
      <c r="AI30" s="596"/>
      <c r="AJ30" s="596"/>
      <c r="AK30" s="596"/>
      <c r="AL30" s="596"/>
      <c r="AM30" s="596"/>
      <c r="AN30" s="596"/>
      <c r="AO30" s="596"/>
      <c r="AP30" s="596"/>
      <c r="AQ30" s="596"/>
      <c r="AR30" s="596"/>
      <c r="AS30" s="596"/>
      <c r="AT30" s="596"/>
      <c r="AU30" s="596"/>
      <c r="AV30" s="596"/>
      <c r="AW30" s="596"/>
      <c r="AX30" s="596"/>
      <c r="AY30" s="596"/>
      <c r="AZ30" s="596"/>
      <c r="BA30" s="596"/>
      <c r="BB30" s="596"/>
      <c r="BC30" s="596"/>
      <c r="BD30" s="596"/>
      <c r="BE30" s="596"/>
      <c r="BF30" s="596"/>
      <c r="BG30" s="596"/>
      <c r="BH30" s="596"/>
      <c r="BI30" s="596"/>
      <c r="BJ30" s="596"/>
      <c r="BK30" s="596"/>
      <c r="BL30" s="596"/>
      <c r="BM30" s="596"/>
      <c r="BN30" s="596"/>
      <c r="BO30" s="596"/>
      <c r="BP30" s="596"/>
      <c r="BQ30" s="596"/>
      <c r="BR30" s="596"/>
      <c r="BS30" s="596"/>
      <c r="BT30" s="596"/>
      <c r="BU30" s="596"/>
      <c r="BV30" s="596"/>
      <c r="BW30" s="596"/>
      <c r="BX30" s="596"/>
      <c r="BY30" s="596"/>
      <c r="BZ30" s="596"/>
      <c r="CA30" s="596"/>
      <c r="CB30" s="596"/>
      <c r="CC30" s="596"/>
      <c r="CD30" s="596"/>
      <c r="CE30" s="596"/>
      <c r="CF30" s="596"/>
      <c r="CG30" s="596"/>
      <c r="CH30" s="596"/>
      <c r="CI30" s="596"/>
      <c r="CJ30" s="596"/>
      <c r="CK30" s="596"/>
      <c r="CL30" s="596"/>
      <c r="CM30" s="596"/>
      <c r="CN30" s="596"/>
      <c r="CO30" s="596"/>
      <c r="CP30" s="596"/>
      <c r="CQ30" s="596"/>
      <c r="CR30" s="596"/>
      <c r="CS30" s="596"/>
      <c r="CT30" s="596"/>
      <c r="CU30" s="596"/>
      <c r="CV30" s="596"/>
      <c r="CW30" s="596"/>
      <c r="CX30" s="596"/>
      <c r="CY30" s="596"/>
      <c r="CZ30" s="596"/>
      <c r="DA30" s="596"/>
      <c r="DB30" s="596"/>
      <c r="DC30" s="596"/>
      <c r="DD30" s="596"/>
      <c r="DE30" s="596"/>
      <c r="DF30" s="596"/>
      <c r="DG30" s="596"/>
      <c r="DH30" s="596"/>
      <c r="DI30" s="596"/>
      <c r="DJ30" s="596"/>
      <c r="DK30" s="596"/>
      <c r="DL30" s="596"/>
      <c r="DM30" s="596"/>
      <c r="DN30" s="596"/>
      <c r="DO30" s="596"/>
      <c r="DP30" s="596"/>
      <c r="DQ30" s="596"/>
      <c r="DR30" s="596"/>
      <c r="DS30" s="596"/>
      <c r="DT30" s="596"/>
      <c r="DU30" s="596"/>
      <c r="DV30" s="596"/>
      <c r="DW30" s="596"/>
      <c r="DX30" s="596"/>
      <c r="DY30" s="596"/>
      <c r="DZ30" s="596"/>
      <c r="EA30" s="596"/>
    </row>
    <row r="31" spans="1:131">
      <c r="A31" s="596"/>
      <c r="B31" s="660" t="s">
        <v>52</v>
      </c>
      <c r="C31" s="662">
        <f t="shared" ref="C31:O31" si="8">C25</f>
        <v>217743036.35999998</v>
      </c>
      <c r="D31" s="662">
        <f t="shared" si="8"/>
        <v>423288167.56999999</v>
      </c>
      <c r="E31" s="662">
        <f t="shared" si="8"/>
        <v>485712161.40000004</v>
      </c>
      <c r="F31" s="662">
        <f t="shared" si="8"/>
        <v>484354954.56</v>
      </c>
      <c r="G31" s="662">
        <f t="shared" si="8"/>
        <v>486330907.97000015</v>
      </c>
      <c r="H31" s="662">
        <f t="shared" si="8"/>
        <v>405812319.7299999</v>
      </c>
      <c r="I31" s="703">
        <f t="shared" si="8"/>
        <v>404921995.91000003</v>
      </c>
      <c r="J31" s="703">
        <f t="shared" si="8"/>
        <v>403754855.95660949</v>
      </c>
      <c r="K31" s="703">
        <f t="shared" si="8"/>
        <v>443319712.91375023</v>
      </c>
      <c r="L31" s="703">
        <f>L25</f>
        <v>519784806.48000002</v>
      </c>
      <c r="M31" s="703">
        <f>M25</f>
        <v>490053041.81000006</v>
      </c>
      <c r="N31" s="703">
        <f>N25</f>
        <v>0</v>
      </c>
      <c r="O31" s="704">
        <f t="shared" si="8"/>
        <v>4765075960.6603594</v>
      </c>
      <c r="P31" s="596"/>
      <c r="Q31" s="596"/>
      <c r="R31" s="596"/>
      <c r="S31" s="596"/>
      <c r="T31" s="596"/>
      <c r="U31" s="596"/>
      <c r="V31" s="596"/>
      <c r="W31" s="596"/>
      <c r="X31" s="596"/>
      <c r="Y31" s="596"/>
      <c r="Z31" s="596"/>
      <c r="AA31" s="596"/>
      <c r="AB31" s="596"/>
      <c r="AC31" s="596"/>
      <c r="AD31" s="596"/>
      <c r="AE31" s="596"/>
      <c r="AF31" s="596"/>
      <c r="AG31" s="596"/>
      <c r="AH31" s="596"/>
      <c r="AI31" s="596"/>
      <c r="AJ31" s="596"/>
      <c r="AK31" s="596"/>
      <c r="AL31" s="596"/>
      <c r="AM31" s="596"/>
      <c r="AN31" s="596"/>
      <c r="AO31" s="596"/>
      <c r="AP31" s="596"/>
      <c r="AQ31" s="596"/>
      <c r="AR31" s="596"/>
      <c r="AS31" s="596"/>
      <c r="AT31" s="596"/>
      <c r="AU31" s="596"/>
      <c r="AV31" s="596"/>
      <c r="AW31" s="596"/>
      <c r="AX31" s="596"/>
      <c r="AY31" s="596"/>
      <c r="AZ31" s="596"/>
      <c r="BA31" s="596"/>
      <c r="BB31" s="596"/>
      <c r="BC31" s="596"/>
      <c r="BD31" s="596"/>
      <c r="BE31" s="596"/>
      <c r="BF31" s="596"/>
      <c r="BG31" s="596"/>
      <c r="BH31" s="596"/>
      <c r="BI31" s="596"/>
      <c r="BJ31" s="596"/>
      <c r="BK31" s="596"/>
      <c r="BL31" s="596"/>
      <c r="BM31" s="596"/>
      <c r="BN31" s="596"/>
      <c r="BO31" s="596"/>
      <c r="BP31" s="596"/>
      <c r="BQ31" s="596"/>
      <c r="BR31" s="596"/>
      <c r="BS31" s="596"/>
      <c r="BT31" s="596"/>
      <c r="BU31" s="596"/>
      <c r="BV31" s="596"/>
      <c r="BW31" s="596"/>
      <c r="BX31" s="596"/>
      <c r="BY31" s="596"/>
      <c r="BZ31" s="596"/>
      <c r="CA31" s="596"/>
      <c r="CB31" s="596"/>
      <c r="CC31" s="596"/>
      <c r="CD31" s="596"/>
      <c r="CE31" s="596"/>
      <c r="CF31" s="596"/>
      <c r="CG31" s="596"/>
      <c r="CH31" s="596"/>
      <c r="CI31" s="596"/>
      <c r="CJ31" s="596"/>
      <c r="CK31" s="596"/>
      <c r="CL31" s="596"/>
      <c r="CM31" s="596"/>
      <c r="CN31" s="596"/>
      <c r="CO31" s="596"/>
      <c r="CP31" s="596"/>
      <c r="CQ31" s="596"/>
      <c r="CR31" s="596"/>
      <c r="CS31" s="596"/>
      <c r="CT31" s="596"/>
      <c r="CU31" s="596"/>
      <c r="CV31" s="596"/>
      <c r="CW31" s="596"/>
      <c r="CX31" s="596"/>
      <c r="CY31" s="596"/>
      <c r="CZ31" s="596"/>
      <c r="DA31" s="596"/>
      <c r="DB31" s="596"/>
      <c r="DC31" s="596"/>
      <c r="DD31" s="596"/>
      <c r="DE31" s="596"/>
      <c r="DF31" s="596"/>
      <c r="DG31" s="596"/>
      <c r="DH31" s="596"/>
      <c r="DI31" s="596"/>
      <c r="DJ31" s="596"/>
      <c r="DK31" s="596"/>
      <c r="DL31" s="596"/>
      <c r="DM31" s="596"/>
      <c r="DN31" s="596"/>
      <c r="DO31" s="596"/>
      <c r="DP31" s="596"/>
      <c r="DQ31" s="596"/>
      <c r="DR31" s="596"/>
      <c r="DS31" s="596"/>
      <c r="DT31" s="596"/>
      <c r="DU31" s="596"/>
      <c r="DV31" s="596"/>
      <c r="DW31" s="596"/>
      <c r="DX31" s="596"/>
      <c r="DY31" s="596"/>
      <c r="DZ31" s="596"/>
      <c r="EA31" s="596"/>
    </row>
    <row r="32" spans="1:131">
      <c r="A32" s="596"/>
      <c r="B32" s="660" t="s">
        <v>53</v>
      </c>
      <c r="C32" s="662">
        <f t="shared" ref="C32:O32" si="9">C28-C29</f>
        <v>24051951.900000006</v>
      </c>
      <c r="D32" s="662">
        <f t="shared" si="9"/>
        <v>31376278</v>
      </c>
      <c r="E32" s="662">
        <f t="shared" si="9"/>
        <v>32763961.469999969</v>
      </c>
      <c r="F32" s="662">
        <f t="shared" si="9"/>
        <v>10716929.719999969</v>
      </c>
      <c r="G32" s="662">
        <f t="shared" si="9"/>
        <v>8429719.2949466705</v>
      </c>
      <c r="H32" s="662">
        <f t="shared" si="9"/>
        <v>9131158.6999999881</v>
      </c>
      <c r="I32" s="703">
        <f t="shared" si="9"/>
        <v>8810994.8100000024</v>
      </c>
      <c r="J32" s="703">
        <f t="shared" si="9"/>
        <v>5480331.5685631633</v>
      </c>
      <c r="K32" s="703">
        <f t="shared" si="9"/>
        <v>3498287.9762497544</v>
      </c>
      <c r="L32" s="703">
        <f>L28-L29</f>
        <v>4451228.3599999547</v>
      </c>
      <c r="M32" s="703">
        <f>M28-M29</f>
        <v>25137800.96999979</v>
      </c>
      <c r="N32" s="703">
        <f>N28-N29</f>
        <v>175199999</v>
      </c>
      <c r="O32" s="704">
        <f t="shared" si="9"/>
        <v>339048641.76975918</v>
      </c>
      <c r="P32" s="596"/>
      <c r="Q32" s="596"/>
      <c r="R32" s="596"/>
      <c r="S32" s="596"/>
      <c r="T32" s="596"/>
      <c r="U32" s="596"/>
      <c r="V32" s="596"/>
      <c r="W32" s="596"/>
      <c r="X32" s="596"/>
      <c r="Y32" s="596"/>
      <c r="Z32" s="596"/>
      <c r="AA32" s="596"/>
      <c r="AB32" s="596"/>
      <c r="AC32" s="596"/>
      <c r="AD32" s="596"/>
      <c r="AE32" s="596"/>
      <c r="AF32" s="596"/>
      <c r="AG32" s="596"/>
      <c r="AH32" s="596"/>
      <c r="AI32" s="596"/>
      <c r="AJ32" s="596"/>
      <c r="AK32" s="596"/>
      <c r="AL32" s="596"/>
      <c r="AM32" s="596"/>
      <c r="AN32" s="596"/>
      <c r="AO32" s="596"/>
      <c r="AP32" s="596"/>
      <c r="AQ32" s="596"/>
      <c r="AR32" s="596"/>
      <c r="AS32" s="596"/>
      <c r="AT32" s="596"/>
      <c r="AU32" s="596"/>
      <c r="AV32" s="596"/>
      <c r="AW32" s="596"/>
      <c r="AX32" s="596"/>
      <c r="AY32" s="596"/>
      <c r="AZ32" s="596"/>
      <c r="BA32" s="596"/>
      <c r="BB32" s="596"/>
      <c r="BC32" s="596"/>
      <c r="BD32" s="596"/>
      <c r="BE32" s="596"/>
      <c r="BF32" s="596"/>
      <c r="BG32" s="596"/>
      <c r="BH32" s="596"/>
      <c r="BI32" s="596"/>
      <c r="BJ32" s="596"/>
      <c r="BK32" s="596"/>
      <c r="BL32" s="596"/>
      <c r="BM32" s="596"/>
      <c r="BN32" s="596"/>
      <c r="BO32" s="596"/>
      <c r="BP32" s="596"/>
      <c r="BQ32" s="596"/>
      <c r="BR32" s="596"/>
      <c r="BS32" s="596"/>
      <c r="BT32" s="596"/>
      <c r="BU32" s="596"/>
      <c r="BV32" s="596"/>
      <c r="BW32" s="596"/>
      <c r="BX32" s="596"/>
      <c r="BY32" s="596"/>
      <c r="BZ32" s="596"/>
      <c r="CA32" s="596"/>
      <c r="CB32" s="596"/>
      <c r="CC32" s="596"/>
      <c r="CD32" s="596"/>
      <c r="CE32" s="596"/>
      <c r="CF32" s="596"/>
      <c r="CG32" s="596"/>
      <c r="CH32" s="596"/>
      <c r="CI32" s="596"/>
      <c r="CJ32" s="596"/>
      <c r="CK32" s="596"/>
      <c r="CL32" s="596"/>
      <c r="CM32" s="596"/>
      <c r="CN32" s="596"/>
      <c r="CO32" s="596"/>
      <c r="CP32" s="596"/>
      <c r="CQ32" s="596"/>
      <c r="CR32" s="596"/>
      <c r="CS32" s="596"/>
      <c r="CT32" s="596"/>
      <c r="CU32" s="596"/>
      <c r="CV32" s="596"/>
      <c r="CW32" s="596"/>
      <c r="CX32" s="596"/>
      <c r="CY32" s="596"/>
      <c r="CZ32" s="596"/>
      <c r="DA32" s="596"/>
      <c r="DB32" s="596"/>
      <c r="DC32" s="596"/>
      <c r="DD32" s="596"/>
      <c r="DE32" s="596"/>
      <c r="DF32" s="596"/>
      <c r="DG32" s="596"/>
      <c r="DH32" s="596"/>
      <c r="DI32" s="596"/>
      <c r="DJ32" s="596"/>
      <c r="DK32" s="596"/>
      <c r="DL32" s="596"/>
      <c r="DM32" s="596"/>
      <c r="DN32" s="596"/>
      <c r="DO32" s="596"/>
      <c r="DP32" s="596"/>
      <c r="DQ32" s="596"/>
      <c r="DR32" s="596"/>
      <c r="DS32" s="596"/>
      <c r="DT32" s="596"/>
      <c r="DU32" s="596"/>
      <c r="DV32" s="596"/>
      <c r="DW32" s="596"/>
      <c r="DX32" s="596"/>
      <c r="DY32" s="596"/>
      <c r="DZ32" s="596"/>
      <c r="EA32" s="596"/>
    </row>
    <row r="33" spans="1:131">
      <c r="A33" s="596"/>
      <c r="B33" s="660" t="s">
        <v>54</v>
      </c>
      <c r="C33" s="707">
        <f t="shared" ref="C33:O33" si="10">C32/C28</f>
        <v>0.10233599784292374</v>
      </c>
      <c r="D33" s="707">
        <f t="shared" si="10"/>
        <v>7.3854106295355479E-2</v>
      </c>
      <c r="E33" s="707">
        <f t="shared" si="10"/>
        <v>6.933188488830791E-2</v>
      </c>
      <c r="F33" s="707">
        <f t="shared" si="10"/>
        <v>2.4356658399189341E-2</v>
      </c>
      <c r="G33" s="707">
        <f t="shared" si="10"/>
        <v>1.7784217874368315E-2</v>
      </c>
      <c r="H33" s="707">
        <f t="shared" si="10"/>
        <v>2.4811011073264458E-2</v>
      </c>
      <c r="I33" s="705">
        <f t="shared" si="10"/>
        <v>2.2047290651070677E-2</v>
      </c>
      <c r="J33" s="705">
        <f t="shared" si="10"/>
        <v>1.3810772179254981E-2</v>
      </c>
      <c r="K33" s="705">
        <f t="shared" si="10"/>
        <v>8.0199444382487162E-3</v>
      </c>
      <c r="L33" s="705">
        <f t="shared" si="10"/>
        <v>8.969283858287198E-3</v>
      </c>
      <c r="M33" s="705">
        <f t="shared" si="10"/>
        <v>5.306526779647508E-2</v>
      </c>
      <c r="N33" s="705">
        <f t="shared" si="10"/>
        <v>1</v>
      </c>
      <c r="O33" s="706">
        <f t="shared" si="10"/>
        <v>7.0748471667506321E-2</v>
      </c>
      <c r="P33" s="596"/>
      <c r="Q33" s="596"/>
      <c r="R33" s="596"/>
      <c r="S33" s="596"/>
      <c r="T33" s="596"/>
      <c r="U33" s="596"/>
      <c r="V33" s="596"/>
      <c r="W33" s="596"/>
      <c r="X33" s="596"/>
      <c r="Y33" s="596"/>
      <c r="Z33" s="596"/>
      <c r="AA33" s="596"/>
      <c r="AB33" s="596"/>
      <c r="AC33" s="596"/>
      <c r="AD33" s="596"/>
      <c r="AE33" s="596"/>
      <c r="AF33" s="596"/>
      <c r="AG33" s="596"/>
      <c r="AH33" s="596"/>
      <c r="AI33" s="596"/>
      <c r="AJ33" s="596"/>
      <c r="AK33" s="596"/>
      <c r="AL33" s="596"/>
      <c r="AM33" s="596"/>
      <c r="AN33" s="596"/>
      <c r="AO33" s="596"/>
      <c r="AP33" s="596"/>
      <c r="AQ33" s="596"/>
      <c r="AR33" s="596"/>
      <c r="AS33" s="596"/>
      <c r="AT33" s="596"/>
      <c r="AU33" s="596"/>
      <c r="AV33" s="596"/>
      <c r="AW33" s="596"/>
      <c r="AX33" s="596"/>
      <c r="AY33" s="596"/>
      <c r="AZ33" s="596"/>
      <c r="BA33" s="596"/>
      <c r="BB33" s="596"/>
      <c r="BC33" s="596"/>
      <c r="BD33" s="596"/>
      <c r="BE33" s="596"/>
      <c r="BF33" s="596"/>
      <c r="BG33" s="596"/>
      <c r="BH33" s="596"/>
      <c r="BI33" s="596"/>
      <c r="BJ33" s="596"/>
      <c r="BK33" s="596"/>
      <c r="BL33" s="596"/>
      <c r="BM33" s="596"/>
      <c r="BN33" s="596"/>
      <c r="BO33" s="596"/>
      <c r="BP33" s="596"/>
      <c r="BQ33" s="596"/>
      <c r="BR33" s="596"/>
      <c r="BS33" s="596"/>
      <c r="BT33" s="596"/>
      <c r="BU33" s="596"/>
      <c r="BV33" s="596"/>
      <c r="BW33" s="596"/>
      <c r="BX33" s="596"/>
      <c r="BY33" s="596"/>
      <c r="BZ33" s="596"/>
      <c r="CA33" s="596"/>
      <c r="CB33" s="596"/>
      <c r="CC33" s="596"/>
      <c r="CD33" s="596"/>
      <c r="CE33" s="596"/>
      <c r="CF33" s="596"/>
      <c r="CG33" s="596"/>
      <c r="CH33" s="596"/>
      <c r="CI33" s="596"/>
      <c r="CJ33" s="596"/>
      <c r="CK33" s="596"/>
      <c r="CL33" s="596"/>
      <c r="CM33" s="596"/>
      <c r="CN33" s="596"/>
      <c r="CO33" s="596"/>
      <c r="CP33" s="596"/>
      <c r="CQ33" s="596"/>
      <c r="CR33" s="596"/>
      <c r="CS33" s="596"/>
      <c r="CT33" s="596"/>
      <c r="CU33" s="596"/>
      <c r="CV33" s="596"/>
      <c r="CW33" s="596"/>
      <c r="CX33" s="596"/>
      <c r="CY33" s="596"/>
      <c r="CZ33" s="596"/>
      <c r="DA33" s="596"/>
      <c r="DB33" s="596"/>
      <c r="DC33" s="596"/>
      <c r="DD33" s="596"/>
      <c r="DE33" s="596"/>
      <c r="DF33" s="596"/>
      <c r="DG33" s="596"/>
      <c r="DH33" s="596"/>
      <c r="DI33" s="596"/>
      <c r="DJ33" s="596"/>
      <c r="DK33" s="596"/>
      <c r="DL33" s="596"/>
      <c r="DM33" s="596"/>
      <c r="DN33" s="596"/>
      <c r="DO33" s="596"/>
      <c r="DP33" s="596"/>
      <c r="DQ33" s="596"/>
      <c r="DR33" s="596"/>
      <c r="DS33" s="596"/>
      <c r="DT33" s="596"/>
      <c r="DU33" s="596"/>
      <c r="DV33" s="596"/>
      <c r="DW33" s="596"/>
      <c r="DX33" s="596"/>
      <c r="DY33" s="596"/>
      <c r="DZ33" s="596"/>
      <c r="EA33" s="596"/>
    </row>
    <row r="34" spans="1:131" ht="46.5">
      <c r="A34" s="596"/>
      <c r="B34" s="708" t="s">
        <v>55</v>
      </c>
      <c r="C34" s="661">
        <f>YR1991_93!F65</f>
        <v>24051951.899999999</v>
      </c>
      <c r="D34" s="661">
        <f>YR1994_96!F65</f>
        <v>31376278</v>
      </c>
      <c r="E34" s="661">
        <f>YR1997_99!F65</f>
        <v>32763961.329999998</v>
      </c>
      <c r="F34" s="661">
        <f>YR2000_02!F57</f>
        <v>9811798</v>
      </c>
      <c r="G34" s="661">
        <f>YR2003_05!F57</f>
        <v>7511983.6149468021</v>
      </c>
      <c r="H34" s="661">
        <f>YR2006_08!F62</f>
        <v>5940206.3900000015</v>
      </c>
      <c r="I34" s="670">
        <f>YR2009_11!F62</f>
        <v>6211154.5499999989</v>
      </c>
      <c r="J34" s="670">
        <f>YR2012_14!F64</f>
        <v>5000737.4799999967</v>
      </c>
      <c r="K34" s="670">
        <f>YR2015_17!F63</f>
        <v>3405326.2100000009</v>
      </c>
      <c r="L34" s="670">
        <f>YR2018_20!F64</f>
        <v>4037668.3500000015</v>
      </c>
      <c r="M34" s="670">
        <f>YR2021_23!F63</f>
        <v>19838165.43</v>
      </c>
      <c r="N34" s="672">
        <f>'2024-26 Contributions'!G64</f>
        <v>11938884</v>
      </c>
      <c r="O34" s="709">
        <f>SUM(C34:N34)</f>
        <v>161888115.2549468</v>
      </c>
      <c r="P34" s="596"/>
      <c r="Q34" s="596"/>
      <c r="R34" s="596"/>
      <c r="S34" s="596"/>
      <c r="T34" s="596"/>
      <c r="U34" s="596"/>
      <c r="V34" s="596"/>
      <c r="W34" s="596"/>
      <c r="X34" s="596"/>
      <c r="Y34" s="596"/>
      <c r="Z34" s="596"/>
      <c r="AA34" s="596"/>
      <c r="AB34" s="596"/>
      <c r="AC34" s="596"/>
      <c r="AD34" s="596"/>
      <c r="AE34" s="596"/>
      <c r="AF34" s="596"/>
      <c r="AG34" s="596"/>
      <c r="AH34" s="596"/>
      <c r="AI34" s="596"/>
      <c r="AJ34" s="596"/>
      <c r="AK34" s="596"/>
      <c r="AL34" s="596"/>
      <c r="AM34" s="596"/>
      <c r="AN34" s="596"/>
      <c r="AO34" s="596"/>
      <c r="AP34" s="596"/>
      <c r="AQ34" s="596"/>
      <c r="AR34" s="596"/>
      <c r="AS34" s="596"/>
      <c r="AT34" s="596"/>
      <c r="AU34" s="596"/>
      <c r="AV34" s="596"/>
      <c r="AW34" s="596"/>
      <c r="AX34" s="596"/>
      <c r="AY34" s="596"/>
      <c r="AZ34" s="596"/>
      <c r="BA34" s="596"/>
      <c r="BB34" s="596"/>
      <c r="BC34" s="596"/>
      <c r="BD34" s="596"/>
      <c r="BE34" s="596"/>
      <c r="BF34" s="596"/>
      <c r="BG34" s="596"/>
      <c r="BH34" s="596"/>
      <c r="BI34" s="596"/>
      <c r="BJ34" s="596"/>
      <c r="BK34" s="596"/>
      <c r="BL34" s="596"/>
      <c r="BM34" s="596"/>
      <c r="BN34" s="596"/>
      <c r="BO34" s="596"/>
      <c r="BP34" s="596"/>
      <c r="BQ34" s="596"/>
      <c r="BR34" s="596"/>
      <c r="BS34" s="596"/>
      <c r="BT34" s="596"/>
      <c r="BU34" s="596"/>
      <c r="BV34" s="596"/>
      <c r="BW34" s="596"/>
      <c r="BX34" s="596"/>
      <c r="BY34" s="596"/>
      <c r="BZ34" s="596"/>
      <c r="CA34" s="596"/>
      <c r="CB34" s="596"/>
      <c r="CC34" s="596"/>
      <c r="CD34" s="596"/>
      <c r="CE34" s="596"/>
      <c r="CF34" s="596"/>
      <c r="CG34" s="596"/>
      <c r="CH34" s="596"/>
      <c r="CI34" s="596"/>
      <c r="CJ34" s="596"/>
      <c r="CK34" s="596"/>
      <c r="CL34" s="596"/>
      <c r="CM34" s="596"/>
      <c r="CN34" s="596"/>
      <c r="CO34" s="596"/>
      <c r="CP34" s="596"/>
      <c r="CQ34" s="596"/>
      <c r="CR34" s="596"/>
      <c r="CS34" s="596"/>
      <c r="CT34" s="596"/>
      <c r="CU34" s="596"/>
      <c r="CV34" s="596"/>
      <c r="CW34" s="596"/>
      <c r="CX34" s="596"/>
      <c r="CY34" s="596"/>
      <c r="CZ34" s="596"/>
      <c r="DA34" s="596"/>
      <c r="DB34" s="596"/>
      <c r="DC34" s="596"/>
      <c r="DD34" s="596"/>
      <c r="DE34" s="596"/>
      <c r="DF34" s="596"/>
      <c r="DG34" s="596"/>
      <c r="DH34" s="596"/>
      <c r="DI34" s="596"/>
      <c r="DJ34" s="596"/>
      <c r="DK34" s="596"/>
      <c r="DL34" s="596"/>
      <c r="DM34" s="596"/>
      <c r="DN34" s="596"/>
      <c r="DO34" s="596"/>
      <c r="DP34" s="596"/>
      <c r="DQ34" s="596"/>
      <c r="DR34" s="596"/>
      <c r="DS34" s="596"/>
      <c r="DT34" s="596"/>
      <c r="DU34" s="596"/>
      <c r="DV34" s="596"/>
      <c r="DW34" s="596"/>
      <c r="DX34" s="596"/>
      <c r="DY34" s="596"/>
      <c r="DZ34" s="596"/>
      <c r="EA34" s="596"/>
    </row>
    <row r="35" spans="1:131" ht="16" thickBot="1">
      <c r="A35" s="596"/>
      <c r="B35" s="710" t="s">
        <v>56</v>
      </c>
      <c r="C35" s="711">
        <f t="shared" ref="C35:O35" si="11">C34/C28</f>
        <v>0.10233599784292371</v>
      </c>
      <c r="D35" s="711">
        <f t="shared" si="11"/>
        <v>7.3854106295355479E-2</v>
      </c>
      <c r="E35" s="711">
        <f t="shared" si="11"/>
        <v>6.9331884592053694E-2</v>
      </c>
      <c r="F35" s="711">
        <f t="shared" si="11"/>
        <v>2.2299540858410134E-2</v>
      </c>
      <c r="G35" s="711">
        <f t="shared" si="11"/>
        <v>1.5848066655906837E-2</v>
      </c>
      <c r="H35" s="711">
        <f t="shared" si="11"/>
        <v>1.6140616033731462E-2</v>
      </c>
      <c r="I35" s="711">
        <f t="shared" si="11"/>
        <v>1.5541846590029945E-2</v>
      </c>
      <c r="J35" s="711">
        <f t="shared" si="11"/>
        <v>1.2602165617261891E-2</v>
      </c>
      <c r="K35" s="711">
        <f>K34/K28</f>
        <v>7.8068264201592696E-3</v>
      </c>
      <c r="L35" s="711">
        <f>L34/L28</f>
        <v>8.1359549831706429E-3</v>
      </c>
      <c r="M35" s="711">
        <f>M34/M28</f>
        <v>4.1877870001042219E-2</v>
      </c>
      <c r="N35" s="711">
        <f>N34/N28</f>
        <v>6.8144315457444718E-2</v>
      </c>
      <c r="O35" s="712">
        <f t="shared" si="11"/>
        <v>3.3780807012341089E-2</v>
      </c>
      <c r="P35" s="596"/>
      <c r="Q35" s="596"/>
      <c r="R35" s="596"/>
      <c r="S35" s="596"/>
      <c r="T35" s="596"/>
      <c r="U35" s="596"/>
      <c r="V35" s="596"/>
      <c r="W35" s="596"/>
      <c r="X35" s="596"/>
      <c r="Y35" s="596"/>
      <c r="Z35" s="596"/>
      <c r="AA35" s="596"/>
      <c r="AB35" s="596"/>
      <c r="AC35" s="596"/>
      <c r="AD35" s="596"/>
      <c r="AE35" s="596"/>
      <c r="AF35" s="596"/>
      <c r="AG35" s="596"/>
      <c r="AH35" s="596"/>
      <c r="AI35" s="596"/>
      <c r="AJ35" s="596"/>
      <c r="AK35" s="596"/>
      <c r="AL35" s="596"/>
      <c r="AM35" s="596"/>
      <c r="AN35" s="596"/>
      <c r="AO35" s="596"/>
      <c r="AP35" s="596"/>
      <c r="AQ35" s="596"/>
      <c r="AR35" s="596"/>
      <c r="AS35" s="596"/>
      <c r="AT35" s="596"/>
      <c r="AU35" s="596"/>
      <c r="AV35" s="596"/>
      <c r="AW35" s="596"/>
      <c r="AX35" s="596"/>
      <c r="AY35" s="596"/>
      <c r="AZ35" s="596"/>
      <c r="BA35" s="596"/>
      <c r="BB35" s="596"/>
      <c r="BC35" s="596"/>
      <c r="BD35" s="596"/>
      <c r="BE35" s="596"/>
      <c r="BF35" s="596"/>
      <c r="BG35" s="596"/>
      <c r="BH35" s="596"/>
      <c r="BI35" s="596"/>
      <c r="BJ35" s="596"/>
      <c r="BK35" s="596"/>
      <c r="BL35" s="596"/>
      <c r="BM35" s="596"/>
      <c r="BN35" s="596"/>
      <c r="BO35" s="596"/>
      <c r="BP35" s="596"/>
      <c r="BQ35" s="596"/>
      <c r="BR35" s="596"/>
      <c r="BS35" s="596"/>
      <c r="BT35" s="596"/>
      <c r="BU35" s="596"/>
      <c r="BV35" s="596"/>
      <c r="BW35" s="596"/>
      <c r="BX35" s="596"/>
      <c r="BY35" s="596"/>
      <c r="BZ35" s="596"/>
      <c r="CA35" s="596"/>
      <c r="CB35" s="596"/>
      <c r="CC35" s="596"/>
      <c r="CD35" s="596"/>
      <c r="CE35" s="596"/>
      <c r="CF35" s="596"/>
      <c r="CG35" s="596"/>
      <c r="CH35" s="596"/>
      <c r="CI35" s="596"/>
      <c r="CJ35" s="596"/>
      <c r="CK35" s="596"/>
      <c r="CL35" s="596"/>
      <c r="CM35" s="596"/>
      <c r="CN35" s="596"/>
      <c r="CO35" s="596"/>
      <c r="CP35" s="596"/>
      <c r="CQ35" s="596"/>
      <c r="CR35" s="596"/>
      <c r="CS35" s="596"/>
      <c r="CT35" s="596"/>
      <c r="CU35" s="596"/>
      <c r="CV35" s="596"/>
      <c r="CW35" s="596"/>
      <c r="CX35" s="596"/>
      <c r="CY35" s="596"/>
      <c r="CZ35" s="596"/>
      <c r="DA35" s="596"/>
      <c r="DB35" s="596"/>
      <c r="DC35" s="596"/>
      <c r="DD35" s="596"/>
      <c r="DE35" s="596"/>
      <c r="DF35" s="596"/>
      <c r="DG35" s="596"/>
      <c r="DH35" s="596"/>
      <c r="DI35" s="596"/>
      <c r="DJ35" s="596"/>
      <c r="DK35" s="596"/>
      <c r="DL35" s="596"/>
      <c r="DM35" s="596"/>
      <c r="DN35" s="596"/>
      <c r="DO35" s="596"/>
      <c r="DP35" s="596"/>
      <c r="DQ35" s="596"/>
      <c r="DR35" s="596"/>
      <c r="DS35" s="596"/>
      <c r="DT35" s="596"/>
      <c r="DU35" s="596"/>
      <c r="DV35" s="596"/>
      <c r="DW35" s="596"/>
      <c r="DX35" s="596"/>
      <c r="DY35" s="596"/>
      <c r="DZ35" s="596"/>
      <c r="EA35" s="596"/>
    </row>
    <row r="36" spans="1:131">
      <c r="A36" s="596"/>
      <c r="B36" s="713" t="s">
        <v>57</v>
      </c>
      <c r="C36" s="714"/>
      <c r="D36" s="715"/>
      <c r="E36" s="714"/>
      <c r="F36" s="714"/>
      <c r="G36" s="714"/>
      <c r="H36" s="714"/>
      <c r="I36" s="716"/>
      <c r="J36" s="716"/>
      <c r="K36" s="717"/>
      <c r="L36" s="717"/>
      <c r="M36" s="717"/>
      <c r="N36" s="717"/>
      <c r="O36" s="717"/>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6"/>
      <c r="BC36" s="596"/>
      <c r="BD36" s="596"/>
      <c r="BE36" s="596"/>
      <c r="BF36" s="596"/>
      <c r="BG36" s="596"/>
      <c r="BH36" s="596"/>
      <c r="BI36" s="596"/>
      <c r="BJ36" s="596"/>
      <c r="BK36" s="596"/>
      <c r="BL36" s="596"/>
      <c r="BM36" s="596"/>
      <c r="BN36" s="596"/>
      <c r="BO36" s="596"/>
      <c r="BP36" s="596"/>
      <c r="BQ36" s="596"/>
      <c r="BR36" s="596"/>
      <c r="BS36" s="596"/>
      <c r="BT36" s="596"/>
      <c r="BU36" s="596"/>
      <c r="BV36" s="596"/>
      <c r="BW36" s="596"/>
      <c r="BX36" s="596"/>
      <c r="BY36" s="596"/>
      <c r="BZ36" s="596"/>
      <c r="CA36" s="596"/>
      <c r="CB36" s="596"/>
      <c r="CC36" s="596"/>
      <c r="CD36" s="596"/>
      <c r="CE36" s="596"/>
      <c r="CF36" s="596"/>
      <c r="CG36" s="596"/>
      <c r="CH36" s="596"/>
      <c r="CI36" s="596"/>
      <c r="CJ36" s="596"/>
      <c r="CK36" s="596"/>
      <c r="CL36" s="596"/>
      <c r="CM36" s="596"/>
      <c r="CN36" s="596"/>
      <c r="CO36" s="596"/>
      <c r="CP36" s="596"/>
      <c r="CQ36" s="596"/>
      <c r="CR36" s="596"/>
      <c r="CS36" s="596"/>
      <c r="CT36" s="596"/>
      <c r="CU36" s="596"/>
      <c r="CV36" s="596"/>
      <c r="CW36" s="596"/>
      <c r="CX36" s="596"/>
      <c r="CY36" s="596"/>
      <c r="CZ36" s="596"/>
      <c r="DA36" s="596"/>
      <c r="DB36" s="596"/>
      <c r="DC36" s="596"/>
      <c r="DD36" s="596"/>
      <c r="DE36" s="596"/>
      <c r="DF36" s="596"/>
      <c r="DG36" s="596"/>
      <c r="DH36" s="596"/>
      <c r="DI36" s="596"/>
      <c r="DJ36" s="596"/>
      <c r="DK36" s="596"/>
      <c r="DL36" s="596"/>
      <c r="DM36" s="596"/>
      <c r="DN36" s="596"/>
      <c r="DO36" s="596"/>
      <c r="DP36" s="596"/>
      <c r="DQ36" s="596"/>
      <c r="DR36" s="596"/>
      <c r="DS36" s="596"/>
      <c r="DT36" s="596"/>
      <c r="DU36" s="596"/>
      <c r="DV36" s="596"/>
      <c r="DW36" s="596"/>
      <c r="DX36" s="596"/>
      <c r="DY36" s="596"/>
      <c r="DZ36" s="596"/>
      <c r="EA36" s="596"/>
    </row>
    <row r="37" spans="1:131">
      <c r="A37" s="596"/>
      <c r="B37" s="718"/>
      <c r="C37" s="718"/>
      <c r="D37" s="718"/>
      <c r="E37" s="718"/>
      <c r="F37" s="718"/>
      <c r="G37" s="718"/>
      <c r="H37" s="718"/>
      <c r="I37" s="596"/>
      <c r="J37" s="596"/>
      <c r="K37" s="638"/>
      <c r="L37" s="638"/>
      <c r="M37" s="638"/>
      <c r="N37" s="638"/>
      <c r="O37" s="638"/>
      <c r="P37" s="596"/>
      <c r="Q37" s="596"/>
      <c r="R37" s="596"/>
      <c r="S37" s="596"/>
      <c r="T37" s="596"/>
      <c r="U37" s="596"/>
      <c r="V37" s="596"/>
      <c r="W37" s="596"/>
      <c r="X37" s="596"/>
      <c r="Y37" s="596"/>
      <c r="Z37" s="596"/>
      <c r="AA37" s="596"/>
      <c r="AB37" s="596"/>
      <c r="AC37" s="596"/>
      <c r="AD37" s="596"/>
      <c r="AE37" s="596"/>
      <c r="AF37" s="596"/>
      <c r="AG37" s="596"/>
      <c r="AH37" s="596"/>
      <c r="AI37" s="596"/>
      <c r="AJ37" s="596"/>
      <c r="AK37" s="596"/>
      <c r="AL37" s="596"/>
      <c r="AM37" s="596"/>
      <c r="AN37" s="596"/>
      <c r="AO37" s="596"/>
      <c r="AP37" s="596"/>
      <c r="AQ37" s="596"/>
      <c r="AR37" s="596"/>
      <c r="AS37" s="596"/>
      <c r="AT37" s="596"/>
      <c r="AU37" s="596"/>
      <c r="AV37" s="596"/>
      <c r="AW37" s="596"/>
      <c r="AX37" s="596"/>
      <c r="AY37" s="596"/>
      <c r="AZ37" s="596"/>
      <c r="BA37" s="596"/>
      <c r="BB37" s="596"/>
      <c r="BC37" s="596"/>
      <c r="BD37" s="596"/>
      <c r="BE37" s="596"/>
      <c r="BF37" s="596"/>
      <c r="BG37" s="596"/>
      <c r="BH37" s="596"/>
      <c r="BI37" s="596"/>
      <c r="BJ37" s="596"/>
      <c r="BK37" s="596"/>
      <c r="BL37" s="596"/>
      <c r="BM37" s="596"/>
      <c r="BN37" s="596"/>
      <c r="BO37" s="596"/>
      <c r="BP37" s="596"/>
      <c r="BQ37" s="596"/>
      <c r="BR37" s="596"/>
      <c r="BS37" s="596"/>
      <c r="BT37" s="596"/>
      <c r="BU37" s="596"/>
      <c r="BV37" s="596"/>
      <c r="BW37" s="596"/>
      <c r="BX37" s="596"/>
      <c r="BY37" s="596"/>
      <c r="BZ37" s="596"/>
      <c r="CA37" s="596"/>
      <c r="CB37" s="596"/>
      <c r="CC37" s="596"/>
      <c r="CD37" s="596"/>
      <c r="CE37" s="596"/>
      <c r="CF37" s="596"/>
      <c r="CG37" s="596"/>
      <c r="CH37" s="596"/>
      <c r="CI37" s="596"/>
      <c r="CJ37" s="596"/>
      <c r="CK37" s="596"/>
      <c r="CL37" s="596"/>
      <c r="CM37" s="596"/>
      <c r="CN37" s="596"/>
      <c r="CO37" s="596"/>
      <c r="CP37" s="596"/>
      <c r="CQ37" s="596"/>
      <c r="CR37" s="596"/>
      <c r="CS37" s="596"/>
      <c r="CT37" s="596"/>
      <c r="CU37" s="596"/>
      <c r="CV37" s="596"/>
      <c r="CW37" s="596"/>
      <c r="CX37" s="596"/>
      <c r="CY37" s="596"/>
      <c r="CZ37" s="596"/>
      <c r="DA37" s="596"/>
      <c r="DB37" s="596"/>
      <c r="DC37" s="596"/>
      <c r="DD37" s="596"/>
      <c r="DE37" s="596"/>
      <c r="DF37" s="596"/>
      <c r="DG37" s="596"/>
      <c r="DH37" s="596"/>
      <c r="DI37" s="596"/>
      <c r="DJ37" s="596"/>
      <c r="DK37" s="596"/>
      <c r="DL37" s="596"/>
      <c r="DM37" s="596"/>
      <c r="DN37" s="596"/>
      <c r="DO37" s="596"/>
      <c r="DP37" s="596"/>
      <c r="DQ37" s="596"/>
      <c r="DR37" s="596"/>
      <c r="DS37" s="596"/>
      <c r="DT37" s="596"/>
      <c r="DU37" s="596"/>
      <c r="DV37" s="596"/>
      <c r="DW37" s="596"/>
      <c r="DX37" s="596"/>
      <c r="DY37" s="596"/>
      <c r="DZ37" s="596"/>
      <c r="EA37" s="596"/>
    </row>
    <row r="38" spans="1:131">
      <c r="A38" s="596"/>
      <c r="B38" s="718"/>
      <c r="C38" s="718"/>
      <c r="D38" s="718"/>
      <c r="E38" s="718"/>
      <c r="F38" s="718"/>
      <c r="G38" s="718"/>
      <c r="H38" s="718"/>
      <c r="I38" s="596"/>
      <c r="J38" s="596"/>
      <c r="K38" s="638"/>
      <c r="L38" s="638"/>
      <c r="M38" s="638"/>
      <c r="N38" s="638"/>
      <c r="O38" s="638"/>
      <c r="P38" s="596"/>
      <c r="Q38" s="596"/>
      <c r="R38" s="596"/>
      <c r="S38" s="596"/>
      <c r="T38" s="596"/>
      <c r="U38" s="596"/>
      <c r="V38" s="596"/>
      <c r="W38" s="596"/>
      <c r="X38" s="596"/>
      <c r="Y38" s="596"/>
      <c r="Z38" s="596"/>
      <c r="AA38" s="596"/>
      <c r="AB38" s="596"/>
      <c r="AC38" s="596"/>
      <c r="AD38" s="596"/>
      <c r="AE38" s="596"/>
      <c r="AF38" s="596"/>
      <c r="AG38" s="596"/>
      <c r="AH38" s="596"/>
      <c r="AI38" s="596"/>
      <c r="AJ38" s="596"/>
      <c r="AK38" s="596"/>
      <c r="AL38" s="596"/>
      <c r="AM38" s="596"/>
      <c r="AN38" s="596"/>
      <c r="AO38" s="596"/>
      <c r="AP38" s="596"/>
      <c r="AQ38" s="596"/>
      <c r="AR38" s="596"/>
      <c r="AS38" s="596"/>
      <c r="AT38" s="596"/>
      <c r="AU38" s="596"/>
      <c r="AV38" s="596"/>
      <c r="AW38" s="596"/>
      <c r="AX38" s="596"/>
      <c r="AY38" s="596"/>
      <c r="AZ38" s="596"/>
      <c r="BA38" s="596"/>
      <c r="BB38" s="596"/>
      <c r="BC38" s="596"/>
      <c r="BD38" s="596"/>
      <c r="BE38" s="596"/>
      <c r="BF38" s="596"/>
      <c r="BG38" s="596"/>
      <c r="BH38" s="596"/>
      <c r="BI38" s="596"/>
      <c r="BJ38" s="596"/>
      <c r="BK38" s="596"/>
      <c r="BL38" s="596"/>
      <c r="BM38" s="596"/>
      <c r="BN38" s="596"/>
      <c r="BO38" s="596"/>
      <c r="BP38" s="596"/>
      <c r="BQ38" s="596"/>
      <c r="BR38" s="596"/>
      <c r="BS38" s="596"/>
      <c r="BT38" s="596"/>
      <c r="BU38" s="596"/>
      <c r="BV38" s="596"/>
      <c r="BW38" s="596"/>
      <c r="BX38" s="596"/>
      <c r="BY38" s="596"/>
      <c r="BZ38" s="596"/>
      <c r="CA38" s="596"/>
      <c r="CB38" s="596"/>
      <c r="CC38" s="596"/>
      <c r="CD38" s="596"/>
      <c r="CE38" s="596"/>
      <c r="CF38" s="596"/>
      <c r="CG38" s="596"/>
      <c r="CH38" s="596"/>
      <c r="CI38" s="596"/>
      <c r="CJ38" s="596"/>
      <c r="CK38" s="596"/>
      <c r="CL38" s="596"/>
      <c r="CM38" s="596"/>
      <c r="CN38" s="596"/>
      <c r="CO38" s="596"/>
      <c r="CP38" s="596"/>
      <c r="CQ38" s="596"/>
      <c r="CR38" s="596"/>
      <c r="CS38" s="596"/>
      <c r="CT38" s="596"/>
      <c r="CU38" s="596"/>
      <c r="CV38" s="596"/>
      <c r="CW38" s="596"/>
      <c r="CX38" s="596"/>
      <c r="CY38" s="596"/>
      <c r="CZ38" s="596"/>
      <c r="DA38" s="596"/>
      <c r="DB38" s="596"/>
      <c r="DC38" s="596"/>
      <c r="DD38" s="596"/>
      <c r="DE38" s="596"/>
      <c r="DF38" s="596"/>
      <c r="DG38" s="596"/>
      <c r="DH38" s="596"/>
      <c r="DI38" s="596"/>
      <c r="DJ38" s="596"/>
      <c r="DK38" s="596"/>
      <c r="DL38" s="596"/>
      <c r="DM38" s="596"/>
      <c r="DN38" s="596"/>
      <c r="DO38" s="596"/>
      <c r="DP38" s="596"/>
      <c r="DQ38" s="596"/>
      <c r="DR38" s="596"/>
      <c r="DS38" s="596"/>
      <c r="DT38" s="596"/>
      <c r="DU38" s="596"/>
      <c r="DV38" s="596"/>
      <c r="DW38" s="596"/>
      <c r="DX38" s="596"/>
      <c r="DY38" s="596"/>
      <c r="DZ38" s="596"/>
      <c r="EA38" s="596"/>
    </row>
    <row r="39" spans="1:131">
      <c r="A39" s="596"/>
      <c r="B39" s="718"/>
      <c r="C39" s="718"/>
      <c r="D39" s="718"/>
      <c r="E39" s="718"/>
      <c r="F39" s="718"/>
      <c r="G39" s="718"/>
      <c r="H39" s="718"/>
      <c r="I39" s="596"/>
      <c r="J39" s="596"/>
      <c r="K39" s="638"/>
      <c r="L39" s="638"/>
      <c r="M39" s="638"/>
      <c r="N39" s="638"/>
      <c r="O39" s="638"/>
      <c r="P39" s="596"/>
      <c r="Q39" s="596"/>
      <c r="R39" s="596"/>
      <c r="S39" s="596"/>
      <c r="T39" s="596"/>
      <c r="U39" s="596"/>
      <c r="V39" s="596"/>
      <c r="W39" s="596"/>
      <c r="X39" s="596"/>
      <c r="Y39" s="596"/>
      <c r="Z39" s="596"/>
      <c r="AA39" s="596"/>
      <c r="AB39" s="596"/>
      <c r="AC39" s="596"/>
      <c r="AD39" s="596"/>
      <c r="AE39" s="596"/>
      <c r="AF39" s="596"/>
      <c r="AG39" s="596"/>
      <c r="AH39" s="596"/>
      <c r="AI39" s="596"/>
      <c r="AJ39" s="596"/>
      <c r="AK39" s="596"/>
      <c r="AL39" s="596"/>
      <c r="AM39" s="596"/>
      <c r="AN39" s="596"/>
      <c r="AO39" s="596"/>
      <c r="AP39" s="596"/>
      <c r="AQ39" s="596"/>
      <c r="AR39" s="596"/>
      <c r="AS39" s="596"/>
      <c r="AT39" s="596"/>
      <c r="AU39" s="596"/>
      <c r="AV39" s="596"/>
      <c r="AW39" s="596"/>
      <c r="AX39" s="596"/>
      <c r="AY39" s="596"/>
      <c r="AZ39" s="596"/>
      <c r="BA39" s="596"/>
      <c r="BB39" s="596"/>
      <c r="BC39" s="596"/>
      <c r="BD39" s="596"/>
      <c r="BE39" s="596"/>
      <c r="BF39" s="596"/>
      <c r="BG39" s="596"/>
      <c r="BH39" s="596"/>
      <c r="BI39" s="596"/>
      <c r="BJ39" s="596"/>
      <c r="BK39" s="596"/>
      <c r="BL39" s="596"/>
      <c r="BM39" s="596"/>
      <c r="BN39" s="596"/>
      <c r="BO39" s="596"/>
      <c r="BP39" s="596"/>
      <c r="BQ39" s="596"/>
      <c r="BR39" s="596"/>
      <c r="BS39" s="596"/>
      <c r="BT39" s="596"/>
      <c r="BU39" s="596"/>
      <c r="BV39" s="596"/>
      <c r="BW39" s="596"/>
      <c r="BX39" s="596"/>
      <c r="BY39" s="596"/>
      <c r="BZ39" s="596"/>
      <c r="CA39" s="596"/>
      <c r="CB39" s="596"/>
      <c r="CC39" s="596"/>
      <c r="CD39" s="596"/>
      <c r="CE39" s="596"/>
      <c r="CF39" s="596"/>
      <c r="CG39" s="596"/>
      <c r="CH39" s="596"/>
      <c r="CI39" s="596"/>
      <c r="CJ39" s="596"/>
      <c r="CK39" s="596"/>
      <c r="CL39" s="596"/>
      <c r="CM39" s="596"/>
      <c r="CN39" s="596"/>
      <c r="CO39" s="596"/>
      <c r="CP39" s="596"/>
      <c r="CQ39" s="596"/>
      <c r="CR39" s="596"/>
      <c r="CS39" s="596"/>
      <c r="CT39" s="596"/>
      <c r="CU39" s="596"/>
      <c r="CV39" s="596"/>
      <c r="CW39" s="596"/>
      <c r="CX39" s="596"/>
      <c r="CY39" s="596"/>
      <c r="CZ39" s="596"/>
      <c r="DA39" s="596"/>
      <c r="DB39" s="596"/>
      <c r="DC39" s="596"/>
      <c r="DD39" s="596"/>
      <c r="DE39" s="596"/>
      <c r="DF39" s="596"/>
      <c r="DG39" s="596"/>
      <c r="DH39" s="596"/>
      <c r="DI39" s="596"/>
      <c r="DJ39" s="596"/>
      <c r="DK39" s="596"/>
      <c r="DL39" s="596"/>
      <c r="DM39" s="596"/>
      <c r="DN39" s="596"/>
      <c r="DO39" s="596"/>
      <c r="DP39" s="596"/>
      <c r="DQ39" s="596"/>
      <c r="DR39" s="596"/>
      <c r="DS39" s="596"/>
      <c r="DT39" s="596"/>
      <c r="DU39" s="596"/>
      <c r="DV39" s="596"/>
      <c r="DW39" s="596"/>
      <c r="DX39" s="596"/>
      <c r="DY39" s="596"/>
      <c r="DZ39" s="596"/>
      <c r="EA39" s="596"/>
    </row>
    <row r="40" spans="1:131">
      <c r="A40" s="596"/>
      <c r="B40" s="718"/>
      <c r="C40" s="718"/>
      <c r="D40" s="718"/>
      <c r="E40" s="718"/>
      <c r="F40" s="718"/>
      <c r="G40" s="718"/>
      <c r="H40" s="718"/>
      <c r="I40" s="596"/>
      <c r="J40" s="596"/>
      <c r="K40" s="638"/>
      <c r="L40" s="638"/>
      <c r="M40" s="638"/>
      <c r="N40" s="638"/>
      <c r="O40" s="638"/>
      <c r="P40" s="596"/>
      <c r="Q40" s="596"/>
      <c r="R40" s="596"/>
      <c r="S40" s="596"/>
      <c r="T40" s="596"/>
      <c r="U40" s="596"/>
      <c r="V40" s="596"/>
      <c r="W40" s="596"/>
      <c r="X40" s="596"/>
      <c r="Y40" s="596"/>
      <c r="Z40" s="596"/>
      <c r="AA40" s="596"/>
      <c r="AB40" s="596"/>
      <c r="AC40" s="596"/>
      <c r="AD40" s="596"/>
      <c r="AE40" s="596"/>
      <c r="AF40" s="596"/>
      <c r="AG40" s="596"/>
      <c r="AH40" s="596"/>
      <c r="AI40" s="596"/>
      <c r="AJ40" s="596"/>
      <c r="AK40" s="596"/>
      <c r="AL40" s="596"/>
      <c r="AM40" s="596"/>
      <c r="AN40" s="596"/>
      <c r="AO40" s="596"/>
      <c r="AP40" s="596"/>
      <c r="AQ40" s="596"/>
      <c r="AR40" s="596"/>
      <c r="AS40" s="596"/>
      <c r="AT40" s="596"/>
      <c r="AU40" s="596"/>
      <c r="AV40" s="596"/>
      <c r="AW40" s="596"/>
      <c r="AX40" s="596"/>
      <c r="AY40" s="596"/>
      <c r="AZ40" s="596"/>
      <c r="BA40" s="596"/>
      <c r="BB40" s="596"/>
      <c r="BC40" s="596"/>
      <c r="BD40" s="596"/>
      <c r="BE40" s="596"/>
      <c r="BF40" s="596"/>
      <c r="BG40" s="596"/>
      <c r="BH40" s="596"/>
      <c r="BI40" s="596"/>
      <c r="BJ40" s="596"/>
      <c r="BK40" s="596"/>
      <c r="BL40" s="596"/>
      <c r="BM40" s="596"/>
      <c r="BN40" s="596"/>
      <c r="BO40" s="596"/>
      <c r="BP40" s="596"/>
      <c r="BQ40" s="596"/>
      <c r="BR40" s="596"/>
      <c r="BS40" s="596"/>
      <c r="BT40" s="596"/>
      <c r="BU40" s="596"/>
      <c r="BV40" s="596"/>
      <c r="BW40" s="596"/>
      <c r="BX40" s="596"/>
      <c r="BY40" s="596"/>
      <c r="BZ40" s="596"/>
      <c r="CA40" s="596"/>
      <c r="CB40" s="596"/>
      <c r="CC40" s="596"/>
      <c r="CD40" s="596"/>
      <c r="CE40" s="596"/>
      <c r="CF40" s="596"/>
      <c r="CG40" s="596"/>
      <c r="CH40" s="596"/>
      <c r="CI40" s="596"/>
      <c r="CJ40" s="596"/>
      <c r="CK40" s="596"/>
      <c r="CL40" s="596"/>
      <c r="CM40" s="596"/>
      <c r="CN40" s="596"/>
      <c r="CO40" s="596"/>
      <c r="CP40" s="596"/>
      <c r="CQ40" s="596"/>
      <c r="CR40" s="596"/>
      <c r="CS40" s="596"/>
      <c r="CT40" s="596"/>
      <c r="CU40" s="596"/>
      <c r="CV40" s="596"/>
      <c r="CW40" s="596"/>
      <c r="CX40" s="596"/>
      <c r="CY40" s="596"/>
      <c r="CZ40" s="596"/>
      <c r="DA40" s="596"/>
      <c r="DB40" s="596"/>
      <c r="DC40" s="596"/>
      <c r="DD40" s="596"/>
      <c r="DE40" s="596"/>
      <c r="DF40" s="596"/>
      <c r="DG40" s="596"/>
      <c r="DH40" s="596"/>
      <c r="DI40" s="596"/>
      <c r="DJ40" s="596"/>
      <c r="DK40" s="596"/>
      <c r="DL40" s="596"/>
      <c r="DM40" s="596"/>
      <c r="DN40" s="596"/>
      <c r="DO40" s="596"/>
      <c r="DP40" s="596"/>
      <c r="DQ40" s="596"/>
      <c r="DR40" s="596"/>
      <c r="DS40" s="596"/>
      <c r="DT40" s="596"/>
      <c r="DU40" s="596"/>
      <c r="DV40" s="596"/>
      <c r="DW40" s="596"/>
      <c r="DX40" s="596"/>
      <c r="DY40" s="596"/>
      <c r="DZ40" s="596"/>
      <c r="EA40" s="596"/>
    </row>
    <row r="41" spans="1:131">
      <c r="A41" s="596"/>
      <c r="B41" s="718"/>
      <c r="C41" s="718"/>
      <c r="D41" s="718"/>
      <c r="E41" s="718"/>
      <c r="F41" s="718"/>
      <c r="G41" s="718"/>
      <c r="H41" s="718"/>
      <c r="I41" s="596"/>
      <c r="J41" s="596"/>
      <c r="K41" s="638"/>
      <c r="L41" s="638"/>
      <c r="M41" s="638"/>
      <c r="N41" s="638"/>
      <c r="O41" s="638"/>
      <c r="P41" s="596"/>
      <c r="Q41" s="596"/>
      <c r="R41" s="596"/>
      <c r="S41" s="596"/>
      <c r="T41" s="596"/>
      <c r="U41" s="596"/>
      <c r="V41" s="596"/>
      <c r="W41" s="596"/>
      <c r="X41" s="596"/>
      <c r="Y41" s="596"/>
      <c r="Z41" s="596"/>
      <c r="AA41" s="596"/>
      <c r="AB41" s="596"/>
      <c r="AC41" s="596"/>
      <c r="AD41" s="596"/>
      <c r="AE41" s="596"/>
      <c r="AF41" s="596"/>
      <c r="AG41" s="596"/>
      <c r="AH41" s="596"/>
      <c r="AI41" s="596"/>
      <c r="AJ41" s="596"/>
      <c r="AK41" s="596"/>
      <c r="AL41" s="596"/>
      <c r="AM41" s="596"/>
      <c r="AN41" s="596"/>
      <c r="AO41" s="596"/>
      <c r="AP41" s="596"/>
      <c r="AQ41" s="596"/>
      <c r="AR41" s="596"/>
      <c r="AS41" s="596"/>
      <c r="AT41" s="596"/>
      <c r="AU41" s="596"/>
      <c r="AV41" s="596"/>
      <c r="AW41" s="596"/>
      <c r="AX41" s="596"/>
      <c r="AY41" s="596"/>
      <c r="AZ41" s="596"/>
      <c r="BA41" s="596"/>
      <c r="BB41" s="596"/>
      <c r="BC41" s="596"/>
      <c r="BD41" s="596"/>
      <c r="BE41" s="596"/>
      <c r="BF41" s="596"/>
      <c r="BG41" s="596"/>
      <c r="BH41" s="596"/>
      <c r="BI41" s="596"/>
      <c r="BJ41" s="596"/>
      <c r="BK41" s="596"/>
      <c r="BL41" s="596"/>
      <c r="BM41" s="596"/>
      <c r="BN41" s="596"/>
      <c r="BO41" s="596"/>
      <c r="BP41" s="596"/>
      <c r="BQ41" s="596"/>
      <c r="BR41" s="596"/>
      <c r="BS41" s="596"/>
      <c r="BT41" s="596"/>
      <c r="BU41" s="596"/>
      <c r="BV41" s="596"/>
      <c r="BW41" s="596"/>
      <c r="BX41" s="596"/>
      <c r="BY41" s="596"/>
      <c r="BZ41" s="596"/>
      <c r="CA41" s="596"/>
      <c r="CB41" s="596"/>
      <c r="CC41" s="596"/>
      <c r="CD41" s="596"/>
      <c r="CE41" s="596"/>
      <c r="CF41" s="596"/>
      <c r="CG41" s="596"/>
      <c r="CH41" s="596"/>
      <c r="CI41" s="596"/>
      <c r="CJ41" s="596"/>
      <c r="CK41" s="596"/>
      <c r="CL41" s="596"/>
      <c r="CM41" s="596"/>
      <c r="CN41" s="596"/>
      <c r="CO41" s="596"/>
      <c r="CP41" s="596"/>
      <c r="CQ41" s="596"/>
      <c r="CR41" s="596"/>
      <c r="CS41" s="596"/>
      <c r="CT41" s="596"/>
      <c r="CU41" s="596"/>
      <c r="CV41" s="596"/>
      <c r="CW41" s="596"/>
      <c r="CX41" s="596"/>
      <c r="CY41" s="596"/>
      <c r="CZ41" s="596"/>
      <c r="DA41" s="596"/>
      <c r="DB41" s="596"/>
      <c r="DC41" s="596"/>
      <c r="DD41" s="596"/>
      <c r="DE41" s="596"/>
      <c r="DF41" s="596"/>
      <c r="DG41" s="596"/>
      <c r="DH41" s="596"/>
      <c r="DI41" s="596"/>
      <c r="DJ41" s="596"/>
      <c r="DK41" s="596"/>
      <c r="DL41" s="596"/>
      <c r="DM41" s="596"/>
      <c r="DN41" s="596"/>
      <c r="DO41" s="596"/>
      <c r="DP41" s="596"/>
      <c r="DQ41" s="596"/>
      <c r="DR41" s="596"/>
      <c r="DS41" s="596"/>
      <c r="DT41" s="596"/>
      <c r="DU41" s="596"/>
      <c r="DV41" s="596"/>
      <c r="DW41" s="596"/>
      <c r="DX41" s="596"/>
      <c r="DY41" s="596"/>
      <c r="DZ41" s="596"/>
      <c r="EA41" s="596"/>
    </row>
    <row r="42" spans="1:131">
      <c r="A42" s="596"/>
      <c r="B42" s="718"/>
      <c r="C42" s="718"/>
      <c r="D42" s="718"/>
      <c r="E42" s="718"/>
      <c r="F42" s="718"/>
      <c r="G42" s="718"/>
      <c r="H42" s="718"/>
      <c r="I42" s="596"/>
      <c r="J42" s="596"/>
      <c r="K42" s="638"/>
      <c r="L42" s="638"/>
      <c r="M42" s="638"/>
      <c r="N42" s="638"/>
      <c r="O42" s="638"/>
      <c r="P42" s="596"/>
      <c r="Q42" s="596"/>
      <c r="R42" s="596"/>
      <c r="S42" s="596"/>
      <c r="T42" s="596"/>
      <c r="U42" s="596"/>
      <c r="V42" s="596"/>
      <c r="W42" s="596"/>
      <c r="X42" s="596"/>
      <c r="Y42" s="596"/>
      <c r="Z42" s="596"/>
      <c r="AA42" s="596"/>
      <c r="AB42" s="596"/>
      <c r="AC42" s="596"/>
      <c r="AD42" s="596"/>
      <c r="AE42" s="596"/>
      <c r="AF42" s="596"/>
      <c r="AG42" s="596"/>
      <c r="AH42" s="596"/>
      <c r="AI42" s="596"/>
      <c r="AJ42" s="596"/>
      <c r="AK42" s="596"/>
      <c r="AL42" s="596"/>
      <c r="AM42" s="596"/>
      <c r="AN42" s="596"/>
      <c r="AO42" s="596"/>
      <c r="AP42" s="596"/>
      <c r="AQ42" s="596"/>
      <c r="AR42" s="596"/>
      <c r="AS42" s="596"/>
      <c r="AT42" s="596"/>
      <c r="AU42" s="596"/>
      <c r="AV42" s="596"/>
      <c r="AW42" s="596"/>
      <c r="AX42" s="596"/>
      <c r="AY42" s="596"/>
      <c r="AZ42" s="596"/>
      <c r="BA42" s="596"/>
      <c r="BB42" s="596"/>
      <c r="BC42" s="596"/>
      <c r="BD42" s="596"/>
      <c r="BE42" s="596"/>
      <c r="BF42" s="596"/>
      <c r="BG42" s="596"/>
      <c r="BH42" s="596"/>
      <c r="BI42" s="596"/>
      <c r="BJ42" s="596"/>
      <c r="BK42" s="596"/>
      <c r="BL42" s="596"/>
      <c r="BM42" s="596"/>
      <c r="BN42" s="596"/>
      <c r="BO42" s="596"/>
      <c r="BP42" s="596"/>
      <c r="BQ42" s="596"/>
      <c r="BR42" s="596"/>
      <c r="BS42" s="596"/>
      <c r="BT42" s="596"/>
      <c r="BU42" s="596"/>
      <c r="BV42" s="596"/>
      <c r="BW42" s="596"/>
      <c r="BX42" s="596"/>
      <c r="BY42" s="596"/>
      <c r="BZ42" s="596"/>
      <c r="CA42" s="596"/>
      <c r="CB42" s="596"/>
      <c r="CC42" s="596"/>
      <c r="CD42" s="596"/>
      <c r="CE42" s="596"/>
      <c r="CF42" s="596"/>
      <c r="CG42" s="596"/>
      <c r="CH42" s="596"/>
      <c r="CI42" s="596"/>
      <c r="CJ42" s="596"/>
      <c r="CK42" s="596"/>
      <c r="CL42" s="596"/>
      <c r="CM42" s="596"/>
      <c r="CN42" s="596"/>
      <c r="CO42" s="596"/>
      <c r="CP42" s="596"/>
      <c r="CQ42" s="596"/>
      <c r="CR42" s="596"/>
      <c r="CS42" s="596"/>
      <c r="CT42" s="596"/>
      <c r="CU42" s="596"/>
      <c r="CV42" s="596"/>
      <c r="CW42" s="596"/>
      <c r="CX42" s="596"/>
      <c r="CY42" s="596"/>
      <c r="CZ42" s="596"/>
      <c r="DA42" s="596"/>
      <c r="DB42" s="596"/>
      <c r="DC42" s="596"/>
      <c r="DD42" s="596"/>
      <c r="DE42" s="596"/>
      <c r="DF42" s="596"/>
      <c r="DG42" s="596"/>
      <c r="DH42" s="596"/>
      <c r="DI42" s="596"/>
      <c r="DJ42" s="596"/>
      <c r="DK42" s="596"/>
      <c r="DL42" s="596"/>
      <c r="DM42" s="596"/>
      <c r="DN42" s="596"/>
      <c r="DO42" s="596"/>
      <c r="DP42" s="596"/>
      <c r="DQ42" s="596"/>
      <c r="DR42" s="596"/>
      <c r="DS42" s="596"/>
      <c r="DT42" s="596"/>
      <c r="DU42" s="596"/>
      <c r="DV42" s="596"/>
      <c r="DW42" s="596"/>
      <c r="DX42" s="596"/>
      <c r="DY42" s="596"/>
      <c r="DZ42" s="596"/>
      <c r="EA42" s="596"/>
    </row>
    <row r="43" spans="1:131">
      <c r="A43" s="596"/>
      <c r="B43" s="718"/>
      <c r="C43" s="718"/>
      <c r="D43" s="718"/>
      <c r="E43" s="718"/>
      <c r="F43" s="718"/>
      <c r="G43" s="718"/>
      <c r="H43" s="718"/>
      <c r="I43" s="596"/>
      <c r="J43" s="596"/>
      <c r="K43" s="638"/>
      <c r="L43" s="638"/>
      <c r="M43" s="638"/>
      <c r="N43" s="638"/>
      <c r="O43" s="638"/>
      <c r="P43" s="596"/>
      <c r="Q43" s="596"/>
      <c r="R43" s="596"/>
      <c r="S43" s="596"/>
      <c r="T43" s="596"/>
      <c r="U43" s="596"/>
      <c r="V43" s="596"/>
      <c r="W43" s="596"/>
      <c r="X43" s="596"/>
      <c r="Y43" s="596"/>
      <c r="Z43" s="596"/>
      <c r="AA43" s="596"/>
      <c r="AB43" s="596"/>
      <c r="AC43" s="596"/>
      <c r="AD43" s="596"/>
      <c r="AE43" s="596"/>
      <c r="AF43" s="596"/>
      <c r="AG43" s="596"/>
      <c r="AH43" s="596"/>
      <c r="AI43" s="596"/>
      <c r="AJ43" s="596"/>
      <c r="AK43" s="596"/>
      <c r="AL43" s="596"/>
      <c r="AM43" s="596"/>
      <c r="AN43" s="596"/>
      <c r="AO43" s="596"/>
      <c r="AP43" s="596"/>
      <c r="AQ43" s="596"/>
      <c r="AR43" s="596"/>
      <c r="AS43" s="596"/>
      <c r="AT43" s="596"/>
      <c r="AU43" s="596"/>
      <c r="AV43" s="596"/>
      <c r="AW43" s="596"/>
      <c r="AX43" s="596"/>
      <c r="AY43" s="596"/>
      <c r="AZ43" s="596"/>
      <c r="BA43" s="596"/>
      <c r="BB43" s="596"/>
      <c r="BC43" s="596"/>
      <c r="BD43" s="596"/>
      <c r="BE43" s="596"/>
      <c r="BF43" s="596"/>
      <c r="BG43" s="596"/>
      <c r="BH43" s="596"/>
      <c r="BI43" s="596"/>
      <c r="BJ43" s="596"/>
      <c r="BK43" s="596"/>
      <c r="BL43" s="596"/>
      <c r="BM43" s="596"/>
      <c r="BN43" s="596"/>
      <c r="BO43" s="596"/>
      <c r="BP43" s="596"/>
      <c r="BQ43" s="596"/>
      <c r="BR43" s="596"/>
      <c r="BS43" s="596"/>
      <c r="BT43" s="596"/>
      <c r="BU43" s="596"/>
      <c r="BV43" s="596"/>
      <c r="BW43" s="596"/>
      <c r="BX43" s="596"/>
      <c r="BY43" s="596"/>
      <c r="BZ43" s="596"/>
      <c r="CA43" s="596"/>
      <c r="CB43" s="596"/>
      <c r="CC43" s="596"/>
      <c r="CD43" s="596"/>
      <c r="CE43" s="596"/>
      <c r="CF43" s="596"/>
      <c r="CG43" s="596"/>
      <c r="CH43" s="596"/>
      <c r="CI43" s="596"/>
      <c r="CJ43" s="596"/>
      <c r="CK43" s="596"/>
      <c r="CL43" s="596"/>
      <c r="CM43" s="596"/>
      <c r="CN43" s="596"/>
      <c r="CO43" s="596"/>
      <c r="CP43" s="596"/>
      <c r="CQ43" s="596"/>
      <c r="CR43" s="596"/>
      <c r="CS43" s="596"/>
      <c r="CT43" s="596"/>
      <c r="CU43" s="596"/>
      <c r="CV43" s="596"/>
      <c r="CW43" s="596"/>
      <c r="CX43" s="596"/>
      <c r="CY43" s="596"/>
      <c r="CZ43" s="596"/>
      <c r="DA43" s="596"/>
      <c r="DB43" s="596"/>
      <c r="DC43" s="596"/>
      <c r="DD43" s="596"/>
      <c r="DE43" s="596"/>
      <c r="DF43" s="596"/>
      <c r="DG43" s="596"/>
      <c r="DH43" s="596"/>
      <c r="DI43" s="596"/>
      <c r="DJ43" s="596"/>
      <c r="DK43" s="596"/>
      <c r="DL43" s="596"/>
      <c r="DM43" s="596"/>
      <c r="DN43" s="596"/>
      <c r="DO43" s="596"/>
      <c r="DP43" s="596"/>
      <c r="DQ43" s="596"/>
      <c r="DR43" s="596"/>
      <c r="DS43" s="596"/>
      <c r="DT43" s="596"/>
      <c r="DU43" s="596"/>
      <c r="DV43" s="596"/>
      <c r="DW43" s="596"/>
      <c r="DX43" s="596"/>
      <c r="DY43" s="596"/>
      <c r="DZ43" s="596"/>
      <c r="EA43" s="596"/>
    </row>
    <row r="44" spans="1:131">
      <c r="A44" s="596"/>
      <c r="B44" s="718"/>
      <c r="C44" s="718"/>
      <c r="D44" s="718"/>
      <c r="E44" s="718"/>
      <c r="F44" s="718"/>
      <c r="G44" s="718"/>
      <c r="H44" s="718"/>
      <c r="I44" s="596"/>
      <c r="J44" s="596"/>
      <c r="K44" s="638"/>
      <c r="L44" s="638"/>
      <c r="M44" s="638"/>
      <c r="N44" s="638"/>
      <c r="O44" s="638"/>
      <c r="P44" s="596"/>
      <c r="Q44" s="596"/>
      <c r="R44" s="596"/>
      <c r="S44" s="596"/>
      <c r="T44" s="596"/>
      <c r="U44" s="596"/>
      <c r="V44" s="596"/>
      <c r="W44" s="596"/>
      <c r="X44" s="596"/>
      <c r="Y44" s="596"/>
      <c r="Z44" s="596"/>
      <c r="AA44" s="596"/>
      <c r="AB44" s="596"/>
      <c r="AC44" s="596"/>
      <c r="AD44" s="596"/>
      <c r="AE44" s="596"/>
      <c r="AF44" s="596"/>
      <c r="AG44" s="596"/>
      <c r="AH44" s="596"/>
      <c r="AI44" s="596"/>
      <c r="AJ44" s="596"/>
      <c r="AK44" s="596"/>
      <c r="AL44" s="596"/>
      <c r="AM44" s="596"/>
      <c r="AN44" s="596"/>
      <c r="AO44" s="596"/>
      <c r="AP44" s="596"/>
      <c r="AQ44" s="596"/>
      <c r="AR44" s="596"/>
      <c r="AS44" s="596"/>
      <c r="AT44" s="596"/>
      <c r="AU44" s="596"/>
      <c r="AV44" s="596"/>
      <c r="AW44" s="596"/>
      <c r="AX44" s="596"/>
      <c r="AY44" s="596"/>
      <c r="AZ44" s="596"/>
      <c r="BA44" s="596"/>
      <c r="BB44" s="596"/>
      <c r="BC44" s="596"/>
      <c r="BD44" s="596"/>
      <c r="BE44" s="596"/>
      <c r="BF44" s="596"/>
      <c r="BG44" s="596"/>
      <c r="BH44" s="596"/>
      <c r="BI44" s="596"/>
      <c r="BJ44" s="596"/>
      <c r="BK44" s="596"/>
      <c r="BL44" s="596"/>
      <c r="BM44" s="596"/>
      <c r="BN44" s="596"/>
      <c r="BO44" s="596"/>
      <c r="BP44" s="596"/>
      <c r="BQ44" s="596"/>
      <c r="BR44" s="596"/>
      <c r="BS44" s="596"/>
      <c r="BT44" s="596"/>
      <c r="BU44" s="596"/>
      <c r="BV44" s="596"/>
      <c r="BW44" s="596"/>
      <c r="BX44" s="596"/>
      <c r="BY44" s="596"/>
      <c r="BZ44" s="596"/>
      <c r="CA44" s="596"/>
      <c r="CB44" s="596"/>
      <c r="CC44" s="596"/>
      <c r="CD44" s="596"/>
      <c r="CE44" s="596"/>
      <c r="CF44" s="596"/>
      <c r="CG44" s="596"/>
      <c r="CH44" s="596"/>
      <c r="CI44" s="596"/>
      <c r="CJ44" s="596"/>
      <c r="CK44" s="596"/>
      <c r="CL44" s="596"/>
      <c r="CM44" s="596"/>
      <c r="CN44" s="596"/>
      <c r="CO44" s="596"/>
      <c r="CP44" s="596"/>
      <c r="CQ44" s="596"/>
      <c r="CR44" s="596"/>
      <c r="CS44" s="596"/>
      <c r="CT44" s="596"/>
      <c r="CU44" s="596"/>
      <c r="CV44" s="596"/>
      <c r="CW44" s="596"/>
      <c r="CX44" s="596"/>
      <c r="CY44" s="596"/>
      <c r="CZ44" s="596"/>
      <c r="DA44" s="596"/>
      <c r="DB44" s="596"/>
      <c r="DC44" s="596"/>
      <c r="DD44" s="596"/>
      <c r="DE44" s="596"/>
      <c r="DF44" s="596"/>
      <c r="DG44" s="596"/>
      <c r="DH44" s="596"/>
      <c r="DI44" s="596"/>
      <c r="DJ44" s="596"/>
      <c r="DK44" s="596"/>
      <c r="DL44" s="596"/>
      <c r="DM44" s="596"/>
      <c r="DN44" s="596"/>
      <c r="DO44" s="596"/>
      <c r="DP44" s="596"/>
      <c r="DQ44" s="596"/>
      <c r="DR44" s="596"/>
      <c r="DS44" s="596"/>
      <c r="DT44" s="596"/>
      <c r="DU44" s="596"/>
      <c r="DV44" s="596"/>
      <c r="DW44" s="596"/>
      <c r="DX44" s="596"/>
      <c r="DY44" s="596"/>
      <c r="DZ44" s="596"/>
      <c r="EA44" s="596"/>
    </row>
    <row r="45" spans="1:131">
      <c r="A45" s="596"/>
      <c r="B45" s="718"/>
      <c r="C45" s="718"/>
      <c r="D45" s="718"/>
      <c r="E45" s="718"/>
      <c r="F45" s="718"/>
      <c r="G45" s="718"/>
      <c r="H45" s="718"/>
      <c r="I45" s="596"/>
      <c r="J45" s="596"/>
      <c r="K45" s="638"/>
      <c r="L45" s="638"/>
      <c r="M45" s="638"/>
      <c r="N45" s="638"/>
      <c r="O45" s="638"/>
      <c r="P45" s="596"/>
      <c r="Q45" s="596"/>
      <c r="R45" s="596"/>
      <c r="S45" s="596"/>
      <c r="T45" s="596"/>
      <c r="U45" s="596"/>
      <c r="V45" s="596"/>
      <c r="W45" s="596"/>
      <c r="X45" s="596"/>
      <c r="Y45" s="596"/>
      <c r="Z45" s="596"/>
      <c r="AA45" s="596"/>
      <c r="AB45" s="596"/>
      <c r="AC45" s="596"/>
      <c r="AD45" s="596"/>
      <c r="AE45" s="596"/>
      <c r="AF45" s="596"/>
      <c r="AG45" s="596"/>
      <c r="AH45" s="596"/>
      <c r="AI45" s="596"/>
      <c r="AJ45" s="596"/>
      <c r="AK45" s="596"/>
      <c r="AL45" s="596"/>
      <c r="AM45" s="596"/>
      <c r="AN45" s="596"/>
      <c r="AO45" s="596"/>
      <c r="AP45" s="596"/>
      <c r="AQ45" s="596"/>
      <c r="AR45" s="596"/>
      <c r="AS45" s="596"/>
      <c r="AT45" s="596"/>
      <c r="AU45" s="596"/>
      <c r="AV45" s="596"/>
      <c r="AW45" s="596"/>
      <c r="AX45" s="596"/>
      <c r="AY45" s="596"/>
      <c r="AZ45" s="596"/>
      <c r="BA45" s="596"/>
      <c r="BB45" s="596"/>
      <c r="BC45" s="596"/>
      <c r="BD45" s="596"/>
      <c r="BE45" s="596"/>
      <c r="BF45" s="596"/>
      <c r="BG45" s="596"/>
      <c r="BH45" s="596"/>
      <c r="BI45" s="596"/>
      <c r="BJ45" s="596"/>
      <c r="BK45" s="596"/>
      <c r="BL45" s="596"/>
      <c r="BM45" s="596"/>
      <c r="BN45" s="596"/>
      <c r="BO45" s="596"/>
      <c r="BP45" s="596"/>
      <c r="BQ45" s="596"/>
      <c r="BR45" s="596"/>
      <c r="BS45" s="596"/>
      <c r="BT45" s="596"/>
      <c r="BU45" s="596"/>
      <c r="BV45" s="596"/>
      <c r="BW45" s="596"/>
      <c r="BX45" s="596"/>
      <c r="BY45" s="596"/>
      <c r="BZ45" s="596"/>
      <c r="CA45" s="596"/>
      <c r="CB45" s="596"/>
      <c r="CC45" s="596"/>
      <c r="CD45" s="596"/>
      <c r="CE45" s="596"/>
      <c r="CF45" s="596"/>
      <c r="CG45" s="596"/>
      <c r="CH45" s="596"/>
      <c r="CI45" s="596"/>
      <c r="CJ45" s="596"/>
      <c r="CK45" s="596"/>
      <c r="CL45" s="596"/>
      <c r="CM45" s="596"/>
      <c r="CN45" s="596"/>
      <c r="CO45" s="596"/>
      <c r="CP45" s="596"/>
      <c r="CQ45" s="596"/>
      <c r="CR45" s="596"/>
      <c r="CS45" s="596"/>
      <c r="CT45" s="596"/>
      <c r="CU45" s="596"/>
      <c r="CV45" s="596"/>
      <c r="CW45" s="596"/>
      <c r="CX45" s="596"/>
      <c r="CY45" s="596"/>
      <c r="CZ45" s="596"/>
      <c r="DA45" s="596"/>
      <c r="DB45" s="596"/>
      <c r="DC45" s="596"/>
      <c r="DD45" s="596"/>
      <c r="DE45" s="596"/>
      <c r="DF45" s="596"/>
      <c r="DG45" s="596"/>
      <c r="DH45" s="596"/>
      <c r="DI45" s="596"/>
      <c r="DJ45" s="596"/>
      <c r="DK45" s="596"/>
      <c r="DL45" s="596"/>
      <c r="DM45" s="596"/>
      <c r="DN45" s="596"/>
      <c r="DO45" s="596"/>
      <c r="DP45" s="596"/>
      <c r="DQ45" s="596"/>
      <c r="DR45" s="596"/>
      <c r="DS45" s="596"/>
      <c r="DT45" s="596"/>
      <c r="DU45" s="596"/>
      <c r="DV45" s="596"/>
      <c r="DW45" s="596"/>
      <c r="DX45" s="596"/>
      <c r="DY45" s="596"/>
      <c r="DZ45" s="596"/>
      <c r="EA45" s="596"/>
    </row>
    <row r="46" spans="1:131">
      <c r="A46" s="596"/>
      <c r="B46" s="718"/>
      <c r="C46" s="718"/>
      <c r="D46" s="718"/>
      <c r="E46" s="718"/>
      <c r="F46" s="718"/>
      <c r="G46" s="718"/>
      <c r="H46" s="718"/>
      <c r="I46" s="596"/>
      <c r="J46" s="596"/>
      <c r="K46" s="638"/>
      <c r="L46" s="638"/>
      <c r="M46" s="638"/>
      <c r="N46" s="638"/>
      <c r="O46" s="638"/>
      <c r="P46" s="596"/>
      <c r="Q46" s="596"/>
      <c r="R46" s="596"/>
      <c r="S46" s="596"/>
      <c r="T46" s="596"/>
      <c r="U46" s="596"/>
      <c r="V46" s="596"/>
      <c r="W46" s="596"/>
      <c r="X46" s="596"/>
      <c r="Y46" s="596"/>
      <c r="Z46" s="596"/>
      <c r="AA46" s="596"/>
      <c r="AB46" s="596"/>
      <c r="AC46" s="596"/>
      <c r="AD46" s="596"/>
      <c r="AE46" s="596"/>
      <c r="AF46" s="596"/>
      <c r="AG46" s="596"/>
      <c r="AH46" s="596"/>
      <c r="AI46" s="596"/>
      <c r="AJ46" s="596"/>
      <c r="AK46" s="596"/>
      <c r="AL46" s="596"/>
      <c r="AM46" s="596"/>
      <c r="AN46" s="596"/>
      <c r="AO46" s="596"/>
      <c r="AP46" s="596"/>
      <c r="AQ46" s="596"/>
      <c r="AR46" s="596"/>
      <c r="AS46" s="596"/>
      <c r="AT46" s="596"/>
      <c r="AU46" s="596"/>
      <c r="AV46" s="596"/>
      <c r="AW46" s="596"/>
      <c r="AX46" s="596"/>
      <c r="AY46" s="596"/>
      <c r="AZ46" s="596"/>
      <c r="BA46" s="596"/>
      <c r="BB46" s="596"/>
      <c r="BC46" s="596"/>
      <c r="BD46" s="596"/>
      <c r="BE46" s="596"/>
      <c r="BF46" s="596"/>
      <c r="BG46" s="596"/>
      <c r="BH46" s="596"/>
      <c r="BI46" s="596"/>
      <c r="BJ46" s="596"/>
      <c r="BK46" s="596"/>
      <c r="BL46" s="596"/>
      <c r="BM46" s="596"/>
      <c r="BN46" s="596"/>
      <c r="BO46" s="596"/>
      <c r="BP46" s="596"/>
      <c r="BQ46" s="596"/>
      <c r="BR46" s="596"/>
      <c r="BS46" s="596"/>
      <c r="BT46" s="596"/>
      <c r="BU46" s="596"/>
      <c r="BV46" s="596"/>
      <c r="BW46" s="596"/>
      <c r="BX46" s="596"/>
      <c r="BY46" s="596"/>
      <c r="BZ46" s="596"/>
      <c r="CA46" s="596"/>
      <c r="CB46" s="596"/>
      <c r="CC46" s="596"/>
      <c r="CD46" s="596"/>
      <c r="CE46" s="596"/>
      <c r="CF46" s="596"/>
      <c r="CG46" s="596"/>
      <c r="CH46" s="596"/>
      <c r="CI46" s="596"/>
      <c r="CJ46" s="596"/>
      <c r="CK46" s="596"/>
      <c r="CL46" s="596"/>
      <c r="CM46" s="596"/>
      <c r="CN46" s="596"/>
      <c r="CO46" s="596"/>
      <c r="CP46" s="596"/>
      <c r="CQ46" s="596"/>
      <c r="CR46" s="596"/>
      <c r="CS46" s="596"/>
      <c r="CT46" s="596"/>
      <c r="CU46" s="596"/>
      <c r="CV46" s="596"/>
      <c r="CW46" s="596"/>
      <c r="CX46" s="596"/>
      <c r="CY46" s="596"/>
      <c r="CZ46" s="596"/>
      <c r="DA46" s="596"/>
      <c r="DB46" s="596"/>
      <c r="DC46" s="596"/>
      <c r="DD46" s="596"/>
      <c r="DE46" s="596"/>
      <c r="DF46" s="596"/>
      <c r="DG46" s="596"/>
      <c r="DH46" s="596"/>
      <c r="DI46" s="596"/>
      <c r="DJ46" s="596"/>
      <c r="DK46" s="596"/>
      <c r="DL46" s="596"/>
      <c r="DM46" s="596"/>
      <c r="DN46" s="596"/>
      <c r="DO46" s="596"/>
      <c r="DP46" s="596"/>
      <c r="DQ46" s="596"/>
      <c r="DR46" s="596"/>
      <c r="DS46" s="596"/>
      <c r="DT46" s="596"/>
      <c r="DU46" s="596"/>
      <c r="DV46" s="596"/>
      <c r="DW46" s="596"/>
      <c r="DX46" s="596"/>
      <c r="DY46" s="596"/>
      <c r="DZ46" s="596"/>
      <c r="EA46" s="596"/>
    </row>
    <row r="47" spans="1:131">
      <c r="A47" s="596"/>
      <c r="B47" s="718"/>
      <c r="C47" s="718"/>
      <c r="D47" s="718"/>
      <c r="E47" s="718"/>
      <c r="F47" s="718"/>
      <c r="G47" s="718"/>
      <c r="H47" s="718"/>
      <c r="I47" s="596"/>
      <c r="J47" s="596"/>
      <c r="K47" s="638"/>
      <c r="L47" s="638"/>
      <c r="M47" s="638"/>
      <c r="N47" s="638"/>
      <c r="O47" s="638"/>
      <c r="P47" s="596"/>
      <c r="Q47" s="596"/>
      <c r="R47" s="596"/>
      <c r="S47" s="596"/>
      <c r="T47" s="596"/>
      <c r="U47" s="596"/>
      <c r="V47" s="596"/>
      <c r="W47" s="596"/>
      <c r="X47" s="596"/>
      <c r="Y47" s="596"/>
      <c r="Z47" s="596"/>
      <c r="AA47" s="596"/>
      <c r="AB47" s="596"/>
      <c r="AC47" s="596"/>
      <c r="AD47" s="596"/>
      <c r="AE47" s="596"/>
      <c r="AF47" s="596"/>
      <c r="AG47" s="596"/>
      <c r="AH47" s="596"/>
      <c r="AI47" s="596"/>
      <c r="AJ47" s="596"/>
      <c r="AK47" s="596"/>
      <c r="AL47" s="596"/>
      <c r="AM47" s="596"/>
      <c r="AN47" s="596"/>
      <c r="AO47" s="596"/>
      <c r="AP47" s="596"/>
      <c r="AQ47" s="596"/>
      <c r="AR47" s="596"/>
      <c r="AS47" s="596"/>
      <c r="AT47" s="596"/>
      <c r="AU47" s="596"/>
      <c r="AV47" s="596"/>
      <c r="AW47" s="596"/>
      <c r="AX47" s="596"/>
      <c r="AY47" s="596"/>
      <c r="AZ47" s="596"/>
      <c r="BA47" s="596"/>
      <c r="BB47" s="596"/>
      <c r="BC47" s="596"/>
      <c r="BD47" s="596"/>
      <c r="BE47" s="596"/>
      <c r="BF47" s="596"/>
      <c r="BG47" s="596"/>
      <c r="BH47" s="596"/>
      <c r="BI47" s="596"/>
      <c r="BJ47" s="596"/>
      <c r="BK47" s="596"/>
      <c r="BL47" s="596"/>
      <c r="BM47" s="596"/>
      <c r="BN47" s="596"/>
      <c r="BO47" s="596"/>
      <c r="BP47" s="596"/>
      <c r="BQ47" s="596"/>
      <c r="BR47" s="596"/>
      <c r="BS47" s="596"/>
      <c r="BT47" s="596"/>
      <c r="BU47" s="596"/>
      <c r="BV47" s="596"/>
      <c r="BW47" s="596"/>
      <c r="BX47" s="596"/>
      <c r="BY47" s="596"/>
      <c r="BZ47" s="596"/>
      <c r="CA47" s="596"/>
      <c r="CB47" s="596"/>
      <c r="CC47" s="596"/>
      <c r="CD47" s="596"/>
      <c r="CE47" s="596"/>
      <c r="CF47" s="596"/>
      <c r="CG47" s="596"/>
      <c r="CH47" s="596"/>
      <c r="CI47" s="596"/>
      <c r="CJ47" s="596"/>
      <c r="CK47" s="596"/>
      <c r="CL47" s="596"/>
      <c r="CM47" s="596"/>
      <c r="CN47" s="596"/>
      <c r="CO47" s="596"/>
      <c r="CP47" s="596"/>
      <c r="CQ47" s="596"/>
      <c r="CR47" s="596"/>
      <c r="CS47" s="596"/>
      <c r="CT47" s="596"/>
      <c r="CU47" s="596"/>
      <c r="CV47" s="596"/>
      <c r="CW47" s="596"/>
      <c r="CX47" s="596"/>
      <c r="CY47" s="596"/>
      <c r="CZ47" s="596"/>
      <c r="DA47" s="596"/>
      <c r="DB47" s="596"/>
      <c r="DC47" s="596"/>
      <c r="DD47" s="596"/>
      <c r="DE47" s="596"/>
      <c r="DF47" s="596"/>
      <c r="DG47" s="596"/>
      <c r="DH47" s="596"/>
      <c r="DI47" s="596"/>
      <c r="DJ47" s="596"/>
      <c r="DK47" s="596"/>
      <c r="DL47" s="596"/>
      <c r="DM47" s="596"/>
      <c r="DN47" s="596"/>
      <c r="DO47" s="596"/>
      <c r="DP47" s="596"/>
      <c r="DQ47" s="596"/>
      <c r="DR47" s="596"/>
      <c r="DS47" s="596"/>
      <c r="DT47" s="596"/>
      <c r="DU47" s="596"/>
      <c r="DV47" s="596"/>
      <c r="DW47" s="596"/>
      <c r="DX47" s="596"/>
      <c r="DY47" s="596"/>
      <c r="DZ47" s="596"/>
      <c r="EA47" s="596"/>
    </row>
    <row r="48" spans="1:131">
      <c r="A48" s="596"/>
      <c r="B48" s="718"/>
      <c r="C48" s="718"/>
      <c r="D48" s="718"/>
      <c r="E48" s="718"/>
      <c r="F48" s="718"/>
      <c r="G48" s="718"/>
      <c r="H48" s="718"/>
      <c r="I48" s="596"/>
      <c r="J48" s="596"/>
      <c r="K48" s="638"/>
      <c r="L48" s="638"/>
      <c r="M48" s="638"/>
      <c r="N48" s="638"/>
      <c r="O48" s="638"/>
      <c r="P48" s="596"/>
      <c r="Q48" s="596"/>
      <c r="R48" s="596"/>
      <c r="S48" s="596"/>
      <c r="T48" s="596"/>
      <c r="U48" s="596"/>
      <c r="V48" s="596"/>
      <c r="W48" s="596"/>
      <c r="X48" s="596"/>
      <c r="Y48" s="596"/>
      <c r="Z48" s="596"/>
      <c r="AA48" s="596"/>
      <c r="AB48" s="596"/>
      <c r="AC48" s="596"/>
      <c r="AD48" s="596"/>
      <c r="AE48" s="596"/>
      <c r="AF48" s="596"/>
      <c r="AG48" s="596"/>
      <c r="AH48" s="596"/>
      <c r="AI48" s="596"/>
      <c r="AJ48" s="596"/>
      <c r="AK48" s="596"/>
      <c r="AL48" s="596"/>
      <c r="AM48" s="596"/>
      <c r="AN48" s="596"/>
      <c r="AO48" s="596"/>
      <c r="AP48" s="596"/>
      <c r="AQ48" s="596"/>
      <c r="AR48" s="596"/>
      <c r="AS48" s="596"/>
      <c r="AT48" s="596"/>
      <c r="AU48" s="596"/>
      <c r="AV48" s="596"/>
      <c r="AW48" s="596"/>
      <c r="AX48" s="596"/>
      <c r="AY48" s="596"/>
      <c r="AZ48" s="596"/>
      <c r="BA48" s="596"/>
      <c r="BB48" s="596"/>
      <c r="BC48" s="596"/>
      <c r="BD48" s="596"/>
      <c r="BE48" s="596"/>
      <c r="BF48" s="596"/>
      <c r="BG48" s="596"/>
      <c r="BH48" s="596"/>
      <c r="BI48" s="596"/>
      <c r="BJ48" s="596"/>
      <c r="BK48" s="596"/>
      <c r="BL48" s="596"/>
      <c r="BM48" s="596"/>
      <c r="BN48" s="596"/>
      <c r="BO48" s="596"/>
      <c r="BP48" s="596"/>
      <c r="BQ48" s="596"/>
      <c r="BR48" s="596"/>
      <c r="BS48" s="596"/>
      <c r="BT48" s="596"/>
      <c r="BU48" s="596"/>
      <c r="BV48" s="596"/>
      <c r="BW48" s="596"/>
      <c r="BX48" s="596"/>
      <c r="BY48" s="596"/>
      <c r="BZ48" s="596"/>
      <c r="CA48" s="596"/>
      <c r="CB48" s="596"/>
      <c r="CC48" s="596"/>
      <c r="CD48" s="596"/>
      <c r="CE48" s="596"/>
      <c r="CF48" s="596"/>
      <c r="CG48" s="596"/>
      <c r="CH48" s="596"/>
      <c r="CI48" s="596"/>
      <c r="CJ48" s="596"/>
      <c r="CK48" s="596"/>
      <c r="CL48" s="596"/>
      <c r="CM48" s="596"/>
      <c r="CN48" s="596"/>
      <c r="CO48" s="596"/>
      <c r="CP48" s="596"/>
      <c r="CQ48" s="596"/>
      <c r="CR48" s="596"/>
      <c r="CS48" s="596"/>
      <c r="CT48" s="596"/>
      <c r="CU48" s="596"/>
      <c r="CV48" s="596"/>
      <c r="CW48" s="596"/>
      <c r="CX48" s="596"/>
      <c r="CY48" s="596"/>
      <c r="CZ48" s="596"/>
      <c r="DA48" s="596"/>
      <c r="DB48" s="596"/>
      <c r="DC48" s="596"/>
      <c r="DD48" s="596"/>
      <c r="DE48" s="596"/>
      <c r="DF48" s="596"/>
      <c r="DG48" s="596"/>
      <c r="DH48" s="596"/>
      <c r="DI48" s="596"/>
      <c r="DJ48" s="596"/>
      <c r="DK48" s="596"/>
      <c r="DL48" s="596"/>
      <c r="DM48" s="596"/>
      <c r="DN48" s="596"/>
      <c r="DO48" s="596"/>
      <c r="DP48" s="596"/>
      <c r="DQ48" s="596"/>
      <c r="DR48" s="596"/>
      <c r="DS48" s="596"/>
      <c r="DT48" s="596"/>
      <c r="DU48" s="596"/>
      <c r="DV48" s="596"/>
      <c r="DW48" s="596"/>
      <c r="DX48" s="596"/>
      <c r="DY48" s="596"/>
      <c r="DZ48" s="596"/>
      <c r="EA48" s="596"/>
    </row>
    <row r="49" spans="1:131">
      <c r="A49" s="596"/>
      <c r="B49" s="718"/>
      <c r="C49" s="718"/>
      <c r="D49" s="718"/>
      <c r="E49" s="718"/>
      <c r="F49" s="718"/>
      <c r="G49" s="718"/>
      <c r="H49" s="718"/>
      <c r="I49" s="596"/>
      <c r="J49" s="596"/>
      <c r="K49" s="638"/>
      <c r="L49" s="638"/>
      <c r="M49" s="638"/>
      <c r="N49" s="638"/>
      <c r="O49" s="638"/>
      <c r="P49" s="596"/>
      <c r="Q49" s="596"/>
      <c r="R49" s="596"/>
      <c r="S49" s="596"/>
      <c r="T49" s="596"/>
      <c r="U49" s="596"/>
      <c r="V49" s="596"/>
      <c r="W49" s="596"/>
      <c r="X49" s="596"/>
      <c r="Y49" s="596"/>
      <c r="Z49" s="596"/>
      <c r="AA49" s="596"/>
      <c r="AB49" s="596"/>
      <c r="AC49" s="596"/>
      <c r="AD49" s="596"/>
      <c r="AE49" s="596"/>
      <c r="AF49" s="596"/>
      <c r="AG49" s="596"/>
      <c r="AH49" s="596"/>
      <c r="AI49" s="596"/>
      <c r="AJ49" s="596"/>
      <c r="AK49" s="596"/>
      <c r="AL49" s="596"/>
      <c r="AM49" s="596"/>
      <c r="AN49" s="596"/>
      <c r="AO49" s="596"/>
      <c r="AP49" s="596"/>
      <c r="AQ49" s="596"/>
      <c r="AR49" s="596"/>
      <c r="AS49" s="596"/>
      <c r="AT49" s="596"/>
      <c r="AU49" s="596"/>
      <c r="AV49" s="596"/>
      <c r="AW49" s="596"/>
      <c r="AX49" s="596"/>
      <c r="AY49" s="596"/>
      <c r="AZ49" s="596"/>
      <c r="BA49" s="596"/>
      <c r="BB49" s="596"/>
      <c r="BC49" s="596"/>
      <c r="BD49" s="596"/>
      <c r="BE49" s="596"/>
      <c r="BF49" s="596"/>
      <c r="BG49" s="596"/>
      <c r="BH49" s="596"/>
      <c r="BI49" s="596"/>
      <c r="BJ49" s="596"/>
      <c r="BK49" s="596"/>
      <c r="BL49" s="596"/>
      <c r="BM49" s="596"/>
      <c r="BN49" s="596"/>
      <c r="BO49" s="596"/>
      <c r="BP49" s="596"/>
      <c r="BQ49" s="596"/>
      <c r="BR49" s="596"/>
      <c r="BS49" s="596"/>
      <c r="BT49" s="596"/>
      <c r="BU49" s="596"/>
      <c r="BV49" s="596"/>
      <c r="BW49" s="596"/>
      <c r="BX49" s="596"/>
      <c r="BY49" s="596"/>
      <c r="BZ49" s="596"/>
      <c r="CA49" s="596"/>
      <c r="CB49" s="596"/>
      <c r="CC49" s="596"/>
      <c r="CD49" s="596"/>
      <c r="CE49" s="596"/>
      <c r="CF49" s="596"/>
      <c r="CG49" s="596"/>
      <c r="CH49" s="596"/>
      <c r="CI49" s="596"/>
      <c r="CJ49" s="596"/>
      <c r="CK49" s="596"/>
      <c r="CL49" s="596"/>
      <c r="CM49" s="596"/>
      <c r="CN49" s="596"/>
      <c r="CO49" s="596"/>
      <c r="CP49" s="596"/>
      <c r="CQ49" s="596"/>
      <c r="CR49" s="596"/>
      <c r="CS49" s="596"/>
      <c r="CT49" s="596"/>
      <c r="CU49" s="596"/>
      <c r="CV49" s="596"/>
      <c r="CW49" s="596"/>
      <c r="CX49" s="596"/>
      <c r="CY49" s="596"/>
      <c r="CZ49" s="596"/>
      <c r="DA49" s="596"/>
      <c r="DB49" s="596"/>
      <c r="DC49" s="596"/>
      <c r="DD49" s="596"/>
      <c r="DE49" s="596"/>
      <c r="DF49" s="596"/>
      <c r="DG49" s="596"/>
      <c r="DH49" s="596"/>
      <c r="DI49" s="596"/>
      <c r="DJ49" s="596"/>
      <c r="DK49" s="596"/>
      <c r="DL49" s="596"/>
      <c r="DM49" s="596"/>
      <c r="DN49" s="596"/>
      <c r="DO49" s="596"/>
      <c r="DP49" s="596"/>
      <c r="DQ49" s="596"/>
      <c r="DR49" s="596"/>
      <c r="DS49" s="596"/>
      <c r="DT49" s="596"/>
      <c r="DU49" s="596"/>
      <c r="DV49" s="596"/>
      <c r="DW49" s="596"/>
      <c r="DX49" s="596"/>
      <c r="DY49" s="596"/>
      <c r="DZ49" s="596"/>
      <c r="EA49" s="596"/>
    </row>
    <row r="50" spans="1:131">
      <c r="A50" s="596"/>
      <c r="B50" s="596"/>
      <c r="C50" s="596"/>
      <c r="D50" s="596"/>
      <c r="E50" s="596"/>
      <c r="F50" s="596"/>
      <c r="G50" s="596"/>
      <c r="H50" s="596"/>
      <c r="I50" s="596"/>
      <c r="J50" s="596"/>
      <c r="K50" s="638"/>
      <c r="L50" s="638"/>
      <c r="M50" s="638"/>
      <c r="N50" s="638"/>
      <c r="O50" s="638"/>
      <c r="P50" s="596"/>
      <c r="Q50" s="596"/>
      <c r="R50" s="596"/>
      <c r="S50" s="596"/>
      <c r="T50" s="596"/>
      <c r="U50" s="596"/>
      <c r="V50" s="596"/>
      <c r="W50" s="596"/>
      <c r="X50" s="596"/>
      <c r="Y50" s="596"/>
      <c r="Z50" s="596"/>
      <c r="AA50" s="596"/>
      <c r="AB50" s="596"/>
      <c r="AC50" s="596"/>
      <c r="AD50" s="596"/>
      <c r="AE50" s="596"/>
      <c r="AF50" s="596"/>
      <c r="AG50" s="596"/>
      <c r="AH50" s="596"/>
      <c r="AI50" s="596"/>
      <c r="AJ50" s="596"/>
      <c r="AK50" s="596"/>
      <c r="AL50" s="596"/>
      <c r="AM50" s="596"/>
      <c r="AN50" s="596"/>
      <c r="AO50" s="596"/>
      <c r="AP50" s="596"/>
      <c r="AQ50" s="596"/>
      <c r="AR50" s="596"/>
      <c r="AS50" s="596"/>
      <c r="AT50" s="596"/>
      <c r="AU50" s="596"/>
      <c r="AV50" s="596"/>
      <c r="AW50" s="596"/>
      <c r="AX50" s="596"/>
      <c r="AY50" s="596"/>
      <c r="AZ50" s="596"/>
      <c r="BA50" s="596"/>
      <c r="BB50" s="596"/>
      <c r="BC50" s="596"/>
      <c r="BD50" s="596"/>
      <c r="BE50" s="596"/>
      <c r="BF50" s="596"/>
      <c r="BG50" s="596"/>
      <c r="BH50" s="596"/>
      <c r="BI50" s="596"/>
      <c r="BJ50" s="596"/>
      <c r="BK50" s="596"/>
      <c r="BL50" s="596"/>
      <c r="BM50" s="596"/>
      <c r="BN50" s="596"/>
      <c r="BO50" s="596"/>
      <c r="BP50" s="596"/>
      <c r="BQ50" s="596"/>
      <c r="BR50" s="596"/>
      <c r="BS50" s="596"/>
      <c r="BT50" s="596"/>
      <c r="BU50" s="596"/>
      <c r="BV50" s="596"/>
      <c r="BW50" s="596"/>
      <c r="BX50" s="596"/>
      <c r="BY50" s="596"/>
      <c r="BZ50" s="596"/>
      <c r="CA50" s="596"/>
      <c r="CB50" s="596"/>
      <c r="CC50" s="596"/>
      <c r="CD50" s="596"/>
      <c r="CE50" s="596"/>
      <c r="CF50" s="596"/>
      <c r="CG50" s="596"/>
      <c r="CH50" s="596"/>
      <c r="CI50" s="596"/>
      <c r="CJ50" s="596"/>
      <c r="CK50" s="596"/>
      <c r="CL50" s="596"/>
      <c r="CM50" s="596"/>
      <c r="CN50" s="596"/>
      <c r="CO50" s="596"/>
      <c r="CP50" s="596"/>
      <c r="CQ50" s="596"/>
      <c r="CR50" s="596"/>
      <c r="CS50" s="596"/>
      <c r="CT50" s="596"/>
      <c r="CU50" s="596"/>
      <c r="CV50" s="596"/>
      <c r="CW50" s="596"/>
      <c r="CX50" s="596"/>
      <c r="CY50" s="596"/>
      <c r="CZ50" s="596"/>
      <c r="DA50" s="596"/>
      <c r="DB50" s="596"/>
      <c r="DC50" s="596"/>
      <c r="DD50" s="596"/>
      <c r="DE50" s="596"/>
      <c r="DF50" s="596"/>
      <c r="DG50" s="596"/>
      <c r="DH50" s="596"/>
      <c r="DI50" s="596"/>
      <c r="DJ50" s="596"/>
      <c r="DK50" s="596"/>
      <c r="DL50" s="596"/>
      <c r="DM50" s="596"/>
      <c r="DN50" s="596"/>
      <c r="DO50" s="596"/>
      <c r="DP50" s="596"/>
      <c r="DQ50" s="596"/>
      <c r="DR50" s="596"/>
      <c r="DS50" s="596"/>
      <c r="DT50" s="596"/>
      <c r="DU50" s="596"/>
      <c r="DV50" s="596"/>
      <c r="DW50" s="596"/>
      <c r="DX50" s="596"/>
      <c r="DY50" s="596"/>
      <c r="DZ50" s="596"/>
      <c r="EA50" s="596"/>
    </row>
    <row r="51" spans="1:131">
      <c r="A51" s="596"/>
      <c r="B51" s="596"/>
      <c r="C51" s="596"/>
      <c r="D51" s="596"/>
      <c r="E51" s="596"/>
      <c r="F51" s="596"/>
      <c r="G51" s="596"/>
      <c r="H51" s="596"/>
      <c r="I51" s="596"/>
      <c r="J51" s="596"/>
      <c r="K51" s="638"/>
      <c r="L51" s="638"/>
      <c r="M51" s="638"/>
      <c r="N51" s="638"/>
      <c r="O51" s="638"/>
      <c r="P51" s="596"/>
      <c r="Q51" s="596"/>
      <c r="R51" s="596"/>
      <c r="S51" s="596"/>
      <c r="T51" s="596"/>
      <c r="U51" s="596"/>
      <c r="V51" s="596"/>
      <c r="W51" s="596"/>
      <c r="X51" s="596"/>
      <c r="Y51" s="596"/>
      <c r="Z51" s="596"/>
      <c r="AA51" s="596"/>
      <c r="AB51" s="596"/>
      <c r="AC51" s="596"/>
      <c r="AD51" s="596"/>
      <c r="AE51" s="596"/>
      <c r="AF51" s="596"/>
      <c r="AG51" s="596"/>
      <c r="AH51" s="596"/>
      <c r="AI51" s="596"/>
      <c r="AJ51" s="596"/>
      <c r="AK51" s="596"/>
      <c r="AL51" s="596"/>
      <c r="AM51" s="596"/>
      <c r="AN51" s="596"/>
      <c r="AO51" s="596"/>
      <c r="AP51" s="596"/>
      <c r="AQ51" s="596"/>
      <c r="AR51" s="596"/>
      <c r="AS51" s="596"/>
      <c r="AT51" s="596"/>
      <c r="AU51" s="596"/>
      <c r="AV51" s="596"/>
      <c r="AW51" s="596"/>
      <c r="AX51" s="596"/>
      <c r="AY51" s="596"/>
      <c r="AZ51" s="596"/>
      <c r="BA51" s="596"/>
      <c r="BB51" s="596"/>
      <c r="BC51" s="596"/>
      <c r="BD51" s="596"/>
      <c r="BE51" s="596"/>
      <c r="BF51" s="596"/>
      <c r="BG51" s="596"/>
      <c r="BH51" s="596"/>
      <c r="BI51" s="596"/>
      <c r="BJ51" s="596"/>
      <c r="BK51" s="596"/>
      <c r="BL51" s="596"/>
      <c r="BM51" s="596"/>
      <c r="BN51" s="596"/>
      <c r="BO51" s="596"/>
      <c r="BP51" s="596"/>
      <c r="BQ51" s="596"/>
      <c r="BR51" s="596"/>
      <c r="BS51" s="596"/>
      <c r="BT51" s="596"/>
      <c r="BU51" s="596"/>
      <c r="BV51" s="596"/>
      <c r="BW51" s="596"/>
      <c r="BX51" s="596"/>
      <c r="BY51" s="596"/>
      <c r="BZ51" s="596"/>
      <c r="CA51" s="596"/>
      <c r="CB51" s="596"/>
      <c r="CC51" s="596"/>
      <c r="CD51" s="596"/>
      <c r="CE51" s="596"/>
      <c r="CF51" s="596"/>
      <c r="CG51" s="596"/>
      <c r="CH51" s="596"/>
      <c r="CI51" s="596"/>
      <c r="CJ51" s="596"/>
      <c r="CK51" s="596"/>
      <c r="CL51" s="596"/>
      <c r="CM51" s="596"/>
      <c r="CN51" s="596"/>
      <c r="CO51" s="596"/>
      <c r="CP51" s="596"/>
      <c r="CQ51" s="596"/>
      <c r="CR51" s="596"/>
      <c r="CS51" s="596"/>
      <c r="CT51" s="596"/>
      <c r="CU51" s="596"/>
      <c r="CV51" s="596"/>
      <c r="CW51" s="596"/>
      <c r="CX51" s="596"/>
      <c r="CY51" s="596"/>
      <c r="CZ51" s="596"/>
      <c r="DA51" s="596"/>
      <c r="DB51" s="596"/>
      <c r="DC51" s="596"/>
      <c r="DD51" s="596"/>
      <c r="DE51" s="596"/>
      <c r="DF51" s="596"/>
      <c r="DG51" s="596"/>
      <c r="DH51" s="596"/>
      <c r="DI51" s="596"/>
      <c r="DJ51" s="596"/>
      <c r="DK51" s="596"/>
      <c r="DL51" s="596"/>
      <c r="DM51" s="596"/>
      <c r="DN51" s="596"/>
      <c r="DO51" s="596"/>
      <c r="DP51" s="596"/>
      <c r="DQ51" s="596"/>
      <c r="DR51" s="596"/>
      <c r="DS51" s="596"/>
      <c r="DT51" s="596"/>
      <c r="DU51" s="596"/>
      <c r="DV51" s="596"/>
      <c r="DW51" s="596"/>
      <c r="DX51" s="596"/>
      <c r="DY51" s="596"/>
      <c r="DZ51" s="596"/>
      <c r="EA51" s="596"/>
    </row>
    <row r="52" spans="1:131">
      <c r="A52" s="596"/>
      <c r="B52" s="596"/>
      <c r="C52" s="596"/>
      <c r="D52" s="596"/>
      <c r="E52" s="596"/>
      <c r="F52" s="596"/>
      <c r="G52" s="596"/>
      <c r="H52" s="596"/>
      <c r="I52" s="596"/>
      <c r="J52" s="596"/>
      <c r="K52" s="638"/>
      <c r="L52" s="638"/>
      <c r="M52" s="638"/>
      <c r="N52" s="638"/>
      <c r="O52" s="638"/>
      <c r="P52" s="596"/>
      <c r="Q52" s="596"/>
      <c r="R52" s="596"/>
      <c r="S52" s="596"/>
      <c r="T52" s="596"/>
      <c r="U52" s="596"/>
      <c r="V52" s="596"/>
      <c r="W52" s="596"/>
      <c r="X52" s="596"/>
      <c r="Y52" s="596"/>
      <c r="Z52" s="596"/>
      <c r="AA52" s="596"/>
      <c r="AB52" s="596"/>
      <c r="AC52" s="596"/>
      <c r="AD52" s="596"/>
      <c r="AE52" s="596"/>
      <c r="AF52" s="596"/>
      <c r="AG52" s="596"/>
      <c r="AH52" s="596"/>
      <c r="AI52" s="596"/>
      <c r="AJ52" s="596"/>
      <c r="AK52" s="596"/>
      <c r="AL52" s="596"/>
      <c r="AM52" s="596"/>
      <c r="AN52" s="596"/>
      <c r="AO52" s="596"/>
      <c r="AP52" s="596"/>
      <c r="AQ52" s="596"/>
      <c r="AR52" s="596"/>
      <c r="AS52" s="596"/>
      <c r="AT52" s="596"/>
      <c r="AU52" s="596"/>
      <c r="AV52" s="596"/>
      <c r="AW52" s="596"/>
      <c r="AX52" s="596"/>
      <c r="AY52" s="596"/>
      <c r="AZ52" s="596"/>
      <c r="BA52" s="596"/>
      <c r="BB52" s="596"/>
      <c r="BC52" s="596"/>
      <c r="BD52" s="596"/>
      <c r="BE52" s="596"/>
      <c r="BF52" s="596"/>
      <c r="BG52" s="596"/>
      <c r="BH52" s="596"/>
      <c r="BI52" s="596"/>
      <c r="BJ52" s="596"/>
      <c r="BK52" s="596"/>
      <c r="BL52" s="596"/>
      <c r="BM52" s="596"/>
      <c r="BN52" s="596"/>
      <c r="BO52" s="596"/>
      <c r="BP52" s="596"/>
      <c r="BQ52" s="596"/>
      <c r="BR52" s="596"/>
      <c r="BS52" s="596"/>
      <c r="BT52" s="596"/>
      <c r="BU52" s="596"/>
      <c r="BV52" s="596"/>
      <c r="BW52" s="596"/>
      <c r="BX52" s="596"/>
      <c r="BY52" s="596"/>
      <c r="BZ52" s="596"/>
      <c r="CA52" s="596"/>
      <c r="CB52" s="596"/>
      <c r="CC52" s="596"/>
      <c r="CD52" s="596"/>
      <c r="CE52" s="596"/>
      <c r="CF52" s="596"/>
      <c r="CG52" s="596"/>
      <c r="CH52" s="596"/>
      <c r="CI52" s="596"/>
      <c r="CJ52" s="596"/>
      <c r="CK52" s="596"/>
      <c r="CL52" s="596"/>
      <c r="CM52" s="596"/>
      <c r="CN52" s="596"/>
      <c r="CO52" s="596"/>
      <c r="CP52" s="596"/>
      <c r="CQ52" s="596"/>
      <c r="CR52" s="596"/>
      <c r="CS52" s="596"/>
      <c r="CT52" s="596"/>
      <c r="CU52" s="596"/>
      <c r="CV52" s="596"/>
      <c r="CW52" s="596"/>
      <c r="CX52" s="596"/>
      <c r="CY52" s="596"/>
      <c r="CZ52" s="596"/>
      <c r="DA52" s="596"/>
      <c r="DB52" s="596"/>
      <c r="DC52" s="596"/>
      <c r="DD52" s="596"/>
      <c r="DE52" s="596"/>
      <c r="DF52" s="596"/>
      <c r="DG52" s="596"/>
      <c r="DH52" s="596"/>
      <c r="DI52" s="596"/>
      <c r="DJ52" s="596"/>
      <c r="DK52" s="596"/>
      <c r="DL52" s="596"/>
      <c r="DM52" s="596"/>
      <c r="DN52" s="596"/>
      <c r="DO52" s="596"/>
      <c r="DP52" s="596"/>
      <c r="DQ52" s="596"/>
      <c r="DR52" s="596"/>
      <c r="DS52" s="596"/>
      <c r="DT52" s="596"/>
      <c r="DU52" s="596"/>
      <c r="DV52" s="596"/>
      <c r="DW52" s="596"/>
      <c r="DX52" s="596"/>
      <c r="DY52" s="596"/>
      <c r="DZ52" s="596"/>
      <c r="EA52" s="596"/>
    </row>
    <row r="53" spans="1:131">
      <c r="A53" s="596"/>
      <c r="B53" s="596"/>
      <c r="C53" s="596"/>
      <c r="D53" s="596"/>
      <c r="E53" s="596"/>
      <c r="F53" s="596"/>
      <c r="G53" s="596"/>
      <c r="H53" s="596"/>
      <c r="I53" s="596"/>
      <c r="J53" s="596"/>
      <c r="K53" s="638"/>
      <c r="L53" s="638"/>
      <c r="M53" s="638"/>
      <c r="N53" s="638"/>
      <c r="O53" s="638"/>
      <c r="P53" s="596"/>
      <c r="Q53" s="596"/>
      <c r="R53" s="596"/>
      <c r="S53" s="596"/>
      <c r="T53" s="596"/>
      <c r="U53" s="596"/>
      <c r="V53" s="596"/>
      <c r="W53" s="596"/>
      <c r="X53" s="596"/>
      <c r="Y53" s="596"/>
      <c r="Z53" s="596"/>
      <c r="AA53" s="596"/>
      <c r="AB53" s="596"/>
      <c r="AC53" s="596"/>
      <c r="AD53" s="596"/>
      <c r="AE53" s="596"/>
      <c r="AF53" s="596"/>
      <c r="AG53" s="596"/>
      <c r="AH53" s="596"/>
      <c r="AI53" s="596"/>
      <c r="AJ53" s="596"/>
      <c r="AK53" s="596"/>
      <c r="AL53" s="596"/>
      <c r="AM53" s="596"/>
      <c r="AN53" s="596"/>
      <c r="AO53" s="596"/>
      <c r="AP53" s="596"/>
      <c r="AQ53" s="596"/>
      <c r="AR53" s="596"/>
      <c r="AS53" s="596"/>
      <c r="AT53" s="596"/>
      <c r="AU53" s="596"/>
      <c r="AV53" s="596"/>
      <c r="AW53" s="596"/>
      <c r="AX53" s="596"/>
      <c r="AY53" s="596"/>
      <c r="AZ53" s="596"/>
      <c r="BA53" s="596"/>
      <c r="BB53" s="596"/>
      <c r="BC53" s="596"/>
      <c r="BD53" s="596"/>
      <c r="BE53" s="596"/>
      <c r="BF53" s="596"/>
      <c r="BG53" s="596"/>
      <c r="BH53" s="596"/>
      <c r="BI53" s="596"/>
      <c r="BJ53" s="596"/>
      <c r="BK53" s="596"/>
      <c r="BL53" s="596"/>
      <c r="BM53" s="596"/>
      <c r="BN53" s="596"/>
      <c r="BO53" s="596"/>
      <c r="BP53" s="596"/>
      <c r="BQ53" s="596"/>
      <c r="BR53" s="596"/>
      <c r="BS53" s="596"/>
      <c r="BT53" s="596"/>
      <c r="BU53" s="596"/>
      <c r="BV53" s="596"/>
      <c r="BW53" s="596"/>
      <c r="BX53" s="596"/>
      <c r="BY53" s="596"/>
      <c r="BZ53" s="596"/>
      <c r="CA53" s="596"/>
      <c r="CB53" s="596"/>
      <c r="CC53" s="596"/>
      <c r="CD53" s="596"/>
      <c r="CE53" s="596"/>
      <c r="CF53" s="596"/>
      <c r="CG53" s="596"/>
      <c r="CH53" s="596"/>
      <c r="CI53" s="596"/>
      <c r="CJ53" s="596"/>
      <c r="CK53" s="596"/>
      <c r="CL53" s="596"/>
      <c r="CM53" s="596"/>
      <c r="CN53" s="596"/>
      <c r="CO53" s="596"/>
      <c r="CP53" s="596"/>
      <c r="CQ53" s="596"/>
      <c r="CR53" s="596"/>
      <c r="CS53" s="596"/>
      <c r="CT53" s="596"/>
      <c r="CU53" s="596"/>
      <c r="CV53" s="596"/>
      <c r="CW53" s="596"/>
      <c r="CX53" s="596"/>
      <c r="CY53" s="596"/>
      <c r="CZ53" s="596"/>
      <c r="DA53" s="596"/>
      <c r="DB53" s="596"/>
      <c r="DC53" s="596"/>
      <c r="DD53" s="596"/>
      <c r="DE53" s="596"/>
      <c r="DF53" s="596"/>
      <c r="DG53" s="596"/>
      <c r="DH53" s="596"/>
      <c r="DI53" s="596"/>
      <c r="DJ53" s="596"/>
      <c r="DK53" s="596"/>
      <c r="DL53" s="596"/>
      <c r="DM53" s="596"/>
      <c r="DN53" s="596"/>
      <c r="DO53" s="596"/>
      <c r="DP53" s="596"/>
      <c r="DQ53" s="596"/>
      <c r="DR53" s="596"/>
      <c r="DS53" s="596"/>
      <c r="DT53" s="596"/>
      <c r="DU53" s="596"/>
      <c r="DV53" s="596"/>
      <c r="DW53" s="596"/>
      <c r="DX53" s="596"/>
      <c r="DY53" s="596"/>
      <c r="DZ53" s="596"/>
      <c r="EA53" s="596"/>
    </row>
    <row r="54" spans="1:131">
      <c r="A54" s="596"/>
      <c r="B54" s="596"/>
      <c r="C54" s="596"/>
      <c r="D54" s="596"/>
      <c r="E54" s="596"/>
      <c r="F54" s="596"/>
      <c r="G54" s="596"/>
      <c r="H54" s="596"/>
      <c r="I54" s="596"/>
      <c r="J54" s="596"/>
      <c r="K54" s="638"/>
      <c r="L54" s="638"/>
      <c r="M54" s="638"/>
      <c r="N54" s="638"/>
      <c r="O54" s="638"/>
      <c r="P54" s="596"/>
      <c r="Q54" s="596"/>
      <c r="R54" s="596"/>
      <c r="S54" s="596"/>
      <c r="T54" s="596"/>
      <c r="U54" s="596"/>
      <c r="V54" s="596"/>
      <c r="W54" s="596"/>
      <c r="X54" s="596"/>
      <c r="Y54" s="596"/>
      <c r="Z54" s="596"/>
      <c r="AA54" s="596"/>
      <c r="AB54" s="596"/>
      <c r="AC54" s="596"/>
      <c r="AD54" s="596"/>
      <c r="AE54" s="596"/>
      <c r="AF54" s="596"/>
      <c r="AG54" s="596"/>
      <c r="AH54" s="596"/>
      <c r="AI54" s="596"/>
      <c r="AJ54" s="596"/>
      <c r="AK54" s="596"/>
      <c r="AL54" s="596"/>
      <c r="AM54" s="596"/>
      <c r="AN54" s="596"/>
      <c r="AO54" s="596"/>
      <c r="AP54" s="596"/>
      <c r="AQ54" s="596"/>
      <c r="AR54" s="596"/>
      <c r="AS54" s="596"/>
      <c r="AT54" s="596"/>
      <c r="AU54" s="596"/>
      <c r="AV54" s="596"/>
      <c r="AW54" s="596"/>
      <c r="AX54" s="596"/>
      <c r="AY54" s="596"/>
      <c r="AZ54" s="596"/>
      <c r="BA54" s="596"/>
      <c r="BB54" s="596"/>
      <c r="BC54" s="596"/>
      <c r="BD54" s="596"/>
      <c r="BE54" s="596"/>
      <c r="BF54" s="596"/>
      <c r="BG54" s="596"/>
      <c r="BH54" s="596"/>
      <c r="BI54" s="596"/>
      <c r="BJ54" s="596"/>
      <c r="BK54" s="596"/>
      <c r="BL54" s="596"/>
      <c r="BM54" s="596"/>
      <c r="BN54" s="596"/>
      <c r="BO54" s="596"/>
      <c r="BP54" s="596"/>
      <c r="BQ54" s="596"/>
      <c r="BR54" s="596"/>
      <c r="BS54" s="596"/>
      <c r="BT54" s="596"/>
      <c r="BU54" s="596"/>
      <c r="BV54" s="596"/>
      <c r="BW54" s="596"/>
      <c r="BX54" s="596"/>
      <c r="BY54" s="596"/>
      <c r="BZ54" s="596"/>
      <c r="CA54" s="596"/>
      <c r="CB54" s="596"/>
      <c r="CC54" s="596"/>
      <c r="CD54" s="596"/>
      <c r="CE54" s="596"/>
      <c r="CF54" s="596"/>
      <c r="CG54" s="596"/>
      <c r="CH54" s="596"/>
      <c r="CI54" s="596"/>
      <c r="CJ54" s="596"/>
      <c r="CK54" s="596"/>
      <c r="CL54" s="596"/>
      <c r="CM54" s="596"/>
      <c r="CN54" s="596"/>
      <c r="CO54" s="596"/>
      <c r="CP54" s="596"/>
      <c r="CQ54" s="596"/>
      <c r="CR54" s="596"/>
      <c r="CS54" s="596"/>
      <c r="CT54" s="596"/>
      <c r="CU54" s="596"/>
      <c r="CV54" s="596"/>
      <c r="CW54" s="596"/>
      <c r="CX54" s="596"/>
      <c r="CY54" s="596"/>
      <c r="CZ54" s="596"/>
      <c r="DA54" s="596"/>
      <c r="DB54" s="596"/>
      <c r="DC54" s="596"/>
      <c r="DD54" s="596"/>
      <c r="DE54" s="596"/>
      <c r="DF54" s="596"/>
      <c r="DG54" s="596"/>
      <c r="DH54" s="596"/>
      <c r="DI54" s="596"/>
      <c r="DJ54" s="596"/>
      <c r="DK54" s="596"/>
      <c r="DL54" s="596"/>
      <c r="DM54" s="596"/>
      <c r="DN54" s="596"/>
      <c r="DO54" s="596"/>
      <c r="DP54" s="596"/>
      <c r="DQ54" s="596"/>
      <c r="DR54" s="596"/>
      <c r="DS54" s="596"/>
      <c r="DT54" s="596"/>
      <c r="DU54" s="596"/>
      <c r="DV54" s="596"/>
      <c r="DW54" s="596"/>
      <c r="DX54" s="596"/>
      <c r="DY54" s="596"/>
      <c r="DZ54" s="596"/>
      <c r="EA54" s="596"/>
    </row>
    <row r="55" spans="1:131">
      <c r="A55" s="596"/>
      <c r="B55" s="596"/>
      <c r="C55" s="596"/>
      <c r="D55" s="596"/>
      <c r="E55" s="596"/>
      <c r="F55" s="596"/>
      <c r="G55" s="596"/>
      <c r="H55" s="596"/>
      <c r="I55" s="596"/>
      <c r="J55" s="596"/>
      <c r="K55" s="638"/>
      <c r="L55" s="638"/>
      <c r="M55" s="638"/>
      <c r="N55" s="638"/>
      <c r="O55" s="638"/>
      <c r="P55" s="596"/>
      <c r="Q55" s="596"/>
      <c r="R55" s="596"/>
      <c r="S55" s="596"/>
      <c r="T55" s="596"/>
      <c r="U55" s="596"/>
      <c r="V55" s="596"/>
      <c r="W55" s="596"/>
      <c r="X55" s="596"/>
      <c r="Y55" s="596"/>
      <c r="Z55" s="596"/>
      <c r="AA55" s="596"/>
      <c r="AB55" s="596"/>
      <c r="AC55" s="596"/>
      <c r="AD55" s="596"/>
      <c r="AE55" s="596"/>
      <c r="AF55" s="596"/>
      <c r="AG55" s="596"/>
      <c r="AH55" s="596"/>
      <c r="AI55" s="596"/>
      <c r="AJ55" s="596"/>
      <c r="AK55" s="596"/>
      <c r="AL55" s="596"/>
      <c r="AM55" s="596"/>
      <c r="AN55" s="596"/>
      <c r="AO55" s="596"/>
      <c r="AP55" s="596"/>
      <c r="AQ55" s="596"/>
      <c r="AR55" s="596"/>
      <c r="AS55" s="596"/>
      <c r="AT55" s="596"/>
      <c r="AU55" s="596"/>
      <c r="AV55" s="596"/>
      <c r="AW55" s="596"/>
      <c r="AX55" s="596"/>
      <c r="AY55" s="596"/>
      <c r="AZ55" s="596"/>
      <c r="BA55" s="596"/>
      <c r="BB55" s="596"/>
      <c r="BC55" s="596"/>
      <c r="BD55" s="596"/>
      <c r="BE55" s="596"/>
      <c r="BF55" s="596"/>
      <c r="BG55" s="596"/>
      <c r="BH55" s="596"/>
      <c r="BI55" s="596"/>
      <c r="BJ55" s="596"/>
      <c r="BK55" s="596"/>
      <c r="BL55" s="596"/>
      <c r="BM55" s="596"/>
      <c r="BN55" s="596"/>
      <c r="BO55" s="596"/>
      <c r="BP55" s="596"/>
      <c r="BQ55" s="596"/>
      <c r="BR55" s="596"/>
      <c r="BS55" s="596"/>
      <c r="BT55" s="596"/>
      <c r="BU55" s="596"/>
      <c r="BV55" s="596"/>
      <c r="BW55" s="596"/>
      <c r="BX55" s="596"/>
      <c r="BY55" s="596"/>
      <c r="BZ55" s="596"/>
      <c r="CA55" s="596"/>
      <c r="CB55" s="596"/>
      <c r="CC55" s="596"/>
      <c r="CD55" s="596"/>
      <c r="CE55" s="596"/>
      <c r="CF55" s="596"/>
      <c r="CG55" s="596"/>
      <c r="CH55" s="596"/>
      <c r="CI55" s="596"/>
      <c r="CJ55" s="596"/>
      <c r="CK55" s="596"/>
      <c r="CL55" s="596"/>
      <c r="CM55" s="596"/>
      <c r="CN55" s="596"/>
      <c r="CO55" s="596"/>
      <c r="CP55" s="596"/>
      <c r="CQ55" s="596"/>
      <c r="CR55" s="596"/>
      <c r="CS55" s="596"/>
      <c r="CT55" s="596"/>
      <c r="CU55" s="596"/>
      <c r="CV55" s="596"/>
      <c r="CW55" s="596"/>
      <c r="CX55" s="596"/>
      <c r="CY55" s="596"/>
      <c r="CZ55" s="596"/>
      <c r="DA55" s="596"/>
      <c r="DB55" s="596"/>
      <c r="DC55" s="596"/>
      <c r="DD55" s="596"/>
      <c r="DE55" s="596"/>
      <c r="DF55" s="596"/>
      <c r="DG55" s="596"/>
      <c r="DH55" s="596"/>
      <c r="DI55" s="596"/>
      <c r="DJ55" s="596"/>
      <c r="DK55" s="596"/>
      <c r="DL55" s="596"/>
      <c r="DM55" s="596"/>
      <c r="DN55" s="596"/>
      <c r="DO55" s="596"/>
      <c r="DP55" s="596"/>
      <c r="DQ55" s="596"/>
      <c r="DR55" s="596"/>
      <c r="DS55" s="596"/>
      <c r="DT55" s="596"/>
      <c r="DU55" s="596"/>
      <c r="DV55" s="596"/>
      <c r="DW55" s="596"/>
      <c r="DX55" s="596"/>
      <c r="DY55" s="596"/>
      <c r="DZ55" s="596"/>
      <c r="EA55" s="596"/>
    </row>
    <row r="56" spans="1:131">
      <c r="A56" s="596"/>
      <c r="B56" s="596"/>
      <c r="C56" s="596"/>
      <c r="D56" s="596"/>
      <c r="E56" s="596"/>
      <c r="F56" s="596"/>
      <c r="G56" s="596"/>
      <c r="H56" s="596"/>
      <c r="I56" s="596"/>
      <c r="J56" s="596"/>
      <c r="K56" s="638"/>
      <c r="L56" s="638"/>
      <c r="M56" s="638"/>
      <c r="N56" s="638"/>
      <c r="O56" s="638"/>
      <c r="P56" s="596"/>
      <c r="Q56" s="596"/>
      <c r="R56" s="596"/>
      <c r="S56" s="596"/>
      <c r="T56" s="596"/>
      <c r="U56" s="596"/>
      <c r="V56" s="596"/>
      <c r="W56" s="596"/>
      <c r="X56" s="596"/>
      <c r="Y56" s="596"/>
      <c r="Z56" s="596"/>
      <c r="AA56" s="596"/>
      <c r="AB56" s="596"/>
      <c r="AC56" s="596"/>
      <c r="AD56" s="596"/>
      <c r="AE56" s="596"/>
      <c r="AF56" s="596"/>
      <c r="AG56" s="596"/>
      <c r="AH56" s="596"/>
      <c r="AI56" s="596"/>
      <c r="AJ56" s="596"/>
      <c r="AK56" s="596"/>
      <c r="AL56" s="596"/>
      <c r="AM56" s="596"/>
      <c r="AN56" s="596"/>
      <c r="AO56" s="596"/>
      <c r="AP56" s="596"/>
      <c r="AQ56" s="596"/>
      <c r="AR56" s="596"/>
      <c r="AS56" s="596"/>
      <c r="AT56" s="596"/>
      <c r="AU56" s="596"/>
      <c r="AV56" s="596"/>
      <c r="AW56" s="596"/>
      <c r="AX56" s="596"/>
      <c r="AY56" s="596"/>
      <c r="AZ56" s="596"/>
      <c r="BA56" s="596"/>
      <c r="BB56" s="596"/>
      <c r="BC56" s="596"/>
      <c r="BD56" s="596"/>
      <c r="BE56" s="596"/>
      <c r="BF56" s="596"/>
      <c r="BG56" s="596"/>
      <c r="BH56" s="596"/>
      <c r="BI56" s="596"/>
      <c r="BJ56" s="596"/>
      <c r="BK56" s="596"/>
      <c r="BL56" s="596"/>
      <c r="BM56" s="596"/>
      <c r="BN56" s="596"/>
      <c r="BO56" s="596"/>
      <c r="BP56" s="596"/>
      <c r="BQ56" s="596"/>
      <c r="BR56" s="596"/>
      <c r="BS56" s="596"/>
      <c r="BT56" s="596"/>
      <c r="BU56" s="596"/>
      <c r="BV56" s="596"/>
      <c r="BW56" s="596"/>
      <c r="BX56" s="596"/>
      <c r="BY56" s="596"/>
      <c r="BZ56" s="596"/>
      <c r="CA56" s="596"/>
      <c r="CB56" s="596"/>
      <c r="CC56" s="596"/>
      <c r="CD56" s="596"/>
      <c r="CE56" s="596"/>
      <c r="CF56" s="596"/>
      <c r="CG56" s="596"/>
      <c r="CH56" s="596"/>
      <c r="CI56" s="596"/>
      <c r="CJ56" s="596"/>
      <c r="CK56" s="596"/>
      <c r="CL56" s="596"/>
      <c r="CM56" s="596"/>
      <c r="CN56" s="596"/>
      <c r="CO56" s="596"/>
      <c r="CP56" s="596"/>
      <c r="CQ56" s="596"/>
      <c r="CR56" s="596"/>
      <c r="CS56" s="596"/>
      <c r="CT56" s="596"/>
      <c r="CU56" s="596"/>
      <c r="CV56" s="596"/>
      <c r="CW56" s="596"/>
      <c r="CX56" s="596"/>
      <c r="CY56" s="596"/>
      <c r="CZ56" s="596"/>
      <c r="DA56" s="596"/>
      <c r="DB56" s="596"/>
      <c r="DC56" s="596"/>
      <c r="DD56" s="596"/>
      <c r="DE56" s="596"/>
      <c r="DF56" s="596"/>
      <c r="DG56" s="596"/>
      <c r="DH56" s="596"/>
      <c r="DI56" s="596"/>
      <c r="DJ56" s="596"/>
      <c r="DK56" s="596"/>
      <c r="DL56" s="596"/>
      <c r="DM56" s="596"/>
      <c r="DN56" s="596"/>
      <c r="DO56" s="596"/>
      <c r="DP56" s="596"/>
      <c r="DQ56" s="596"/>
      <c r="DR56" s="596"/>
      <c r="DS56" s="596"/>
      <c r="DT56" s="596"/>
      <c r="DU56" s="596"/>
      <c r="DV56" s="596"/>
      <c r="DW56" s="596"/>
      <c r="DX56" s="596"/>
      <c r="DY56" s="596"/>
      <c r="DZ56" s="596"/>
      <c r="EA56" s="596"/>
    </row>
    <row r="57" spans="1:131">
      <c r="A57" s="596"/>
      <c r="B57" s="596"/>
      <c r="C57" s="596"/>
      <c r="D57" s="596"/>
      <c r="E57" s="596"/>
      <c r="F57" s="596"/>
      <c r="G57" s="596"/>
      <c r="H57" s="596"/>
      <c r="I57" s="596"/>
      <c r="J57" s="596"/>
      <c r="K57" s="638"/>
      <c r="L57" s="638"/>
      <c r="M57" s="638"/>
      <c r="N57" s="638"/>
      <c r="O57" s="638"/>
      <c r="P57" s="596"/>
      <c r="Q57" s="596"/>
      <c r="R57" s="596"/>
      <c r="S57" s="596"/>
      <c r="T57" s="596"/>
      <c r="U57" s="596"/>
      <c r="V57" s="596"/>
      <c r="W57" s="596"/>
      <c r="X57" s="596"/>
      <c r="Y57" s="596"/>
      <c r="Z57" s="596"/>
      <c r="AA57" s="596"/>
      <c r="AB57" s="596"/>
      <c r="AC57" s="596"/>
      <c r="AD57" s="596"/>
      <c r="AE57" s="596"/>
      <c r="AF57" s="596"/>
      <c r="AG57" s="596"/>
      <c r="AH57" s="596"/>
      <c r="AI57" s="596"/>
      <c r="AJ57" s="596"/>
      <c r="AK57" s="596"/>
      <c r="AL57" s="596"/>
      <c r="AM57" s="596"/>
      <c r="AN57" s="596"/>
      <c r="AO57" s="596"/>
      <c r="AP57" s="596"/>
      <c r="AQ57" s="596"/>
      <c r="AR57" s="596"/>
      <c r="AS57" s="596"/>
      <c r="AT57" s="596"/>
      <c r="AU57" s="596"/>
      <c r="AV57" s="596"/>
      <c r="AW57" s="596"/>
      <c r="AX57" s="596"/>
      <c r="AY57" s="596"/>
      <c r="AZ57" s="596"/>
      <c r="BA57" s="596"/>
      <c r="BB57" s="596"/>
      <c r="BC57" s="596"/>
      <c r="BD57" s="596"/>
      <c r="BE57" s="596"/>
      <c r="BF57" s="596"/>
      <c r="BG57" s="596"/>
      <c r="BH57" s="596"/>
      <c r="BI57" s="596"/>
      <c r="BJ57" s="596"/>
      <c r="BK57" s="596"/>
      <c r="BL57" s="596"/>
      <c r="BM57" s="596"/>
      <c r="BN57" s="596"/>
      <c r="BO57" s="596"/>
      <c r="BP57" s="596"/>
      <c r="BQ57" s="596"/>
      <c r="BR57" s="596"/>
      <c r="BS57" s="596"/>
      <c r="BT57" s="596"/>
      <c r="BU57" s="596"/>
      <c r="BV57" s="596"/>
      <c r="BW57" s="596"/>
      <c r="BX57" s="596"/>
      <c r="BY57" s="596"/>
      <c r="BZ57" s="596"/>
      <c r="CA57" s="596"/>
      <c r="CB57" s="596"/>
      <c r="CC57" s="596"/>
      <c r="CD57" s="596"/>
      <c r="CE57" s="596"/>
      <c r="CF57" s="596"/>
      <c r="CG57" s="596"/>
      <c r="CH57" s="596"/>
      <c r="CI57" s="596"/>
      <c r="CJ57" s="596"/>
      <c r="CK57" s="596"/>
      <c r="CL57" s="596"/>
      <c r="CM57" s="596"/>
      <c r="CN57" s="596"/>
      <c r="CO57" s="596"/>
      <c r="CP57" s="596"/>
      <c r="CQ57" s="596"/>
      <c r="CR57" s="596"/>
      <c r="CS57" s="596"/>
      <c r="CT57" s="596"/>
      <c r="CU57" s="596"/>
      <c r="CV57" s="596"/>
      <c r="CW57" s="596"/>
      <c r="CX57" s="596"/>
      <c r="CY57" s="596"/>
      <c r="CZ57" s="596"/>
      <c r="DA57" s="596"/>
      <c r="DB57" s="596"/>
      <c r="DC57" s="596"/>
      <c r="DD57" s="596"/>
      <c r="DE57" s="596"/>
      <c r="DF57" s="596"/>
      <c r="DG57" s="596"/>
      <c r="DH57" s="596"/>
      <c r="DI57" s="596"/>
      <c r="DJ57" s="596"/>
      <c r="DK57" s="596"/>
      <c r="DL57" s="596"/>
      <c r="DM57" s="596"/>
      <c r="DN57" s="596"/>
      <c r="DO57" s="596"/>
      <c r="DP57" s="596"/>
      <c r="DQ57" s="596"/>
      <c r="DR57" s="596"/>
      <c r="DS57" s="596"/>
      <c r="DT57" s="596"/>
      <c r="DU57" s="596"/>
      <c r="DV57" s="596"/>
      <c r="DW57" s="596"/>
      <c r="DX57" s="596"/>
      <c r="DY57" s="596"/>
      <c r="DZ57" s="596"/>
      <c r="EA57" s="596"/>
    </row>
    <row r="58" spans="1:131">
      <c r="A58" s="596"/>
      <c r="B58" s="596"/>
      <c r="C58" s="596"/>
      <c r="D58" s="596"/>
      <c r="E58" s="596"/>
      <c r="F58" s="596"/>
      <c r="G58" s="596"/>
      <c r="H58" s="596"/>
      <c r="I58" s="596"/>
      <c r="J58" s="596"/>
      <c r="K58" s="638"/>
      <c r="L58" s="638"/>
      <c r="M58" s="638"/>
      <c r="N58" s="638"/>
      <c r="O58" s="638"/>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c r="AP58" s="596"/>
      <c r="AQ58" s="596"/>
      <c r="AR58" s="596"/>
      <c r="AS58" s="596"/>
      <c r="AT58" s="596"/>
      <c r="AU58" s="596"/>
      <c r="AV58" s="596"/>
      <c r="AW58" s="596"/>
      <c r="AX58" s="596"/>
      <c r="AY58" s="596"/>
      <c r="AZ58" s="596"/>
      <c r="BA58" s="596"/>
      <c r="BB58" s="596"/>
      <c r="BC58" s="596"/>
      <c r="BD58" s="596"/>
      <c r="BE58" s="596"/>
      <c r="BF58" s="596"/>
      <c r="BG58" s="596"/>
      <c r="BH58" s="596"/>
      <c r="BI58" s="596"/>
      <c r="BJ58" s="596"/>
      <c r="BK58" s="596"/>
      <c r="BL58" s="596"/>
      <c r="BM58" s="596"/>
      <c r="BN58" s="596"/>
      <c r="BO58" s="596"/>
      <c r="BP58" s="596"/>
      <c r="BQ58" s="596"/>
      <c r="BR58" s="596"/>
      <c r="BS58" s="596"/>
      <c r="BT58" s="596"/>
      <c r="BU58" s="596"/>
      <c r="BV58" s="596"/>
      <c r="BW58" s="596"/>
      <c r="BX58" s="596"/>
      <c r="BY58" s="596"/>
      <c r="BZ58" s="596"/>
      <c r="CA58" s="596"/>
      <c r="CB58" s="596"/>
      <c r="CC58" s="596"/>
      <c r="CD58" s="596"/>
      <c r="CE58" s="596"/>
      <c r="CF58" s="596"/>
      <c r="CG58" s="596"/>
      <c r="CH58" s="596"/>
      <c r="CI58" s="596"/>
      <c r="CJ58" s="596"/>
      <c r="CK58" s="596"/>
      <c r="CL58" s="596"/>
      <c r="CM58" s="596"/>
      <c r="CN58" s="596"/>
      <c r="CO58" s="596"/>
      <c r="CP58" s="596"/>
      <c r="CQ58" s="596"/>
      <c r="CR58" s="596"/>
      <c r="CS58" s="596"/>
      <c r="CT58" s="596"/>
      <c r="CU58" s="596"/>
      <c r="CV58" s="596"/>
      <c r="CW58" s="596"/>
      <c r="CX58" s="596"/>
      <c r="CY58" s="596"/>
      <c r="CZ58" s="596"/>
      <c r="DA58" s="596"/>
      <c r="DB58" s="596"/>
      <c r="DC58" s="596"/>
      <c r="DD58" s="596"/>
      <c r="DE58" s="596"/>
      <c r="DF58" s="596"/>
      <c r="DG58" s="596"/>
      <c r="DH58" s="596"/>
      <c r="DI58" s="596"/>
      <c r="DJ58" s="596"/>
      <c r="DK58" s="596"/>
      <c r="DL58" s="596"/>
      <c r="DM58" s="596"/>
      <c r="DN58" s="596"/>
      <c r="DO58" s="596"/>
      <c r="DP58" s="596"/>
      <c r="DQ58" s="596"/>
      <c r="DR58" s="596"/>
      <c r="DS58" s="596"/>
      <c r="DT58" s="596"/>
      <c r="DU58" s="596"/>
      <c r="DV58" s="596"/>
      <c r="DW58" s="596"/>
      <c r="DX58" s="596"/>
      <c r="DY58" s="596"/>
      <c r="DZ58" s="596"/>
      <c r="EA58" s="596"/>
    </row>
    <row r="59" spans="1:131">
      <c r="A59" s="596"/>
      <c r="B59" s="596"/>
      <c r="C59" s="596"/>
      <c r="D59" s="596"/>
      <c r="E59" s="596"/>
      <c r="F59" s="596"/>
      <c r="G59" s="596"/>
      <c r="H59" s="596"/>
      <c r="I59" s="596"/>
      <c r="J59" s="596"/>
      <c r="K59" s="638"/>
      <c r="L59" s="638"/>
      <c r="M59" s="638"/>
      <c r="N59" s="638"/>
      <c r="O59" s="638"/>
      <c r="P59" s="596"/>
      <c r="Q59" s="596"/>
      <c r="R59" s="596"/>
      <c r="S59" s="596"/>
      <c r="T59" s="596"/>
      <c r="U59" s="596"/>
      <c r="V59" s="596"/>
      <c r="W59" s="596"/>
      <c r="X59" s="596"/>
      <c r="Y59" s="596"/>
      <c r="Z59" s="596"/>
      <c r="AA59" s="596"/>
      <c r="AB59" s="596"/>
      <c r="AC59" s="596"/>
      <c r="AD59" s="596"/>
      <c r="AE59" s="596"/>
      <c r="AF59" s="596"/>
      <c r="AG59" s="596"/>
      <c r="AH59" s="596"/>
      <c r="AI59" s="596"/>
      <c r="AJ59" s="596"/>
      <c r="AK59" s="596"/>
      <c r="AL59" s="596"/>
      <c r="AM59" s="596"/>
      <c r="AN59" s="596"/>
      <c r="AO59" s="596"/>
      <c r="AP59" s="596"/>
      <c r="AQ59" s="596"/>
      <c r="AR59" s="596"/>
      <c r="AS59" s="596"/>
      <c r="AT59" s="596"/>
      <c r="AU59" s="596"/>
      <c r="AV59" s="596"/>
      <c r="AW59" s="596"/>
      <c r="AX59" s="596"/>
      <c r="AY59" s="596"/>
      <c r="AZ59" s="596"/>
      <c r="BA59" s="596"/>
      <c r="BB59" s="596"/>
      <c r="BC59" s="596"/>
      <c r="BD59" s="596"/>
      <c r="BE59" s="596"/>
      <c r="BF59" s="596"/>
      <c r="BG59" s="596"/>
      <c r="BH59" s="596"/>
      <c r="BI59" s="596"/>
      <c r="BJ59" s="596"/>
      <c r="BK59" s="596"/>
      <c r="BL59" s="596"/>
      <c r="BM59" s="596"/>
      <c r="BN59" s="596"/>
      <c r="BO59" s="596"/>
      <c r="BP59" s="596"/>
      <c r="BQ59" s="596"/>
      <c r="BR59" s="596"/>
      <c r="BS59" s="596"/>
      <c r="BT59" s="596"/>
      <c r="BU59" s="596"/>
      <c r="BV59" s="596"/>
      <c r="BW59" s="596"/>
      <c r="BX59" s="596"/>
      <c r="BY59" s="596"/>
      <c r="BZ59" s="596"/>
      <c r="CA59" s="596"/>
      <c r="CB59" s="596"/>
      <c r="CC59" s="596"/>
      <c r="CD59" s="596"/>
      <c r="CE59" s="596"/>
      <c r="CF59" s="596"/>
      <c r="CG59" s="596"/>
      <c r="CH59" s="596"/>
      <c r="CI59" s="596"/>
      <c r="CJ59" s="596"/>
      <c r="CK59" s="596"/>
      <c r="CL59" s="596"/>
      <c r="CM59" s="596"/>
      <c r="CN59" s="596"/>
      <c r="CO59" s="596"/>
      <c r="CP59" s="596"/>
      <c r="CQ59" s="596"/>
      <c r="CR59" s="596"/>
      <c r="CS59" s="596"/>
      <c r="CT59" s="596"/>
      <c r="CU59" s="596"/>
      <c r="CV59" s="596"/>
      <c r="CW59" s="596"/>
      <c r="CX59" s="596"/>
      <c r="CY59" s="596"/>
      <c r="CZ59" s="596"/>
      <c r="DA59" s="596"/>
      <c r="DB59" s="596"/>
      <c r="DC59" s="596"/>
      <c r="DD59" s="596"/>
      <c r="DE59" s="596"/>
      <c r="DF59" s="596"/>
      <c r="DG59" s="596"/>
      <c r="DH59" s="596"/>
      <c r="DI59" s="596"/>
      <c r="DJ59" s="596"/>
      <c r="DK59" s="596"/>
      <c r="DL59" s="596"/>
      <c r="DM59" s="596"/>
      <c r="DN59" s="596"/>
      <c r="DO59" s="596"/>
      <c r="DP59" s="596"/>
      <c r="DQ59" s="596"/>
      <c r="DR59" s="596"/>
      <c r="DS59" s="596"/>
      <c r="DT59" s="596"/>
      <c r="DU59" s="596"/>
      <c r="DV59" s="596"/>
      <c r="DW59" s="596"/>
      <c r="DX59" s="596"/>
      <c r="DY59" s="596"/>
      <c r="DZ59" s="596"/>
      <c r="EA59" s="596"/>
    </row>
    <row r="60" spans="1:131">
      <c r="A60" s="596"/>
      <c r="B60" s="596"/>
      <c r="C60" s="596"/>
      <c r="D60" s="596"/>
      <c r="E60" s="596"/>
      <c r="F60" s="596"/>
      <c r="G60" s="596"/>
      <c r="H60" s="596"/>
      <c r="I60" s="596"/>
      <c r="J60" s="596"/>
      <c r="K60" s="638"/>
      <c r="L60" s="638"/>
      <c r="M60" s="638"/>
      <c r="N60" s="638"/>
      <c r="O60" s="638"/>
      <c r="P60" s="596"/>
      <c r="Q60" s="596"/>
      <c r="R60" s="596"/>
      <c r="S60" s="596"/>
      <c r="T60" s="596"/>
      <c r="U60" s="596"/>
      <c r="V60" s="596"/>
      <c r="W60" s="596"/>
      <c r="X60" s="596"/>
      <c r="Y60" s="596"/>
      <c r="Z60" s="596"/>
      <c r="AA60" s="596"/>
      <c r="AB60" s="596"/>
      <c r="AC60" s="596"/>
      <c r="AD60" s="596"/>
      <c r="AE60" s="596"/>
      <c r="AF60" s="596"/>
      <c r="AG60" s="596"/>
      <c r="AH60" s="596"/>
      <c r="AI60" s="596"/>
      <c r="AJ60" s="596"/>
      <c r="AK60" s="596"/>
      <c r="AL60" s="596"/>
      <c r="AM60" s="596"/>
      <c r="AN60" s="596"/>
      <c r="AO60" s="596"/>
      <c r="AP60" s="596"/>
      <c r="AQ60" s="596"/>
      <c r="AR60" s="596"/>
      <c r="AS60" s="596"/>
      <c r="AT60" s="596"/>
      <c r="AU60" s="596"/>
      <c r="AV60" s="596"/>
      <c r="AW60" s="596"/>
      <c r="AX60" s="596"/>
      <c r="AY60" s="596"/>
      <c r="AZ60" s="596"/>
      <c r="BA60" s="596"/>
      <c r="BB60" s="596"/>
      <c r="BC60" s="596"/>
      <c r="BD60" s="596"/>
      <c r="BE60" s="596"/>
      <c r="BF60" s="596"/>
      <c r="BG60" s="596"/>
      <c r="BH60" s="596"/>
      <c r="BI60" s="596"/>
      <c r="BJ60" s="596"/>
      <c r="BK60" s="596"/>
      <c r="BL60" s="596"/>
      <c r="BM60" s="596"/>
      <c r="BN60" s="596"/>
      <c r="BO60" s="596"/>
      <c r="BP60" s="596"/>
      <c r="BQ60" s="596"/>
      <c r="BR60" s="596"/>
      <c r="BS60" s="596"/>
      <c r="BT60" s="596"/>
      <c r="BU60" s="596"/>
      <c r="BV60" s="596"/>
      <c r="BW60" s="596"/>
      <c r="BX60" s="596"/>
      <c r="BY60" s="596"/>
      <c r="BZ60" s="596"/>
      <c r="CA60" s="596"/>
      <c r="CB60" s="596"/>
      <c r="CC60" s="596"/>
      <c r="CD60" s="596"/>
      <c r="CE60" s="596"/>
      <c r="CF60" s="596"/>
      <c r="CG60" s="596"/>
      <c r="CH60" s="596"/>
      <c r="CI60" s="596"/>
      <c r="CJ60" s="596"/>
      <c r="CK60" s="596"/>
      <c r="CL60" s="596"/>
      <c r="CM60" s="596"/>
      <c r="CN60" s="596"/>
      <c r="CO60" s="596"/>
      <c r="CP60" s="596"/>
      <c r="CQ60" s="596"/>
      <c r="CR60" s="596"/>
      <c r="CS60" s="596"/>
      <c r="CT60" s="596"/>
      <c r="CU60" s="596"/>
      <c r="CV60" s="596"/>
      <c r="CW60" s="596"/>
      <c r="CX60" s="596"/>
      <c r="CY60" s="596"/>
      <c r="CZ60" s="596"/>
      <c r="DA60" s="596"/>
      <c r="DB60" s="596"/>
      <c r="DC60" s="596"/>
      <c r="DD60" s="596"/>
      <c r="DE60" s="596"/>
      <c r="DF60" s="596"/>
      <c r="DG60" s="596"/>
      <c r="DH60" s="596"/>
      <c r="DI60" s="596"/>
      <c r="DJ60" s="596"/>
      <c r="DK60" s="596"/>
      <c r="DL60" s="596"/>
      <c r="DM60" s="596"/>
      <c r="DN60" s="596"/>
      <c r="DO60" s="596"/>
      <c r="DP60" s="596"/>
      <c r="DQ60" s="596"/>
      <c r="DR60" s="596"/>
      <c r="DS60" s="596"/>
      <c r="DT60" s="596"/>
      <c r="DU60" s="596"/>
      <c r="DV60" s="596"/>
      <c r="DW60" s="596"/>
      <c r="DX60" s="596"/>
      <c r="DY60" s="596"/>
      <c r="DZ60" s="596"/>
      <c r="EA60" s="596"/>
    </row>
    <row r="61" spans="1:131">
      <c r="A61" s="596"/>
      <c r="B61" s="596"/>
      <c r="C61" s="596"/>
      <c r="D61" s="596"/>
      <c r="E61" s="596"/>
      <c r="F61" s="596"/>
      <c r="G61" s="596"/>
      <c r="H61" s="596"/>
      <c r="I61" s="596"/>
      <c r="J61" s="596"/>
      <c r="K61" s="638"/>
      <c r="L61" s="638"/>
      <c r="M61" s="638"/>
      <c r="N61" s="638"/>
      <c r="O61" s="638"/>
      <c r="P61" s="596"/>
      <c r="Q61" s="596"/>
      <c r="R61" s="596"/>
      <c r="S61" s="596"/>
      <c r="T61" s="596"/>
      <c r="U61" s="596"/>
      <c r="V61" s="596"/>
      <c r="W61" s="596"/>
      <c r="X61" s="596"/>
      <c r="Y61" s="596"/>
      <c r="Z61" s="596"/>
      <c r="AA61" s="596"/>
      <c r="AB61" s="596"/>
      <c r="AC61" s="596"/>
      <c r="AD61" s="596"/>
      <c r="AE61" s="596"/>
      <c r="AF61" s="596"/>
      <c r="AG61" s="596"/>
      <c r="AH61" s="596"/>
      <c r="AI61" s="596"/>
      <c r="AJ61" s="596"/>
      <c r="AK61" s="596"/>
      <c r="AL61" s="596"/>
      <c r="AM61" s="596"/>
      <c r="AN61" s="596"/>
      <c r="AO61" s="596"/>
      <c r="AP61" s="596"/>
      <c r="AQ61" s="596"/>
      <c r="AR61" s="596"/>
      <c r="AS61" s="596"/>
      <c r="AT61" s="596"/>
      <c r="AU61" s="596"/>
      <c r="AV61" s="596"/>
      <c r="AW61" s="596"/>
      <c r="AX61" s="596"/>
      <c r="AY61" s="596"/>
      <c r="AZ61" s="596"/>
      <c r="BA61" s="596"/>
      <c r="BB61" s="596"/>
      <c r="BC61" s="596"/>
      <c r="BD61" s="596"/>
      <c r="BE61" s="596"/>
      <c r="BF61" s="596"/>
      <c r="BG61" s="596"/>
      <c r="BH61" s="596"/>
      <c r="BI61" s="596"/>
      <c r="BJ61" s="596"/>
      <c r="BK61" s="596"/>
      <c r="BL61" s="596"/>
      <c r="BM61" s="596"/>
      <c r="BN61" s="596"/>
      <c r="BO61" s="596"/>
      <c r="BP61" s="596"/>
      <c r="BQ61" s="596"/>
      <c r="BR61" s="596"/>
      <c r="BS61" s="596"/>
      <c r="BT61" s="596"/>
      <c r="BU61" s="596"/>
      <c r="BV61" s="596"/>
      <c r="BW61" s="596"/>
      <c r="BX61" s="596"/>
      <c r="BY61" s="596"/>
      <c r="BZ61" s="596"/>
      <c r="CA61" s="596"/>
      <c r="CB61" s="596"/>
      <c r="CC61" s="596"/>
      <c r="CD61" s="596"/>
      <c r="CE61" s="596"/>
      <c r="CF61" s="596"/>
      <c r="CG61" s="596"/>
      <c r="CH61" s="596"/>
      <c r="CI61" s="596"/>
      <c r="CJ61" s="596"/>
      <c r="CK61" s="596"/>
      <c r="CL61" s="596"/>
      <c r="CM61" s="596"/>
      <c r="CN61" s="596"/>
      <c r="CO61" s="596"/>
      <c r="CP61" s="596"/>
      <c r="CQ61" s="596"/>
      <c r="CR61" s="596"/>
      <c r="CS61" s="596"/>
      <c r="CT61" s="596"/>
      <c r="CU61" s="596"/>
      <c r="CV61" s="596"/>
      <c r="CW61" s="596"/>
      <c r="CX61" s="596"/>
      <c r="CY61" s="596"/>
      <c r="CZ61" s="596"/>
      <c r="DA61" s="596"/>
      <c r="DB61" s="596"/>
      <c r="DC61" s="596"/>
      <c r="DD61" s="596"/>
      <c r="DE61" s="596"/>
      <c r="DF61" s="596"/>
      <c r="DG61" s="596"/>
      <c r="DH61" s="596"/>
      <c r="DI61" s="596"/>
      <c r="DJ61" s="596"/>
      <c r="DK61" s="596"/>
      <c r="DL61" s="596"/>
      <c r="DM61" s="596"/>
      <c r="DN61" s="596"/>
      <c r="DO61" s="596"/>
      <c r="DP61" s="596"/>
      <c r="DQ61" s="596"/>
      <c r="DR61" s="596"/>
      <c r="DS61" s="596"/>
      <c r="DT61" s="596"/>
      <c r="DU61" s="596"/>
      <c r="DV61" s="596"/>
      <c r="DW61" s="596"/>
      <c r="DX61" s="596"/>
      <c r="DY61" s="596"/>
      <c r="DZ61" s="596"/>
      <c r="EA61" s="596"/>
    </row>
    <row r="62" spans="1:131">
      <c r="A62" s="596"/>
      <c r="B62" s="596"/>
      <c r="C62" s="596"/>
      <c r="D62" s="596"/>
      <c r="E62" s="596"/>
      <c r="F62" s="596"/>
      <c r="G62" s="596"/>
      <c r="H62" s="596"/>
      <c r="I62" s="596"/>
      <c r="J62" s="596"/>
      <c r="K62" s="638"/>
      <c r="L62" s="638"/>
      <c r="M62" s="638"/>
      <c r="N62" s="638"/>
      <c r="O62" s="638"/>
      <c r="P62" s="596"/>
      <c r="Q62" s="596"/>
      <c r="R62" s="596"/>
      <c r="S62" s="596"/>
      <c r="T62" s="596"/>
      <c r="U62" s="596"/>
      <c r="V62" s="596"/>
      <c r="W62" s="596"/>
      <c r="X62" s="596"/>
      <c r="Y62" s="596"/>
      <c r="Z62" s="596"/>
      <c r="AA62" s="596"/>
      <c r="AB62" s="596"/>
      <c r="AC62" s="596"/>
      <c r="AD62" s="596"/>
      <c r="AE62" s="596"/>
      <c r="AF62" s="596"/>
      <c r="AG62" s="596"/>
      <c r="AH62" s="596"/>
      <c r="AI62" s="596"/>
      <c r="AJ62" s="596"/>
      <c r="AK62" s="596"/>
      <c r="AL62" s="596"/>
      <c r="AM62" s="596"/>
      <c r="AN62" s="596"/>
      <c r="AO62" s="596"/>
      <c r="AP62" s="596"/>
      <c r="AQ62" s="596"/>
      <c r="AR62" s="596"/>
      <c r="AS62" s="596"/>
      <c r="AT62" s="596"/>
      <c r="AU62" s="596"/>
      <c r="AV62" s="596"/>
      <c r="AW62" s="596"/>
      <c r="AX62" s="596"/>
      <c r="AY62" s="596"/>
      <c r="AZ62" s="596"/>
      <c r="BA62" s="596"/>
      <c r="BB62" s="596"/>
      <c r="BC62" s="596"/>
      <c r="BD62" s="596"/>
      <c r="BE62" s="596"/>
      <c r="BF62" s="596"/>
      <c r="BG62" s="596"/>
      <c r="BH62" s="596"/>
      <c r="BI62" s="596"/>
      <c r="BJ62" s="596"/>
      <c r="BK62" s="596"/>
      <c r="BL62" s="596"/>
      <c r="BM62" s="596"/>
      <c r="BN62" s="596"/>
      <c r="BO62" s="596"/>
      <c r="BP62" s="596"/>
      <c r="BQ62" s="596"/>
      <c r="BR62" s="596"/>
      <c r="BS62" s="596"/>
      <c r="BT62" s="596"/>
      <c r="BU62" s="596"/>
      <c r="BV62" s="596"/>
      <c r="BW62" s="596"/>
      <c r="BX62" s="596"/>
      <c r="BY62" s="596"/>
      <c r="BZ62" s="596"/>
      <c r="CA62" s="596"/>
      <c r="CB62" s="596"/>
      <c r="CC62" s="596"/>
      <c r="CD62" s="596"/>
      <c r="CE62" s="596"/>
      <c r="CF62" s="596"/>
      <c r="CG62" s="596"/>
      <c r="CH62" s="596"/>
      <c r="CI62" s="596"/>
      <c r="CJ62" s="596"/>
      <c r="CK62" s="596"/>
      <c r="CL62" s="596"/>
      <c r="CM62" s="596"/>
      <c r="CN62" s="596"/>
      <c r="CO62" s="596"/>
      <c r="CP62" s="596"/>
      <c r="CQ62" s="596"/>
      <c r="CR62" s="596"/>
      <c r="CS62" s="596"/>
      <c r="CT62" s="596"/>
      <c r="CU62" s="596"/>
      <c r="CV62" s="596"/>
      <c r="CW62" s="596"/>
      <c r="CX62" s="596"/>
      <c r="CY62" s="596"/>
      <c r="CZ62" s="596"/>
      <c r="DA62" s="596"/>
      <c r="DB62" s="596"/>
      <c r="DC62" s="596"/>
      <c r="DD62" s="596"/>
      <c r="DE62" s="596"/>
      <c r="DF62" s="596"/>
      <c r="DG62" s="596"/>
      <c r="DH62" s="596"/>
      <c r="DI62" s="596"/>
      <c r="DJ62" s="596"/>
      <c r="DK62" s="596"/>
      <c r="DL62" s="596"/>
      <c r="DM62" s="596"/>
      <c r="DN62" s="596"/>
      <c r="DO62" s="596"/>
      <c r="DP62" s="596"/>
      <c r="DQ62" s="596"/>
      <c r="DR62" s="596"/>
      <c r="DS62" s="596"/>
      <c r="DT62" s="596"/>
      <c r="DU62" s="596"/>
      <c r="DV62" s="596"/>
      <c r="DW62" s="596"/>
      <c r="DX62" s="596"/>
      <c r="DY62" s="596"/>
      <c r="DZ62" s="596"/>
      <c r="EA62" s="596"/>
    </row>
    <row r="63" spans="1:131">
      <c r="A63" s="596"/>
      <c r="B63" s="596"/>
      <c r="C63" s="596"/>
      <c r="D63" s="596"/>
      <c r="E63" s="596"/>
      <c r="F63" s="596"/>
      <c r="G63" s="596"/>
      <c r="H63" s="596"/>
      <c r="I63" s="596"/>
      <c r="J63" s="596"/>
      <c r="K63" s="638"/>
      <c r="L63" s="638"/>
      <c r="M63" s="638"/>
      <c r="N63" s="638"/>
      <c r="O63" s="638"/>
      <c r="P63" s="596"/>
      <c r="Q63" s="596"/>
      <c r="R63" s="596"/>
      <c r="S63" s="596"/>
      <c r="T63" s="596"/>
      <c r="U63" s="596"/>
      <c r="V63" s="596"/>
      <c r="W63" s="596"/>
      <c r="X63" s="596"/>
      <c r="Y63" s="596"/>
      <c r="Z63" s="596"/>
      <c r="AA63" s="596"/>
      <c r="AB63" s="596"/>
      <c r="AC63" s="596"/>
      <c r="AD63" s="596"/>
      <c r="AE63" s="596"/>
      <c r="AF63" s="596"/>
      <c r="AG63" s="596"/>
      <c r="AH63" s="596"/>
      <c r="AI63" s="596"/>
      <c r="AJ63" s="596"/>
      <c r="AK63" s="596"/>
      <c r="AL63" s="596"/>
      <c r="AM63" s="596"/>
      <c r="AN63" s="596"/>
      <c r="AO63" s="596"/>
      <c r="AP63" s="596"/>
      <c r="AQ63" s="596"/>
      <c r="AR63" s="596"/>
      <c r="AS63" s="596"/>
      <c r="AT63" s="596"/>
      <c r="AU63" s="596"/>
      <c r="AV63" s="596"/>
      <c r="AW63" s="596"/>
      <c r="AX63" s="596"/>
      <c r="AY63" s="596"/>
      <c r="AZ63" s="596"/>
      <c r="BA63" s="596"/>
      <c r="BB63" s="596"/>
      <c r="BC63" s="596"/>
      <c r="BD63" s="596"/>
      <c r="BE63" s="596"/>
      <c r="BF63" s="596"/>
      <c r="BG63" s="596"/>
      <c r="BH63" s="596"/>
      <c r="BI63" s="596"/>
      <c r="BJ63" s="596"/>
      <c r="BK63" s="596"/>
      <c r="BL63" s="596"/>
      <c r="BM63" s="596"/>
      <c r="BN63" s="596"/>
      <c r="BO63" s="596"/>
      <c r="BP63" s="596"/>
      <c r="BQ63" s="596"/>
      <c r="BR63" s="596"/>
      <c r="BS63" s="596"/>
      <c r="BT63" s="596"/>
      <c r="BU63" s="596"/>
      <c r="BV63" s="596"/>
      <c r="BW63" s="596"/>
      <c r="BX63" s="596"/>
      <c r="BY63" s="596"/>
      <c r="BZ63" s="596"/>
      <c r="CA63" s="596"/>
      <c r="CB63" s="596"/>
      <c r="CC63" s="596"/>
      <c r="CD63" s="596"/>
      <c r="CE63" s="596"/>
      <c r="CF63" s="596"/>
      <c r="CG63" s="596"/>
      <c r="CH63" s="596"/>
      <c r="CI63" s="596"/>
      <c r="CJ63" s="596"/>
      <c r="CK63" s="596"/>
      <c r="CL63" s="596"/>
      <c r="CM63" s="596"/>
      <c r="CN63" s="596"/>
      <c r="CO63" s="596"/>
      <c r="CP63" s="596"/>
      <c r="CQ63" s="596"/>
      <c r="CR63" s="596"/>
      <c r="CS63" s="596"/>
      <c r="CT63" s="596"/>
      <c r="CU63" s="596"/>
      <c r="CV63" s="596"/>
      <c r="CW63" s="596"/>
      <c r="CX63" s="596"/>
      <c r="CY63" s="596"/>
      <c r="CZ63" s="596"/>
      <c r="DA63" s="596"/>
      <c r="DB63" s="596"/>
      <c r="DC63" s="596"/>
      <c r="DD63" s="596"/>
      <c r="DE63" s="596"/>
      <c r="DF63" s="596"/>
      <c r="DG63" s="596"/>
      <c r="DH63" s="596"/>
      <c r="DI63" s="596"/>
      <c r="DJ63" s="596"/>
      <c r="DK63" s="596"/>
      <c r="DL63" s="596"/>
      <c r="DM63" s="596"/>
      <c r="DN63" s="596"/>
      <c r="DO63" s="596"/>
      <c r="DP63" s="596"/>
      <c r="DQ63" s="596"/>
      <c r="DR63" s="596"/>
      <c r="DS63" s="596"/>
      <c r="DT63" s="596"/>
      <c r="DU63" s="596"/>
      <c r="DV63" s="596"/>
      <c r="DW63" s="596"/>
      <c r="DX63" s="596"/>
      <c r="DY63" s="596"/>
      <c r="DZ63" s="596"/>
      <c r="EA63" s="596"/>
    </row>
    <row r="64" spans="1:131">
      <c r="A64" s="596"/>
      <c r="B64" s="596"/>
      <c r="C64" s="596"/>
      <c r="D64" s="596"/>
      <c r="E64" s="596"/>
      <c r="F64" s="596"/>
      <c r="G64" s="596"/>
      <c r="H64" s="596"/>
      <c r="I64" s="596"/>
      <c r="J64" s="596"/>
      <c r="K64" s="638"/>
      <c r="L64" s="638"/>
      <c r="M64" s="638"/>
      <c r="N64" s="638"/>
      <c r="O64" s="638"/>
      <c r="P64" s="596"/>
      <c r="Q64" s="596"/>
      <c r="R64" s="596"/>
      <c r="S64" s="596"/>
      <c r="T64" s="596"/>
      <c r="U64" s="596"/>
      <c r="V64" s="596"/>
      <c r="W64" s="596"/>
      <c r="X64" s="596"/>
      <c r="Y64" s="596"/>
      <c r="Z64" s="596"/>
      <c r="AA64" s="596"/>
      <c r="AB64" s="596"/>
      <c r="AC64" s="596"/>
      <c r="AD64" s="596"/>
      <c r="AE64" s="596"/>
      <c r="AF64" s="596"/>
      <c r="AG64" s="596"/>
      <c r="AH64" s="596"/>
      <c r="AI64" s="596"/>
      <c r="AJ64" s="596"/>
      <c r="AK64" s="596"/>
      <c r="AL64" s="596"/>
      <c r="AM64" s="596"/>
      <c r="AN64" s="596"/>
      <c r="AO64" s="596"/>
      <c r="AP64" s="596"/>
      <c r="AQ64" s="596"/>
      <c r="AR64" s="596"/>
      <c r="AS64" s="596"/>
      <c r="AT64" s="596"/>
      <c r="AU64" s="596"/>
      <c r="AV64" s="596"/>
      <c r="AW64" s="596"/>
      <c r="AX64" s="596"/>
      <c r="AY64" s="596"/>
      <c r="AZ64" s="596"/>
      <c r="BA64" s="596"/>
      <c r="BB64" s="596"/>
      <c r="BC64" s="596"/>
      <c r="BD64" s="596"/>
      <c r="BE64" s="596"/>
      <c r="BF64" s="596"/>
      <c r="BG64" s="596"/>
      <c r="BH64" s="596"/>
      <c r="BI64" s="596"/>
      <c r="BJ64" s="596"/>
      <c r="BK64" s="596"/>
      <c r="BL64" s="596"/>
      <c r="BM64" s="596"/>
      <c r="BN64" s="596"/>
      <c r="BO64" s="596"/>
      <c r="BP64" s="596"/>
      <c r="BQ64" s="596"/>
      <c r="BR64" s="596"/>
      <c r="BS64" s="596"/>
      <c r="BT64" s="596"/>
      <c r="BU64" s="596"/>
      <c r="BV64" s="596"/>
      <c r="BW64" s="596"/>
      <c r="BX64" s="596"/>
      <c r="BY64" s="596"/>
      <c r="BZ64" s="596"/>
      <c r="CA64" s="596"/>
      <c r="CB64" s="596"/>
      <c r="CC64" s="596"/>
      <c r="CD64" s="596"/>
      <c r="CE64" s="596"/>
      <c r="CF64" s="596"/>
      <c r="CG64" s="596"/>
      <c r="CH64" s="596"/>
      <c r="CI64" s="596"/>
      <c r="CJ64" s="596"/>
      <c r="CK64" s="596"/>
      <c r="CL64" s="596"/>
      <c r="CM64" s="596"/>
      <c r="CN64" s="596"/>
      <c r="CO64" s="596"/>
      <c r="CP64" s="596"/>
      <c r="CQ64" s="596"/>
      <c r="CR64" s="596"/>
      <c r="CS64" s="596"/>
      <c r="CT64" s="596"/>
      <c r="CU64" s="596"/>
      <c r="CV64" s="596"/>
      <c r="CW64" s="596"/>
      <c r="CX64" s="596"/>
      <c r="CY64" s="596"/>
      <c r="CZ64" s="596"/>
      <c r="DA64" s="596"/>
      <c r="DB64" s="596"/>
      <c r="DC64" s="596"/>
      <c r="DD64" s="596"/>
      <c r="DE64" s="596"/>
      <c r="DF64" s="596"/>
      <c r="DG64" s="596"/>
      <c r="DH64" s="596"/>
      <c r="DI64" s="596"/>
      <c r="DJ64" s="596"/>
      <c r="DK64" s="596"/>
      <c r="DL64" s="596"/>
      <c r="DM64" s="596"/>
      <c r="DN64" s="596"/>
      <c r="DO64" s="596"/>
      <c r="DP64" s="596"/>
      <c r="DQ64" s="596"/>
      <c r="DR64" s="596"/>
      <c r="DS64" s="596"/>
      <c r="DT64" s="596"/>
      <c r="DU64" s="596"/>
      <c r="DV64" s="596"/>
      <c r="DW64" s="596"/>
      <c r="DX64" s="596"/>
      <c r="DY64" s="596"/>
      <c r="DZ64" s="596"/>
      <c r="EA64" s="596"/>
    </row>
    <row r="65" spans="1:131">
      <c r="A65" s="596"/>
      <c r="B65" s="596"/>
      <c r="C65" s="596"/>
      <c r="D65" s="596"/>
      <c r="E65" s="596"/>
      <c r="F65" s="596"/>
      <c r="G65" s="596"/>
      <c r="H65" s="596"/>
      <c r="I65" s="596"/>
      <c r="J65" s="596"/>
      <c r="K65" s="638"/>
      <c r="L65" s="638"/>
      <c r="M65" s="638"/>
      <c r="N65" s="638"/>
      <c r="O65" s="638"/>
      <c r="P65" s="596"/>
      <c r="Q65" s="596"/>
      <c r="R65" s="596"/>
      <c r="S65" s="596"/>
      <c r="T65" s="596"/>
      <c r="U65" s="596"/>
      <c r="V65" s="596"/>
      <c r="W65" s="596"/>
      <c r="X65" s="596"/>
      <c r="Y65" s="596"/>
      <c r="Z65" s="596"/>
      <c r="AA65" s="596"/>
      <c r="AB65" s="596"/>
      <c r="AC65" s="596"/>
      <c r="AD65" s="596"/>
      <c r="AE65" s="596"/>
      <c r="AF65" s="596"/>
      <c r="AG65" s="596"/>
      <c r="AH65" s="596"/>
      <c r="AI65" s="596"/>
      <c r="AJ65" s="596"/>
      <c r="AK65" s="596"/>
      <c r="AL65" s="596"/>
      <c r="AM65" s="596"/>
      <c r="AN65" s="596"/>
      <c r="AO65" s="596"/>
      <c r="AP65" s="596"/>
      <c r="AQ65" s="596"/>
      <c r="AR65" s="596"/>
      <c r="AS65" s="596"/>
      <c r="AT65" s="596"/>
      <c r="AU65" s="596"/>
      <c r="AV65" s="596"/>
      <c r="AW65" s="596"/>
      <c r="AX65" s="596"/>
      <c r="AY65" s="596"/>
      <c r="AZ65" s="596"/>
      <c r="BA65" s="596"/>
      <c r="BB65" s="596"/>
      <c r="BC65" s="596"/>
      <c r="BD65" s="596"/>
      <c r="BE65" s="596"/>
      <c r="BF65" s="596"/>
      <c r="BG65" s="596"/>
      <c r="BH65" s="596"/>
      <c r="BI65" s="596"/>
      <c r="BJ65" s="596"/>
      <c r="BK65" s="596"/>
      <c r="BL65" s="596"/>
      <c r="BM65" s="596"/>
      <c r="BN65" s="596"/>
      <c r="BO65" s="596"/>
      <c r="BP65" s="596"/>
      <c r="BQ65" s="596"/>
      <c r="BR65" s="596"/>
      <c r="BS65" s="596"/>
      <c r="BT65" s="596"/>
      <c r="BU65" s="596"/>
      <c r="BV65" s="596"/>
      <c r="BW65" s="596"/>
      <c r="BX65" s="596"/>
      <c r="BY65" s="596"/>
      <c r="BZ65" s="596"/>
      <c r="CA65" s="596"/>
      <c r="CB65" s="596"/>
      <c r="CC65" s="596"/>
      <c r="CD65" s="596"/>
      <c r="CE65" s="596"/>
      <c r="CF65" s="596"/>
      <c r="CG65" s="596"/>
      <c r="CH65" s="596"/>
      <c r="CI65" s="596"/>
      <c r="CJ65" s="596"/>
      <c r="CK65" s="596"/>
      <c r="CL65" s="596"/>
      <c r="CM65" s="596"/>
      <c r="CN65" s="596"/>
      <c r="CO65" s="596"/>
      <c r="CP65" s="596"/>
      <c r="CQ65" s="596"/>
      <c r="CR65" s="596"/>
      <c r="CS65" s="596"/>
      <c r="CT65" s="596"/>
      <c r="CU65" s="596"/>
      <c r="CV65" s="596"/>
      <c r="CW65" s="596"/>
      <c r="CX65" s="596"/>
      <c r="CY65" s="596"/>
      <c r="CZ65" s="596"/>
      <c r="DA65" s="596"/>
      <c r="DB65" s="596"/>
      <c r="DC65" s="596"/>
      <c r="DD65" s="596"/>
      <c r="DE65" s="596"/>
      <c r="DF65" s="596"/>
      <c r="DG65" s="596"/>
      <c r="DH65" s="596"/>
      <c r="DI65" s="596"/>
      <c r="DJ65" s="596"/>
      <c r="DK65" s="596"/>
      <c r="DL65" s="596"/>
      <c r="DM65" s="596"/>
      <c r="DN65" s="596"/>
      <c r="DO65" s="596"/>
      <c r="DP65" s="596"/>
      <c r="DQ65" s="596"/>
      <c r="DR65" s="596"/>
      <c r="DS65" s="596"/>
      <c r="DT65" s="596"/>
      <c r="DU65" s="596"/>
      <c r="DV65" s="596"/>
      <c r="DW65" s="596"/>
      <c r="DX65" s="596"/>
      <c r="DY65" s="596"/>
      <c r="DZ65" s="596"/>
      <c r="EA65" s="596"/>
    </row>
    <row r="66" spans="1:131">
      <c r="A66" s="596"/>
      <c r="B66" s="596"/>
      <c r="C66" s="596"/>
      <c r="D66" s="596"/>
      <c r="E66" s="596"/>
      <c r="F66" s="596"/>
      <c r="G66" s="596"/>
      <c r="H66" s="596"/>
      <c r="I66" s="596"/>
      <c r="J66" s="596"/>
      <c r="K66" s="638"/>
      <c r="L66" s="638"/>
      <c r="M66" s="638"/>
      <c r="N66" s="638"/>
      <c r="O66" s="638"/>
      <c r="P66" s="596"/>
      <c r="Q66" s="596"/>
      <c r="R66" s="596"/>
      <c r="S66" s="596"/>
      <c r="T66" s="596"/>
      <c r="U66" s="596"/>
      <c r="V66" s="596"/>
      <c r="W66" s="596"/>
      <c r="X66" s="596"/>
      <c r="Y66" s="596"/>
      <c r="Z66" s="596"/>
      <c r="AA66" s="596"/>
      <c r="AB66" s="596"/>
      <c r="AC66" s="596"/>
      <c r="AD66" s="596"/>
      <c r="AE66" s="596"/>
      <c r="AF66" s="596"/>
      <c r="AG66" s="596"/>
      <c r="AH66" s="596"/>
      <c r="AI66" s="596"/>
      <c r="AJ66" s="596"/>
      <c r="AK66" s="596"/>
      <c r="AL66" s="596"/>
      <c r="AM66" s="596"/>
      <c r="AN66" s="596"/>
      <c r="AO66" s="596"/>
      <c r="AP66" s="596"/>
      <c r="AQ66" s="596"/>
      <c r="AR66" s="596"/>
      <c r="AS66" s="596"/>
      <c r="AT66" s="596"/>
      <c r="AU66" s="596"/>
      <c r="AV66" s="596"/>
      <c r="AW66" s="596"/>
      <c r="AX66" s="596"/>
      <c r="AY66" s="596"/>
      <c r="AZ66" s="596"/>
      <c r="BA66" s="596"/>
      <c r="BB66" s="596"/>
      <c r="BC66" s="596"/>
      <c r="BD66" s="596"/>
      <c r="BE66" s="596"/>
      <c r="BF66" s="596"/>
      <c r="BG66" s="596"/>
      <c r="BH66" s="596"/>
      <c r="BI66" s="596"/>
      <c r="BJ66" s="596"/>
      <c r="BK66" s="596"/>
      <c r="BL66" s="596"/>
      <c r="BM66" s="596"/>
      <c r="BN66" s="596"/>
      <c r="BO66" s="596"/>
      <c r="BP66" s="596"/>
      <c r="BQ66" s="596"/>
      <c r="BR66" s="596"/>
      <c r="BS66" s="596"/>
      <c r="BT66" s="596"/>
      <c r="BU66" s="596"/>
      <c r="BV66" s="596"/>
      <c r="BW66" s="596"/>
      <c r="BX66" s="596"/>
      <c r="BY66" s="596"/>
      <c r="BZ66" s="596"/>
      <c r="CA66" s="596"/>
      <c r="CB66" s="596"/>
      <c r="CC66" s="596"/>
      <c r="CD66" s="596"/>
      <c r="CE66" s="596"/>
      <c r="CF66" s="596"/>
      <c r="CG66" s="596"/>
      <c r="CH66" s="596"/>
      <c r="CI66" s="596"/>
      <c r="CJ66" s="596"/>
      <c r="CK66" s="596"/>
      <c r="CL66" s="596"/>
      <c r="CM66" s="596"/>
      <c r="CN66" s="596"/>
      <c r="CO66" s="596"/>
      <c r="CP66" s="596"/>
      <c r="CQ66" s="596"/>
      <c r="CR66" s="596"/>
      <c r="CS66" s="596"/>
      <c r="CT66" s="596"/>
      <c r="CU66" s="596"/>
      <c r="CV66" s="596"/>
      <c r="CW66" s="596"/>
      <c r="CX66" s="596"/>
      <c r="CY66" s="596"/>
      <c r="CZ66" s="596"/>
      <c r="DA66" s="596"/>
      <c r="DB66" s="596"/>
      <c r="DC66" s="596"/>
      <c r="DD66" s="596"/>
      <c r="DE66" s="596"/>
      <c r="DF66" s="596"/>
      <c r="DG66" s="596"/>
      <c r="DH66" s="596"/>
      <c r="DI66" s="596"/>
      <c r="DJ66" s="596"/>
      <c r="DK66" s="596"/>
      <c r="DL66" s="596"/>
      <c r="DM66" s="596"/>
      <c r="DN66" s="596"/>
      <c r="DO66" s="596"/>
      <c r="DP66" s="596"/>
      <c r="DQ66" s="596"/>
      <c r="DR66" s="596"/>
      <c r="DS66" s="596"/>
      <c r="DT66" s="596"/>
      <c r="DU66" s="596"/>
      <c r="DV66" s="596"/>
      <c r="DW66" s="596"/>
      <c r="DX66" s="596"/>
      <c r="DY66" s="596"/>
      <c r="DZ66" s="596"/>
      <c r="EA66" s="596"/>
    </row>
    <row r="67" spans="1:131">
      <c r="A67" s="596"/>
      <c r="B67" s="596"/>
      <c r="C67" s="596"/>
      <c r="D67" s="596"/>
      <c r="E67" s="596"/>
      <c r="F67" s="596"/>
      <c r="G67" s="596"/>
      <c r="H67" s="596"/>
      <c r="I67" s="596"/>
      <c r="J67" s="596"/>
      <c r="K67" s="638"/>
      <c r="L67" s="638"/>
      <c r="M67" s="638"/>
      <c r="N67" s="638"/>
      <c r="O67" s="638"/>
      <c r="P67" s="596"/>
      <c r="Q67" s="596"/>
      <c r="R67" s="596"/>
      <c r="S67" s="596"/>
      <c r="T67" s="596"/>
      <c r="U67" s="596"/>
      <c r="V67" s="596"/>
      <c r="W67" s="596"/>
      <c r="X67" s="596"/>
      <c r="Y67" s="596"/>
      <c r="Z67" s="596"/>
      <c r="AA67" s="596"/>
      <c r="AB67" s="596"/>
      <c r="AC67" s="596"/>
      <c r="AD67" s="596"/>
      <c r="AE67" s="596"/>
      <c r="AF67" s="596"/>
      <c r="AG67" s="596"/>
      <c r="AH67" s="596"/>
      <c r="AI67" s="596"/>
      <c r="AJ67" s="596"/>
      <c r="AK67" s="596"/>
      <c r="AL67" s="596"/>
      <c r="AM67" s="596"/>
      <c r="AN67" s="596"/>
      <c r="AO67" s="596"/>
      <c r="AP67" s="596"/>
      <c r="AQ67" s="596"/>
      <c r="AR67" s="596"/>
      <c r="AS67" s="596"/>
      <c r="AT67" s="596"/>
      <c r="AU67" s="596"/>
      <c r="AV67" s="596"/>
      <c r="AW67" s="596"/>
      <c r="AX67" s="596"/>
      <c r="AY67" s="596"/>
      <c r="AZ67" s="596"/>
      <c r="BA67" s="596"/>
      <c r="BB67" s="596"/>
      <c r="BC67" s="596"/>
      <c r="BD67" s="596"/>
      <c r="BE67" s="596"/>
      <c r="BF67" s="596"/>
      <c r="BG67" s="596"/>
      <c r="BH67" s="596"/>
      <c r="BI67" s="596"/>
      <c r="BJ67" s="596"/>
      <c r="BK67" s="596"/>
      <c r="BL67" s="596"/>
      <c r="BM67" s="596"/>
      <c r="BN67" s="596"/>
      <c r="BO67" s="596"/>
      <c r="BP67" s="596"/>
      <c r="BQ67" s="596"/>
      <c r="BR67" s="596"/>
      <c r="BS67" s="596"/>
      <c r="BT67" s="596"/>
      <c r="BU67" s="596"/>
      <c r="BV67" s="596"/>
      <c r="BW67" s="596"/>
      <c r="BX67" s="596"/>
      <c r="BY67" s="596"/>
      <c r="BZ67" s="596"/>
      <c r="CA67" s="596"/>
      <c r="CB67" s="596"/>
      <c r="CC67" s="596"/>
      <c r="CD67" s="596"/>
      <c r="CE67" s="596"/>
      <c r="CF67" s="596"/>
      <c r="CG67" s="596"/>
      <c r="CH67" s="596"/>
      <c r="CI67" s="596"/>
      <c r="CJ67" s="596"/>
      <c r="CK67" s="596"/>
      <c r="CL67" s="596"/>
      <c r="CM67" s="596"/>
      <c r="CN67" s="596"/>
      <c r="CO67" s="596"/>
      <c r="CP67" s="596"/>
      <c r="CQ67" s="596"/>
      <c r="CR67" s="596"/>
      <c r="CS67" s="596"/>
      <c r="CT67" s="596"/>
      <c r="CU67" s="596"/>
      <c r="CV67" s="596"/>
      <c r="CW67" s="596"/>
      <c r="CX67" s="596"/>
      <c r="CY67" s="596"/>
      <c r="CZ67" s="596"/>
      <c r="DA67" s="596"/>
      <c r="DB67" s="596"/>
      <c r="DC67" s="596"/>
      <c r="DD67" s="596"/>
      <c r="DE67" s="596"/>
      <c r="DF67" s="596"/>
      <c r="DG67" s="596"/>
      <c r="DH67" s="596"/>
      <c r="DI67" s="596"/>
      <c r="DJ67" s="596"/>
      <c r="DK67" s="596"/>
      <c r="DL67" s="596"/>
      <c r="DM67" s="596"/>
      <c r="DN67" s="596"/>
      <c r="DO67" s="596"/>
      <c r="DP67" s="596"/>
      <c r="DQ67" s="596"/>
      <c r="DR67" s="596"/>
      <c r="DS67" s="596"/>
      <c r="DT67" s="596"/>
      <c r="DU67" s="596"/>
      <c r="DV67" s="596"/>
      <c r="DW67" s="596"/>
      <c r="DX67" s="596"/>
      <c r="DY67" s="596"/>
      <c r="DZ67" s="596"/>
      <c r="EA67" s="596"/>
    </row>
    <row r="68" spans="1:131">
      <c r="A68" s="596"/>
      <c r="B68" s="596"/>
      <c r="C68" s="596"/>
      <c r="D68" s="596"/>
      <c r="E68" s="596"/>
      <c r="F68" s="596"/>
      <c r="G68" s="596"/>
      <c r="H68" s="596"/>
      <c r="I68" s="596"/>
      <c r="J68" s="596"/>
      <c r="K68" s="638"/>
      <c r="L68" s="638"/>
      <c r="M68" s="638"/>
      <c r="N68" s="638"/>
      <c r="O68" s="638"/>
      <c r="P68" s="596"/>
      <c r="Q68" s="596"/>
      <c r="R68" s="596"/>
      <c r="S68" s="596"/>
      <c r="T68" s="596"/>
      <c r="U68" s="596"/>
      <c r="V68" s="596"/>
      <c r="W68" s="596"/>
      <c r="X68" s="596"/>
      <c r="Y68" s="596"/>
      <c r="Z68" s="596"/>
      <c r="AA68" s="596"/>
      <c r="AB68" s="596"/>
      <c r="AC68" s="596"/>
      <c r="AD68" s="596"/>
      <c r="AE68" s="596"/>
      <c r="AF68" s="596"/>
      <c r="AG68" s="596"/>
      <c r="AH68" s="596"/>
      <c r="AI68" s="596"/>
      <c r="AJ68" s="596"/>
      <c r="AK68" s="596"/>
      <c r="AL68" s="596"/>
      <c r="AM68" s="596"/>
      <c r="AN68" s="596"/>
      <c r="AO68" s="596"/>
      <c r="AP68" s="596"/>
      <c r="AQ68" s="596"/>
      <c r="AR68" s="596"/>
      <c r="AS68" s="596"/>
      <c r="AT68" s="596"/>
      <c r="AU68" s="596"/>
      <c r="AV68" s="596"/>
      <c r="AW68" s="596"/>
      <c r="AX68" s="596"/>
      <c r="AY68" s="596"/>
      <c r="AZ68" s="596"/>
      <c r="BA68" s="596"/>
      <c r="BB68" s="596"/>
      <c r="BC68" s="596"/>
      <c r="BD68" s="596"/>
      <c r="BE68" s="596"/>
      <c r="BF68" s="596"/>
      <c r="BG68" s="596"/>
      <c r="BH68" s="596"/>
      <c r="BI68" s="596"/>
      <c r="BJ68" s="596"/>
      <c r="BK68" s="596"/>
      <c r="BL68" s="596"/>
      <c r="BM68" s="596"/>
      <c r="BN68" s="596"/>
      <c r="BO68" s="596"/>
      <c r="BP68" s="596"/>
      <c r="BQ68" s="596"/>
      <c r="BR68" s="596"/>
      <c r="BS68" s="596"/>
      <c r="BT68" s="596"/>
      <c r="BU68" s="596"/>
      <c r="BV68" s="596"/>
      <c r="BW68" s="596"/>
      <c r="BX68" s="596"/>
      <c r="BY68" s="596"/>
      <c r="BZ68" s="596"/>
      <c r="CA68" s="596"/>
      <c r="CB68" s="596"/>
      <c r="CC68" s="596"/>
      <c r="CD68" s="596"/>
      <c r="CE68" s="596"/>
      <c r="CF68" s="596"/>
      <c r="CG68" s="596"/>
      <c r="CH68" s="596"/>
      <c r="CI68" s="596"/>
      <c r="CJ68" s="596"/>
      <c r="CK68" s="596"/>
      <c r="CL68" s="596"/>
      <c r="CM68" s="596"/>
      <c r="CN68" s="596"/>
      <c r="CO68" s="596"/>
      <c r="CP68" s="596"/>
      <c r="CQ68" s="596"/>
      <c r="CR68" s="596"/>
      <c r="CS68" s="596"/>
      <c r="CT68" s="596"/>
      <c r="CU68" s="596"/>
      <c r="CV68" s="596"/>
      <c r="CW68" s="596"/>
      <c r="CX68" s="596"/>
      <c r="CY68" s="596"/>
      <c r="CZ68" s="596"/>
      <c r="DA68" s="596"/>
      <c r="DB68" s="596"/>
      <c r="DC68" s="596"/>
      <c r="DD68" s="596"/>
      <c r="DE68" s="596"/>
      <c r="DF68" s="596"/>
      <c r="DG68" s="596"/>
      <c r="DH68" s="596"/>
      <c r="DI68" s="596"/>
      <c r="DJ68" s="596"/>
      <c r="DK68" s="596"/>
      <c r="DL68" s="596"/>
      <c r="DM68" s="596"/>
      <c r="DN68" s="596"/>
      <c r="DO68" s="596"/>
      <c r="DP68" s="596"/>
      <c r="DQ68" s="596"/>
      <c r="DR68" s="596"/>
      <c r="DS68" s="596"/>
      <c r="DT68" s="596"/>
      <c r="DU68" s="596"/>
      <c r="DV68" s="596"/>
      <c r="DW68" s="596"/>
      <c r="DX68" s="596"/>
      <c r="DY68" s="596"/>
      <c r="DZ68" s="596"/>
      <c r="EA68" s="596"/>
    </row>
    <row r="69" spans="1:131">
      <c r="A69" s="596"/>
      <c r="B69" s="596"/>
      <c r="C69" s="596"/>
      <c r="D69" s="596"/>
      <c r="E69" s="596"/>
      <c r="F69" s="596"/>
      <c r="G69" s="596"/>
      <c r="H69" s="596"/>
      <c r="I69" s="596"/>
      <c r="J69" s="596"/>
      <c r="K69" s="638"/>
      <c r="L69" s="638"/>
      <c r="M69" s="638"/>
      <c r="N69" s="638"/>
      <c r="O69" s="638"/>
      <c r="P69" s="596"/>
      <c r="Q69" s="596"/>
      <c r="R69" s="596"/>
      <c r="S69" s="596"/>
      <c r="T69" s="596"/>
      <c r="U69" s="596"/>
      <c r="V69" s="596"/>
      <c r="W69" s="596"/>
      <c r="X69" s="596"/>
      <c r="Y69" s="596"/>
      <c r="Z69" s="596"/>
      <c r="AA69" s="596"/>
      <c r="AB69" s="596"/>
      <c r="AC69" s="596"/>
      <c r="AD69" s="596"/>
      <c r="AE69" s="596"/>
      <c r="AF69" s="596"/>
      <c r="AG69" s="596"/>
      <c r="AH69" s="596"/>
      <c r="AI69" s="596"/>
      <c r="AJ69" s="596"/>
      <c r="AK69" s="596"/>
      <c r="AL69" s="596"/>
      <c r="AM69" s="596"/>
      <c r="AN69" s="596"/>
      <c r="AO69" s="596"/>
      <c r="AP69" s="596"/>
      <c r="AQ69" s="596"/>
      <c r="AR69" s="596"/>
      <c r="AS69" s="596"/>
      <c r="AT69" s="596"/>
      <c r="AU69" s="596"/>
      <c r="AV69" s="596"/>
      <c r="AW69" s="596"/>
      <c r="AX69" s="596"/>
      <c r="AY69" s="596"/>
      <c r="AZ69" s="596"/>
      <c r="BA69" s="596"/>
      <c r="BB69" s="596"/>
      <c r="BC69" s="596"/>
      <c r="BD69" s="596"/>
      <c r="BE69" s="596"/>
      <c r="BF69" s="596"/>
      <c r="BG69" s="596"/>
      <c r="BH69" s="596"/>
      <c r="BI69" s="596"/>
      <c r="BJ69" s="596"/>
      <c r="BK69" s="596"/>
      <c r="BL69" s="596"/>
      <c r="BM69" s="596"/>
      <c r="BN69" s="596"/>
      <c r="BO69" s="596"/>
      <c r="BP69" s="596"/>
      <c r="BQ69" s="596"/>
      <c r="BR69" s="596"/>
      <c r="BS69" s="596"/>
      <c r="BT69" s="596"/>
      <c r="BU69" s="596"/>
      <c r="BV69" s="596"/>
      <c r="BW69" s="596"/>
      <c r="BX69" s="596"/>
      <c r="BY69" s="596"/>
      <c r="BZ69" s="596"/>
      <c r="CA69" s="596"/>
      <c r="CB69" s="596"/>
      <c r="CC69" s="596"/>
      <c r="CD69" s="596"/>
      <c r="CE69" s="596"/>
      <c r="CF69" s="596"/>
      <c r="CG69" s="596"/>
      <c r="CH69" s="596"/>
      <c r="CI69" s="596"/>
      <c r="CJ69" s="596"/>
      <c r="CK69" s="596"/>
      <c r="CL69" s="596"/>
      <c r="CM69" s="596"/>
      <c r="CN69" s="596"/>
      <c r="CO69" s="596"/>
      <c r="CP69" s="596"/>
      <c r="CQ69" s="596"/>
      <c r="CR69" s="596"/>
      <c r="CS69" s="596"/>
      <c r="CT69" s="596"/>
      <c r="CU69" s="596"/>
      <c r="CV69" s="596"/>
      <c r="CW69" s="596"/>
      <c r="CX69" s="596"/>
      <c r="CY69" s="596"/>
      <c r="CZ69" s="596"/>
      <c r="DA69" s="596"/>
      <c r="DB69" s="596"/>
      <c r="DC69" s="596"/>
      <c r="DD69" s="596"/>
      <c r="DE69" s="596"/>
      <c r="DF69" s="596"/>
      <c r="DG69" s="596"/>
      <c r="DH69" s="596"/>
      <c r="DI69" s="596"/>
      <c r="DJ69" s="596"/>
      <c r="DK69" s="596"/>
      <c r="DL69" s="596"/>
      <c r="DM69" s="596"/>
      <c r="DN69" s="596"/>
      <c r="DO69" s="596"/>
      <c r="DP69" s="596"/>
      <c r="DQ69" s="596"/>
      <c r="DR69" s="596"/>
      <c r="DS69" s="596"/>
      <c r="DT69" s="596"/>
      <c r="DU69" s="596"/>
      <c r="DV69" s="596"/>
      <c r="DW69" s="596"/>
      <c r="DX69" s="596"/>
      <c r="DY69" s="596"/>
      <c r="DZ69" s="596"/>
      <c r="EA69" s="596"/>
    </row>
    <row r="70" spans="1:131">
      <c r="A70" s="596"/>
      <c r="B70" s="596"/>
      <c r="C70" s="596"/>
      <c r="D70" s="596"/>
      <c r="E70" s="596"/>
      <c r="F70" s="596"/>
      <c r="G70" s="596"/>
      <c r="H70" s="596"/>
      <c r="I70" s="596"/>
      <c r="J70" s="596"/>
      <c r="K70" s="638"/>
      <c r="L70" s="638"/>
      <c r="M70" s="638"/>
      <c r="N70" s="638"/>
      <c r="O70" s="638"/>
      <c r="P70" s="596"/>
      <c r="Q70" s="596"/>
      <c r="R70" s="596"/>
      <c r="S70" s="596"/>
      <c r="T70" s="596"/>
      <c r="U70" s="596"/>
      <c r="V70" s="596"/>
      <c r="W70" s="596"/>
      <c r="X70" s="596"/>
      <c r="Y70" s="596"/>
      <c r="Z70" s="596"/>
      <c r="AA70" s="596"/>
      <c r="AB70" s="596"/>
      <c r="AC70" s="596"/>
      <c r="AD70" s="596"/>
      <c r="AE70" s="596"/>
      <c r="AF70" s="596"/>
      <c r="AG70" s="596"/>
      <c r="AH70" s="596"/>
      <c r="AI70" s="596"/>
      <c r="AJ70" s="596"/>
      <c r="AK70" s="596"/>
      <c r="AL70" s="596"/>
      <c r="AM70" s="596"/>
      <c r="AN70" s="596"/>
      <c r="AO70" s="596"/>
      <c r="AP70" s="596"/>
      <c r="AQ70" s="596"/>
      <c r="AR70" s="596"/>
      <c r="AS70" s="596"/>
      <c r="AT70" s="596"/>
      <c r="AU70" s="596"/>
      <c r="AV70" s="596"/>
      <c r="AW70" s="596"/>
      <c r="AX70" s="596"/>
      <c r="AY70" s="596"/>
      <c r="AZ70" s="596"/>
      <c r="BA70" s="596"/>
      <c r="BB70" s="596"/>
      <c r="BC70" s="596"/>
      <c r="BD70" s="596"/>
      <c r="BE70" s="596"/>
      <c r="BF70" s="596"/>
      <c r="BG70" s="596"/>
      <c r="BH70" s="596"/>
      <c r="BI70" s="596"/>
      <c r="BJ70" s="596"/>
      <c r="BK70" s="596"/>
      <c r="BL70" s="596"/>
      <c r="BM70" s="596"/>
      <c r="BN70" s="596"/>
      <c r="BO70" s="596"/>
      <c r="BP70" s="596"/>
      <c r="BQ70" s="596"/>
      <c r="BR70" s="596"/>
      <c r="BS70" s="596"/>
      <c r="BT70" s="596"/>
      <c r="BU70" s="596"/>
      <c r="BV70" s="596"/>
      <c r="BW70" s="596"/>
      <c r="BX70" s="596"/>
      <c r="BY70" s="596"/>
      <c r="BZ70" s="596"/>
      <c r="CA70" s="596"/>
      <c r="CB70" s="596"/>
      <c r="CC70" s="596"/>
      <c r="CD70" s="596"/>
      <c r="CE70" s="596"/>
      <c r="CF70" s="596"/>
      <c r="CG70" s="596"/>
      <c r="CH70" s="596"/>
      <c r="CI70" s="596"/>
      <c r="CJ70" s="596"/>
      <c r="CK70" s="596"/>
      <c r="CL70" s="596"/>
      <c r="CM70" s="596"/>
      <c r="CN70" s="596"/>
      <c r="CO70" s="596"/>
      <c r="CP70" s="596"/>
      <c r="CQ70" s="596"/>
      <c r="CR70" s="596"/>
      <c r="CS70" s="596"/>
      <c r="CT70" s="596"/>
      <c r="CU70" s="596"/>
      <c r="CV70" s="596"/>
      <c r="CW70" s="596"/>
      <c r="CX70" s="596"/>
      <c r="CY70" s="596"/>
      <c r="CZ70" s="596"/>
      <c r="DA70" s="596"/>
      <c r="DB70" s="596"/>
      <c r="DC70" s="596"/>
      <c r="DD70" s="596"/>
      <c r="DE70" s="596"/>
      <c r="DF70" s="596"/>
      <c r="DG70" s="596"/>
      <c r="DH70" s="596"/>
      <c r="DI70" s="596"/>
      <c r="DJ70" s="596"/>
      <c r="DK70" s="596"/>
      <c r="DL70" s="596"/>
      <c r="DM70" s="596"/>
      <c r="DN70" s="596"/>
      <c r="DO70" s="596"/>
      <c r="DP70" s="596"/>
      <c r="DQ70" s="596"/>
      <c r="DR70" s="596"/>
      <c r="DS70" s="596"/>
      <c r="DT70" s="596"/>
      <c r="DU70" s="596"/>
      <c r="DV70" s="596"/>
      <c r="DW70" s="596"/>
      <c r="DX70" s="596"/>
      <c r="DY70" s="596"/>
      <c r="DZ70" s="596"/>
      <c r="EA70" s="596"/>
    </row>
    <row r="71" spans="1:131">
      <c r="A71" s="596"/>
      <c r="B71" s="596"/>
      <c r="C71" s="596"/>
      <c r="D71" s="596"/>
      <c r="E71" s="596"/>
      <c r="F71" s="596"/>
      <c r="G71" s="596"/>
      <c r="H71" s="596"/>
      <c r="I71" s="596"/>
      <c r="J71" s="596"/>
      <c r="K71" s="638"/>
      <c r="L71" s="638"/>
      <c r="M71" s="638"/>
      <c r="N71" s="638"/>
      <c r="O71" s="638"/>
      <c r="P71" s="596"/>
      <c r="Q71" s="596"/>
      <c r="R71" s="596"/>
      <c r="S71" s="596"/>
      <c r="T71" s="596"/>
      <c r="U71" s="596"/>
      <c r="V71" s="596"/>
      <c r="W71" s="596"/>
      <c r="X71" s="596"/>
      <c r="Y71" s="596"/>
      <c r="Z71" s="596"/>
      <c r="AA71" s="596"/>
      <c r="AB71" s="596"/>
      <c r="AC71" s="596"/>
      <c r="AD71" s="596"/>
      <c r="AE71" s="596"/>
      <c r="AF71" s="596"/>
      <c r="AG71" s="596"/>
      <c r="AH71" s="596"/>
      <c r="AI71" s="596"/>
      <c r="AJ71" s="596"/>
      <c r="AK71" s="596"/>
      <c r="AL71" s="596"/>
      <c r="AM71" s="596"/>
      <c r="AN71" s="596"/>
      <c r="AO71" s="596"/>
      <c r="AP71" s="596"/>
      <c r="AQ71" s="596"/>
      <c r="AR71" s="596"/>
      <c r="AS71" s="596"/>
      <c r="AT71" s="596"/>
      <c r="AU71" s="596"/>
      <c r="AV71" s="596"/>
      <c r="AW71" s="596"/>
      <c r="AX71" s="596"/>
      <c r="AY71" s="596"/>
      <c r="AZ71" s="596"/>
      <c r="BA71" s="596"/>
      <c r="BB71" s="596"/>
      <c r="BC71" s="596"/>
      <c r="BD71" s="596"/>
      <c r="BE71" s="596"/>
      <c r="BF71" s="596"/>
      <c r="BG71" s="596"/>
      <c r="BH71" s="596"/>
      <c r="BI71" s="596"/>
      <c r="BJ71" s="596"/>
      <c r="BK71" s="596"/>
      <c r="BL71" s="596"/>
      <c r="BM71" s="596"/>
      <c r="BN71" s="596"/>
      <c r="BO71" s="596"/>
      <c r="BP71" s="596"/>
      <c r="BQ71" s="596"/>
      <c r="BR71" s="596"/>
      <c r="BS71" s="596"/>
      <c r="BT71" s="596"/>
      <c r="BU71" s="596"/>
      <c r="BV71" s="596"/>
      <c r="BW71" s="596"/>
      <c r="BX71" s="596"/>
      <c r="BY71" s="596"/>
      <c r="BZ71" s="596"/>
      <c r="CA71" s="596"/>
      <c r="CB71" s="596"/>
      <c r="CC71" s="596"/>
      <c r="CD71" s="596"/>
      <c r="CE71" s="596"/>
      <c r="CF71" s="596"/>
      <c r="CG71" s="596"/>
      <c r="CH71" s="596"/>
      <c r="CI71" s="596"/>
      <c r="CJ71" s="596"/>
      <c r="CK71" s="596"/>
      <c r="CL71" s="596"/>
      <c r="CM71" s="596"/>
      <c r="CN71" s="596"/>
      <c r="CO71" s="596"/>
      <c r="CP71" s="596"/>
      <c r="CQ71" s="596"/>
      <c r="CR71" s="596"/>
      <c r="CS71" s="596"/>
      <c r="CT71" s="596"/>
      <c r="CU71" s="596"/>
      <c r="CV71" s="596"/>
      <c r="CW71" s="596"/>
      <c r="CX71" s="596"/>
      <c r="CY71" s="596"/>
      <c r="CZ71" s="596"/>
      <c r="DA71" s="596"/>
      <c r="DB71" s="596"/>
      <c r="DC71" s="596"/>
      <c r="DD71" s="596"/>
      <c r="DE71" s="596"/>
      <c r="DF71" s="596"/>
      <c r="DG71" s="596"/>
      <c r="DH71" s="596"/>
      <c r="DI71" s="596"/>
      <c r="DJ71" s="596"/>
      <c r="DK71" s="596"/>
      <c r="DL71" s="596"/>
      <c r="DM71" s="596"/>
      <c r="DN71" s="596"/>
      <c r="DO71" s="596"/>
      <c r="DP71" s="596"/>
      <c r="DQ71" s="596"/>
      <c r="DR71" s="596"/>
      <c r="DS71" s="596"/>
      <c r="DT71" s="596"/>
      <c r="DU71" s="596"/>
      <c r="DV71" s="596"/>
      <c r="DW71" s="596"/>
      <c r="DX71" s="596"/>
      <c r="DY71" s="596"/>
      <c r="DZ71" s="596"/>
      <c r="EA71" s="596"/>
    </row>
    <row r="72" spans="1:131">
      <c r="A72" s="596"/>
      <c r="B72" s="596"/>
      <c r="C72" s="596"/>
      <c r="D72" s="596"/>
      <c r="E72" s="596"/>
      <c r="F72" s="596"/>
      <c r="G72" s="596"/>
      <c r="H72" s="596"/>
      <c r="I72" s="596"/>
      <c r="J72" s="596"/>
      <c r="K72" s="638"/>
      <c r="L72" s="638"/>
      <c r="M72" s="638"/>
      <c r="N72" s="638"/>
      <c r="O72" s="638"/>
      <c r="P72" s="596"/>
      <c r="Q72" s="596"/>
      <c r="R72" s="596"/>
      <c r="S72" s="596"/>
      <c r="T72" s="596"/>
      <c r="U72" s="596"/>
      <c r="V72" s="596"/>
      <c r="W72" s="596"/>
      <c r="X72" s="596"/>
      <c r="Y72" s="596"/>
      <c r="Z72" s="596"/>
      <c r="AA72" s="596"/>
      <c r="AB72" s="596"/>
      <c r="AC72" s="596"/>
      <c r="AD72" s="596"/>
      <c r="AE72" s="596"/>
      <c r="AF72" s="596"/>
      <c r="AG72" s="596"/>
      <c r="AH72" s="596"/>
      <c r="AI72" s="596"/>
      <c r="AJ72" s="596"/>
      <c r="AK72" s="596"/>
      <c r="AL72" s="596"/>
      <c r="AM72" s="596"/>
      <c r="AN72" s="596"/>
      <c r="AO72" s="596"/>
      <c r="AP72" s="596"/>
      <c r="AQ72" s="596"/>
      <c r="AR72" s="596"/>
      <c r="AS72" s="596"/>
      <c r="AT72" s="596"/>
      <c r="AU72" s="596"/>
      <c r="AV72" s="596"/>
      <c r="AW72" s="596"/>
      <c r="AX72" s="596"/>
      <c r="AY72" s="596"/>
      <c r="AZ72" s="596"/>
      <c r="BA72" s="596"/>
      <c r="BB72" s="596"/>
      <c r="BC72" s="596"/>
      <c r="BD72" s="596"/>
      <c r="BE72" s="596"/>
      <c r="BF72" s="596"/>
      <c r="BG72" s="596"/>
      <c r="BH72" s="596"/>
      <c r="BI72" s="596"/>
      <c r="BJ72" s="596"/>
      <c r="BK72" s="596"/>
      <c r="BL72" s="596"/>
      <c r="BM72" s="596"/>
      <c r="BN72" s="596"/>
      <c r="BO72" s="596"/>
      <c r="BP72" s="596"/>
      <c r="BQ72" s="596"/>
      <c r="BR72" s="596"/>
      <c r="BS72" s="596"/>
      <c r="BT72" s="596"/>
      <c r="BU72" s="596"/>
      <c r="BV72" s="596"/>
      <c r="BW72" s="596"/>
      <c r="BX72" s="596"/>
      <c r="BY72" s="596"/>
      <c r="BZ72" s="596"/>
      <c r="CA72" s="596"/>
      <c r="CB72" s="596"/>
      <c r="CC72" s="596"/>
      <c r="CD72" s="596"/>
      <c r="CE72" s="596"/>
      <c r="CF72" s="596"/>
      <c r="CG72" s="596"/>
      <c r="CH72" s="596"/>
      <c r="CI72" s="596"/>
      <c r="CJ72" s="596"/>
      <c r="CK72" s="596"/>
      <c r="CL72" s="596"/>
      <c r="CM72" s="596"/>
      <c r="CN72" s="596"/>
      <c r="CO72" s="596"/>
      <c r="CP72" s="596"/>
      <c r="CQ72" s="596"/>
      <c r="CR72" s="596"/>
      <c r="CS72" s="596"/>
      <c r="CT72" s="596"/>
      <c r="CU72" s="596"/>
      <c r="CV72" s="596"/>
      <c r="CW72" s="596"/>
      <c r="CX72" s="596"/>
      <c r="CY72" s="596"/>
      <c r="CZ72" s="596"/>
      <c r="DA72" s="596"/>
      <c r="DB72" s="596"/>
      <c r="DC72" s="596"/>
      <c r="DD72" s="596"/>
      <c r="DE72" s="596"/>
      <c r="DF72" s="596"/>
      <c r="DG72" s="596"/>
      <c r="DH72" s="596"/>
      <c r="DI72" s="596"/>
      <c r="DJ72" s="596"/>
      <c r="DK72" s="596"/>
      <c r="DL72" s="596"/>
      <c r="DM72" s="596"/>
      <c r="DN72" s="596"/>
      <c r="DO72" s="596"/>
      <c r="DP72" s="596"/>
      <c r="DQ72" s="596"/>
      <c r="DR72" s="596"/>
      <c r="DS72" s="596"/>
      <c r="DT72" s="596"/>
      <c r="DU72" s="596"/>
      <c r="DV72" s="596"/>
      <c r="DW72" s="596"/>
      <c r="DX72" s="596"/>
      <c r="DY72" s="596"/>
      <c r="DZ72" s="596"/>
      <c r="EA72" s="596"/>
    </row>
    <row r="73" spans="1:131">
      <c r="A73" s="596"/>
      <c r="B73" s="596"/>
      <c r="C73" s="596"/>
      <c r="D73" s="596"/>
      <c r="E73" s="596"/>
      <c r="F73" s="596"/>
      <c r="G73" s="596"/>
      <c r="H73" s="596"/>
      <c r="I73" s="596"/>
      <c r="J73" s="596"/>
      <c r="K73" s="638"/>
      <c r="L73" s="638"/>
      <c r="M73" s="638"/>
      <c r="N73" s="638"/>
      <c r="O73" s="638"/>
      <c r="P73" s="596"/>
      <c r="Q73" s="596"/>
      <c r="R73" s="596"/>
      <c r="S73" s="596"/>
      <c r="T73" s="596"/>
      <c r="U73" s="596"/>
      <c r="V73" s="596"/>
      <c r="W73" s="596"/>
      <c r="X73" s="596"/>
      <c r="Y73" s="596"/>
      <c r="Z73" s="596"/>
      <c r="AA73" s="596"/>
      <c r="AB73" s="596"/>
      <c r="AC73" s="596"/>
      <c r="AD73" s="596"/>
      <c r="AE73" s="596"/>
      <c r="AF73" s="596"/>
      <c r="AG73" s="596"/>
      <c r="AH73" s="596"/>
      <c r="AI73" s="596"/>
      <c r="AJ73" s="596"/>
      <c r="AK73" s="596"/>
      <c r="AL73" s="596"/>
      <c r="AM73" s="596"/>
      <c r="AN73" s="596"/>
      <c r="AO73" s="596"/>
      <c r="AP73" s="596"/>
      <c r="AQ73" s="596"/>
      <c r="AR73" s="596"/>
      <c r="AS73" s="596"/>
      <c r="AT73" s="596"/>
      <c r="AU73" s="596"/>
      <c r="AV73" s="596"/>
      <c r="AW73" s="596"/>
      <c r="AX73" s="596"/>
      <c r="AY73" s="596"/>
      <c r="AZ73" s="596"/>
      <c r="BA73" s="596"/>
      <c r="BB73" s="596"/>
      <c r="BC73" s="596"/>
      <c r="BD73" s="596"/>
      <c r="BE73" s="596"/>
      <c r="BF73" s="596"/>
      <c r="BG73" s="596"/>
      <c r="BH73" s="596"/>
      <c r="BI73" s="596"/>
      <c r="BJ73" s="596"/>
      <c r="BK73" s="596"/>
      <c r="BL73" s="596"/>
      <c r="BM73" s="596"/>
      <c r="BN73" s="596"/>
      <c r="BO73" s="596"/>
      <c r="BP73" s="596"/>
      <c r="BQ73" s="596"/>
      <c r="BR73" s="596"/>
      <c r="BS73" s="596"/>
      <c r="BT73" s="596"/>
      <c r="BU73" s="596"/>
      <c r="BV73" s="596"/>
      <c r="BW73" s="596"/>
      <c r="BX73" s="596"/>
      <c r="BY73" s="596"/>
      <c r="BZ73" s="596"/>
      <c r="CA73" s="596"/>
      <c r="CB73" s="596"/>
      <c r="CC73" s="596"/>
      <c r="CD73" s="596"/>
      <c r="CE73" s="596"/>
      <c r="CF73" s="596"/>
      <c r="CG73" s="596"/>
      <c r="CH73" s="596"/>
      <c r="CI73" s="596"/>
      <c r="CJ73" s="596"/>
      <c r="CK73" s="596"/>
      <c r="CL73" s="596"/>
      <c r="CM73" s="596"/>
      <c r="CN73" s="596"/>
      <c r="CO73" s="596"/>
      <c r="CP73" s="596"/>
      <c r="CQ73" s="596"/>
      <c r="CR73" s="596"/>
      <c r="CS73" s="596"/>
      <c r="CT73" s="596"/>
      <c r="CU73" s="596"/>
      <c r="CV73" s="596"/>
      <c r="CW73" s="596"/>
      <c r="CX73" s="596"/>
      <c r="CY73" s="596"/>
      <c r="CZ73" s="596"/>
      <c r="DA73" s="596"/>
      <c r="DB73" s="596"/>
      <c r="DC73" s="596"/>
      <c r="DD73" s="596"/>
      <c r="DE73" s="596"/>
      <c r="DF73" s="596"/>
      <c r="DG73" s="596"/>
      <c r="DH73" s="596"/>
      <c r="DI73" s="596"/>
      <c r="DJ73" s="596"/>
      <c r="DK73" s="596"/>
      <c r="DL73" s="596"/>
      <c r="DM73" s="596"/>
      <c r="DN73" s="596"/>
      <c r="DO73" s="596"/>
      <c r="DP73" s="596"/>
      <c r="DQ73" s="596"/>
      <c r="DR73" s="596"/>
      <c r="DS73" s="596"/>
      <c r="DT73" s="596"/>
      <c r="DU73" s="596"/>
      <c r="DV73" s="596"/>
      <c r="DW73" s="596"/>
      <c r="DX73" s="596"/>
      <c r="DY73" s="596"/>
      <c r="DZ73" s="596"/>
      <c r="EA73" s="596"/>
    </row>
    <row r="74" spans="1:131">
      <c r="A74" s="596"/>
      <c r="B74" s="596"/>
      <c r="C74" s="596"/>
      <c r="D74" s="596"/>
      <c r="E74" s="596"/>
      <c r="F74" s="596"/>
      <c r="G74" s="596"/>
      <c r="H74" s="596"/>
      <c r="I74" s="596"/>
      <c r="J74" s="596"/>
      <c r="K74" s="638"/>
      <c r="L74" s="638"/>
      <c r="M74" s="638"/>
      <c r="N74" s="638"/>
      <c r="O74" s="638"/>
      <c r="P74" s="596"/>
      <c r="Q74" s="596"/>
      <c r="R74" s="596"/>
      <c r="S74" s="596"/>
      <c r="T74" s="596"/>
      <c r="U74" s="596"/>
      <c r="V74" s="596"/>
      <c r="W74" s="596"/>
      <c r="X74" s="596"/>
      <c r="Y74" s="596"/>
      <c r="Z74" s="596"/>
      <c r="AA74" s="596"/>
      <c r="AB74" s="596"/>
      <c r="AC74" s="596"/>
      <c r="AD74" s="596"/>
      <c r="AE74" s="596"/>
      <c r="AF74" s="596"/>
      <c r="AG74" s="596"/>
      <c r="AH74" s="596"/>
      <c r="AI74" s="596"/>
      <c r="AJ74" s="596"/>
      <c r="AK74" s="596"/>
      <c r="AL74" s="596"/>
      <c r="AM74" s="596"/>
      <c r="AN74" s="596"/>
      <c r="AO74" s="596"/>
      <c r="AP74" s="596"/>
      <c r="AQ74" s="596"/>
      <c r="AR74" s="596"/>
      <c r="AS74" s="596"/>
      <c r="AT74" s="596"/>
      <c r="AU74" s="596"/>
      <c r="AV74" s="596"/>
      <c r="AW74" s="596"/>
      <c r="AX74" s="596"/>
      <c r="AY74" s="596"/>
      <c r="AZ74" s="596"/>
      <c r="BA74" s="596"/>
      <c r="BB74" s="596"/>
      <c r="BC74" s="596"/>
      <c r="BD74" s="596"/>
      <c r="BE74" s="596"/>
      <c r="BF74" s="596"/>
      <c r="BG74" s="596"/>
      <c r="BH74" s="596"/>
      <c r="BI74" s="596"/>
      <c r="BJ74" s="596"/>
      <c r="BK74" s="596"/>
      <c r="BL74" s="596"/>
      <c r="BM74" s="596"/>
      <c r="BN74" s="596"/>
      <c r="BO74" s="596"/>
      <c r="BP74" s="596"/>
      <c r="BQ74" s="596"/>
      <c r="BR74" s="596"/>
      <c r="BS74" s="596"/>
      <c r="BT74" s="596"/>
      <c r="BU74" s="596"/>
      <c r="BV74" s="596"/>
      <c r="BW74" s="596"/>
      <c r="BX74" s="596"/>
      <c r="BY74" s="596"/>
      <c r="BZ74" s="596"/>
      <c r="CA74" s="596"/>
      <c r="CB74" s="596"/>
      <c r="CC74" s="596"/>
      <c r="CD74" s="596"/>
      <c r="CE74" s="596"/>
      <c r="CF74" s="596"/>
      <c r="CG74" s="596"/>
      <c r="CH74" s="596"/>
      <c r="CI74" s="596"/>
      <c r="CJ74" s="596"/>
      <c r="CK74" s="596"/>
      <c r="CL74" s="596"/>
      <c r="CM74" s="596"/>
      <c r="CN74" s="596"/>
      <c r="CO74" s="596"/>
      <c r="CP74" s="596"/>
      <c r="CQ74" s="596"/>
      <c r="CR74" s="596"/>
      <c r="CS74" s="596"/>
      <c r="CT74" s="596"/>
      <c r="CU74" s="596"/>
      <c r="CV74" s="596"/>
      <c r="CW74" s="596"/>
      <c r="CX74" s="596"/>
      <c r="CY74" s="596"/>
      <c r="CZ74" s="596"/>
      <c r="DA74" s="596"/>
      <c r="DB74" s="596"/>
      <c r="DC74" s="596"/>
      <c r="DD74" s="596"/>
      <c r="DE74" s="596"/>
      <c r="DF74" s="596"/>
      <c r="DG74" s="596"/>
      <c r="DH74" s="596"/>
      <c r="DI74" s="596"/>
      <c r="DJ74" s="596"/>
      <c r="DK74" s="596"/>
      <c r="DL74" s="596"/>
      <c r="DM74" s="596"/>
      <c r="DN74" s="596"/>
      <c r="DO74" s="596"/>
      <c r="DP74" s="596"/>
      <c r="DQ74" s="596"/>
      <c r="DR74" s="596"/>
      <c r="DS74" s="596"/>
      <c r="DT74" s="596"/>
      <c r="DU74" s="596"/>
      <c r="DV74" s="596"/>
      <c r="DW74" s="596"/>
      <c r="DX74" s="596"/>
      <c r="DY74" s="596"/>
      <c r="DZ74" s="596"/>
      <c r="EA74" s="596"/>
    </row>
    <row r="75" spans="1:131">
      <c r="A75" s="596"/>
      <c r="B75" s="596"/>
      <c r="C75" s="596"/>
      <c r="D75" s="596"/>
      <c r="E75" s="596"/>
      <c r="F75" s="596"/>
      <c r="G75" s="596"/>
      <c r="H75" s="596"/>
      <c r="I75" s="596"/>
      <c r="J75" s="596"/>
      <c r="K75" s="638"/>
      <c r="L75" s="638"/>
      <c r="M75" s="638"/>
      <c r="N75" s="638"/>
      <c r="O75" s="638"/>
      <c r="P75" s="596"/>
      <c r="Q75" s="596"/>
      <c r="R75" s="596"/>
      <c r="S75" s="596"/>
      <c r="T75" s="596"/>
      <c r="U75" s="596"/>
      <c r="V75" s="596"/>
      <c r="W75" s="596"/>
      <c r="X75" s="596"/>
      <c r="Y75" s="596"/>
      <c r="Z75" s="596"/>
      <c r="AA75" s="596"/>
      <c r="AB75" s="596"/>
      <c r="AC75" s="596"/>
      <c r="AD75" s="596"/>
      <c r="AE75" s="596"/>
      <c r="AF75" s="596"/>
      <c r="AG75" s="596"/>
      <c r="AH75" s="596"/>
      <c r="AI75" s="596"/>
      <c r="AJ75" s="596"/>
      <c r="AK75" s="596"/>
      <c r="AL75" s="596"/>
      <c r="AM75" s="596"/>
      <c r="AN75" s="596"/>
      <c r="AO75" s="596"/>
      <c r="AP75" s="596"/>
      <c r="AQ75" s="596"/>
      <c r="AR75" s="596"/>
      <c r="AS75" s="596"/>
      <c r="AT75" s="596"/>
      <c r="AU75" s="596"/>
      <c r="AV75" s="596"/>
      <c r="AW75" s="596"/>
      <c r="AX75" s="596"/>
      <c r="AY75" s="596"/>
      <c r="AZ75" s="596"/>
      <c r="BA75" s="596"/>
      <c r="BB75" s="596"/>
      <c r="BC75" s="596"/>
      <c r="BD75" s="596"/>
      <c r="BE75" s="596"/>
      <c r="BF75" s="596"/>
      <c r="BG75" s="596"/>
      <c r="BH75" s="596"/>
      <c r="BI75" s="596"/>
      <c r="BJ75" s="596"/>
      <c r="BK75" s="596"/>
      <c r="BL75" s="596"/>
      <c r="BM75" s="596"/>
      <c r="BN75" s="596"/>
      <c r="BO75" s="596"/>
      <c r="BP75" s="596"/>
      <c r="BQ75" s="596"/>
      <c r="BR75" s="596"/>
      <c r="BS75" s="596"/>
      <c r="BT75" s="596"/>
      <c r="BU75" s="596"/>
      <c r="BV75" s="596"/>
      <c r="BW75" s="596"/>
      <c r="BX75" s="596"/>
      <c r="BY75" s="596"/>
      <c r="BZ75" s="596"/>
      <c r="CA75" s="596"/>
      <c r="CB75" s="596"/>
      <c r="CC75" s="596"/>
      <c r="CD75" s="596"/>
      <c r="CE75" s="596"/>
      <c r="CF75" s="596"/>
      <c r="CG75" s="596"/>
      <c r="CH75" s="596"/>
      <c r="CI75" s="596"/>
      <c r="CJ75" s="596"/>
      <c r="CK75" s="596"/>
      <c r="CL75" s="596"/>
      <c r="CM75" s="596"/>
      <c r="CN75" s="596"/>
      <c r="CO75" s="596"/>
      <c r="CP75" s="596"/>
      <c r="CQ75" s="596"/>
      <c r="CR75" s="596"/>
      <c r="CS75" s="596"/>
      <c r="CT75" s="596"/>
      <c r="CU75" s="596"/>
      <c r="CV75" s="596"/>
      <c r="CW75" s="596"/>
      <c r="CX75" s="596"/>
      <c r="CY75" s="596"/>
      <c r="CZ75" s="596"/>
      <c r="DA75" s="596"/>
      <c r="DB75" s="596"/>
      <c r="DC75" s="596"/>
      <c r="DD75" s="596"/>
      <c r="DE75" s="596"/>
      <c r="DF75" s="596"/>
      <c r="DG75" s="596"/>
      <c r="DH75" s="596"/>
      <c r="DI75" s="596"/>
      <c r="DJ75" s="596"/>
      <c r="DK75" s="596"/>
      <c r="DL75" s="596"/>
      <c r="DM75" s="596"/>
      <c r="DN75" s="596"/>
      <c r="DO75" s="596"/>
      <c r="DP75" s="596"/>
      <c r="DQ75" s="596"/>
      <c r="DR75" s="596"/>
      <c r="DS75" s="596"/>
      <c r="DT75" s="596"/>
      <c r="DU75" s="596"/>
      <c r="DV75" s="596"/>
      <c r="DW75" s="596"/>
      <c r="DX75" s="596"/>
      <c r="DY75" s="596"/>
      <c r="DZ75" s="596"/>
      <c r="EA75" s="596"/>
    </row>
    <row r="76" spans="1:131">
      <c r="A76" s="596"/>
      <c r="B76" s="596"/>
      <c r="C76" s="596"/>
      <c r="D76" s="596"/>
      <c r="E76" s="596"/>
      <c r="F76" s="596"/>
      <c r="G76" s="596"/>
      <c r="H76" s="596"/>
      <c r="I76" s="596"/>
      <c r="J76" s="596"/>
      <c r="K76" s="638"/>
      <c r="L76" s="638"/>
      <c r="M76" s="638"/>
      <c r="N76" s="638"/>
      <c r="O76" s="638"/>
      <c r="P76" s="596"/>
      <c r="Q76" s="596"/>
      <c r="R76" s="596"/>
      <c r="S76" s="596"/>
      <c r="T76" s="596"/>
      <c r="U76" s="596"/>
      <c r="V76" s="596"/>
      <c r="W76" s="596"/>
      <c r="X76" s="596"/>
      <c r="Y76" s="596"/>
      <c r="Z76" s="596"/>
      <c r="AA76" s="596"/>
      <c r="AB76" s="596"/>
      <c r="AC76" s="596"/>
      <c r="AD76" s="596"/>
      <c r="AE76" s="596"/>
      <c r="AF76" s="596"/>
      <c r="AG76" s="596"/>
      <c r="AH76" s="596"/>
      <c r="AI76" s="596"/>
      <c r="AJ76" s="596"/>
      <c r="AK76" s="596"/>
      <c r="AL76" s="596"/>
      <c r="AM76" s="596"/>
      <c r="AN76" s="596"/>
      <c r="AO76" s="596"/>
      <c r="AP76" s="596"/>
      <c r="AQ76" s="596"/>
      <c r="AR76" s="596"/>
      <c r="AS76" s="596"/>
      <c r="AT76" s="596"/>
      <c r="AU76" s="596"/>
      <c r="AV76" s="596"/>
      <c r="AW76" s="596"/>
      <c r="AX76" s="596"/>
      <c r="AY76" s="596"/>
      <c r="AZ76" s="596"/>
      <c r="BA76" s="596"/>
      <c r="BB76" s="596"/>
      <c r="BC76" s="596"/>
      <c r="BD76" s="596"/>
      <c r="BE76" s="596"/>
      <c r="BF76" s="596"/>
      <c r="BG76" s="596"/>
      <c r="BH76" s="596"/>
      <c r="BI76" s="596"/>
      <c r="BJ76" s="596"/>
      <c r="BK76" s="596"/>
      <c r="BL76" s="596"/>
      <c r="BM76" s="596"/>
      <c r="BN76" s="596"/>
      <c r="BO76" s="596"/>
      <c r="BP76" s="596"/>
      <c r="BQ76" s="596"/>
      <c r="BR76" s="596"/>
      <c r="BS76" s="596"/>
      <c r="BT76" s="596"/>
      <c r="BU76" s="596"/>
      <c r="BV76" s="596"/>
      <c r="BW76" s="596"/>
      <c r="BX76" s="596"/>
      <c r="BY76" s="596"/>
      <c r="BZ76" s="596"/>
      <c r="CA76" s="596"/>
      <c r="CB76" s="596"/>
      <c r="CC76" s="596"/>
      <c r="CD76" s="596"/>
      <c r="CE76" s="596"/>
      <c r="CF76" s="596"/>
      <c r="CG76" s="596"/>
      <c r="CH76" s="596"/>
      <c r="CI76" s="596"/>
      <c r="CJ76" s="596"/>
      <c r="CK76" s="596"/>
      <c r="CL76" s="596"/>
      <c r="CM76" s="596"/>
      <c r="CN76" s="596"/>
      <c r="CO76" s="596"/>
      <c r="CP76" s="596"/>
      <c r="CQ76" s="596"/>
      <c r="CR76" s="596"/>
      <c r="CS76" s="596"/>
      <c r="CT76" s="596"/>
      <c r="CU76" s="596"/>
      <c r="CV76" s="596"/>
      <c r="CW76" s="596"/>
      <c r="CX76" s="596"/>
      <c r="CY76" s="596"/>
      <c r="CZ76" s="596"/>
      <c r="DA76" s="596"/>
      <c r="DB76" s="596"/>
      <c r="DC76" s="596"/>
      <c r="DD76" s="596"/>
      <c r="DE76" s="596"/>
      <c r="DF76" s="596"/>
      <c r="DG76" s="596"/>
      <c r="DH76" s="596"/>
      <c r="DI76" s="596"/>
      <c r="DJ76" s="596"/>
      <c r="DK76" s="596"/>
      <c r="DL76" s="596"/>
      <c r="DM76" s="596"/>
      <c r="DN76" s="596"/>
      <c r="DO76" s="596"/>
      <c r="DP76" s="596"/>
      <c r="DQ76" s="596"/>
      <c r="DR76" s="596"/>
      <c r="DS76" s="596"/>
      <c r="DT76" s="596"/>
      <c r="DU76" s="596"/>
      <c r="DV76" s="596"/>
      <c r="DW76" s="596"/>
      <c r="DX76" s="596"/>
      <c r="DY76" s="596"/>
      <c r="DZ76" s="596"/>
      <c r="EA76" s="596"/>
    </row>
    <row r="77" spans="1:131">
      <c r="A77" s="596"/>
      <c r="B77" s="596"/>
      <c r="C77" s="596"/>
      <c r="D77" s="596"/>
      <c r="E77" s="596"/>
      <c r="F77" s="596"/>
      <c r="G77" s="596"/>
      <c r="H77" s="596"/>
      <c r="I77" s="596"/>
      <c r="J77" s="596"/>
      <c r="K77" s="638"/>
      <c r="L77" s="638"/>
      <c r="M77" s="638"/>
      <c r="N77" s="638"/>
      <c r="O77" s="638"/>
      <c r="P77" s="596"/>
      <c r="Q77" s="596"/>
      <c r="R77" s="596"/>
      <c r="S77" s="596"/>
      <c r="T77" s="596"/>
      <c r="U77" s="596"/>
      <c r="V77" s="596"/>
      <c r="W77" s="596"/>
      <c r="X77" s="596"/>
      <c r="Y77" s="596"/>
      <c r="Z77" s="596"/>
      <c r="AA77" s="596"/>
      <c r="AB77" s="596"/>
      <c r="AC77" s="596"/>
      <c r="AD77" s="596"/>
      <c r="AE77" s="596"/>
      <c r="AF77" s="596"/>
      <c r="AG77" s="596"/>
      <c r="AH77" s="596"/>
      <c r="AI77" s="596"/>
      <c r="AJ77" s="596"/>
      <c r="AK77" s="596"/>
      <c r="AL77" s="596"/>
      <c r="AM77" s="596"/>
      <c r="AN77" s="596"/>
      <c r="AO77" s="596"/>
      <c r="AP77" s="596"/>
      <c r="AQ77" s="596"/>
      <c r="AR77" s="596"/>
      <c r="AS77" s="596"/>
      <c r="AT77" s="596"/>
      <c r="AU77" s="596"/>
      <c r="AV77" s="596"/>
      <c r="AW77" s="596"/>
      <c r="AX77" s="596"/>
      <c r="AY77" s="596"/>
      <c r="AZ77" s="596"/>
      <c r="BA77" s="596"/>
      <c r="BB77" s="596"/>
      <c r="BC77" s="596"/>
      <c r="BD77" s="596"/>
      <c r="BE77" s="596"/>
      <c r="BF77" s="596"/>
      <c r="BG77" s="596"/>
      <c r="BH77" s="596"/>
      <c r="BI77" s="596"/>
      <c r="BJ77" s="596"/>
      <c r="BK77" s="596"/>
      <c r="BL77" s="596"/>
      <c r="BM77" s="596"/>
      <c r="BN77" s="596"/>
      <c r="BO77" s="596"/>
      <c r="BP77" s="596"/>
      <c r="BQ77" s="596"/>
      <c r="BR77" s="596"/>
      <c r="BS77" s="596"/>
      <c r="BT77" s="596"/>
      <c r="BU77" s="596"/>
      <c r="BV77" s="596"/>
      <c r="BW77" s="596"/>
      <c r="BX77" s="596"/>
      <c r="BY77" s="596"/>
      <c r="BZ77" s="596"/>
      <c r="CA77" s="596"/>
      <c r="CB77" s="596"/>
      <c r="CC77" s="596"/>
      <c r="CD77" s="596"/>
      <c r="CE77" s="596"/>
      <c r="CF77" s="596"/>
      <c r="CG77" s="596"/>
      <c r="CH77" s="596"/>
      <c r="CI77" s="596"/>
      <c r="CJ77" s="596"/>
      <c r="CK77" s="596"/>
      <c r="CL77" s="596"/>
      <c r="CM77" s="596"/>
      <c r="CN77" s="596"/>
      <c r="CO77" s="596"/>
      <c r="CP77" s="596"/>
      <c r="CQ77" s="596"/>
      <c r="CR77" s="596"/>
      <c r="CS77" s="596"/>
      <c r="CT77" s="596"/>
      <c r="CU77" s="596"/>
      <c r="CV77" s="596"/>
      <c r="CW77" s="596"/>
      <c r="CX77" s="596"/>
      <c r="CY77" s="596"/>
      <c r="CZ77" s="596"/>
      <c r="DA77" s="596"/>
      <c r="DB77" s="596"/>
      <c r="DC77" s="596"/>
      <c r="DD77" s="596"/>
      <c r="DE77" s="596"/>
      <c r="DF77" s="596"/>
      <c r="DG77" s="596"/>
      <c r="DH77" s="596"/>
      <c r="DI77" s="596"/>
      <c r="DJ77" s="596"/>
      <c r="DK77" s="596"/>
      <c r="DL77" s="596"/>
      <c r="DM77" s="596"/>
      <c r="DN77" s="596"/>
      <c r="DO77" s="596"/>
      <c r="DP77" s="596"/>
      <c r="DQ77" s="596"/>
      <c r="DR77" s="596"/>
      <c r="DS77" s="596"/>
      <c r="DT77" s="596"/>
      <c r="DU77" s="596"/>
      <c r="DV77" s="596"/>
      <c r="DW77" s="596"/>
      <c r="DX77" s="596"/>
      <c r="DY77" s="596"/>
      <c r="DZ77" s="596"/>
      <c r="EA77" s="596"/>
    </row>
    <row r="78" spans="1:131">
      <c r="A78" s="596"/>
      <c r="B78" s="596"/>
      <c r="C78" s="596"/>
      <c r="D78" s="596"/>
      <c r="E78" s="596"/>
      <c r="F78" s="596"/>
      <c r="G78" s="596"/>
      <c r="H78" s="596"/>
      <c r="I78" s="596"/>
      <c r="J78" s="596"/>
      <c r="K78" s="638"/>
      <c r="L78" s="638"/>
      <c r="M78" s="638"/>
      <c r="N78" s="638"/>
      <c r="O78" s="638"/>
      <c r="P78" s="596"/>
      <c r="Q78" s="596"/>
      <c r="R78" s="596"/>
      <c r="S78" s="596"/>
      <c r="T78" s="596"/>
      <c r="U78" s="596"/>
      <c r="V78" s="596"/>
      <c r="W78" s="596"/>
      <c r="X78" s="596"/>
      <c r="Y78" s="596"/>
      <c r="Z78" s="596"/>
      <c r="AA78" s="596"/>
      <c r="AB78" s="596"/>
      <c r="AC78" s="596"/>
      <c r="AD78" s="596"/>
      <c r="AE78" s="596"/>
      <c r="AF78" s="596"/>
      <c r="AG78" s="596"/>
      <c r="AH78" s="596"/>
      <c r="AI78" s="596"/>
      <c r="AJ78" s="596"/>
      <c r="AK78" s="596"/>
      <c r="AL78" s="596"/>
      <c r="AM78" s="596"/>
      <c r="AN78" s="596"/>
      <c r="AO78" s="596"/>
      <c r="AP78" s="596"/>
      <c r="AQ78" s="596"/>
      <c r="AR78" s="596"/>
      <c r="AS78" s="596"/>
      <c r="AT78" s="596"/>
      <c r="AU78" s="596"/>
      <c r="AV78" s="596"/>
      <c r="AW78" s="596"/>
      <c r="AX78" s="596"/>
      <c r="AY78" s="596"/>
      <c r="AZ78" s="596"/>
      <c r="BA78" s="596"/>
      <c r="BB78" s="596"/>
      <c r="BC78" s="596"/>
      <c r="BD78" s="596"/>
      <c r="BE78" s="596"/>
      <c r="BF78" s="596"/>
      <c r="BG78" s="596"/>
      <c r="BH78" s="596"/>
      <c r="BI78" s="596"/>
      <c r="BJ78" s="596"/>
      <c r="BK78" s="596"/>
      <c r="BL78" s="596"/>
      <c r="BM78" s="596"/>
      <c r="BN78" s="596"/>
      <c r="BO78" s="596"/>
      <c r="BP78" s="596"/>
      <c r="BQ78" s="596"/>
      <c r="BR78" s="596"/>
      <c r="BS78" s="596"/>
      <c r="BT78" s="596"/>
      <c r="BU78" s="596"/>
      <c r="BV78" s="596"/>
      <c r="BW78" s="596"/>
      <c r="BX78" s="596"/>
      <c r="BY78" s="596"/>
      <c r="BZ78" s="596"/>
      <c r="CA78" s="596"/>
      <c r="CB78" s="596"/>
      <c r="CC78" s="596"/>
      <c r="CD78" s="596"/>
      <c r="CE78" s="596"/>
      <c r="CF78" s="596"/>
      <c r="CG78" s="596"/>
      <c r="CH78" s="596"/>
      <c r="CI78" s="596"/>
      <c r="CJ78" s="596"/>
      <c r="CK78" s="596"/>
      <c r="CL78" s="596"/>
      <c r="CM78" s="596"/>
      <c r="CN78" s="596"/>
      <c r="CO78" s="596"/>
      <c r="CP78" s="596"/>
      <c r="CQ78" s="596"/>
      <c r="CR78" s="596"/>
      <c r="CS78" s="596"/>
      <c r="CT78" s="596"/>
      <c r="CU78" s="596"/>
      <c r="CV78" s="596"/>
      <c r="CW78" s="596"/>
      <c r="CX78" s="596"/>
      <c r="CY78" s="596"/>
      <c r="CZ78" s="596"/>
      <c r="DA78" s="596"/>
      <c r="DB78" s="596"/>
      <c r="DC78" s="596"/>
      <c r="DD78" s="596"/>
      <c r="DE78" s="596"/>
      <c r="DF78" s="596"/>
      <c r="DG78" s="596"/>
      <c r="DH78" s="596"/>
      <c r="DI78" s="596"/>
      <c r="DJ78" s="596"/>
      <c r="DK78" s="596"/>
      <c r="DL78" s="596"/>
      <c r="DM78" s="596"/>
      <c r="DN78" s="596"/>
      <c r="DO78" s="596"/>
      <c r="DP78" s="596"/>
      <c r="DQ78" s="596"/>
      <c r="DR78" s="596"/>
      <c r="DS78" s="596"/>
      <c r="DT78" s="596"/>
      <c r="DU78" s="596"/>
      <c r="DV78" s="596"/>
      <c r="DW78" s="596"/>
      <c r="DX78" s="596"/>
      <c r="DY78" s="596"/>
      <c r="DZ78" s="596"/>
      <c r="EA78" s="596"/>
    </row>
    <row r="79" spans="1:131">
      <c r="A79" s="596"/>
      <c r="B79" s="596"/>
      <c r="C79" s="596"/>
      <c r="D79" s="596"/>
      <c r="E79" s="596"/>
      <c r="F79" s="596"/>
      <c r="G79" s="596"/>
      <c r="H79" s="596"/>
      <c r="I79" s="596"/>
      <c r="J79" s="596"/>
      <c r="K79" s="638"/>
      <c r="L79" s="638"/>
      <c r="M79" s="638"/>
      <c r="N79" s="638"/>
      <c r="O79" s="638"/>
      <c r="P79" s="596"/>
      <c r="Q79" s="596"/>
      <c r="R79" s="596"/>
      <c r="S79" s="596"/>
      <c r="T79" s="596"/>
      <c r="U79" s="596"/>
      <c r="V79" s="596"/>
      <c r="W79" s="596"/>
      <c r="X79" s="596"/>
      <c r="Y79" s="596"/>
      <c r="Z79" s="596"/>
      <c r="AA79" s="596"/>
      <c r="AB79" s="596"/>
      <c r="AC79" s="596"/>
      <c r="AD79" s="596"/>
      <c r="AE79" s="596"/>
      <c r="AF79" s="596"/>
      <c r="AG79" s="596"/>
      <c r="AH79" s="596"/>
      <c r="AI79" s="596"/>
      <c r="AJ79" s="596"/>
      <c r="AK79" s="596"/>
      <c r="AL79" s="596"/>
      <c r="AM79" s="596"/>
      <c r="AN79" s="596"/>
      <c r="AO79" s="596"/>
      <c r="AP79" s="596"/>
      <c r="AQ79" s="596"/>
      <c r="AR79" s="596"/>
      <c r="AS79" s="596"/>
      <c r="AT79" s="596"/>
      <c r="AU79" s="596"/>
      <c r="AV79" s="596"/>
      <c r="AW79" s="596"/>
      <c r="AX79" s="596"/>
      <c r="AY79" s="596"/>
      <c r="AZ79" s="596"/>
      <c r="BA79" s="596"/>
      <c r="BB79" s="596"/>
      <c r="BC79" s="596"/>
      <c r="BD79" s="596"/>
      <c r="BE79" s="596"/>
      <c r="BF79" s="596"/>
      <c r="BG79" s="596"/>
      <c r="BH79" s="596"/>
      <c r="BI79" s="596"/>
      <c r="BJ79" s="596"/>
      <c r="BK79" s="596"/>
      <c r="BL79" s="596"/>
      <c r="BM79" s="596"/>
      <c r="BN79" s="596"/>
      <c r="BO79" s="596"/>
      <c r="BP79" s="596"/>
      <c r="BQ79" s="596"/>
      <c r="BR79" s="596"/>
      <c r="BS79" s="596"/>
      <c r="BT79" s="596"/>
      <c r="BU79" s="596"/>
      <c r="BV79" s="596"/>
      <c r="BW79" s="596"/>
      <c r="BX79" s="596"/>
      <c r="BY79" s="596"/>
      <c r="BZ79" s="596"/>
      <c r="CA79" s="596"/>
      <c r="CB79" s="596"/>
      <c r="CC79" s="596"/>
      <c r="CD79" s="596"/>
      <c r="CE79" s="596"/>
      <c r="CF79" s="596"/>
      <c r="CG79" s="596"/>
      <c r="CH79" s="596"/>
      <c r="CI79" s="596"/>
      <c r="CJ79" s="596"/>
      <c r="CK79" s="596"/>
      <c r="CL79" s="596"/>
      <c r="CM79" s="596"/>
      <c r="CN79" s="596"/>
      <c r="CO79" s="596"/>
      <c r="CP79" s="596"/>
      <c r="CQ79" s="596"/>
      <c r="CR79" s="596"/>
      <c r="CS79" s="596"/>
      <c r="CT79" s="596"/>
      <c r="CU79" s="596"/>
      <c r="CV79" s="596"/>
      <c r="CW79" s="596"/>
      <c r="CX79" s="596"/>
      <c r="CY79" s="596"/>
      <c r="CZ79" s="596"/>
      <c r="DA79" s="596"/>
      <c r="DB79" s="596"/>
      <c r="DC79" s="596"/>
      <c r="DD79" s="596"/>
      <c r="DE79" s="596"/>
      <c r="DF79" s="596"/>
      <c r="DG79" s="596"/>
      <c r="DH79" s="596"/>
      <c r="DI79" s="596"/>
      <c r="DJ79" s="596"/>
      <c r="DK79" s="596"/>
      <c r="DL79" s="596"/>
      <c r="DM79" s="596"/>
      <c r="DN79" s="596"/>
      <c r="DO79" s="596"/>
      <c r="DP79" s="596"/>
      <c r="DQ79" s="596"/>
      <c r="DR79" s="596"/>
      <c r="DS79" s="596"/>
      <c r="DT79" s="596"/>
      <c r="DU79" s="596"/>
      <c r="DV79" s="596"/>
      <c r="DW79" s="596"/>
      <c r="DX79" s="596"/>
      <c r="DY79" s="596"/>
      <c r="DZ79" s="596"/>
      <c r="EA79" s="596"/>
    </row>
    <row r="80" spans="1:131">
      <c r="A80" s="596"/>
      <c r="B80" s="596"/>
      <c r="C80" s="596"/>
      <c r="D80" s="596"/>
      <c r="E80" s="596"/>
      <c r="F80" s="596"/>
      <c r="G80" s="596"/>
      <c r="H80" s="596"/>
      <c r="I80" s="596"/>
      <c r="J80" s="596"/>
      <c r="K80" s="638"/>
      <c r="L80" s="638"/>
      <c r="M80" s="638"/>
      <c r="N80" s="638"/>
      <c r="O80" s="638"/>
      <c r="P80" s="596"/>
      <c r="Q80" s="596"/>
      <c r="R80" s="596"/>
      <c r="S80" s="596"/>
      <c r="T80" s="596"/>
      <c r="U80" s="596"/>
      <c r="V80" s="596"/>
      <c r="W80" s="596"/>
      <c r="X80" s="596"/>
      <c r="Y80" s="596"/>
      <c r="Z80" s="596"/>
      <c r="AA80" s="596"/>
      <c r="AB80" s="596"/>
      <c r="AC80" s="596"/>
      <c r="AD80" s="596"/>
      <c r="AE80" s="596"/>
      <c r="AF80" s="596"/>
      <c r="AG80" s="596"/>
      <c r="AH80" s="596"/>
      <c r="AI80" s="596"/>
      <c r="AJ80" s="596"/>
      <c r="AK80" s="596"/>
      <c r="AL80" s="596"/>
      <c r="AM80" s="596"/>
      <c r="AN80" s="596"/>
      <c r="AO80" s="596"/>
      <c r="AP80" s="596"/>
      <c r="AQ80" s="596"/>
      <c r="AR80" s="596"/>
      <c r="AS80" s="596"/>
      <c r="AT80" s="596"/>
      <c r="AU80" s="596"/>
      <c r="AV80" s="596"/>
      <c r="AW80" s="596"/>
      <c r="AX80" s="596"/>
      <c r="AY80" s="596"/>
      <c r="AZ80" s="596"/>
      <c r="BA80" s="596"/>
      <c r="BB80" s="596"/>
      <c r="BC80" s="596"/>
      <c r="BD80" s="596"/>
      <c r="BE80" s="596"/>
      <c r="BF80" s="596"/>
      <c r="BG80" s="596"/>
      <c r="BH80" s="596"/>
      <c r="BI80" s="596"/>
      <c r="BJ80" s="596"/>
      <c r="BK80" s="596"/>
      <c r="BL80" s="596"/>
      <c r="BM80" s="596"/>
      <c r="BN80" s="596"/>
      <c r="BO80" s="596"/>
      <c r="BP80" s="596"/>
      <c r="BQ80" s="596"/>
      <c r="BR80" s="596"/>
      <c r="BS80" s="596"/>
      <c r="BT80" s="596"/>
      <c r="BU80" s="596"/>
      <c r="BV80" s="596"/>
      <c r="BW80" s="596"/>
      <c r="BX80" s="596"/>
      <c r="BY80" s="596"/>
      <c r="BZ80" s="596"/>
      <c r="CA80" s="596"/>
      <c r="CB80" s="596"/>
      <c r="CC80" s="596"/>
      <c r="CD80" s="596"/>
      <c r="CE80" s="596"/>
      <c r="CF80" s="596"/>
      <c r="CG80" s="596"/>
      <c r="CH80" s="596"/>
      <c r="CI80" s="596"/>
      <c r="CJ80" s="596"/>
      <c r="CK80" s="596"/>
      <c r="CL80" s="596"/>
      <c r="CM80" s="596"/>
      <c r="CN80" s="596"/>
      <c r="CO80" s="596"/>
      <c r="CP80" s="596"/>
      <c r="CQ80" s="596"/>
      <c r="CR80" s="596"/>
      <c r="CS80" s="596"/>
      <c r="CT80" s="596"/>
      <c r="CU80" s="596"/>
      <c r="CV80" s="596"/>
      <c r="CW80" s="596"/>
      <c r="CX80" s="596"/>
      <c r="CY80" s="596"/>
      <c r="CZ80" s="596"/>
      <c r="DA80" s="596"/>
      <c r="DB80" s="596"/>
      <c r="DC80" s="596"/>
      <c r="DD80" s="596"/>
      <c r="DE80" s="596"/>
      <c r="DF80" s="596"/>
      <c r="DG80" s="596"/>
      <c r="DH80" s="596"/>
      <c r="DI80" s="596"/>
      <c r="DJ80" s="596"/>
      <c r="DK80" s="596"/>
      <c r="DL80" s="596"/>
      <c r="DM80" s="596"/>
      <c r="DN80" s="596"/>
      <c r="DO80" s="596"/>
      <c r="DP80" s="596"/>
      <c r="DQ80" s="596"/>
      <c r="DR80" s="596"/>
      <c r="DS80" s="596"/>
      <c r="DT80" s="596"/>
      <c r="DU80" s="596"/>
      <c r="DV80" s="596"/>
      <c r="DW80" s="596"/>
      <c r="DX80" s="596"/>
      <c r="DY80" s="596"/>
      <c r="DZ80" s="596"/>
      <c r="EA80" s="596"/>
    </row>
    <row r="81" spans="1:131">
      <c r="A81" s="596"/>
      <c r="B81" s="596"/>
      <c r="C81" s="596"/>
      <c r="D81" s="596"/>
      <c r="E81" s="596"/>
      <c r="F81" s="596"/>
      <c r="G81" s="596"/>
      <c r="H81" s="596"/>
      <c r="I81" s="596"/>
      <c r="J81" s="596"/>
      <c r="K81" s="638"/>
      <c r="L81" s="638"/>
      <c r="M81" s="638"/>
      <c r="N81" s="638"/>
      <c r="O81" s="638"/>
      <c r="P81" s="596"/>
      <c r="Q81" s="596"/>
      <c r="R81" s="596"/>
      <c r="S81" s="596"/>
      <c r="T81" s="596"/>
      <c r="U81" s="596"/>
      <c r="V81" s="596"/>
      <c r="W81" s="596"/>
      <c r="X81" s="596"/>
      <c r="Y81" s="596"/>
      <c r="Z81" s="596"/>
      <c r="AA81" s="596"/>
      <c r="AB81" s="596"/>
      <c r="AC81" s="596"/>
      <c r="AD81" s="596"/>
      <c r="AE81" s="596"/>
      <c r="AF81" s="596"/>
      <c r="AG81" s="596"/>
      <c r="AH81" s="596"/>
      <c r="AI81" s="596"/>
      <c r="AJ81" s="596"/>
      <c r="AK81" s="596"/>
      <c r="AL81" s="596"/>
      <c r="AM81" s="596"/>
      <c r="AN81" s="596"/>
      <c r="AO81" s="596"/>
      <c r="AP81" s="596"/>
      <c r="AQ81" s="596"/>
      <c r="AR81" s="596"/>
      <c r="AS81" s="596"/>
      <c r="AT81" s="596"/>
      <c r="AU81" s="596"/>
      <c r="AV81" s="596"/>
      <c r="AW81" s="596"/>
      <c r="AX81" s="596"/>
      <c r="AY81" s="596"/>
      <c r="AZ81" s="596"/>
      <c r="BA81" s="596"/>
      <c r="BB81" s="596"/>
      <c r="BC81" s="596"/>
      <c r="BD81" s="596"/>
      <c r="BE81" s="596"/>
      <c r="BF81" s="596"/>
      <c r="BG81" s="596"/>
      <c r="BH81" s="596"/>
      <c r="BI81" s="596"/>
      <c r="BJ81" s="596"/>
      <c r="BK81" s="596"/>
      <c r="BL81" s="596"/>
      <c r="BM81" s="596"/>
      <c r="BN81" s="596"/>
      <c r="BO81" s="596"/>
      <c r="BP81" s="596"/>
      <c r="BQ81" s="596"/>
      <c r="BR81" s="596"/>
      <c r="BS81" s="596"/>
      <c r="BT81" s="596"/>
      <c r="BU81" s="596"/>
      <c r="BV81" s="596"/>
      <c r="BW81" s="596"/>
      <c r="BX81" s="596"/>
      <c r="BY81" s="596"/>
      <c r="BZ81" s="596"/>
      <c r="CA81" s="596"/>
      <c r="CB81" s="596"/>
      <c r="CC81" s="596"/>
      <c r="CD81" s="596"/>
      <c r="CE81" s="596"/>
      <c r="CF81" s="596"/>
      <c r="CG81" s="596"/>
      <c r="CH81" s="596"/>
      <c r="CI81" s="596"/>
      <c r="CJ81" s="596"/>
      <c r="CK81" s="596"/>
      <c r="CL81" s="596"/>
      <c r="CM81" s="596"/>
      <c r="CN81" s="596"/>
      <c r="CO81" s="596"/>
      <c r="CP81" s="596"/>
      <c r="CQ81" s="596"/>
      <c r="CR81" s="596"/>
      <c r="CS81" s="596"/>
      <c r="CT81" s="596"/>
      <c r="CU81" s="596"/>
      <c r="CV81" s="596"/>
      <c r="CW81" s="596"/>
      <c r="CX81" s="596"/>
      <c r="CY81" s="596"/>
      <c r="CZ81" s="596"/>
      <c r="DA81" s="596"/>
      <c r="DB81" s="596"/>
      <c r="DC81" s="596"/>
      <c r="DD81" s="596"/>
      <c r="DE81" s="596"/>
      <c r="DF81" s="596"/>
      <c r="DG81" s="596"/>
      <c r="DH81" s="596"/>
      <c r="DI81" s="596"/>
      <c r="DJ81" s="596"/>
      <c r="DK81" s="596"/>
      <c r="DL81" s="596"/>
      <c r="DM81" s="596"/>
      <c r="DN81" s="596"/>
      <c r="DO81" s="596"/>
      <c r="DP81" s="596"/>
      <c r="DQ81" s="596"/>
      <c r="DR81" s="596"/>
      <c r="DS81" s="596"/>
      <c r="DT81" s="596"/>
      <c r="DU81" s="596"/>
      <c r="DV81" s="596"/>
      <c r="DW81" s="596"/>
      <c r="DX81" s="596"/>
      <c r="DY81" s="596"/>
      <c r="DZ81" s="596"/>
      <c r="EA81" s="596"/>
    </row>
    <row r="82" spans="1:131">
      <c r="A82" s="596"/>
      <c r="B82" s="596"/>
      <c r="C82" s="596"/>
      <c r="D82" s="596"/>
      <c r="E82" s="596"/>
      <c r="F82" s="596"/>
      <c r="G82" s="596"/>
      <c r="H82" s="596"/>
      <c r="I82" s="596"/>
      <c r="J82" s="596"/>
      <c r="K82" s="638"/>
      <c r="L82" s="638"/>
      <c r="M82" s="638"/>
      <c r="N82" s="638"/>
      <c r="O82" s="638"/>
      <c r="P82" s="596"/>
      <c r="Q82" s="596"/>
      <c r="R82" s="596"/>
      <c r="S82" s="596"/>
      <c r="T82" s="596"/>
      <c r="U82" s="596"/>
      <c r="V82" s="596"/>
      <c r="W82" s="596"/>
      <c r="X82" s="596"/>
      <c r="Y82" s="596"/>
      <c r="Z82" s="596"/>
      <c r="AA82" s="596"/>
      <c r="AB82" s="596"/>
      <c r="AC82" s="596"/>
      <c r="AD82" s="596"/>
      <c r="AE82" s="596"/>
      <c r="AF82" s="596"/>
      <c r="AG82" s="596"/>
      <c r="AH82" s="596"/>
      <c r="AI82" s="596"/>
      <c r="AJ82" s="596"/>
      <c r="AK82" s="596"/>
      <c r="AL82" s="596"/>
      <c r="AM82" s="596"/>
      <c r="AN82" s="596"/>
      <c r="AO82" s="596"/>
      <c r="AP82" s="596"/>
      <c r="AQ82" s="596"/>
      <c r="AR82" s="596"/>
      <c r="AS82" s="596"/>
      <c r="AT82" s="596"/>
      <c r="AU82" s="596"/>
      <c r="AV82" s="596"/>
      <c r="AW82" s="596"/>
      <c r="AX82" s="596"/>
      <c r="AY82" s="596"/>
      <c r="AZ82" s="596"/>
      <c r="BA82" s="596"/>
      <c r="BB82" s="596"/>
      <c r="BC82" s="596"/>
      <c r="BD82" s="596"/>
      <c r="BE82" s="596"/>
      <c r="BF82" s="596"/>
      <c r="BG82" s="596"/>
      <c r="BH82" s="596"/>
      <c r="BI82" s="596"/>
      <c r="BJ82" s="596"/>
      <c r="BK82" s="596"/>
      <c r="BL82" s="596"/>
      <c r="BM82" s="596"/>
      <c r="BN82" s="596"/>
      <c r="BO82" s="596"/>
      <c r="BP82" s="596"/>
      <c r="BQ82" s="596"/>
      <c r="BR82" s="596"/>
      <c r="BS82" s="596"/>
      <c r="BT82" s="596"/>
      <c r="BU82" s="596"/>
      <c r="BV82" s="596"/>
      <c r="BW82" s="596"/>
      <c r="BX82" s="596"/>
      <c r="BY82" s="596"/>
      <c r="BZ82" s="596"/>
      <c r="CA82" s="596"/>
      <c r="CB82" s="596"/>
      <c r="CC82" s="596"/>
      <c r="CD82" s="596"/>
      <c r="CE82" s="596"/>
      <c r="CF82" s="596"/>
      <c r="CG82" s="596"/>
      <c r="CH82" s="596"/>
      <c r="CI82" s="596"/>
      <c r="CJ82" s="596"/>
      <c r="CK82" s="596"/>
      <c r="CL82" s="596"/>
      <c r="CM82" s="596"/>
      <c r="CN82" s="596"/>
      <c r="CO82" s="596"/>
      <c r="CP82" s="596"/>
      <c r="CQ82" s="596"/>
      <c r="CR82" s="596"/>
      <c r="CS82" s="596"/>
      <c r="CT82" s="596"/>
      <c r="CU82" s="596"/>
      <c r="CV82" s="596"/>
      <c r="CW82" s="596"/>
      <c r="CX82" s="596"/>
      <c r="CY82" s="596"/>
      <c r="CZ82" s="596"/>
      <c r="DA82" s="596"/>
      <c r="DB82" s="596"/>
      <c r="DC82" s="596"/>
      <c r="DD82" s="596"/>
      <c r="DE82" s="596"/>
      <c r="DF82" s="596"/>
      <c r="DG82" s="596"/>
      <c r="DH82" s="596"/>
      <c r="DI82" s="596"/>
      <c r="DJ82" s="596"/>
      <c r="DK82" s="596"/>
      <c r="DL82" s="596"/>
      <c r="DM82" s="596"/>
      <c r="DN82" s="596"/>
      <c r="DO82" s="596"/>
      <c r="DP82" s="596"/>
      <c r="DQ82" s="596"/>
      <c r="DR82" s="596"/>
      <c r="DS82" s="596"/>
      <c r="DT82" s="596"/>
      <c r="DU82" s="596"/>
      <c r="DV82" s="596"/>
      <c r="DW82" s="596"/>
      <c r="DX82" s="596"/>
      <c r="DY82" s="596"/>
      <c r="DZ82" s="596"/>
      <c r="EA82" s="596"/>
    </row>
    <row r="83" spans="1:131">
      <c r="A83" s="596"/>
      <c r="B83" s="596"/>
      <c r="C83" s="596"/>
      <c r="D83" s="596"/>
      <c r="E83" s="596"/>
      <c r="F83" s="596"/>
      <c r="G83" s="596"/>
      <c r="H83" s="596"/>
      <c r="I83" s="596"/>
      <c r="J83" s="596"/>
      <c r="K83" s="638"/>
      <c r="L83" s="638"/>
      <c r="M83" s="638"/>
      <c r="N83" s="638"/>
      <c r="O83" s="638"/>
      <c r="P83" s="596"/>
      <c r="Q83" s="596"/>
      <c r="R83" s="596"/>
      <c r="S83" s="596"/>
      <c r="T83" s="596"/>
      <c r="U83" s="596"/>
      <c r="V83" s="596"/>
      <c r="W83" s="596"/>
      <c r="X83" s="596"/>
      <c r="Y83" s="596"/>
      <c r="Z83" s="596"/>
      <c r="AA83" s="596"/>
      <c r="AB83" s="596"/>
      <c r="AC83" s="596"/>
      <c r="AD83" s="596"/>
      <c r="AE83" s="596"/>
      <c r="AF83" s="596"/>
      <c r="AG83" s="596"/>
      <c r="AH83" s="596"/>
      <c r="AI83" s="596"/>
      <c r="AJ83" s="596"/>
      <c r="AK83" s="596"/>
      <c r="AL83" s="596"/>
      <c r="AM83" s="596"/>
      <c r="AN83" s="596"/>
      <c r="AO83" s="596"/>
      <c r="AP83" s="596"/>
      <c r="AQ83" s="596"/>
      <c r="AR83" s="596"/>
      <c r="AS83" s="596"/>
      <c r="AT83" s="596"/>
      <c r="AU83" s="596"/>
      <c r="AV83" s="596"/>
      <c r="AW83" s="596"/>
      <c r="AX83" s="596"/>
      <c r="AY83" s="596"/>
      <c r="AZ83" s="596"/>
      <c r="BA83" s="596"/>
      <c r="BB83" s="596"/>
      <c r="BC83" s="596"/>
      <c r="BD83" s="596"/>
      <c r="BE83" s="596"/>
      <c r="BF83" s="596"/>
      <c r="BG83" s="596"/>
      <c r="BH83" s="596"/>
      <c r="BI83" s="596"/>
      <c r="BJ83" s="596"/>
      <c r="BK83" s="596"/>
      <c r="BL83" s="596"/>
      <c r="BM83" s="596"/>
      <c r="BN83" s="596"/>
      <c r="BO83" s="596"/>
      <c r="BP83" s="596"/>
      <c r="BQ83" s="596"/>
      <c r="BR83" s="596"/>
      <c r="BS83" s="596"/>
      <c r="BT83" s="596"/>
      <c r="BU83" s="596"/>
      <c r="BV83" s="596"/>
      <c r="BW83" s="596"/>
      <c r="BX83" s="596"/>
      <c r="BY83" s="596"/>
      <c r="BZ83" s="596"/>
      <c r="CA83" s="596"/>
      <c r="CB83" s="596"/>
      <c r="CC83" s="596"/>
      <c r="CD83" s="596"/>
      <c r="CE83" s="596"/>
      <c r="CF83" s="596"/>
      <c r="CG83" s="596"/>
      <c r="CH83" s="596"/>
      <c r="CI83" s="596"/>
      <c r="CJ83" s="596"/>
      <c r="CK83" s="596"/>
      <c r="CL83" s="596"/>
      <c r="CM83" s="596"/>
      <c r="CN83" s="596"/>
      <c r="CO83" s="596"/>
      <c r="CP83" s="596"/>
      <c r="CQ83" s="596"/>
      <c r="CR83" s="596"/>
      <c r="CS83" s="596"/>
      <c r="CT83" s="596"/>
      <c r="CU83" s="596"/>
      <c r="CV83" s="596"/>
      <c r="CW83" s="596"/>
      <c r="CX83" s="596"/>
      <c r="CY83" s="596"/>
      <c r="CZ83" s="596"/>
      <c r="DA83" s="596"/>
      <c r="DB83" s="596"/>
      <c r="DC83" s="596"/>
      <c r="DD83" s="596"/>
      <c r="DE83" s="596"/>
      <c r="DF83" s="596"/>
      <c r="DG83" s="596"/>
      <c r="DH83" s="596"/>
      <c r="DI83" s="596"/>
      <c r="DJ83" s="596"/>
      <c r="DK83" s="596"/>
      <c r="DL83" s="596"/>
      <c r="DM83" s="596"/>
      <c r="DN83" s="596"/>
      <c r="DO83" s="596"/>
      <c r="DP83" s="596"/>
      <c r="DQ83" s="596"/>
      <c r="DR83" s="596"/>
      <c r="DS83" s="596"/>
      <c r="DT83" s="596"/>
      <c r="DU83" s="596"/>
      <c r="DV83" s="596"/>
      <c r="DW83" s="596"/>
      <c r="DX83" s="596"/>
      <c r="DY83" s="596"/>
      <c r="DZ83" s="596"/>
      <c r="EA83" s="596"/>
    </row>
    <row r="84" spans="1:131">
      <c r="A84" s="596"/>
      <c r="B84" s="596"/>
      <c r="C84" s="596"/>
      <c r="D84" s="596"/>
      <c r="E84" s="596"/>
      <c r="F84" s="596"/>
      <c r="G84" s="596"/>
      <c r="H84" s="596"/>
      <c r="I84" s="596"/>
      <c r="J84" s="596"/>
      <c r="K84" s="638"/>
      <c r="L84" s="638"/>
      <c r="M84" s="638"/>
      <c r="N84" s="638"/>
      <c r="O84" s="638"/>
      <c r="P84" s="596"/>
      <c r="Q84" s="596"/>
      <c r="R84" s="596"/>
      <c r="S84" s="596"/>
      <c r="T84" s="596"/>
      <c r="U84" s="596"/>
      <c r="V84" s="596"/>
      <c r="W84" s="596"/>
      <c r="X84" s="596"/>
      <c r="Y84" s="596"/>
      <c r="Z84" s="596"/>
      <c r="AA84" s="596"/>
      <c r="AB84" s="596"/>
      <c r="AC84" s="596"/>
      <c r="AD84" s="596"/>
      <c r="AE84" s="596"/>
      <c r="AF84" s="596"/>
      <c r="AG84" s="596"/>
      <c r="AH84" s="596"/>
      <c r="AI84" s="596"/>
      <c r="AJ84" s="596"/>
      <c r="AK84" s="596"/>
      <c r="AL84" s="596"/>
      <c r="AM84" s="596"/>
      <c r="AN84" s="596"/>
      <c r="AO84" s="596"/>
      <c r="AP84" s="596"/>
      <c r="AQ84" s="596"/>
      <c r="AR84" s="596"/>
      <c r="AS84" s="596"/>
      <c r="AT84" s="596"/>
      <c r="AU84" s="596"/>
      <c r="AV84" s="596"/>
      <c r="AW84" s="596"/>
      <c r="AX84" s="596"/>
      <c r="AY84" s="596"/>
      <c r="AZ84" s="596"/>
      <c r="BA84" s="596"/>
      <c r="BB84" s="596"/>
      <c r="BC84" s="596"/>
      <c r="BD84" s="596"/>
      <c r="BE84" s="596"/>
      <c r="BF84" s="596"/>
      <c r="BG84" s="596"/>
      <c r="BH84" s="596"/>
      <c r="BI84" s="596"/>
      <c r="BJ84" s="596"/>
      <c r="BK84" s="596"/>
      <c r="BL84" s="596"/>
      <c r="BM84" s="596"/>
      <c r="BN84" s="596"/>
      <c r="BO84" s="596"/>
      <c r="BP84" s="596"/>
      <c r="BQ84" s="596"/>
      <c r="BR84" s="596"/>
      <c r="BS84" s="596"/>
      <c r="BT84" s="596"/>
      <c r="BU84" s="596"/>
      <c r="BV84" s="596"/>
      <c r="BW84" s="596"/>
      <c r="BX84" s="596"/>
      <c r="BY84" s="596"/>
      <c r="BZ84" s="596"/>
      <c r="CA84" s="596"/>
      <c r="CB84" s="596"/>
      <c r="CC84" s="596"/>
      <c r="CD84" s="596"/>
      <c r="CE84" s="596"/>
      <c r="CF84" s="596"/>
      <c r="CG84" s="596"/>
      <c r="CH84" s="596"/>
      <c r="CI84" s="596"/>
      <c r="CJ84" s="596"/>
      <c r="CK84" s="596"/>
      <c r="CL84" s="596"/>
      <c r="CM84" s="596"/>
      <c r="CN84" s="596"/>
      <c r="CO84" s="596"/>
      <c r="CP84" s="596"/>
      <c r="CQ84" s="596"/>
      <c r="CR84" s="596"/>
      <c r="CS84" s="596"/>
      <c r="CT84" s="596"/>
      <c r="CU84" s="596"/>
      <c r="CV84" s="596"/>
      <c r="CW84" s="596"/>
      <c r="CX84" s="596"/>
      <c r="CY84" s="596"/>
      <c r="CZ84" s="596"/>
      <c r="DA84" s="596"/>
      <c r="DB84" s="596"/>
      <c r="DC84" s="596"/>
      <c r="DD84" s="596"/>
      <c r="DE84" s="596"/>
      <c r="DF84" s="596"/>
      <c r="DG84" s="596"/>
      <c r="DH84" s="596"/>
      <c r="DI84" s="596"/>
      <c r="DJ84" s="596"/>
      <c r="DK84" s="596"/>
      <c r="DL84" s="596"/>
      <c r="DM84" s="596"/>
      <c r="DN84" s="596"/>
      <c r="DO84" s="596"/>
      <c r="DP84" s="596"/>
      <c r="DQ84" s="596"/>
      <c r="DR84" s="596"/>
      <c r="DS84" s="596"/>
      <c r="DT84" s="596"/>
      <c r="DU84" s="596"/>
      <c r="DV84" s="596"/>
      <c r="DW84" s="596"/>
      <c r="DX84" s="596"/>
      <c r="DY84" s="596"/>
      <c r="DZ84" s="596"/>
      <c r="EA84" s="596"/>
    </row>
    <row r="85" spans="1:131">
      <c r="A85" s="596"/>
      <c r="B85" s="596"/>
      <c r="C85" s="596"/>
      <c r="D85" s="596"/>
      <c r="E85" s="596"/>
      <c r="F85" s="596"/>
      <c r="G85" s="596"/>
      <c r="H85" s="596"/>
      <c r="I85" s="596"/>
      <c r="J85" s="596"/>
      <c r="K85" s="638"/>
      <c r="L85" s="638"/>
      <c r="M85" s="638"/>
      <c r="N85" s="638"/>
      <c r="O85" s="638"/>
      <c r="P85" s="596"/>
      <c r="Q85" s="596"/>
      <c r="R85" s="596"/>
      <c r="S85" s="596"/>
      <c r="T85" s="596"/>
      <c r="U85" s="596"/>
      <c r="V85" s="596"/>
      <c r="W85" s="596"/>
      <c r="X85" s="596"/>
      <c r="Y85" s="596"/>
      <c r="Z85" s="596"/>
      <c r="AA85" s="596"/>
      <c r="AB85" s="596"/>
      <c r="AC85" s="596"/>
      <c r="AD85" s="596"/>
      <c r="AE85" s="596"/>
      <c r="AF85" s="596"/>
      <c r="AG85" s="596"/>
      <c r="AH85" s="596"/>
      <c r="AI85" s="596"/>
      <c r="AJ85" s="596"/>
      <c r="AK85" s="596"/>
      <c r="AL85" s="596"/>
      <c r="AM85" s="596"/>
      <c r="AN85" s="596"/>
      <c r="AO85" s="596"/>
      <c r="AP85" s="596"/>
      <c r="AQ85" s="596"/>
      <c r="AR85" s="596"/>
      <c r="AS85" s="596"/>
      <c r="AT85" s="596"/>
      <c r="AU85" s="596"/>
      <c r="AV85" s="596"/>
      <c r="AW85" s="596"/>
      <c r="AX85" s="596"/>
      <c r="AY85" s="596"/>
      <c r="AZ85" s="596"/>
      <c r="BA85" s="596"/>
      <c r="BB85" s="596"/>
      <c r="BC85" s="596"/>
      <c r="BD85" s="596"/>
      <c r="BE85" s="596"/>
      <c r="BF85" s="596"/>
      <c r="BG85" s="596"/>
      <c r="BH85" s="596"/>
      <c r="BI85" s="596"/>
      <c r="BJ85" s="596"/>
      <c r="BK85" s="596"/>
      <c r="BL85" s="596"/>
      <c r="BM85" s="596"/>
      <c r="BN85" s="596"/>
      <c r="BO85" s="596"/>
      <c r="BP85" s="596"/>
      <c r="BQ85" s="596"/>
      <c r="BR85" s="596"/>
      <c r="BS85" s="596"/>
      <c r="BT85" s="596"/>
      <c r="BU85" s="596"/>
      <c r="BV85" s="596"/>
      <c r="BW85" s="596"/>
      <c r="BX85" s="596"/>
      <c r="BY85" s="596"/>
      <c r="BZ85" s="596"/>
      <c r="CA85" s="596"/>
      <c r="CB85" s="596"/>
      <c r="CC85" s="596"/>
      <c r="CD85" s="596"/>
      <c r="CE85" s="596"/>
      <c r="CF85" s="596"/>
      <c r="CG85" s="596"/>
      <c r="CH85" s="596"/>
      <c r="CI85" s="596"/>
      <c r="CJ85" s="596"/>
      <c r="CK85" s="596"/>
      <c r="CL85" s="596"/>
      <c r="CM85" s="596"/>
      <c r="CN85" s="596"/>
      <c r="CO85" s="596"/>
      <c r="CP85" s="596"/>
      <c r="CQ85" s="596"/>
      <c r="CR85" s="596"/>
      <c r="CS85" s="596"/>
      <c r="CT85" s="596"/>
      <c r="CU85" s="596"/>
      <c r="CV85" s="596"/>
      <c r="CW85" s="596"/>
      <c r="CX85" s="596"/>
      <c r="CY85" s="596"/>
      <c r="CZ85" s="596"/>
      <c r="DA85" s="596"/>
      <c r="DB85" s="596"/>
      <c r="DC85" s="596"/>
      <c r="DD85" s="596"/>
      <c r="DE85" s="596"/>
      <c r="DF85" s="596"/>
      <c r="DG85" s="596"/>
      <c r="DH85" s="596"/>
      <c r="DI85" s="596"/>
      <c r="DJ85" s="596"/>
      <c r="DK85" s="596"/>
      <c r="DL85" s="596"/>
      <c r="DM85" s="596"/>
      <c r="DN85" s="596"/>
      <c r="DO85" s="596"/>
      <c r="DP85" s="596"/>
      <c r="DQ85" s="596"/>
      <c r="DR85" s="596"/>
      <c r="DS85" s="596"/>
      <c r="DT85" s="596"/>
      <c r="DU85" s="596"/>
      <c r="DV85" s="596"/>
      <c r="DW85" s="596"/>
      <c r="DX85" s="596"/>
      <c r="DY85" s="596"/>
      <c r="DZ85" s="596"/>
      <c r="EA85" s="596"/>
    </row>
    <row r="86" spans="1:131">
      <c r="A86" s="596"/>
      <c r="B86" s="596"/>
      <c r="C86" s="596"/>
      <c r="D86" s="596"/>
      <c r="E86" s="596"/>
      <c r="F86" s="596"/>
      <c r="G86" s="596"/>
      <c r="H86" s="596"/>
      <c r="I86" s="596"/>
      <c r="J86" s="596"/>
      <c r="K86" s="638"/>
      <c r="L86" s="638"/>
      <c r="M86" s="638"/>
      <c r="N86" s="638"/>
      <c r="O86" s="638"/>
      <c r="P86" s="596"/>
      <c r="Q86" s="596"/>
      <c r="R86" s="596"/>
      <c r="S86" s="596"/>
      <c r="T86" s="596"/>
      <c r="U86" s="596"/>
      <c r="V86" s="596"/>
      <c r="W86" s="596"/>
      <c r="X86" s="596"/>
      <c r="Y86" s="596"/>
      <c r="Z86" s="596"/>
      <c r="AA86" s="596"/>
      <c r="AB86" s="596"/>
      <c r="AC86" s="596"/>
      <c r="AD86" s="596"/>
      <c r="AE86" s="596"/>
      <c r="AF86" s="596"/>
      <c r="AG86" s="596"/>
      <c r="AH86" s="596"/>
      <c r="AI86" s="596"/>
      <c r="AJ86" s="596"/>
      <c r="AK86" s="596"/>
      <c r="AL86" s="596"/>
      <c r="AM86" s="596"/>
      <c r="AN86" s="596"/>
      <c r="AO86" s="596"/>
      <c r="AP86" s="596"/>
      <c r="AQ86" s="596"/>
      <c r="AR86" s="596"/>
      <c r="AS86" s="596"/>
      <c r="AT86" s="596"/>
      <c r="AU86" s="596"/>
      <c r="AV86" s="596"/>
      <c r="AW86" s="596"/>
      <c r="AX86" s="596"/>
      <c r="AY86" s="596"/>
      <c r="AZ86" s="596"/>
      <c r="BA86" s="596"/>
      <c r="BB86" s="596"/>
      <c r="BC86" s="596"/>
      <c r="BD86" s="596"/>
      <c r="BE86" s="596"/>
      <c r="BF86" s="596"/>
      <c r="BG86" s="596"/>
      <c r="BH86" s="596"/>
      <c r="BI86" s="596"/>
      <c r="BJ86" s="596"/>
      <c r="BK86" s="596"/>
      <c r="BL86" s="596"/>
      <c r="BM86" s="596"/>
      <c r="BN86" s="596"/>
      <c r="BO86" s="596"/>
      <c r="BP86" s="596"/>
      <c r="BQ86" s="596"/>
      <c r="BR86" s="596"/>
      <c r="BS86" s="596"/>
      <c r="BT86" s="596"/>
      <c r="BU86" s="596"/>
      <c r="BV86" s="596"/>
      <c r="BW86" s="596"/>
      <c r="BX86" s="596"/>
      <c r="BY86" s="596"/>
      <c r="BZ86" s="596"/>
      <c r="CA86" s="596"/>
      <c r="CB86" s="596"/>
      <c r="CC86" s="596"/>
      <c r="CD86" s="596"/>
      <c r="CE86" s="596"/>
      <c r="CF86" s="596"/>
      <c r="CG86" s="596"/>
      <c r="CH86" s="596"/>
      <c r="CI86" s="596"/>
      <c r="CJ86" s="596"/>
      <c r="CK86" s="596"/>
      <c r="CL86" s="596"/>
      <c r="CM86" s="596"/>
      <c r="CN86" s="596"/>
      <c r="CO86" s="596"/>
      <c r="CP86" s="596"/>
      <c r="CQ86" s="596"/>
      <c r="CR86" s="596"/>
      <c r="CS86" s="596"/>
      <c r="CT86" s="596"/>
      <c r="CU86" s="596"/>
      <c r="CV86" s="596"/>
      <c r="CW86" s="596"/>
      <c r="CX86" s="596"/>
      <c r="CY86" s="596"/>
      <c r="CZ86" s="596"/>
      <c r="DA86" s="596"/>
      <c r="DB86" s="596"/>
      <c r="DC86" s="596"/>
      <c r="DD86" s="596"/>
      <c r="DE86" s="596"/>
      <c r="DF86" s="596"/>
      <c r="DG86" s="596"/>
      <c r="DH86" s="596"/>
      <c r="DI86" s="596"/>
      <c r="DJ86" s="596"/>
      <c r="DK86" s="596"/>
      <c r="DL86" s="596"/>
      <c r="DM86" s="596"/>
      <c r="DN86" s="596"/>
      <c r="DO86" s="596"/>
      <c r="DP86" s="596"/>
      <c r="DQ86" s="596"/>
      <c r="DR86" s="596"/>
      <c r="DS86" s="596"/>
      <c r="DT86" s="596"/>
      <c r="DU86" s="596"/>
      <c r="DV86" s="596"/>
      <c r="DW86" s="596"/>
      <c r="DX86" s="596"/>
      <c r="DY86" s="596"/>
      <c r="DZ86" s="596"/>
      <c r="EA86" s="596"/>
    </row>
    <row r="87" spans="1:131">
      <c r="A87" s="596"/>
      <c r="B87" s="596"/>
      <c r="C87" s="596"/>
      <c r="D87" s="596"/>
      <c r="E87" s="596"/>
      <c r="F87" s="596"/>
      <c r="G87" s="596"/>
      <c r="H87" s="596"/>
      <c r="I87" s="596"/>
      <c r="J87" s="596"/>
      <c r="K87" s="638"/>
      <c r="L87" s="638"/>
      <c r="M87" s="638"/>
      <c r="N87" s="638"/>
      <c r="O87" s="638"/>
      <c r="P87" s="596"/>
      <c r="Q87" s="596"/>
      <c r="R87" s="596"/>
      <c r="S87" s="596"/>
      <c r="T87" s="596"/>
      <c r="U87" s="596"/>
      <c r="V87" s="596"/>
      <c r="W87" s="596"/>
      <c r="X87" s="596"/>
      <c r="Y87" s="596"/>
      <c r="Z87" s="596"/>
      <c r="AA87" s="596"/>
      <c r="AB87" s="596"/>
      <c r="AC87" s="596"/>
      <c r="AD87" s="596"/>
      <c r="AE87" s="596"/>
      <c r="AF87" s="596"/>
      <c r="AG87" s="596"/>
      <c r="AH87" s="596"/>
      <c r="AI87" s="596"/>
      <c r="AJ87" s="596"/>
      <c r="AK87" s="596"/>
      <c r="AL87" s="596"/>
      <c r="AM87" s="596"/>
      <c r="AN87" s="596"/>
      <c r="AO87" s="596"/>
      <c r="AP87" s="596"/>
      <c r="AQ87" s="596"/>
      <c r="AR87" s="596"/>
      <c r="AS87" s="596"/>
      <c r="AT87" s="596"/>
      <c r="AU87" s="596"/>
      <c r="AV87" s="596"/>
      <c r="AW87" s="596"/>
      <c r="AX87" s="596"/>
      <c r="AY87" s="596"/>
      <c r="AZ87" s="596"/>
      <c r="BA87" s="596"/>
      <c r="BB87" s="596"/>
      <c r="BC87" s="596"/>
      <c r="BD87" s="596"/>
      <c r="BE87" s="596"/>
      <c r="BF87" s="596"/>
      <c r="BG87" s="596"/>
      <c r="BH87" s="596"/>
      <c r="BI87" s="596"/>
      <c r="BJ87" s="596"/>
      <c r="BK87" s="596"/>
      <c r="BL87" s="596"/>
      <c r="BM87" s="596"/>
      <c r="BN87" s="596"/>
      <c r="BO87" s="596"/>
      <c r="BP87" s="596"/>
      <c r="BQ87" s="596"/>
      <c r="BR87" s="596"/>
      <c r="BS87" s="596"/>
      <c r="BT87" s="596"/>
      <c r="BU87" s="596"/>
      <c r="BV87" s="596"/>
      <c r="BW87" s="596"/>
      <c r="BX87" s="596"/>
      <c r="BY87" s="596"/>
      <c r="BZ87" s="596"/>
      <c r="CA87" s="596"/>
      <c r="CB87" s="596"/>
      <c r="CC87" s="596"/>
      <c r="CD87" s="596"/>
      <c r="CE87" s="596"/>
      <c r="CF87" s="596"/>
      <c r="CG87" s="596"/>
      <c r="CH87" s="596"/>
      <c r="CI87" s="596"/>
      <c r="CJ87" s="596"/>
      <c r="CK87" s="596"/>
      <c r="CL87" s="596"/>
      <c r="CM87" s="596"/>
      <c r="CN87" s="596"/>
      <c r="CO87" s="596"/>
      <c r="CP87" s="596"/>
      <c r="CQ87" s="596"/>
      <c r="CR87" s="596"/>
      <c r="CS87" s="596"/>
      <c r="CT87" s="596"/>
      <c r="CU87" s="596"/>
      <c r="CV87" s="596"/>
      <c r="CW87" s="596"/>
      <c r="CX87" s="596"/>
      <c r="CY87" s="596"/>
      <c r="CZ87" s="596"/>
      <c r="DA87" s="596"/>
      <c r="DB87" s="596"/>
      <c r="DC87" s="596"/>
      <c r="DD87" s="596"/>
      <c r="DE87" s="596"/>
      <c r="DF87" s="596"/>
      <c r="DG87" s="596"/>
      <c r="DH87" s="596"/>
      <c r="DI87" s="596"/>
      <c r="DJ87" s="596"/>
      <c r="DK87" s="596"/>
      <c r="DL87" s="596"/>
      <c r="DM87" s="596"/>
      <c r="DN87" s="596"/>
      <c r="DO87" s="596"/>
      <c r="DP87" s="596"/>
      <c r="DQ87" s="596"/>
      <c r="DR87" s="596"/>
      <c r="DS87" s="596"/>
      <c r="DT87" s="596"/>
      <c r="DU87" s="596"/>
      <c r="DV87" s="596"/>
      <c r="DW87" s="596"/>
      <c r="DX87" s="596"/>
      <c r="DY87" s="596"/>
      <c r="DZ87" s="596"/>
      <c r="EA87" s="596"/>
    </row>
    <row r="88" spans="1:131">
      <c r="A88" s="596"/>
      <c r="B88" s="596"/>
      <c r="C88" s="596"/>
      <c r="D88" s="596"/>
      <c r="E88" s="596"/>
      <c r="F88" s="596"/>
      <c r="G88" s="596"/>
      <c r="H88" s="596"/>
      <c r="I88" s="596"/>
      <c r="J88" s="596"/>
      <c r="K88" s="638"/>
      <c r="L88" s="638"/>
      <c r="M88" s="638"/>
      <c r="N88" s="638"/>
      <c r="O88" s="638"/>
      <c r="P88" s="596"/>
      <c r="Q88" s="596"/>
      <c r="R88" s="596"/>
      <c r="S88" s="596"/>
      <c r="T88" s="596"/>
      <c r="U88" s="596"/>
      <c r="V88" s="596"/>
      <c r="W88" s="596"/>
      <c r="X88" s="596"/>
      <c r="Y88" s="596"/>
      <c r="Z88" s="596"/>
      <c r="AA88" s="596"/>
      <c r="AB88" s="596"/>
      <c r="AC88" s="596"/>
      <c r="AD88" s="596"/>
      <c r="AE88" s="596"/>
      <c r="AF88" s="596"/>
      <c r="AG88" s="596"/>
      <c r="AH88" s="596"/>
      <c r="AI88" s="596"/>
      <c r="AJ88" s="596"/>
      <c r="AK88" s="596"/>
      <c r="AL88" s="596"/>
      <c r="AM88" s="596"/>
      <c r="AN88" s="596"/>
      <c r="AO88" s="596"/>
      <c r="AP88" s="596"/>
      <c r="AQ88" s="596"/>
      <c r="AR88" s="596"/>
      <c r="AS88" s="596"/>
      <c r="AT88" s="596"/>
      <c r="AU88" s="596"/>
      <c r="AV88" s="596"/>
      <c r="AW88" s="596"/>
      <c r="AX88" s="596"/>
      <c r="AY88" s="596"/>
      <c r="AZ88" s="596"/>
      <c r="BA88" s="596"/>
      <c r="BB88" s="596"/>
      <c r="BC88" s="596"/>
      <c r="BD88" s="596"/>
      <c r="BE88" s="596"/>
      <c r="BF88" s="596"/>
      <c r="BG88" s="596"/>
      <c r="BH88" s="596"/>
      <c r="BI88" s="596"/>
      <c r="BJ88" s="596"/>
      <c r="BK88" s="596"/>
      <c r="BL88" s="596"/>
      <c r="BM88" s="596"/>
      <c r="BN88" s="596"/>
      <c r="BO88" s="596"/>
      <c r="BP88" s="596"/>
      <c r="BQ88" s="596"/>
      <c r="BR88" s="596"/>
      <c r="BS88" s="596"/>
      <c r="BT88" s="596"/>
      <c r="BU88" s="596"/>
      <c r="BV88" s="596"/>
      <c r="BW88" s="596"/>
      <c r="BX88" s="596"/>
      <c r="BY88" s="596"/>
      <c r="BZ88" s="596"/>
      <c r="CA88" s="596"/>
      <c r="CB88" s="596"/>
      <c r="CC88" s="596"/>
      <c r="CD88" s="596"/>
      <c r="CE88" s="596"/>
      <c r="CF88" s="596"/>
      <c r="CG88" s="596"/>
      <c r="CH88" s="596"/>
      <c r="CI88" s="596"/>
      <c r="CJ88" s="596"/>
      <c r="CK88" s="596"/>
      <c r="CL88" s="596"/>
      <c r="CM88" s="596"/>
      <c r="CN88" s="596"/>
      <c r="CO88" s="596"/>
      <c r="CP88" s="596"/>
      <c r="CQ88" s="596"/>
      <c r="CR88" s="596"/>
      <c r="CS88" s="596"/>
      <c r="CT88" s="596"/>
      <c r="CU88" s="596"/>
      <c r="CV88" s="596"/>
      <c r="CW88" s="596"/>
      <c r="CX88" s="596"/>
      <c r="CY88" s="596"/>
      <c r="CZ88" s="596"/>
      <c r="DA88" s="596"/>
      <c r="DB88" s="596"/>
      <c r="DC88" s="596"/>
      <c r="DD88" s="596"/>
      <c r="DE88" s="596"/>
      <c r="DF88" s="596"/>
      <c r="DG88" s="596"/>
      <c r="DH88" s="596"/>
      <c r="DI88" s="596"/>
      <c r="DJ88" s="596"/>
      <c r="DK88" s="596"/>
      <c r="DL88" s="596"/>
      <c r="DM88" s="596"/>
      <c r="DN88" s="596"/>
      <c r="DO88" s="596"/>
      <c r="DP88" s="596"/>
      <c r="DQ88" s="596"/>
      <c r="DR88" s="596"/>
      <c r="DS88" s="596"/>
      <c r="DT88" s="596"/>
      <c r="DU88" s="596"/>
      <c r="DV88" s="596"/>
      <c r="DW88" s="596"/>
      <c r="DX88" s="596"/>
      <c r="DY88" s="596"/>
      <c r="DZ88" s="596"/>
      <c r="EA88" s="596"/>
    </row>
    <row r="89" spans="1:131">
      <c r="A89" s="596"/>
      <c r="B89" s="596"/>
      <c r="C89" s="596"/>
      <c r="D89" s="596"/>
      <c r="E89" s="596"/>
      <c r="F89" s="596"/>
      <c r="G89" s="596"/>
      <c r="H89" s="596"/>
      <c r="I89" s="596"/>
      <c r="J89" s="596"/>
      <c r="K89" s="638"/>
      <c r="L89" s="638"/>
      <c r="M89" s="638"/>
      <c r="N89" s="638"/>
      <c r="O89" s="638"/>
      <c r="P89" s="596"/>
      <c r="Q89" s="596"/>
      <c r="R89" s="596"/>
      <c r="S89" s="596"/>
      <c r="T89" s="596"/>
      <c r="U89" s="596"/>
      <c r="V89" s="596"/>
      <c r="W89" s="596"/>
      <c r="X89" s="596"/>
      <c r="Y89" s="596"/>
      <c r="Z89" s="596"/>
      <c r="AA89" s="596"/>
      <c r="AB89" s="596"/>
      <c r="AC89" s="596"/>
      <c r="AD89" s="596"/>
      <c r="AE89" s="596"/>
      <c r="AF89" s="596"/>
      <c r="AG89" s="596"/>
      <c r="AH89" s="596"/>
      <c r="AI89" s="596"/>
      <c r="AJ89" s="596"/>
      <c r="AK89" s="596"/>
      <c r="AL89" s="596"/>
      <c r="AM89" s="596"/>
      <c r="AN89" s="596"/>
      <c r="AO89" s="596"/>
      <c r="AP89" s="596"/>
      <c r="AQ89" s="596"/>
      <c r="AR89" s="596"/>
      <c r="AS89" s="596"/>
      <c r="AT89" s="596"/>
      <c r="AU89" s="596"/>
      <c r="AV89" s="596"/>
      <c r="AW89" s="596"/>
      <c r="AX89" s="596"/>
      <c r="AY89" s="596"/>
      <c r="AZ89" s="596"/>
      <c r="BA89" s="596"/>
      <c r="BB89" s="596"/>
      <c r="BC89" s="596"/>
      <c r="BD89" s="596"/>
      <c r="BE89" s="596"/>
      <c r="BF89" s="596"/>
      <c r="BG89" s="596"/>
      <c r="BH89" s="596"/>
      <c r="BI89" s="596"/>
      <c r="BJ89" s="596"/>
      <c r="BK89" s="596"/>
      <c r="BL89" s="596"/>
      <c r="BM89" s="596"/>
      <c r="BN89" s="596"/>
      <c r="BO89" s="596"/>
      <c r="BP89" s="596"/>
      <c r="BQ89" s="596"/>
      <c r="BR89" s="596"/>
      <c r="BS89" s="596"/>
      <c r="BT89" s="596"/>
      <c r="BU89" s="596"/>
      <c r="BV89" s="596"/>
      <c r="BW89" s="596"/>
      <c r="BX89" s="596"/>
      <c r="BY89" s="596"/>
      <c r="BZ89" s="596"/>
      <c r="CA89" s="596"/>
      <c r="CB89" s="596"/>
      <c r="CC89" s="596"/>
      <c r="CD89" s="596"/>
      <c r="CE89" s="596"/>
      <c r="CF89" s="596"/>
      <c r="CG89" s="596"/>
      <c r="CH89" s="596"/>
      <c r="CI89" s="596"/>
      <c r="CJ89" s="596"/>
      <c r="CK89" s="596"/>
      <c r="CL89" s="596"/>
      <c r="CM89" s="596"/>
      <c r="CN89" s="596"/>
      <c r="CO89" s="596"/>
      <c r="CP89" s="596"/>
      <c r="CQ89" s="596"/>
      <c r="CR89" s="596"/>
      <c r="CS89" s="596"/>
      <c r="CT89" s="596"/>
      <c r="CU89" s="596"/>
      <c r="CV89" s="596"/>
      <c r="CW89" s="596"/>
      <c r="CX89" s="596"/>
      <c r="CY89" s="596"/>
      <c r="CZ89" s="596"/>
      <c r="DA89" s="596"/>
      <c r="DB89" s="596"/>
      <c r="DC89" s="596"/>
      <c r="DD89" s="596"/>
      <c r="DE89" s="596"/>
      <c r="DF89" s="596"/>
      <c r="DG89" s="596"/>
      <c r="DH89" s="596"/>
      <c r="DI89" s="596"/>
      <c r="DJ89" s="596"/>
      <c r="DK89" s="596"/>
      <c r="DL89" s="596"/>
      <c r="DM89" s="596"/>
      <c r="DN89" s="596"/>
      <c r="DO89" s="596"/>
      <c r="DP89" s="596"/>
      <c r="DQ89" s="596"/>
      <c r="DR89" s="596"/>
      <c r="DS89" s="596"/>
      <c r="DT89" s="596"/>
      <c r="DU89" s="596"/>
      <c r="DV89" s="596"/>
      <c r="DW89" s="596"/>
      <c r="DX89" s="596"/>
      <c r="DY89" s="596"/>
      <c r="DZ89" s="596"/>
      <c r="EA89" s="596"/>
    </row>
    <row r="90" spans="1:131">
      <c r="A90" s="596"/>
      <c r="B90" s="596"/>
      <c r="C90" s="596"/>
      <c r="D90" s="596"/>
      <c r="E90" s="596"/>
      <c r="F90" s="596"/>
      <c r="G90" s="596"/>
      <c r="H90" s="596"/>
      <c r="I90" s="596"/>
      <c r="J90" s="596"/>
      <c r="K90" s="638"/>
      <c r="L90" s="638"/>
      <c r="M90" s="638"/>
      <c r="N90" s="638"/>
      <c r="O90" s="638"/>
      <c r="P90" s="596"/>
      <c r="Q90" s="596"/>
      <c r="R90" s="596"/>
      <c r="S90" s="596"/>
      <c r="T90" s="596"/>
      <c r="U90" s="596"/>
      <c r="V90" s="596"/>
      <c r="W90" s="596"/>
      <c r="X90" s="596"/>
      <c r="Y90" s="596"/>
      <c r="Z90" s="596"/>
      <c r="AA90" s="596"/>
      <c r="AB90" s="596"/>
      <c r="AC90" s="596"/>
      <c r="AD90" s="596"/>
      <c r="AE90" s="596"/>
      <c r="AF90" s="596"/>
      <c r="AG90" s="596"/>
      <c r="AH90" s="596"/>
      <c r="AI90" s="596"/>
      <c r="AJ90" s="596"/>
      <c r="AK90" s="596"/>
      <c r="AL90" s="596"/>
      <c r="AM90" s="596"/>
      <c r="AN90" s="596"/>
      <c r="AO90" s="596"/>
      <c r="AP90" s="596"/>
      <c r="AQ90" s="596"/>
      <c r="AR90" s="596"/>
      <c r="AS90" s="596"/>
      <c r="AT90" s="596"/>
      <c r="AU90" s="596"/>
      <c r="AV90" s="596"/>
      <c r="AW90" s="596"/>
      <c r="AX90" s="596"/>
      <c r="AY90" s="596"/>
      <c r="AZ90" s="596"/>
      <c r="BA90" s="596"/>
      <c r="BB90" s="596"/>
      <c r="BC90" s="596"/>
      <c r="BD90" s="596"/>
      <c r="BE90" s="596"/>
      <c r="BF90" s="596"/>
      <c r="BG90" s="596"/>
      <c r="BH90" s="596"/>
      <c r="BI90" s="596"/>
      <c r="BJ90" s="596"/>
      <c r="BK90" s="596"/>
      <c r="BL90" s="596"/>
      <c r="BM90" s="596"/>
      <c r="BN90" s="596"/>
      <c r="BO90" s="596"/>
      <c r="BP90" s="596"/>
      <c r="BQ90" s="596"/>
      <c r="BR90" s="596"/>
      <c r="BS90" s="596"/>
      <c r="BT90" s="596"/>
      <c r="BU90" s="596"/>
      <c r="BV90" s="596"/>
      <c r="BW90" s="596"/>
      <c r="BX90" s="596"/>
      <c r="BY90" s="596"/>
      <c r="BZ90" s="596"/>
      <c r="CA90" s="596"/>
      <c r="CB90" s="596"/>
      <c r="CC90" s="596"/>
      <c r="CD90" s="596"/>
      <c r="CE90" s="596"/>
      <c r="CF90" s="596"/>
      <c r="CG90" s="596"/>
      <c r="CH90" s="596"/>
      <c r="CI90" s="596"/>
      <c r="CJ90" s="596"/>
      <c r="CK90" s="596"/>
      <c r="CL90" s="596"/>
      <c r="CM90" s="596"/>
      <c r="CN90" s="596"/>
      <c r="CO90" s="596"/>
      <c r="CP90" s="596"/>
      <c r="CQ90" s="596"/>
      <c r="CR90" s="596"/>
      <c r="CS90" s="596"/>
      <c r="CT90" s="596"/>
      <c r="CU90" s="596"/>
      <c r="CV90" s="596"/>
      <c r="CW90" s="596"/>
      <c r="CX90" s="596"/>
      <c r="CY90" s="596"/>
      <c r="CZ90" s="596"/>
      <c r="DA90" s="596"/>
      <c r="DB90" s="596"/>
      <c r="DC90" s="596"/>
      <c r="DD90" s="596"/>
      <c r="DE90" s="596"/>
      <c r="DF90" s="596"/>
      <c r="DG90" s="596"/>
      <c r="DH90" s="596"/>
      <c r="DI90" s="596"/>
      <c r="DJ90" s="596"/>
      <c r="DK90" s="596"/>
      <c r="DL90" s="596"/>
      <c r="DM90" s="596"/>
      <c r="DN90" s="596"/>
      <c r="DO90" s="596"/>
      <c r="DP90" s="596"/>
      <c r="DQ90" s="596"/>
      <c r="DR90" s="596"/>
      <c r="DS90" s="596"/>
      <c r="DT90" s="596"/>
      <c r="DU90" s="596"/>
      <c r="DV90" s="596"/>
      <c r="DW90" s="596"/>
      <c r="DX90" s="596"/>
      <c r="DY90" s="596"/>
      <c r="DZ90" s="596"/>
      <c r="EA90" s="596"/>
    </row>
    <row r="91" spans="1:131">
      <c r="A91" s="596"/>
      <c r="B91" s="596"/>
      <c r="C91" s="596"/>
      <c r="D91" s="596"/>
      <c r="E91" s="596"/>
      <c r="F91" s="596"/>
      <c r="G91" s="596"/>
      <c r="H91" s="596"/>
      <c r="I91" s="596"/>
      <c r="J91" s="596"/>
      <c r="K91" s="638"/>
      <c r="L91" s="638"/>
      <c r="M91" s="638"/>
      <c r="N91" s="638"/>
      <c r="O91" s="638"/>
      <c r="P91" s="596"/>
      <c r="Q91" s="596"/>
      <c r="R91" s="596"/>
      <c r="S91" s="596"/>
      <c r="T91" s="596"/>
      <c r="U91" s="596"/>
      <c r="V91" s="596"/>
      <c r="W91" s="596"/>
      <c r="X91" s="596"/>
      <c r="Y91" s="596"/>
      <c r="Z91" s="596"/>
      <c r="AA91" s="596"/>
      <c r="AB91" s="596"/>
      <c r="AC91" s="596"/>
      <c r="AD91" s="596"/>
      <c r="AE91" s="596"/>
      <c r="AF91" s="596"/>
      <c r="AG91" s="596"/>
      <c r="AH91" s="596"/>
      <c r="AI91" s="596"/>
      <c r="AJ91" s="596"/>
      <c r="AK91" s="596"/>
      <c r="AL91" s="596"/>
      <c r="AM91" s="596"/>
      <c r="AN91" s="596"/>
      <c r="AO91" s="596"/>
      <c r="AP91" s="596"/>
      <c r="AQ91" s="596"/>
      <c r="AR91" s="596"/>
      <c r="AS91" s="596"/>
      <c r="AT91" s="596"/>
      <c r="AU91" s="596"/>
      <c r="AV91" s="596"/>
      <c r="AW91" s="596"/>
      <c r="AX91" s="596"/>
      <c r="AY91" s="596"/>
      <c r="AZ91" s="596"/>
      <c r="BA91" s="596"/>
      <c r="BB91" s="596"/>
      <c r="BC91" s="596"/>
      <c r="BD91" s="596"/>
      <c r="BE91" s="596"/>
      <c r="BF91" s="596"/>
      <c r="BG91" s="596"/>
      <c r="BH91" s="596"/>
      <c r="BI91" s="596"/>
      <c r="BJ91" s="596"/>
      <c r="BK91" s="596"/>
      <c r="BL91" s="596"/>
      <c r="BM91" s="596"/>
      <c r="BN91" s="596"/>
      <c r="BO91" s="596"/>
      <c r="BP91" s="596"/>
      <c r="BQ91" s="596"/>
      <c r="BR91" s="596"/>
      <c r="BS91" s="596"/>
      <c r="BT91" s="596"/>
      <c r="BU91" s="596"/>
      <c r="BV91" s="596"/>
      <c r="BW91" s="596"/>
      <c r="BX91" s="596"/>
      <c r="BY91" s="596"/>
      <c r="BZ91" s="596"/>
      <c r="CA91" s="596"/>
      <c r="CB91" s="596"/>
      <c r="CC91" s="596"/>
      <c r="CD91" s="596"/>
      <c r="CE91" s="596"/>
      <c r="CF91" s="596"/>
      <c r="CG91" s="596"/>
      <c r="CH91" s="596"/>
      <c r="CI91" s="596"/>
      <c r="CJ91" s="596"/>
      <c r="CK91" s="596"/>
      <c r="CL91" s="596"/>
      <c r="CM91" s="596"/>
      <c r="CN91" s="596"/>
      <c r="CO91" s="596"/>
      <c r="CP91" s="596"/>
      <c r="CQ91" s="596"/>
      <c r="CR91" s="596"/>
      <c r="CS91" s="596"/>
      <c r="CT91" s="596"/>
      <c r="CU91" s="596"/>
      <c r="CV91" s="596"/>
      <c r="CW91" s="596"/>
      <c r="CX91" s="596"/>
      <c r="CY91" s="596"/>
      <c r="CZ91" s="596"/>
      <c r="DA91" s="596"/>
      <c r="DB91" s="596"/>
      <c r="DC91" s="596"/>
      <c r="DD91" s="596"/>
      <c r="DE91" s="596"/>
      <c r="DF91" s="596"/>
      <c r="DG91" s="596"/>
      <c r="DH91" s="596"/>
      <c r="DI91" s="596"/>
      <c r="DJ91" s="596"/>
      <c r="DK91" s="596"/>
      <c r="DL91" s="596"/>
      <c r="DM91" s="596"/>
      <c r="DN91" s="596"/>
      <c r="DO91" s="596"/>
      <c r="DP91" s="596"/>
      <c r="DQ91" s="596"/>
      <c r="DR91" s="596"/>
      <c r="DS91" s="596"/>
      <c r="DT91" s="596"/>
      <c r="DU91" s="596"/>
      <c r="DV91" s="596"/>
      <c r="DW91" s="596"/>
      <c r="DX91" s="596"/>
      <c r="DY91" s="596"/>
      <c r="DZ91" s="596"/>
      <c r="EA91" s="596"/>
    </row>
    <row r="92" spans="1:131">
      <c r="A92" s="596"/>
      <c r="B92" s="596"/>
      <c r="C92" s="596"/>
      <c r="D92" s="596"/>
      <c r="E92" s="596"/>
      <c r="F92" s="596"/>
      <c r="G92" s="596"/>
      <c r="H92" s="596"/>
      <c r="I92" s="596"/>
      <c r="J92" s="596"/>
      <c r="K92" s="638"/>
      <c r="L92" s="638"/>
      <c r="M92" s="638"/>
      <c r="N92" s="638"/>
      <c r="O92" s="638"/>
      <c r="P92" s="596"/>
      <c r="Q92" s="596"/>
      <c r="R92" s="596"/>
      <c r="S92" s="596"/>
      <c r="T92" s="596"/>
      <c r="U92" s="596"/>
      <c r="V92" s="596"/>
      <c r="W92" s="596"/>
      <c r="X92" s="596"/>
      <c r="Y92" s="596"/>
      <c r="Z92" s="596"/>
      <c r="AA92" s="596"/>
      <c r="AB92" s="596"/>
      <c r="AC92" s="596"/>
      <c r="AD92" s="596"/>
      <c r="AE92" s="596"/>
      <c r="AF92" s="596"/>
      <c r="AG92" s="596"/>
      <c r="AH92" s="596"/>
      <c r="AI92" s="596"/>
      <c r="AJ92" s="596"/>
      <c r="AK92" s="596"/>
      <c r="AL92" s="596"/>
      <c r="AM92" s="596"/>
      <c r="AN92" s="596"/>
      <c r="AO92" s="596"/>
      <c r="AP92" s="596"/>
      <c r="AQ92" s="596"/>
      <c r="AR92" s="596"/>
      <c r="AS92" s="596"/>
      <c r="AT92" s="596"/>
      <c r="AU92" s="596"/>
      <c r="AV92" s="596"/>
      <c r="AW92" s="596"/>
      <c r="AX92" s="596"/>
      <c r="AY92" s="596"/>
      <c r="AZ92" s="596"/>
      <c r="BA92" s="596"/>
      <c r="BB92" s="596"/>
      <c r="BC92" s="596"/>
      <c r="BD92" s="596"/>
      <c r="BE92" s="596"/>
      <c r="BF92" s="596"/>
      <c r="BG92" s="596"/>
      <c r="BH92" s="596"/>
      <c r="BI92" s="596"/>
      <c r="BJ92" s="596"/>
      <c r="BK92" s="596"/>
      <c r="BL92" s="596"/>
      <c r="BM92" s="596"/>
      <c r="BN92" s="596"/>
      <c r="BO92" s="596"/>
      <c r="BP92" s="596"/>
      <c r="BQ92" s="596"/>
      <c r="BR92" s="596"/>
      <c r="BS92" s="596"/>
      <c r="BT92" s="596"/>
      <c r="BU92" s="596"/>
      <c r="BV92" s="596"/>
      <c r="BW92" s="596"/>
      <c r="BX92" s="596"/>
      <c r="BY92" s="596"/>
      <c r="BZ92" s="596"/>
      <c r="CA92" s="596"/>
      <c r="CB92" s="596"/>
      <c r="CC92" s="596"/>
      <c r="CD92" s="596"/>
      <c r="CE92" s="596"/>
      <c r="CF92" s="596"/>
      <c r="CG92" s="596"/>
      <c r="CH92" s="596"/>
      <c r="CI92" s="596"/>
      <c r="CJ92" s="596"/>
      <c r="CK92" s="596"/>
      <c r="CL92" s="596"/>
      <c r="CM92" s="596"/>
      <c r="CN92" s="596"/>
      <c r="CO92" s="596"/>
      <c r="CP92" s="596"/>
      <c r="CQ92" s="596"/>
      <c r="CR92" s="596"/>
      <c r="CS92" s="596"/>
      <c r="CT92" s="596"/>
      <c r="CU92" s="596"/>
      <c r="CV92" s="596"/>
      <c r="CW92" s="596"/>
      <c r="CX92" s="596"/>
      <c r="CY92" s="596"/>
      <c r="CZ92" s="596"/>
      <c r="DA92" s="596"/>
      <c r="DB92" s="596"/>
      <c r="DC92" s="596"/>
      <c r="DD92" s="596"/>
      <c r="DE92" s="596"/>
      <c r="DF92" s="596"/>
      <c r="DG92" s="596"/>
      <c r="DH92" s="596"/>
      <c r="DI92" s="596"/>
      <c r="DJ92" s="596"/>
      <c r="DK92" s="596"/>
      <c r="DL92" s="596"/>
      <c r="DM92" s="596"/>
      <c r="DN92" s="596"/>
      <c r="DO92" s="596"/>
      <c r="DP92" s="596"/>
      <c r="DQ92" s="596"/>
      <c r="DR92" s="596"/>
      <c r="DS92" s="596"/>
      <c r="DT92" s="596"/>
      <c r="DU92" s="596"/>
      <c r="DV92" s="596"/>
      <c r="DW92" s="596"/>
      <c r="DX92" s="596"/>
      <c r="DY92" s="596"/>
      <c r="DZ92" s="596"/>
      <c r="EA92" s="596"/>
    </row>
    <row r="93" spans="1:131">
      <c r="A93" s="596"/>
      <c r="B93" s="596"/>
      <c r="C93" s="596"/>
      <c r="D93" s="596"/>
      <c r="E93" s="596"/>
      <c r="F93" s="596"/>
      <c r="G93" s="596"/>
      <c r="H93" s="596"/>
      <c r="I93" s="596"/>
      <c r="J93" s="596"/>
      <c r="K93" s="638"/>
      <c r="L93" s="638"/>
      <c r="M93" s="638"/>
      <c r="N93" s="638"/>
      <c r="O93" s="638"/>
      <c r="P93" s="596"/>
      <c r="Q93" s="596"/>
      <c r="R93" s="596"/>
      <c r="S93" s="596"/>
      <c r="T93" s="596"/>
      <c r="U93" s="596"/>
      <c r="V93" s="596"/>
      <c r="W93" s="596"/>
      <c r="X93" s="596"/>
      <c r="Y93" s="596"/>
      <c r="Z93" s="596"/>
      <c r="AA93" s="596"/>
      <c r="AB93" s="596"/>
      <c r="AC93" s="596"/>
      <c r="AD93" s="596"/>
      <c r="AE93" s="596"/>
      <c r="AF93" s="596"/>
      <c r="AG93" s="596"/>
      <c r="AH93" s="596"/>
      <c r="AI93" s="596"/>
      <c r="AJ93" s="596"/>
      <c r="AK93" s="596"/>
      <c r="AL93" s="596"/>
      <c r="AM93" s="596"/>
      <c r="AN93" s="596"/>
      <c r="AO93" s="596"/>
      <c r="AP93" s="596"/>
      <c r="AQ93" s="596"/>
      <c r="AR93" s="596"/>
      <c r="AS93" s="596"/>
      <c r="AT93" s="596"/>
      <c r="AU93" s="596"/>
      <c r="AV93" s="596"/>
      <c r="AW93" s="596"/>
      <c r="AX93" s="596"/>
      <c r="AY93" s="596"/>
      <c r="AZ93" s="596"/>
      <c r="BA93" s="596"/>
      <c r="BB93" s="596"/>
      <c r="BC93" s="596"/>
      <c r="BD93" s="596"/>
      <c r="BE93" s="596"/>
      <c r="BF93" s="596"/>
      <c r="BG93" s="596"/>
      <c r="BH93" s="596"/>
      <c r="BI93" s="596"/>
      <c r="BJ93" s="596"/>
      <c r="BK93" s="596"/>
      <c r="BL93" s="596"/>
      <c r="BM93" s="596"/>
      <c r="BN93" s="596"/>
      <c r="BO93" s="596"/>
      <c r="BP93" s="596"/>
      <c r="BQ93" s="596"/>
      <c r="BR93" s="596"/>
      <c r="BS93" s="596"/>
      <c r="BT93" s="596"/>
      <c r="BU93" s="596"/>
      <c r="BV93" s="596"/>
      <c r="BW93" s="596"/>
      <c r="BX93" s="596"/>
      <c r="BY93" s="596"/>
      <c r="BZ93" s="596"/>
      <c r="CA93" s="596"/>
      <c r="CB93" s="596"/>
      <c r="CC93" s="596"/>
      <c r="CD93" s="596"/>
      <c r="CE93" s="596"/>
      <c r="CF93" s="596"/>
      <c r="CG93" s="596"/>
      <c r="CH93" s="596"/>
      <c r="CI93" s="596"/>
      <c r="CJ93" s="596"/>
      <c r="CK93" s="596"/>
      <c r="CL93" s="596"/>
      <c r="CM93" s="596"/>
      <c r="CN93" s="596"/>
      <c r="CO93" s="596"/>
      <c r="CP93" s="596"/>
      <c r="CQ93" s="596"/>
      <c r="CR93" s="596"/>
      <c r="CS93" s="596"/>
      <c r="CT93" s="596"/>
      <c r="CU93" s="596"/>
      <c r="CV93" s="596"/>
      <c r="CW93" s="596"/>
      <c r="CX93" s="596"/>
      <c r="CY93" s="596"/>
      <c r="CZ93" s="596"/>
      <c r="DA93" s="596"/>
      <c r="DB93" s="596"/>
      <c r="DC93" s="596"/>
      <c r="DD93" s="596"/>
      <c r="DE93" s="596"/>
      <c r="DF93" s="596"/>
      <c r="DG93" s="596"/>
      <c r="DH93" s="596"/>
      <c r="DI93" s="596"/>
      <c r="DJ93" s="596"/>
      <c r="DK93" s="596"/>
      <c r="DL93" s="596"/>
      <c r="DM93" s="596"/>
      <c r="DN93" s="596"/>
      <c r="DO93" s="596"/>
      <c r="DP93" s="596"/>
      <c r="DQ93" s="596"/>
      <c r="DR93" s="596"/>
      <c r="DS93" s="596"/>
      <c r="DT93" s="596"/>
      <c r="DU93" s="596"/>
      <c r="DV93" s="596"/>
      <c r="DW93" s="596"/>
      <c r="DX93" s="596"/>
      <c r="DY93" s="596"/>
      <c r="DZ93" s="596"/>
      <c r="EA93" s="596"/>
    </row>
    <row r="94" spans="1:131">
      <c r="A94" s="596"/>
      <c r="B94" s="596"/>
      <c r="C94" s="596"/>
      <c r="D94" s="596"/>
      <c r="E94" s="596"/>
      <c r="F94" s="596"/>
      <c r="G94" s="596"/>
      <c r="H94" s="596"/>
      <c r="I94" s="596"/>
      <c r="J94" s="596"/>
      <c r="K94" s="638"/>
      <c r="L94" s="638"/>
      <c r="M94" s="638"/>
      <c r="N94" s="638"/>
      <c r="O94" s="638"/>
      <c r="P94" s="596"/>
      <c r="Q94" s="596"/>
      <c r="R94" s="596"/>
      <c r="S94" s="596"/>
      <c r="T94" s="596"/>
      <c r="U94" s="596"/>
      <c r="V94" s="596"/>
      <c r="W94" s="596"/>
      <c r="X94" s="596"/>
      <c r="Y94" s="596"/>
      <c r="Z94" s="596"/>
      <c r="AA94" s="596"/>
      <c r="AB94" s="596"/>
      <c r="AC94" s="596"/>
      <c r="AD94" s="596"/>
      <c r="AE94" s="596"/>
      <c r="AF94" s="596"/>
      <c r="AG94" s="596"/>
      <c r="AH94" s="596"/>
      <c r="AI94" s="596"/>
      <c r="AJ94" s="596"/>
      <c r="AK94" s="596"/>
      <c r="AL94" s="596"/>
      <c r="AM94" s="596"/>
      <c r="AN94" s="596"/>
      <c r="AO94" s="596"/>
      <c r="AP94" s="596"/>
      <c r="AQ94" s="596"/>
      <c r="AR94" s="596"/>
      <c r="AS94" s="596"/>
      <c r="AT94" s="596"/>
      <c r="AU94" s="596"/>
      <c r="AV94" s="596"/>
      <c r="AW94" s="596"/>
      <c r="AX94" s="596"/>
      <c r="AY94" s="596"/>
      <c r="AZ94" s="596"/>
      <c r="BA94" s="596"/>
      <c r="BB94" s="596"/>
      <c r="BC94" s="596"/>
      <c r="BD94" s="596"/>
      <c r="BE94" s="596"/>
      <c r="BF94" s="596"/>
      <c r="BG94" s="596"/>
      <c r="BH94" s="596"/>
      <c r="BI94" s="596"/>
      <c r="BJ94" s="596"/>
      <c r="BK94" s="596"/>
      <c r="BL94" s="596"/>
      <c r="BM94" s="596"/>
      <c r="BN94" s="596"/>
      <c r="BO94" s="596"/>
      <c r="BP94" s="596"/>
      <c r="BQ94" s="596"/>
      <c r="BR94" s="596"/>
      <c r="BS94" s="596"/>
      <c r="BT94" s="596"/>
      <c r="BU94" s="596"/>
      <c r="BV94" s="596"/>
      <c r="BW94" s="596"/>
      <c r="BX94" s="596"/>
      <c r="BY94" s="596"/>
      <c r="BZ94" s="596"/>
      <c r="CA94" s="596"/>
      <c r="CB94" s="596"/>
      <c r="CC94" s="596"/>
      <c r="CD94" s="596"/>
      <c r="CE94" s="596"/>
      <c r="CF94" s="596"/>
      <c r="CG94" s="596"/>
      <c r="CH94" s="596"/>
      <c r="CI94" s="596"/>
      <c r="CJ94" s="596"/>
      <c r="CK94" s="596"/>
      <c r="CL94" s="596"/>
      <c r="CM94" s="596"/>
      <c r="CN94" s="596"/>
      <c r="CO94" s="596"/>
      <c r="CP94" s="596"/>
      <c r="CQ94" s="596"/>
      <c r="CR94" s="596"/>
      <c r="CS94" s="596"/>
      <c r="CT94" s="596"/>
      <c r="CU94" s="596"/>
      <c r="CV94" s="596"/>
      <c r="CW94" s="596"/>
      <c r="CX94" s="596"/>
      <c r="CY94" s="596"/>
      <c r="CZ94" s="596"/>
      <c r="DA94" s="596"/>
      <c r="DB94" s="596"/>
      <c r="DC94" s="596"/>
      <c r="DD94" s="596"/>
      <c r="DE94" s="596"/>
      <c r="DF94" s="596"/>
      <c r="DG94" s="596"/>
      <c r="DH94" s="596"/>
      <c r="DI94" s="596"/>
      <c r="DJ94" s="596"/>
      <c r="DK94" s="596"/>
      <c r="DL94" s="596"/>
      <c r="DM94" s="596"/>
      <c r="DN94" s="596"/>
      <c r="DO94" s="596"/>
      <c r="DP94" s="596"/>
      <c r="DQ94" s="596"/>
      <c r="DR94" s="596"/>
      <c r="DS94" s="596"/>
      <c r="DT94" s="596"/>
      <c r="DU94" s="596"/>
      <c r="DV94" s="596"/>
      <c r="DW94" s="596"/>
      <c r="DX94" s="596"/>
      <c r="DY94" s="596"/>
      <c r="DZ94" s="596"/>
      <c r="EA94" s="596"/>
    </row>
    <row r="95" spans="1:131">
      <c r="A95" s="596"/>
      <c r="B95" s="596"/>
      <c r="C95" s="596"/>
      <c r="D95" s="596"/>
      <c r="E95" s="596"/>
      <c r="F95" s="596"/>
      <c r="G95" s="596"/>
      <c r="H95" s="596"/>
      <c r="I95" s="596"/>
      <c r="J95" s="596"/>
      <c r="K95" s="638"/>
      <c r="L95" s="638"/>
      <c r="M95" s="638"/>
      <c r="N95" s="638"/>
      <c r="O95" s="638"/>
      <c r="P95" s="596"/>
      <c r="Q95" s="596"/>
      <c r="R95" s="596"/>
      <c r="S95" s="596"/>
      <c r="T95" s="596"/>
      <c r="U95" s="596"/>
      <c r="V95" s="596"/>
      <c r="W95" s="596"/>
      <c r="X95" s="596"/>
      <c r="Y95" s="596"/>
      <c r="Z95" s="596"/>
      <c r="AA95" s="596"/>
      <c r="AB95" s="596"/>
      <c r="AC95" s="596"/>
      <c r="AD95" s="596"/>
      <c r="AE95" s="596"/>
      <c r="AF95" s="596"/>
      <c r="AG95" s="596"/>
      <c r="AH95" s="596"/>
      <c r="AI95" s="596"/>
      <c r="AJ95" s="596"/>
      <c r="AK95" s="596"/>
      <c r="AL95" s="596"/>
      <c r="AM95" s="596"/>
      <c r="AN95" s="596"/>
      <c r="AO95" s="596"/>
      <c r="AP95" s="596"/>
      <c r="AQ95" s="596"/>
      <c r="AR95" s="596"/>
      <c r="AS95" s="596"/>
      <c r="AT95" s="596"/>
      <c r="AU95" s="596"/>
      <c r="AV95" s="596"/>
      <c r="AW95" s="596"/>
      <c r="AX95" s="596"/>
      <c r="AY95" s="596"/>
      <c r="AZ95" s="596"/>
      <c r="BA95" s="596"/>
      <c r="BB95" s="596"/>
      <c r="BC95" s="596"/>
      <c r="BD95" s="596"/>
      <c r="BE95" s="596"/>
      <c r="BF95" s="596"/>
      <c r="BG95" s="596"/>
      <c r="BH95" s="596"/>
      <c r="BI95" s="596"/>
      <c r="BJ95" s="596"/>
      <c r="BK95" s="596"/>
      <c r="BL95" s="596"/>
      <c r="BM95" s="596"/>
      <c r="BN95" s="596"/>
      <c r="BO95" s="596"/>
      <c r="BP95" s="596"/>
      <c r="BQ95" s="596"/>
      <c r="BR95" s="596"/>
      <c r="BS95" s="596"/>
      <c r="BT95" s="596"/>
      <c r="BU95" s="596"/>
      <c r="BV95" s="596"/>
      <c r="BW95" s="596"/>
      <c r="BX95" s="596"/>
      <c r="BY95" s="596"/>
      <c r="BZ95" s="596"/>
      <c r="CA95" s="596"/>
      <c r="CB95" s="596"/>
      <c r="CC95" s="596"/>
      <c r="CD95" s="596"/>
      <c r="CE95" s="596"/>
      <c r="CF95" s="596"/>
      <c r="CG95" s="596"/>
      <c r="CH95" s="596"/>
      <c r="CI95" s="596"/>
      <c r="CJ95" s="596"/>
      <c r="CK95" s="596"/>
      <c r="CL95" s="596"/>
      <c r="CM95" s="596"/>
      <c r="CN95" s="596"/>
      <c r="CO95" s="596"/>
      <c r="CP95" s="596"/>
      <c r="CQ95" s="596"/>
      <c r="CR95" s="596"/>
      <c r="CS95" s="596"/>
      <c r="CT95" s="596"/>
      <c r="CU95" s="596"/>
      <c r="CV95" s="596"/>
      <c r="CW95" s="596"/>
      <c r="CX95" s="596"/>
      <c r="CY95" s="596"/>
      <c r="CZ95" s="596"/>
      <c r="DA95" s="596"/>
      <c r="DB95" s="596"/>
      <c r="DC95" s="596"/>
      <c r="DD95" s="596"/>
      <c r="DE95" s="596"/>
      <c r="DF95" s="596"/>
      <c r="DG95" s="596"/>
      <c r="DH95" s="596"/>
      <c r="DI95" s="596"/>
      <c r="DJ95" s="596"/>
      <c r="DK95" s="596"/>
      <c r="DL95" s="596"/>
      <c r="DM95" s="596"/>
      <c r="DN95" s="596"/>
      <c r="DO95" s="596"/>
      <c r="DP95" s="596"/>
      <c r="DQ95" s="596"/>
      <c r="DR95" s="596"/>
      <c r="DS95" s="596"/>
      <c r="DT95" s="596"/>
      <c r="DU95" s="596"/>
      <c r="DV95" s="596"/>
      <c r="DW95" s="596"/>
      <c r="DX95" s="596"/>
      <c r="DY95" s="596"/>
      <c r="DZ95" s="596"/>
      <c r="EA95" s="596"/>
    </row>
    <row r="96" spans="1:131">
      <c r="A96" s="596"/>
      <c r="B96" s="596"/>
      <c r="C96" s="596"/>
      <c r="D96" s="596"/>
      <c r="E96" s="596"/>
      <c r="F96" s="596"/>
      <c r="G96" s="596"/>
      <c r="H96" s="596"/>
      <c r="I96" s="596"/>
      <c r="J96" s="596"/>
      <c r="K96" s="638"/>
      <c r="L96" s="638"/>
      <c r="M96" s="638"/>
      <c r="N96" s="638"/>
      <c r="O96" s="638"/>
      <c r="P96" s="596"/>
      <c r="Q96" s="596"/>
      <c r="R96" s="596"/>
      <c r="S96" s="596"/>
      <c r="T96" s="596"/>
      <c r="U96" s="596"/>
      <c r="V96" s="596"/>
      <c r="W96" s="596"/>
      <c r="X96" s="596"/>
      <c r="Y96" s="596"/>
      <c r="Z96" s="596"/>
      <c r="AA96" s="596"/>
      <c r="AB96" s="596"/>
      <c r="AC96" s="596"/>
      <c r="AD96" s="596"/>
      <c r="AE96" s="596"/>
      <c r="AF96" s="596"/>
      <c r="AG96" s="596"/>
      <c r="AH96" s="596"/>
      <c r="AI96" s="596"/>
      <c r="AJ96" s="596"/>
      <c r="AK96" s="596"/>
      <c r="AL96" s="596"/>
      <c r="AM96" s="596"/>
      <c r="AN96" s="596"/>
      <c r="AO96" s="596"/>
      <c r="AP96" s="596"/>
      <c r="AQ96" s="596"/>
      <c r="AR96" s="596"/>
      <c r="AS96" s="596"/>
      <c r="AT96" s="596"/>
      <c r="AU96" s="596"/>
      <c r="AV96" s="596"/>
      <c r="AW96" s="596"/>
      <c r="AX96" s="596"/>
      <c r="AY96" s="596"/>
      <c r="AZ96" s="596"/>
      <c r="BA96" s="596"/>
      <c r="BB96" s="596"/>
      <c r="BC96" s="596"/>
      <c r="BD96" s="596"/>
      <c r="BE96" s="596"/>
      <c r="BF96" s="596"/>
      <c r="BG96" s="596"/>
      <c r="BH96" s="596"/>
      <c r="BI96" s="596"/>
      <c r="BJ96" s="596"/>
      <c r="BK96" s="596"/>
      <c r="BL96" s="596"/>
      <c r="BM96" s="596"/>
      <c r="BN96" s="596"/>
      <c r="BO96" s="596"/>
      <c r="BP96" s="596"/>
      <c r="BQ96" s="596"/>
      <c r="BR96" s="596"/>
      <c r="BS96" s="596"/>
      <c r="BT96" s="596"/>
      <c r="BU96" s="596"/>
      <c r="BV96" s="596"/>
      <c r="BW96" s="596"/>
      <c r="BX96" s="596"/>
      <c r="BY96" s="596"/>
      <c r="BZ96" s="596"/>
      <c r="CA96" s="596"/>
      <c r="CB96" s="596"/>
      <c r="CC96" s="596"/>
      <c r="CD96" s="596"/>
      <c r="CE96" s="596"/>
      <c r="CF96" s="596"/>
      <c r="CG96" s="596"/>
      <c r="CH96" s="596"/>
      <c r="CI96" s="596"/>
      <c r="CJ96" s="596"/>
      <c r="CK96" s="596"/>
      <c r="CL96" s="596"/>
      <c r="CM96" s="596"/>
      <c r="CN96" s="596"/>
      <c r="CO96" s="596"/>
      <c r="CP96" s="596"/>
      <c r="CQ96" s="596"/>
      <c r="CR96" s="596"/>
      <c r="CS96" s="596"/>
      <c r="CT96" s="596"/>
      <c r="CU96" s="596"/>
      <c r="CV96" s="596"/>
      <c r="CW96" s="596"/>
      <c r="CX96" s="596"/>
      <c r="CY96" s="596"/>
      <c r="CZ96" s="596"/>
      <c r="DA96" s="596"/>
      <c r="DB96" s="596"/>
      <c r="DC96" s="596"/>
      <c r="DD96" s="596"/>
      <c r="DE96" s="596"/>
      <c r="DF96" s="596"/>
      <c r="DG96" s="596"/>
      <c r="DH96" s="596"/>
      <c r="DI96" s="596"/>
      <c r="DJ96" s="596"/>
      <c r="DK96" s="596"/>
      <c r="DL96" s="596"/>
      <c r="DM96" s="596"/>
      <c r="DN96" s="596"/>
      <c r="DO96" s="596"/>
      <c r="DP96" s="596"/>
      <c r="DQ96" s="596"/>
      <c r="DR96" s="596"/>
      <c r="DS96" s="596"/>
      <c r="DT96" s="596"/>
      <c r="DU96" s="596"/>
      <c r="DV96" s="596"/>
      <c r="DW96" s="596"/>
      <c r="DX96" s="596"/>
      <c r="DY96" s="596"/>
      <c r="DZ96" s="596"/>
      <c r="EA96" s="596"/>
    </row>
    <row r="97" spans="1:131">
      <c r="A97" s="596"/>
      <c r="B97" s="596"/>
      <c r="C97" s="596"/>
      <c r="D97" s="596"/>
      <c r="E97" s="596"/>
      <c r="F97" s="596"/>
      <c r="G97" s="596"/>
      <c r="H97" s="596"/>
      <c r="I97" s="596"/>
      <c r="J97" s="596"/>
      <c r="K97" s="638"/>
      <c r="L97" s="638"/>
      <c r="M97" s="638"/>
      <c r="N97" s="638"/>
      <c r="O97" s="638"/>
      <c r="P97" s="596"/>
      <c r="Q97" s="596"/>
      <c r="R97" s="596"/>
      <c r="S97" s="596"/>
      <c r="T97" s="596"/>
      <c r="U97" s="596"/>
      <c r="V97" s="596"/>
      <c r="W97" s="596"/>
      <c r="X97" s="596"/>
      <c r="Y97" s="596"/>
      <c r="Z97" s="596"/>
      <c r="AA97" s="596"/>
      <c r="AB97" s="596"/>
      <c r="AC97" s="596"/>
      <c r="AD97" s="596"/>
      <c r="AE97" s="596"/>
      <c r="AF97" s="596"/>
      <c r="AG97" s="596"/>
      <c r="AH97" s="596"/>
      <c r="AI97" s="596"/>
      <c r="AJ97" s="596"/>
      <c r="AK97" s="596"/>
      <c r="AL97" s="596"/>
      <c r="AM97" s="596"/>
      <c r="AN97" s="596"/>
      <c r="AO97" s="596"/>
      <c r="AP97" s="596"/>
      <c r="AQ97" s="596"/>
      <c r="AR97" s="596"/>
      <c r="AS97" s="596"/>
      <c r="AT97" s="596"/>
      <c r="AU97" s="596"/>
      <c r="AV97" s="596"/>
      <c r="AW97" s="596"/>
      <c r="AX97" s="596"/>
      <c r="AY97" s="596"/>
      <c r="AZ97" s="596"/>
      <c r="BA97" s="596"/>
      <c r="BB97" s="596"/>
      <c r="BC97" s="596"/>
      <c r="BD97" s="596"/>
      <c r="BE97" s="596"/>
      <c r="BF97" s="596"/>
      <c r="BG97" s="596"/>
      <c r="BH97" s="596"/>
      <c r="BI97" s="596"/>
      <c r="BJ97" s="596"/>
      <c r="BK97" s="596"/>
      <c r="BL97" s="596"/>
      <c r="BM97" s="596"/>
      <c r="BN97" s="596"/>
      <c r="BO97" s="596"/>
      <c r="BP97" s="596"/>
      <c r="BQ97" s="596"/>
      <c r="BR97" s="596"/>
      <c r="BS97" s="596"/>
      <c r="BT97" s="596"/>
      <c r="BU97" s="596"/>
      <c r="BV97" s="596"/>
      <c r="BW97" s="596"/>
      <c r="BX97" s="596"/>
      <c r="BY97" s="596"/>
      <c r="BZ97" s="596"/>
      <c r="CA97" s="596"/>
      <c r="CB97" s="596"/>
      <c r="CC97" s="596"/>
      <c r="CD97" s="596"/>
      <c r="CE97" s="596"/>
      <c r="CF97" s="596"/>
      <c r="CG97" s="596"/>
      <c r="CH97" s="596"/>
      <c r="CI97" s="596"/>
      <c r="CJ97" s="596"/>
      <c r="CK97" s="596"/>
      <c r="CL97" s="596"/>
      <c r="CM97" s="596"/>
      <c r="CN97" s="596"/>
      <c r="CO97" s="596"/>
      <c r="CP97" s="596"/>
      <c r="CQ97" s="596"/>
      <c r="CR97" s="596"/>
      <c r="CS97" s="596"/>
      <c r="CT97" s="596"/>
      <c r="CU97" s="596"/>
      <c r="CV97" s="596"/>
      <c r="CW97" s="596"/>
      <c r="CX97" s="596"/>
      <c r="CY97" s="596"/>
      <c r="CZ97" s="596"/>
      <c r="DA97" s="596"/>
      <c r="DB97" s="596"/>
      <c r="DC97" s="596"/>
      <c r="DD97" s="596"/>
      <c r="DE97" s="596"/>
      <c r="DF97" s="596"/>
      <c r="DG97" s="596"/>
      <c r="DH97" s="596"/>
      <c r="DI97" s="596"/>
      <c r="DJ97" s="596"/>
      <c r="DK97" s="596"/>
      <c r="DL97" s="596"/>
      <c r="DM97" s="596"/>
      <c r="DN97" s="596"/>
      <c r="DO97" s="596"/>
      <c r="DP97" s="596"/>
      <c r="DQ97" s="596"/>
      <c r="DR97" s="596"/>
      <c r="DS97" s="596"/>
      <c r="DT97" s="596"/>
      <c r="DU97" s="596"/>
      <c r="DV97" s="596"/>
      <c r="DW97" s="596"/>
      <c r="DX97" s="596"/>
      <c r="DY97" s="596"/>
      <c r="DZ97" s="596"/>
      <c r="EA97" s="596"/>
    </row>
    <row r="98" spans="1:131">
      <c r="A98" s="596"/>
      <c r="B98" s="596"/>
      <c r="C98" s="596"/>
      <c r="D98" s="596"/>
      <c r="E98" s="596"/>
      <c r="F98" s="596"/>
      <c r="G98" s="596"/>
      <c r="H98" s="596"/>
      <c r="I98" s="596"/>
      <c r="J98" s="596"/>
      <c r="K98" s="638"/>
      <c r="L98" s="638"/>
      <c r="M98" s="638"/>
      <c r="N98" s="638"/>
      <c r="O98" s="638"/>
      <c r="P98" s="596"/>
      <c r="Q98" s="596"/>
      <c r="R98" s="596"/>
      <c r="S98" s="596"/>
      <c r="T98" s="596"/>
      <c r="U98" s="596"/>
      <c r="V98" s="596"/>
      <c r="W98" s="596"/>
      <c r="X98" s="596"/>
      <c r="Y98" s="596"/>
      <c r="Z98" s="596"/>
      <c r="AA98" s="596"/>
      <c r="AB98" s="596"/>
      <c r="AC98" s="596"/>
      <c r="AD98" s="596"/>
      <c r="AE98" s="596"/>
      <c r="AF98" s="596"/>
      <c r="AG98" s="596"/>
      <c r="AH98" s="596"/>
      <c r="AI98" s="596"/>
      <c r="AJ98" s="596"/>
      <c r="AK98" s="596"/>
      <c r="AL98" s="596"/>
      <c r="AM98" s="596"/>
      <c r="AN98" s="596"/>
      <c r="AO98" s="596"/>
      <c r="AP98" s="596"/>
      <c r="AQ98" s="596"/>
      <c r="AR98" s="596"/>
      <c r="AS98" s="596"/>
      <c r="AT98" s="596"/>
      <c r="AU98" s="596"/>
      <c r="AV98" s="596"/>
      <c r="AW98" s="596"/>
      <c r="AX98" s="596"/>
      <c r="AY98" s="596"/>
      <c r="AZ98" s="596"/>
      <c r="BA98" s="596"/>
      <c r="BB98" s="596"/>
      <c r="BC98" s="596"/>
      <c r="BD98" s="596"/>
      <c r="BE98" s="596"/>
      <c r="BF98" s="596"/>
      <c r="BG98" s="596"/>
      <c r="BH98" s="596"/>
      <c r="BI98" s="596"/>
      <c r="BJ98" s="596"/>
      <c r="BK98" s="596"/>
      <c r="BL98" s="596"/>
      <c r="BM98" s="596"/>
      <c r="BN98" s="596"/>
      <c r="BO98" s="596"/>
      <c r="BP98" s="596"/>
      <c r="BQ98" s="596"/>
      <c r="BR98" s="596"/>
      <c r="BS98" s="596"/>
      <c r="BT98" s="596"/>
      <c r="BU98" s="596"/>
      <c r="BV98" s="596"/>
      <c r="BW98" s="596"/>
      <c r="BX98" s="596"/>
      <c r="BY98" s="596"/>
      <c r="BZ98" s="596"/>
      <c r="CA98" s="596"/>
      <c r="CB98" s="596"/>
      <c r="CC98" s="596"/>
      <c r="CD98" s="596"/>
      <c r="CE98" s="596"/>
      <c r="CF98" s="596"/>
      <c r="CG98" s="596"/>
      <c r="CH98" s="596"/>
      <c r="CI98" s="596"/>
      <c r="CJ98" s="596"/>
      <c r="CK98" s="596"/>
      <c r="CL98" s="596"/>
      <c r="CM98" s="596"/>
      <c r="CN98" s="596"/>
      <c r="CO98" s="596"/>
      <c r="CP98" s="596"/>
      <c r="CQ98" s="596"/>
      <c r="CR98" s="596"/>
      <c r="CS98" s="596"/>
      <c r="CT98" s="596"/>
      <c r="CU98" s="596"/>
      <c r="CV98" s="596"/>
      <c r="CW98" s="596"/>
      <c r="CX98" s="596"/>
      <c r="CY98" s="596"/>
      <c r="CZ98" s="596"/>
      <c r="DA98" s="596"/>
      <c r="DB98" s="596"/>
      <c r="DC98" s="596"/>
      <c r="DD98" s="596"/>
      <c r="DE98" s="596"/>
      <c r="DF98" s="596"/>
      <c r="DG98" s="596"/>
      <c r="DH98" s="596"/>
      <c r="DI98" s="596"/>
      <c r="DJ98" s="596"/>
      <c r="DK98" s="596"/>
      <c r="DL98" s="596"/>
      <c r="DM98" s="596"/>
      <c r="DN98" s="596"/>
      <c r="DO98" s="596"/>
      <c r="DP98" s="596"/>
      <c r="DQ98" s="596"/>
      <c r="DR98" s="596"/>
      <c r="DS98" s="596"/>
      <c r="DT98" s="596"/>
      <c r="DU98" s="596"/>
      <c r="DV98" s="596"/>
      <c r="DW98" s="596"/>
      <c r="DX98" s="596"/>
      <c r="DY98" s="596"/>
      <c r="DZ98" s="596"/>
      <c r="EA98" s="596"/>
    </row>
    <row r="99" spans="1:131">
      <c r="A99" s="596"/>
      <c r="B99" s="596"/>
      <c r="C99" s="596"/>
      <c r="D99" s="596"/>
      <c r="E99" s="596"/>
      <c r="F99" s="596"/>
      <c r="G99" s="596"/>
      <c r="H99" s="596"/>
      <c r="I99" s="596"/>
      <c r="J99" s="596"/>
      <c r="K99" s="638"/>
      <c r="L99" s="638"/>
      <c r="M99" s="638"/>
      <c r="N99" s="638"/>
      <c r="O99" s="638"/>
      <c r="P99" s="596"/>
      <c r="Q99" s="596"/>
      <c r="R99" s="596"/>
      <c r="S99" s="596"/>
      <c r="T99" s="596"/>
      <c r="U99" s="596"/>
      <c r="V99" s="596"/>
      <c r="W99" s="596"/>
      <c r="X99" s="596"/>
      <c r="Y99" s="596"/>
      <c r="Z99" s="596"/>
      <c r="AA99" s="596"/>
      <c r="AB99" s="596"/>
      <c r="AC99" s="596"/>
      <c r="AD99" s="596"/>
      <c r="AE99" s="596"/>
      <c r="AF99" s="596"/>
      <c r="AG99" s="596"/>
      <c r="AH99" s="596"/>
      <c r="AI99" s="596"/>
      <c r="AJ99" s="596"/>
      <c r="AK99" s="596"/>
      <c r="AL99" s="596"/>
      <c r="AM99" s="596"/>
      <c r="AN99" s="596"/>
      <c r="AO99" s="596"/>
      <c r="AP99" s="596"/>
      <c r="AQ99" s="596"/>
      <c r="AR99" s="596"/>
      <c r="AS99" s="596"/>
      <c r="AT99" s="596"/>
      <c r="AU99" s="596"/>
      <c r="AV99" s="596"/>
      <c r="AW99" s="596"/>
      <c r="AX99" s="596"/>
      <c r="AY99" s="596"/>
      <c r="AZ99" s="596"/>
      <c r="BA99" s="596"/>
      <c r="BB99" s="596"/>
      <c r="BC99" s="596"/>
      <c r="BD99" s="596"/>
      <c r="BE99" s="596"/>
      <c r="BF99" s="596"/>
      <c r="BG99" s="596"/>
      <c r="BH99" s="596"/>
      <c r="BI99" s="596"/>
      <c r="BJ99" s="596"/>
      <c r="BK99" s="596"/>
      <c r="BL99" s="596"/>
      <c r="BM99" s="596"/>
      <c r="BN99" s="596"/>
      <c r="BO99" s="596"/>
      <c r="BP99" s="596"/>
      <c r="BQ99" s="596"/>
      <c r="BR99" s="596"/>
      <c r="BS99" s="596"/>
      <c r="BT99" s="596"/>
      <c r="BU99" s="596"/>
      <c r="BV99" s="596"/>
      <c r="BW99" s="596"/>
      <c r="BX99" s="596"/>
      <c r="BY99" s="596"/>
      <c r="BZ99" s="596"/>
      <c r="CA99" s="596"/>
      <c r="CB99" s="596"/>
      <c r="CC99" s="596"/>
      <c r="CD99" s="596"/>
      <c r="CE99" s="596"/>
      <c r="CF99" s="596"/>
      <c r="CG99" s="596"/>
      <c r="CH99" s="596"/>
      <c r="CI99" s="596"/>
      <c r="CJ99" s="596"/>
      <c r="CK99" s="596"/>
      <c r="CL99" s="596"/>
      <c r="CM99" s="596"/>
      <c r="CN99" s="596"/>
      <c r="CO99" s="596"/>
      <c r="CP99" s="596"/>
      <c r="CQ99" s="596"/>
      <c r="CR99" s="596"/>
      <c r="CS99" s="596"/>
      <c r="CT99" s="596"/>
      <c r="CU99" s="596"/>
      <c r="CV99" s="596"/>
      <c r="CW99" s="596"/>
      <c r="CX99" s="596"/>
      <c r="CY99" s="596"/>
      <c r="CZ99" s="596"/>
      <c r="DA99" s="596"/>
      <c r="DB99" s="596"/>
      <c r="DC99" s="596"/>
      <c r="DD99" s="596"/>
      <c r="DE99" s="596"/>
      <c r="DF99" s="596"/>
      <c r="DG99" s="596"/>
      <c r="DH99" s="596"/>
      <c r="DI99" s="596"/>
      <c r="DJ99" s="596"/>
      <c r="DK99" s="596"/>
      <c r="DL99" s="596"/>
      <c r="DM99" s="596"/>
      <c r="DN99" s="596"/>
      <c r="DO99" s="596"/>
      <c r="DP99" s="596"/>
      <c r="DQ99" s="596"/>
      <c r="DR99" s="596"/>
      <c r="DS99" s="596"/>
      <c r="DT99" s="596"/>
      <c r="DU99" s="596"/>
      <c r="DV99" s="596"/>
      <c r="DW99" s="596"/>
      <c r="DX99" s="596"/>
      <c r="DY99" s="596"/>
      <c r="DZ99" s="596"/>
      <c r="EA99" s="596"/>
    </row>
    <row r="100" spans="1:131">
      <c r="A100" s="596"/>
      <c r="B100" s="596"/>
      <c r="C100" s="596"/>
      <c r="D100" s="596"/>
      <c r="E100" s="596"/>
      <c r="F100" s="596"/>
      <c r="G100" s="596"/>
      <c r="H100" s="596"/>
      <c r="I100" s="596"/>
      <c r="J100" s="596"/>
      <c r="K100" s="638"/>
      <c r="L100" s="638"/>
      <c r="M100" s="638"/>
      <c r="N100" s="638"/>
      <c r="O100" s="638"/>
      <c r="P100" s="596"/>
      <c r="Q100" s="596"/>
      <c r="R100" s="596"/>
      <c r="S100" s="596"/>
      <c r="T100" s="596"/>
      <c r="U100" s="596"/>
      <c r="V100" s="596"/>
      <c r="W100" s="596"/>
      <c r="X100" s="596"/>
      <c r="Y100" s="596"/>
      <c r="Z100" s="596"/>
      <c r="AA100" s="596"/>
      <c r="AB100" s="596"/>
      <c r="AC100" s="596"/>
      <c r="AD100" s="596"/>
      <c r="AE100" s="596"/>
      <c r="AF100" s="596"/>
      <c r="AG100" s="596"/>
      <c r="AH100" s="596"/>
      <c r="AI100" s="596"/>
      <c r="AJ100" s="596"/>
      <c r="AK100" s="596"/>
      <c r="AL100" s="596"/>
      <c r="AM100" s="596"/>
      <c r="AN100" s="596"/>
      <c r="AO100" s="596"/>
      <c r="AP100" s="596"/>
      <c r="AQ100" s="596"/>
      <c r="AR100" s="596"/>
      <c r="AS100" s="596"/>
      <c r="AT100" s="596"/>
      <c r="AU100" s="596"/>
      <c r="AV100" s="596"/>
      <c r="AW100" s="596"/>
      <c r="AX100" s="596"/>
      <c r="AY100" s="596"/>
      <c r="AZ100" s="596"/>
      <c r="BA100" s="596"/>
      <c r="BB100" s="596"/>
      <c r="BC100" s="596"/>
      <c r="BD100" s="596"/>
      <c r="BE100" s="596"/>
      <c r="BF100" s="596"/>
      <c r="BG100" s="596"/>
      <c r="BH100" s="596"/>
      <c r="BI100" s="596"/>
      <c r="BJ100" s="596"/>
      <c r="BK100" s="596"/>
      <c r="BL100" s="596"/>
      <c r="BM100" s="596"/>
      <c r="BN100" s="596"/>
      <c r="BO100" s="596"/>
      <c r="BP100" s="596"/>
      <c r="BQ100" s="596"/>
      <c r="BR100" s="596"/>
      <c r="BS100" s="596"/>
      <c r="BT100" s="596"/>
      <c r="BU100" s="596"/>
      <c r="BV100" s="596"/>
      <c r="BW100" s="596"/>
      <c r="BX100" s="596"/>
      <c r="BY100" s="596"/>
      <c r="BZ100" s="596"/>
      <c r="CA100" s="596"/>
      <c r="CB100" s="596"/>
      <c r="CC100" s="596"/>
      <c r="CD100" s="596"/>
      <c r="CE100" s="596"/>
      <c r="CF100" s="596"/>
      <c r="CG100" s="596"/>
      <c r="CH100" s="596"/>
      <c r="CI100" s="596"/>
      <c r="CJ100" s="596"/>
      <c r="CK100" s="596"/>
      <c r="CL100" s="596"/>
      <c r="CM100" s="596"/>
      <c r="CN100" s="596"/>
      <c r="CO100" s="596"/>
      <c r="CP100" s="596"/>
      <c r="CQ100" s="596"/>
      <c r="CR100" s="596"/>
      <c r="CS100" s="596"/>
      <c r="CT100" s="596"/>
      <c r="CU100" s="596"/>
      <c r="CV100" s="596"/>
      <c r="CW100" s="596"/>
      <c r="CX100" s="596"/>
      <c r="CY100" s="596"/>
      <c r="CZ100" s="596"/>
      <c r="DA100" s="596"/>
      <c r="DB100" s="596"/>
      <c r="DC100" s="596"/>
      <c r="DD100" s="596"/>
      <c r="DE100" s="596"/>
      <c r="DF100" s="596"/>
      <c r="DG100" s="596"/>
      <c r="DH100" s="596"/>
      <c r="DI100" s="596"/>
      <c r="DJ100" s="596"/>
      <c r="DK100" s="596"/>
      <c r="DL100" s="596"/>
      <c r="DM100" s="596"/>
      <c r="DN100" s="596"/>
      <c r="DO100" s="596"/>
      <c r="DP100" s="596"/>
      <c r="DQ100" s="596"/>
      <c r="DR100" s="596"/>
      <c r="DS100" s="596"/>
      <c r="DT100" s="596"/>
      <c r="DU100" s="596"/>
      <c r="DV100" s="596"/>
      <c r="DW100" s="596"/>
      <c r="DX100" s="596"/>
      <c r="DY100" s="596"/>
      <c r="DZ100" s="596"/>
      <c r="EA100" s="596"/>
    </row>
    <row r="101" spans="1:131">
      <c r="A101" s="596"/>
      <c r="B101" s="596"/>
      <c r="C101" s="596"/>
      <c r="D101" s="596"/>
      <c r="E101" s="596"/>
      <c r="F101" s="596"/>
      <c r="G101" s="596"/>
      <c r="H101" s="596"/>
      <c r="I101" s="596"/>
      <c r="J101" s="596"/>
      <c r="K101" s="638"/>
      <c r="L101" s="638"/>
      <c r="M101" s="638"/>
      <c r="N101" s="638"/>
      <c r="O101" s="638"/>
      <c r="P101" s="596"/>
      <c r="Q101" s="596"/>
      <c r="R101" s="596"/>
      <c r="S101" s="596"/>
      <c r="T101" s="596"/>
      <c r="U101" s="596"/>
      <c r="V101" s="596"/>
      <c r="W101" s="596"/>
      <c r="X101" s="596"/>
      <c r="Y101" s="596"/>
      <c r="Z101" s="596"/>
      <c r="AA101" s="596"/>
      <c r="AB101" s="596"/>
      <c r="AC101" s="596"/>
      <c r="AD101" s="596"/>
      <c r="AE101" s="596"/>
      <c r="AF101" s="596"/>
      <c r="AG101" s="596"/>
      <c r="AH101" s="596"/>
      <c r="AI101" s="596"/>
      <c r="AJ101" s="596"/>
      <c r="AK101" s="596"/>
      <c r="AL101" s="596"/>
      <c r="AM101" s="596"/>
      <c r="AN101" s="596"/>
      <c r="AO101" s="596"/>
      <c r="AP101" s="596"/>
      <c r="AQ101" s="596"/>
      <c r="AR101" s="596"/>
      <c r="AS101" s="596"/>
      <c r="AT101" s="596"/>
      <c r="AU101" s="596"/>
      <c r="AV101" s="596"/>
      <c r="AW101" s="596"/>
      <c r="AX101" s="596"/>
      <c r="AY101" s="596"/>
      <c r="AZ101" s="596"/>
      <c r="BA101" s="596"/>
      <c r="BB101" s="596"/>
      <c r="BC101" s="596"/>
      <c r="BD101" s="596"/>
      <c r="BE101" s="596"/>
      <c r="BF101" s="596"/>
      <c r="BG101" s="596"/>
      <c r="BH101" s="596"/>
      <c r="BI101" s="596"/>
      <c r="BJ101" s="596"/>
      <c r="BK101" s="596"/>
      <c r="BL101" s="596"/>
      <c r="BM101" s="596"/>
      <c r="BN101" s="596"/>
      <c r="BO101" s="596"/>
      <c r="BP101" s="596"/>
      <c r="BQ101" s="596"/>
      <c r="BR101" s="596"/>
      <c r="BS101" s="596"/>
      <c r="BT101" s="596"/>
      <c r="BU101" s="596"/>
      <c r="BV101" s="596"/>
      <c r="BW101" s="596"/>
      <c r="BX101" s="596"/>
      <c r="BY101" s="596"/>
      <c r="BZ101" s="596"/>
      <c r="CA101" s="596"/>
      <c r="CB101" s="596"/>
      <c r="CC101" s="596"/>
      <c r="CD101" s="596"/>
      <c r="CE101" s="596"/>
      <c r="CF101" s="596"/>
      <c r="CG101" s="596"/>
      <c r="CH101" s="596"/>
      <c r="CI101" s="596"/>
      <c r="CJ101" s="596"/>
      <c r="CK101" s="596"/>
      <c r="CL101" s="596"/>
      <c r="CM101" s="596"/>
      <c r="CN101" s="596"/>
      <c r="CO101" s="596"/>
      <c r="CP101" s="596"/>
      <c r="CQ101" s="596"/>
      <c r="CR101" s="596"/>
      <c r="CS101" s="596"/>
      <c r="CT101" s="596"/>
      <c r="CU101" s="596"/>
      <c r="CV101" s="596"/>
      <c r="CW101" s="596"/>
      <c r="CX101" s="596"/>
      <c r="CY101" s="596"/>
      <c r="CZ101" s="596"/>
      <c r="DA101" s="596"/>
      <c r="DB101" s="596"/>
      <c r="DC101" s="596"/>
      <c r="DD101" s="596"/>
      <c r="DE101" s="596"/>
      <c r="DF101" s="596"/>
      <c r="DG101" s="596"/>
      <c r="DH101" s="596"/>
      <c r="DI101" s="596"/>
      <c r="DJ101" s="596"/>
      <c r="DK101" s="596"/>
      <c r="DL101" s="596"/>
      <c r="DM101" s="596"/>
      <c r="DN101" s="596"/>
      <c r="DO101" s="596"/>
      <c r="DP101" s="596"/>
      <c r="DQ101" s="596"/>
      <c r="DR101" s="596"/>
      <c r="DS101" s="596"/>
      <c r="DT101" s="596"/>
      <c r="DU101" s="596"/>
      <c r="DV101" s="596"/>
      <c r="DW101" s="596"/>
      <c r="DX101" s="596"/>
      <c r="DY101" s="596"/>
      <c r="DZ101" s="596"/>
      <c r="EA101" s="596"/>
    </row>
    <row r="102" spans="1:131">
      <c r="A102" s="596"/>
      <c r="B102" s="596"/>
      <c r="C102" s="596"/>
      <c r="D102" s="596"/>
      <c r="E102" s="596"/>
      <c r="F102" s="596"/>
      <c r="G102" s="596"/>
      <c r="H102" s="596"/>
      <c r="I102" s="596"/>
      <c r="J102" s="596"/>
      <c r="K102" s="638"/>
      <c r="L102" s="638"/>
      <c r="M102" s="638"/>
      <c r="N102" s="638"/>
      <c r="O102" s="638"/>
      <c r="P102" s="596"/>
      <c r="Q102" s="596"/>
      <c r="R102" s="596"/>
      <c r="S102" s="596"/>
      <c r="T102" s="596"/>
      <c r="U102" s="596"/>
      <c r="V102" s="596"/>
      <c r="W102" s="596"/>
      <c r="X102" s="596"/>
      <c r="Y102" s="596"/>
      <c r="Z102" s="596"/>
      <c r="AA102" s="596"/>
      <c r="AB102" s="596"/>
      <c r="AC102" s="596"/>
      <c r="AD102" s="596"/>
      <c r="AE102" s="596"/>
      <c r="AF102" s="596"/>
      <c r="AG102" s="596"/>
      <c r="AH102" s="596"/>
      <c r="AI102" s="596"/>
      <c r="AJ102" s="596"/>
      <c r="AK102" s="596"/>
      <c r="AL102" s="596"/>
      <c r="AM102" s="596"/>
      <c r="AN102" s="596"/>
      <c r="AO102" s="596"/>
      <c r="AP102" s="596"/>
      <c r="AQ102" s="596"/>
      <c r="AR102" s="596"/>
      <c r="AS102" s="596"/>
      <c r="AT102" s="596"/>
      <c r="AU102" s="596"/>
      <c r="AV102" s="596"/>
      <c r="AW102" s="596"/>
      <c r="AX102" s="596"/>
      <c r="AY102" s="596"/>
      <c r="AZ102" s="596"/>
      <c r="BA102" s="596"/>
      <c r="BB102" s="596"/>
      <c r="BC102" s="596"/>
      <c r="BD102" s="596"/>
      <c r="BE102" s="596"/>
      <c r="BF102" s="596"/>
      <c r="BG102" s="596"/>
      <c r="BH102" s="596"/>
      <c r="BI102" s="596"/>
      <c r="BJ102" s="596"/>
      <c r="BK102" s="596"/>
      <c r="BL102" s="596"/>
      <c r="BM102" s="596"/>
      <c r="BN102" s="596"/>
      <c r="BO102" s="596"/>
      <c r="BP102" s="596"/>
      <c r="BQ102" s="596"/>
      <c r="BR102" s="596"/>
      <c r="BS102" s="596"/>
      <c r="BT102" s="596"/>
      <c r="BU102" s="596"/>
      <c r="BV102" s="596"/>
      <c r="BW102" s="596"/>
      <c r="BX102" s="596"/>
      <c r="BY102" s="596"/>
      <c r="BZ102" s="596"/>
      <c r="CA102" s="596"/>
      <c r="CB102" s="596"/>
      <c r="CC102" s="596"/>
      <c r="CD102" s="596"/>
      <c r="CE102" s="596"/>
      <c r="CF102" s="596"/>
      <c r="CG102" s="596"/>
      <c r="CH102" s="596"/>
      <c r="CI102" s="596"/>
      <c r="CJ102" s="596"/>
      <c r="CK102" s="596"/>
      <c r="CL102" s="596"/>
      <c r="CM102" s="596"/>
      <c r="CN102" s="596"/>
      <c r="CO102" s="596"/>
      <c r="CP102" s="596"/>
      <c r="CQ102" s="596"/>
      <c r="CR102" s="596"/>
      <c r="CS102" s="596"/>
      <c r="CT102" s="596"/>
      <c r="CU102" s="596"/>
      <c r="CV102" s="596"/>
      <c r="CW102" s="596"/>
      <c r="CX102" s="596"/>
      <c r="CY102" s="596"/>
      <c r="CZ102" s="596"/>
      <c r="DA102" s="596"/>
      <c r="DB102" s="596"/>
      <c r="DC102" s="596"/>
      <c r="DD102" s="596"/>
      <c r="DE102" s="596"/>
      <c r="DF102" s="596"/>
      <c r="DG102" s="596"/>
      <c r="DH102" s="596"/>
      <c r="DI102" s="596"/>
      <c r="DJ102" s="596"/>
      <c r="DK102" s="596"/>
      <c r="DL102" s="596"/>
      <c r="DM102" s="596"/>
      <c r="DN102" s="596"/>
      <c r="DO102" s="596"/>
      <c r="DP102" s="596"/>
      <c r="DQ102" s="596"/>
      <c r="DR102" s="596"/>
      <c r="DS102" s="596"/>
      <c r="DT102" s="596"/>
      <c r="DU102" s="596"/>
      <c r="DV102" s="596"/>
      <c r="DW102" s="596"/>
      <c r="DX102" s="596"/>
      <c r="DY102" s="596"/>
      <c r="DZ102" s="596"/>
      <c r="EA102" s="596"/>
    </row>
    <row r="103" spans="1:131">
      <c r="A103" s="596"/>
      <c r="B103" s="596"/>
      <c r="C103" s="596"/>
      <c r="D103" s="596"/>
      <c r="E103" s="596"/>
      <c r="F103" s="596"/>
      <c r="G103" s="596"/>
      <c r="H103" s="596"/>
      <c r="I103" s="596"/>
      <c r="J103" s="596"/>
      <c r="K103" s="638"/>
      <c r="L103" s="638"/>
      <c r="M103" s="638"/>
      <c r="N103" s="638"/>
      <c r="O103" s="638"/>
      <c r="P103" s="596"/>
      <c r="Q103" s="596"/>
      <c r="R103" s="596"/>
      <c r="S103" s="596"/>
      <c r="T103" s="596"/>
      <c r="U103" s="596"/>
      <c r="V103" s="596"/>
      <c r="W103" s="596"/>
      <c r="X103" s="596"/>
      <c r="Y103" s="596"/>
      <c r="Z103" s="596"/>
      <c r="AA103" s="596"/>
      <c r="AB103" s="596"/>
      <c r="AC103" s="596"/>
      <c r="AD103" s="596"/>
      <c r="AE103" s="596"/>
      <c r="AF103" s="596"/>
      <c r="AG103" s="596"/>
      <c r="AH103" s="596"/>
      <c r="AI103" s="596"/>
      <c r="AJ103" s="596"/>
      <c r="AK103" s="596"/>
      <c r="AL103" s="596"/>
      <c r="AM103" s="596"/>
      <c r="AN103" s="596"/>
      <c r="AO103" s="596"/>
      <c r="AP103" s="596"/>
      <c r="AQ103" s="596"/>
      <c r="AR103" s="596"/>
      <c r="AS103" s="596"/>
      <c r="AT103" s="596"/>
      <c r="AU103" s="596"/>
      <c r="AV103" s="596"/>
      <c r="AW103" s="596"/>
      <c r="AX103" s="596"/>
      <c r="AY103" s="596"/>
      <c r="AZ103" s="596"/>
      <c r="BA103" s="596"/>
      <c r="BB103" s="596"/>
      <c r="BC103" s="596"/>
      <c r="BD103" s="596"/>
      <c r="BE103" s="596"/>
      <c r="BF103" s="596"/>
      <c r="BG103" s="596"/>
      <c r="BH103" s="596"/>
      <c r="BI103" s="596"/>
      <c r="BJ103" s="596"/>
      <c r="BK103" s="596"/>
      <c r="BL103" s="596"/>
      <c r="BM103" s="596"/>
      <c r="BN103" s="596"/>
      <c r="BO103" s="596"/>
      <c r="BP103" s="596"/>
      <c r="BQ103" s="596"/>
      <c r="BR103" s="596"/>
      <c r="BS103" s="596"/>
      <c r="BT103" s="596"/>
      <c r="BU103" s="596"/>
      <c r="BV103" s="596"/>
      <c r="BW103" s="596"/>
      <c r="BX103" s="596"/>
      <c r="BY103" s="596"/>
      <c r="BZ103" s="596"/>
      <c r="CA103" s="596"/>
      <c r="CB103" s="596"/>
      <c r="CC103" s="596"/>
      <c r="CD103" s="596"/>
      <c r="CE103" s="596"/>
      <c r="CF103" s="596"/>
      <c r="CG103" s="596"/>
      <c r="CH103" s="596"/>
      <c r="CI103" s="596"/>
      <c r="CJ103" s="596"/>
      <c r="CK103" s="596"/>
      <c r="CL103" s="596"/>
      <c r="CM103" s="596"/>
      <c r="CN103" s="596"/>
      <c r="CO103" s="596"/>
      <c r="CP103" s="596"/>
      <c r="CQ103" s="596"/>
      <c r="CR103" s="596"/>
      <c r="CS103" s="596"/>
      <c r="CT103" s="596"/>
      <c r="CU103" s="596"/>
      <c r="CV103" s="596"/>
      <c r="CW103" s="596"/>
      <c r="CX103" s="596"/>
      <c r="CY103" s="596"/>
      <c r="CZ103" s="596"/>
      <c r="DA103" s="596"/>
      <c r="DB103" s="596"/>
      <c r="DC103" s="596"/>
      <c r="DD103" s="596"/>
      <c r="DE103" s="596"/>
      <c r="DF103" s="596"/>
      <c r="DG103" s="596"/>
      <c r="DH103" s="596"/>
      <c r="DI103" s="596"/>
      <c r="DJ103" s="596"/>
      <c r="DK103" s="596"/>
      <c r="DL103" s="596"/>
      <c r="DM103" s="596"/>
      <c r="DN103" s="596"/>
      <c r="DO103" s="596"/>
      <c r="DP103" s="596"/>
      <c r="DQ103" s="596"/>
      <c r="DR103" s="596"/>
      <c r="DS103" s="596"/>
      <c r="DT103" s="596"/>
      <c r="DU103" s="596"/>
      <c r="DV103" s="596"/>
      <c r="DW103" s="596"/>
      <c r="DX103" s="596"/>
      <c r="DY103" s="596"/>
      <c r="DZ103" s="596"/>
      <c r="EA103" s="596"/>
    </row>
    <row r="104" spans="1:131">
      <c r="A104" s="596"/>
      <c r="B104" s="596"/>
      <c r="C104" s="596"/>
      <c r="D104" s="596"/>
      <c r="E104" s="596"/>
      <c r="F104" s="596"/>
      <c r="G104" s="596"/>
      <c r="H104" s="596"/>
      <c r="I104" s="596"/>
      <c r="J104" s="596"/>
      <c r="K104" s="638"/>
      <c r="L104" s="638"/>
      <c r="M104" s="638"/>
      <c r="N104" s="638"/>
      <c r="O104" s="638"/>
      <c r="P104" s="596"/>
      <c r="Q104" s="596"/>
      <c r="R104" s="596"/>
      <c r="S104" s="596"/>
      <c r="T104" s="596"/>
      <c r="U104" s="596"/>
      <c r="V104" s="596"/>
      <c r="W104" s="596"/>
      <c r="X104" s="596"/>
      <c r="Y104" s="596"/>
      <c r="Z104" s="596"/>
      <c r="AA104" s="596"/>
      <c r="AB104" s="596"/>
      <c r="AC104" s="596"/>
      <c r="AD104" s="596"/>
      <c r="AE104" s="596"/>
      <c r="AF104" s="596"/>
      <c r="AG104" s="596"/>
      <c r="AH104" s="596"/>
      <c r="AI104" s="596"/>
      <c r="AJ104" s="596"/>
      <c r="AK104" s="596"/>
      <c r="AL104" s="596"/>
      <c r="AM104" s="596"/>
      <c r="AN104" s="596"/>
      <c r="AO104" s="596"/>
      <c r="AP104" s="596"/>
      <c r="AQ104" s="596"/>
      <c r="AR104" s="596"/>
      <c r="AS104" s="596"/>
      <c r="AT104" s="596"/>
      <c r="AU104" s="596"/>
      <c r="AV104" s="596"/>
      <c r="AW104" s="596"/>
      <c r="AX104" s="596"/>
      <c r="AY104" s="596"/>
      <c r="AZ104" s="596"/>
      <c r="BA104" s="596"/>
      <c r="BB104" s="596"/>
      <c r="BC104" s="596"/>
      <c r="BD104" s="596"/>
      <c r="BE104" s="596"/>
      <c r="BF104" s="596"/>
      <c r="BG104" s="596"/>
      <c r="BH104" s="596"/>
      <c r="BI104" s="596"/>
      <c r="BJ104" s="596"/>
      <c r="BK104" s="596"/>
      <c r="BL104" s="596"/>
      <c r="BM104" s="596"/>
      <c r="BN104" s="596"/>
      <c r="BO104" s="596"/>
      <c r="BP104" s="596"/>
      <c r="BQ104" s="596"/>
      <c r="BR104" s="596"/>
      <c r="BS104" s="596"/>
      <c r="BT104" s="596"/>
      <c r="BU104" s="596"/>
      <c r="BV104" s="596"/>
      <c r="BW104" s="596"/>
      <c r="BX104" s="596"/>
      <c r="BY104" s="596"/>
      <c r="BZ104" s="596"/>
      <c r="CA104" s="596"/>
      <c r="CB104" s="596"/>
      <c r="CC104" s="596"/>
      <c r="CD104" s="596"/>
      <c r="CE104" s="596"/>
      <c r="CF104" s="596"/>
      <c r="CG104" s="596"/>
      <c r="CH104" s="596"/>
      <c r="CI104" s="596"/>
      <c r="CJ104" s="596"/>
      <c r="CK104" s="596"/>
      <c r="CL104" s="596"/>
      <c r="CM104" s="596"/>
      <c r="CN104" s="596"/>
      <c r="CO104" s="596"/>
      <c r="CP104" s="596"/>
      <c r="CQ104" s="596"/>
      <c r="CR104" s="596"/>
      <c r="CS104" s="596"/>
      <c r="CT104" s="596"/>
      <c r="CU104" s="596"/>
      <c r="CV104" s="596"/>
      <c r="CW104" s="596"/>
      <c r="CX104" s="596"/>
      <c r="CY104" s="596"/>
      <c r="CZ104" s="596"/>
      <c r="DA104" s="596"/>
      <c r="DB104" s="596"/>
      <c r="DC104" s="596"/>
      <c r="DD104" s="596"/>
      <c r="DE104" s="596"/>
      <c r="DF104" s="596"/>
      <c r="DG104" s="596"/>
      <c r="DH104" s="596"/>
      <c r="DI104" s="596"/>
      <c r="DJ104" s="596"/>
      <c r="DK104" s="596"/>
      <c r="DL104" s="596"/>
      <c r="DM104" s="596"/>
      <c r="DN104" s="596"/>
      <c r="DO104" s="596"/>
      <c r="DP104" s="596"/>
      <c r="DQ104" s="596"/>
      <c r="DR104" s="596"/>
      <c r="DS104" s="596"/>
      <c r="DT104" s="596"/>
      <c r="DU104" s="596"/>
      <c r="DV104" s="596"/>
      <c r="DW104" s="596"/>
      <c r="DX104" s="596"/>
      <c r="DY104" s="596"/>
      <c r="DZ104" s="596"/>
      <c r="EA104" s="596"/>
    </row>
    <row r="105" spans="1:131">
      <c r="A105" s="596"/>
      <c r="B105" s="596"/>
      <c r="C105" s="596"/>
      <c r="D105" s="596"/>
      <c r="E105" s="596"/>
      <c r="F105" s="596"/>
      <c r="G105" s="596"/>
      <c r="H105" s="596"/>
      <c r="I105" s="596"/>
      <c r="J105" s="596"/>
      <c r="K105" s="638"/>
      <c r="L105" s="638"/>
      <c r="M105" s="638"/>
      <c r="N105" s="638"/>
      <c r="O105" s="638"/>
      <c r="P105" s="596"/>
      <c r="Q105" s="596"/>
      <c r="R105" s="596"/>
      <c r="S105" s="596"/>
      <c r="T105" s="596"/>
      <c r="U105" s="596"/>
      <c r="V105" s="596"/>
      <c r="W105" s="596"/>
      <c r="X105" s="596"/>
      <c r="Y105" s="596"/>
      <c r="Z105" s="596"/>
      <c r="AA105" s="596"/>
      <c r="AB105" s="596"/>
      <c r="AC105" s="596"/>
      <c r="AD105" s="596"/>
      <c r="AE105" s="596"/>
      <c r="AF105" s="596"/>
      <c r="AG105" s="596"/>
      <c r="AH105" s="596"/>
      <c r="AI105" s="596"/>
      <c r="AJ105" s="596"/>
      <c r="AK105" s="596"/>
      <c r="AL105" s="596"/>
      <c r="AM105" s="596"/>
      <c r="AN105" s="596"/>
      <c r="AO105" s="596"/>
      <c r="AP105" s="596"/>
      <c r="AQ105" s="596"/>
      <c r="AR105" s="596"/>
      <c r="AS105" s="596"/>
      <c r="AT105" s="596"/>
      <c r="AU105" s="596"/>
      <c r="AV105" s="596"/>
      <c r="AW105" s="596"/>
      <c r="AX105" s="596"/>
      <c r="AY105" s="596"/>
      <c r="AZ105" s="596"/>
      <c r="BA105" s="596"/>
      <c r="BB105" s="596"/>
      <c r="BC105" s="596"/>
      <c r="BD105" s="596"/>
      <c r="BE105" s="596"/>
      <c r="BF105" s="596"/>
      <c r="BG105" s="596"/>
      <c r="BH105" s="596"/>
      <c r="BI105" s="596"/>
      <c r="BJ105" s="596"/>
      <c r="BK105" s="596"/>
      <c r="BL105" s="596"/>
      <c r="BM105" s="596"/>
      <c r="BN105" s="596"/>
      <c r="BO105" s="596"/>
      <c r="BP105" s="596"/>
      <c r="BQ105" s="596"/>
      <c r="BR105" s="596"/>
      <c r="BS105" s="596"/>
      <c r="BT105" s="596"/>
      <c r="BU105" s="596"/>
      <c r="BV105" s="596"/>
      <c r="BW105" s="596"/>
      <c r="BX105" s="596"/>
      <c r="BY105" s="596"/>
      <c r="BZ105" s="596"/>
      <c r="CA105" s="596"/>
      <c r="CB105" s="596"/>
      <c r="CC105" s="596"/>
      <c r="CD105" s="596"/>
      <c r="CE105" s="596"/>
      <c r="CF105" s="596"/>
      <c r="CG105" s="596"/>
      <c r="CH105" s="596"/>
      <c r="CI105" s="596"/>
      <c r="CJ105" s="596"/>
      <c r="CK105" s="596"/>
      <c r="CL105" s="596"/>
      <c r="CM105" s="596"/>
      <c r="CN105" s="596"/>
      <c r="CO105" s="596"/>
      <c r="CP105" s="596"/>
      <c r="CQ105" s="596"/>
      <c r="CR105" s="596"/>
      <c r="CS105" s="596"/>
      <c r="CT105" s="596"/>
      <c r="CU105" s="596"/>
      <c r="CV105" s="596"/>
      <c r="CW105" s="596"/>
      <c r="CX105" s="596"/>
      <c r="CY105" s="596"/>
      <c r="CZ105" s="596"/>
      <c r="DA105" s="596"/>
      <c r="DB105" s="596"/>
      <c r="DC105" s="596"/>
      <c r="DD105" s="596"/>
      <c r="DE105" s="596"/>
      <c r="DF105" s="596"/>
      <c r="DG105" s="596"/>
      <c r="DH105" s="596"/>
      <c r="DI105" s="596"/>
      <c r="DJ105" s="596"/>
      <c r="DK105" s="596"/>
      <c r="DL105" s="596"/>
      <c r="DM105" s="596"/>
      <c r="DN105" s="596"/>
      <c r="DO105" s="596"/>
      <c r="DP105" s="596"/>
      <c r="DQ105" s="596"/>
      <c r="DR105" s="596"/>
      <c r="DS105" s="596"/>
      <c r="DT105" s="596"/>
      <c r="DU105" s="596"/>
      <c r="DV105" s="596"/>
      <c r="DW105" s="596"/>
      <c r="DX105" s="596"/>
      <c r="DY105" s="596"/>
      <c r="DZ105" s="596"/>
      <c r="EA105" s="596"/>
    </row>
    <row r="106" spans="1:131">
      <c r="A106" s="596"/>
      <c r="B106" s="596"/>
      <c r="C106" s="596"/>
      <c r="D106" s="596"/>
      <c r="E106" s="596"/>
      <c r="F106" s="596"/>
      <c r="G106" s="596"/>
      <c r="H106" s="596"/>
      <c r="I106" s="596"/>
      <c r="J106" s="596"/>
      <c r="K106" s="638"/>
      <c r="L106" s="638"/>
      <c r="M106" s="638"/>
      <c r="N106" s="638"/>
      <c r="O106" s="638"/>
      <c r="P106" s="596"/>
      <c r="Q106" s="596"/>
      <c r="R106" s="596"/>
      <c r="S106" s="596"/>
      <c r="T106" s="596"/>
      <c r="U106" s="596"/>
      <c r="V106" s="596"/>
      <c r="W106" s="596"/>
      <c r="X106" s="596"/>
      <c r="Y106" s="596"/>
      <c r="Z106" s="596"/>
      <c r="AA106" s="596"/>
      <c r="AB106" s="596"/>
      <c r="AC106" s="596"/>
      <c r="AD106" s="596"/>
      <c r="AE106" s="596"/>
      <c r="AF106" s="596"/>
      <c r="AG106" s="596"/>
      <c r="AH106" s="596"/>
      <c r="AI106" s="596"/>
      <c r="AJ106" s="596"/>
      <c r="AK106" s="596"/>
      <c r="AL106" s="596"/>
      <c r="AM106" s="596"/>
      <c r="AN106" s="596"/>
      <c r="AO106" s="596"/>
      <c r="AP106" s="596"/>
      <c r="AQ106" s="596"/>
      <c r="AR106" s="596"/>
      <c r="AS106" s="596"/>
      <c r="AT106" s="596"/>
      <c r="AU106" s="596"/>
      <c r="AV106" s="596"/>
      <c r="AW106" s="596"/>
      <c r="AX106" s="596"/>
      <c r="AY106" s="596"/>
      <c r="AZ106" s="596"/>
      <c r="BA106" s="596"/>
      <c r="BB106" s="596"/>
      <c r="BC106" s="596"/>
      <c r="BD106" s="596"/>
      <c r="BE106" s="596"/>
      <c r="BF106" s="596"/>
      <c r="BG106" s="596"/>
      <c r="BH106" s="596"/>
      <c r="BI106" s="596"/>
      <c r="BJ106" s="596"/>
      <c r="BK106" s="596"/>
      <c r="BL106" s="596"/>
      <c r="BM106" s="596"/>
      <c r="BN106" s="596"/>
      <c r="BO106" s="596"/>
      <c r="BP106" s="596"/>
      <c r="BQ106" s="596"/>
      <c r="BR106" s="596"/>
      <c r="BS106" s="596"/>
      <c r="BT106" s="596"/>
      <c r="BU106" s="596"/>
      <c r="BV106" s="596"/>
      <c r="BW106" s="596"/>
      <c r="BX106" s="596"/>
      <c r="BY106" s="596"/>
      <c r="BZ106" s="596"/>
      <c r="CA106" s="596"/>
      <c r="CB106" s="596"/>
      <c r="CC106" s="596"/>
      <c r="CD106" s="596"/>
      <c r="CE106" s="596"/>
      <c r="CF106" s="596"/>
      <c r="CG106" s="596"/>
      <c r="CH106" s="596"/>
      <c r="CI106" s="596"/>
      <c r="CJ106" s="596"/>
      <c r="CK106" s="596"/>
      <c r="CL106" s="596"/>
      <c r="CM106" s="596"/>
      <c r="CN106" s="596"/>
      <c r="CO106" s="596"/>
      <c r="CP106" s="596"/>
      <c r="CQ106" s="596"/>
      <c r="CR106" s="596"/>
      <c r="CS106" s="596"/>
      <c r="CT106" s="596"/>
      <c r="CU106" s="596"/>
      <c r="CV106" s="596"/>
      <c r="CW106" s="596"/>
      <c r="CX106" s="596"/>
      <c r="CY106" s="596"/>
      <c r="CZ106" s="596"/>
      <c r="DA106" s="596"/>
      <c r="DB106" s="596"/>
      <c r="DC106" s="596"/>
      <c r="DD106" s="596"/>
      <c r="DE106" s="596"/>
      <c r="DF106" s="596"/>
      <c r="DG106" s="596"/>
      <c r="DH106" s="596"/>
      <c r="DI106" s="596"/>
      <c r="DJ106" s="596"/>
      <c r="DK106" s="596"/>
      <c r="DL106" s="596"/>
      <c r="DM106" s="596"/>
      <c r="DN106" s="596"/>
      <c r="DO106" s="596"/>
      <c r="DP106" s="596"/>
      <c r="DQ106" s="596"/>
      <c r="DR106" s="596"/>
      <c r="DS106" s="596"/>
      <c r="DT106" s="596"/>
      <c r="DU106" s="596"/>
      <c r="DV106" s="596"/>
      <c r="DW106" s="596"/>
      <c r="DX106" s="596"/>
      <c r="DY106" s="596"/>
      <c r="DZ106" s="596"/>
      <c r="EA106" s="596"/>
    </row>
    <row r="107" spans="1:131">
      <c r="A107" s="596"/>
      <c r="B107" s="596"/>
      <c r="C107" s="596"/>
      <c r="D107" s="596"/>
      <c r="E107" s="596"/>
      <c r="F107" s="596"/>
      <c r="G107" s="596"/>
      <c r="H107" s="596"/>
      <c r="I107" s="596"/>
      <c r="J107" s="596"/>
      <c r="K107" s="638"/>
      <c r="L107" s="638"/>
      <c r="M107" s="638"/>
      <c r="N107" s="638"/>
      <c r="O107" s="638"/>
      <c r="P107" s="596"/>
      <c r="Q107" s="596"/>
      <c r="R107" s="596"/>
      <c r="S107" s="596"/>
      <c r="T107" s="596"/>
      <c r="U107" s="596"/>
      <c r="V107" s="596"/>
      <c r="W107" s="596"/>
      <c r="X107" s="596"/>
      <c r="Y107" s="596"/>
      <c r="Z107" s="596"/>
      <c r="AA107" s="596"/>
      <c r="AB107" s="596"/>
      <c r="AC107" s="596"/>
      <c r="AD107" s="596"/>
      <c r="AE107" s="596"/>
      <c r="AF107" s="596"/>
      <c r="AG107" s="596"/>
      <c r="AH107" s="596"/>
      <c r="AI107" s="596"/>
      <c r="AJ107" s="596"/>
      <c r="AK107" s="596"/>
      <c r="AL107" s="596"/>
      <c r="AM107" s="596"/>
      <c r="AN107" s="596"/>
      <c r="AO107" s="596"/>
      <c r="AP107" s="596"/>
      <c r="AQ107" s="596"/>
      <c r="AR107" s="596"/>
      <c r="AS107" s="596"/>
      <c r="AT107" s="596"/>
      <c r="AU107" s="596"/>
      <c r="AV107" s="596"/>
      <c r="AW107" s="596"/>
      <c r="AX107" s="596"/>
      <c r="AY107" s="596"/>
      <c r="AZ107" s="596"/>
      <c r="BA107" s="596"/>
      <c r="BB107" s="596"/>
      <c r="BC107" s="596"/>
      <c r="BD107" s="596"/>
      <c r="BE107" s="596"/>
      <c r="BF107" s="596"/>
      <c r="BG107" s="596"/>
      <c r="BH107" s="596"/>
      <c r="BI107" s="596"/>
      <c r="BJ107" s="596"/>
      <c r="BK107" s="596"/>
      <c r="BL107" s="596"/>
      <c r="BM107" s="596"/>
      <c r="BN107" s="596"/>
      <c r="BO107" s="596"/>
      <c r="BP107" s="596"/>
      <c r="BQ107" s="596"/>
      <c r="BR107" s="596"/>
      <c r="BS107" s="596"/>
      <c r="BT107" s="596"/>
      <c r="BU107" s="596"/>
      <c r="BV107" s="596"/>
      <c r="BW107" s="596"/>
      <c r="BX107" s="596"/>
      <c r="BY107" s="596"/>
      <c r="BZ107" s="596"/>
      <c r="CA107" s="596"/>
      <c r="CB107" s="596"/>
      <c r="CC107" s="596"/>
      <c r="CD107" s="596"/>
      <c r="CE107" s="596"/>
      <c r="CF107" s="596"/>
      <c r="CG107" s="596"/>
      <c r="CH107" s="596"/>
      <c r="CI107" s="596"/>
      <c r="CJ107" s="596"/>
      <c r="CK107" s="596"/>
      <c r="CL107" s="596"/>
      <c r="CM107" s="596"/>
      <c r="CN107" s="596"/>
      <c r="CO107" s="596"/>
      <c r="CP107" s="596"/>
      <c r="CQ107" s="596"/>
      <c r="CR107" s="596"/>
      <c r="CS107" s="596"/>
      <c r="CT107" s="596"/>
      <c r="CU107" s="596"/>
      <c r="CV107" s="596"/>
      <c r="CW107" s="596"/>
      <c r="CX107" s="596"/>
      <c r="CY107" s="596"/>
      <c r="CZ107" s="596"/>
      <c r="DA107" s="596"/>
      <c r="DB107" s="596"/>
      <c r="DC107" s="596"/>
      <c r="DD107" s="596"/>
      <c r="DE107" s="596"/>
      <c r="DF107" s="596"/>
      <c r="DG107" s="596"/>
      <c r="DH107" s="596"/>
      <c r="DI107" s="596"/>
      <c r="DJ107" s="596"/>
      <c r="DK107" s="596"/>
      <c r="DL107" s="596"/>
      <c r="DM107" s="596"/>
      <c r="DN107" s="596"/>
      <c r="DO107" s="596"/>
      <c r="DP107" s="596"/>
      <c r="DQ107" s="596"/>
      <c r="DR107" s="596"/>
      <c r="DS107" s="596"/>
      <c r="DT107" s="596"/>
      <c r="DU107" s="596"/>
      <c r="DV107" s="596"/>
      <c r="DW107" s="596"/>
      <c r="DX107" s="596"/>
      <c r="DY107" s="596"/>
      <c r="DZ107" s="596"/>
      <c r="EA107" s="596"/>
    </row>
    <row r="108" spans="1:131">
      <c r="A108" s="596"/>
      <c r="B108" s="596"/>
      <c r="C108" s="596"/>
      <c r="D108" s="596"/>
      <c r="E108" s="596"/>
      <c r="F108" s="596"/>
      <c r="G108" s="596"/>
      <c r="H108" s="596"/>
      <c r="I108" s="596"/>
      <c r="J108" s="596"/>
      <c r="K108" s="638"/>
      <c r="L108" s="638"/>
      <c r="M108" s="638"/>
      <c r="N108" s="638"/>
      <c r="O108" s="638"/>
      <c r="P108" s="596"/>
      <c r="Q108" s="596"/>
      <c r="R108" s="596"/>
      <c r="S108" s="596"/>
      <c r="T108" s="596"/>
      <c r="U108" s="596"/>
      <c r="V108" s="596"/>
      <c r="W108" s="596"/>
      <c r="X108" s="596"/>
      <c r="Y108" s="596"/>
      <c r="Z108" s="596"/>
      <c r="AA108" s="596"/>
      <c r="AB108" s="596"/>
      <c r="AC108" s="596"/>
      <c r="AD108" s="596"/>
      <c r="AE108" s="596"/>
      <c r="AF108" s="596"/>
      <c r="AG108" s="596"/>
      <c r="AH108" s="596"/>
      <c r="AI108" s="596"/>
      <c r="AJ108" s="596"/>
      <c r="AK108" s="596"/>
      <c r="AL108" s="596"/>
      <c r="AM108" s="596"/>
      <c r="AN108" s="596"/>
      <c r="AO108" s="596"/>
      <c r="AP108" s="596"/>
      <c r="AQ108" s="596"/>
      <c r="AR108" s="596"/>
      <c r="AS108" s="596"/>
      <c r="AT108" s="596"/>
      <c r="AU108" s="596"/>
      <c r="AV108" s="596"/>
      <c r="AW108" s="596"/>
      <c r="AX108" s="596"/>
      <c r="AY108" s="596"/>
      <c r="AZ108" s="596"/>
      <c r="BA108" s="596"/>
      <c r="BB108" s="596"/>
      <c r="BC108" s="596"/>
      <c r="BD108" s="596"/>
      <c r="BE108" s="596"/>
      <c r="BF108" s="596"/>
      <c r="BG108" s="596"/>
      <c r="BH108" s="596"/>
      <c r="BI108" s="596"/>
      <c r="BJ108" s="596"/>
      <c r="BK108" s="596"/>
      <c r="BL108" s="596"/>
      <c r="BM108" s="596"/>
      <c r="BN108" s="596"/>
      <c r="BO108" s="596"/>
      <c r="BP108" s="596"/>
      <c r="BQ108" s="596"/>
      <c r="BR108" s="596"/>
      <c r="BS108" s="596"/>
      <c r="BT108" s="596"/>
      <c r="BU108" s="596"/>
      <c r="BV108" s="596"/>
      <c r="BW108" s="596"/>
      <c r="BX108" s="596"/>
      <c r="BY108" s="596"/>
      <c r="BZ108" s="596"/>
      <c r="CA108" s="596"/>
      <c r="CB108" s="596"/>
      <c r="CC108" s="596"/>
      <c r="CD108" s="596"/>
      <c r="CE108" s="596"/>
      <c r="CF108" s="596"/>
      <c r="CG108" s="596"/>
      <c r="CH108" s="596"/>
      <c r="CI108" s="596"/>
      <c r="CJ108" s="596"/>
      <c r="CK108" s="596"/>
      <c r="CL108" s="596"/>
      <c r="CM108" s="596"/>
      <c r="CN108" s="596"/>
      <c r="CO108" s="596"/>
      <c r="CP108" s="596"/>
      <c r="CQ108" s="596"/>
      <c r="CR108" s="596"/>
      <c r="CS108" s="596"/>
      <c r="CT108" s="596"/>
      <c r="CU108" s="596"/>
      <c r="CV108" s="596"/>
      <c r="CW108" s="596"/>
      <c r="CX108" s="596"/>
      <c r="CY108" s="596"/>
      <c r="CZ108" s="596"/>
      <c r="DA108" s="596"/>
      <c r="DB108" s="596"/>
      <c r="DC108" s="596"/>
      <c r="DD108" s="596"/>
      <c r="DE108" s="596"/>
      <c r="DF108" s="596"/>
      <c r="DG108" s="596"/>
      <c r="DH108" s="596"/>
      <c r="DI108" s="596"/>
      <c r="DJ108" s="596"/>
      <c r="DK108" s="596"/>
      <c r="DL108" s="596"/>
      <c r="DM108" s="596"/>
      <c r="DN108" s="596"/>
      <c r="DO108" s="596"/>
      <c r="DP108" s="596"/>
      <c r="DQ108" s="596"/>
      <c r="DR108" s="596"/>
      <c r="DS108" s="596"/>
      <c r="DT108" s="596"/>
      <c r="DU108" s="596"/>
      <c r="DV108" s="596"/>
      <c r="DW108" s="596"/>
      <c r="DX108" s="596"/>
      <c r="DY108" s="596"/>
      <c r="DZ108" s="596"/>
      <c r="EA108" s="596"/>
    </row>
    <row r="109" spans="1:131">
      <c r="A109" s="596"/>
      <c r="B109" s="596"/>
      <c r="C109" s="596"/>
      <c r="D109" s="596"/>
      <c r="E109" s="596"/>
      <c r="F109" s="596"/>
      <c r="G109" s="596"/>
      <c r="H109" s="596"/>
      <c r="I109" s="596"/>
      <c r="J109" s="596"/>
      <c r="K109" s="638"/>
      <c r="L109" s="638"/>
      <c r="M109" s="638"/>
      <c r="N109" s="638"/>
      <c r="O109" s="638"/>
      <c r="P109" s="596"/>
      <c r="Q109" s="596"/>
      <c r="R109" s="596"/>
      <c r="S109" s="596"/>
      <c r="T109" s="596"/>
      <c r="U109" s="596"/>
      <c r="V109" s="596"/>
      <c r="W109" s="596"/>
      <c r="X109" s="596"/>
      <c r="Y109" s="596"/>
      <c r="Z109" s="596"/>
      <c r="AA109" s="596"/>
      <c r="AB109" s="596"/>
      <c r="AC109" s="596"/>
      <c r="AD109" s="596"/>
      <c r="AE109" s="596"/>
      <c r="AF109" s="596"/>
      <c r="AG109" s="596"/>
      <c r="AH109" s="596"/>
      <c r="AI109" s="596"/>
      <c r="AJ109" s="596"/>
      <c r="AK109" s="596"/>
      <c r="AL109" s="596"/>
      <c r="AM109" s="596"/>
      <c r="AN109" s="596"/>
      <c r="AO109" s="596"/>
      <c r="AP109" s="596"/>
      <c r="AQ109" s="596"/>
      <c r="AR109" s="596"/>
      <c r="AS109" s="596"/>
      <c r="AT109" s="596"/>
      <c r="AU109" s="596"/>
      <c r="AV109" s="596"/>
      <c r="AW109" s="596"/>
      <c r="AX109" s="596"/>
      <c r="AY109" s="596"/>
      <c r="AZ109" s="596"/>
      <c r="BA109" s="596"/>
      <c r="BB109" s="596"/>
      <c r="BC109" s="596"/>
      <c r="BD109" s="596"/>
      <c r="BE109" s="596"/>
      <c r="BF109" s="596"/>
      <c r="BG109" s="596"/>
      <c r="BH109" s="596"/>
      <c r="BI109" s="596"/>
      <c r="BJ109" s="596"/>
      <c r="BK109" s="596"/>
      <c r="BL109" s="596"/>
      <c r="BM109" s="596"/>
      <c r="BN109" s="596"/>
      <c r="BO109" s="596"/>
      <c r="BP109" s="596"/>
      <c r="BQ109" s="596"/>
      <c r="BR109" s="596"/>
      <c r="BS109" s="596"/>
      <c r="BT109" s="596"/>
      <c r="BU109" s="596"/>
      <c r="BV109" s="596"/>
      <c r="BW109" s="596"/>
      <c r="BX109" s="596"/>
      <c r="BY109" s="596"/>
      <c r="BZ109" s="596"/>
      <c r="CA109" s="596"/>
      <c r="CB109" s="596"/>
      <c r="CC109" s="596"/>
      <c r="CD109" s="596"/>
      <c r="CE109" s="596"/>
      <c r="CF109" s="596"/>
      <c r="CG109" s="596"/>
      <c r="CH109" s="596"/>
      <c r="CI109" s="596"/>
      <c r="CJ109" s="596"/>
      <c r="CK109" s="596"/>
      <c r="CL109" s="596"/>
      <c r="CM109" s="596"/>
      <c r="CN109" s="596"/>
      <c r="CO109" s="596"/>
      <c r="CP109" s="596"/>
      <c r="CQ109" s="596"/>
      <c r="CR109" s="596"/>
      <c r="CS109" s="596"/>
      <c r="CT109" s="596"/>
      <c r="CU109" s="596"/>
      <c r="CV109" s="596"/>
      <c r="CW109" s="596"/>
      <c r="CX109" s="596"/>
      <c r="CY109" s="596"/>
      <c r="CZ109" s="596"/>
      <c r="DA109" s="596"/>
      <c r="DB109" s="596"/>
      <c r="DC109" s="596"/>
      <c r="DD109" s="596"/>
      <c r="DE109" s="596"/>
      <c r="DF109" s="596"/>
      <c r="DG109" s="596"/>
      <c r="DH109" s="596"/>
      <c r="DI109" s="596"/>
      <c r="DJ109" s="596"/>
      <c r="DK109" s="596"/>
      <c r="DL109" s="596"/>
      <c r="DM109" s="596"/>
      <c r="DN109" s="596"/>
      <c r="DO109" s="596"/>
      <c r="DP109" s="596"/>
      <c r="DQ109" s="596"/>
      <c r="DR109" s="596"/>
      <c r="DS109" s="596"/>
      <c r="DT109" s="596"/>
      <c r="DU109" s="596"/>
      <c r="DV109" s="596"/>
      <c r="DW109" s="596"/>
      <c r="DX109" s="596"/>
      <c r="DY109" s="596"/>
      <c r="DZ109" s="596"/>
      <c r="EA109" s="596"/>
    </row>
    <row r="110" spans="1:131">
      <c r="A110" s="596"/>
      <c r="B110" s="596"/>
      <c r="C110" s="596"/>
      <c r="D110" s="596"/>
      <c r="E110" s="596"/>
      <c r="F110" s="596"/>
      <c r="G110" s="596"/>
      <c r="H110" s="596"/>
      <c r="I110" s="596"/>
      <c r="J110" s="596"/>
      <c r="K110" s="638"/>
      <c r="L110" s="638"/>
      <c r="M110" s="638"/>
      <c r="N110" s="638"/>
      <c r="O110" s="638"/>
      <c r="P110" s="596"/>
      <c r="Q110" s="596"/>
      <c r="R110" s="596"/>
      <c r="S110" s="596"/>
      <c r="T110" s="596"/>
      <c r="U110" s="596"/>
      <c r="V110" s="596"/>
      <c r="W110" s="596"/>
      <c r="X110" s="596"/>
      <c r="Y110" s="596"/>
      <c r="Z110" s="596"/>
      <c r="AA110" s="596"/>
      <c r="AB110" s="596"/>
      <c r="AC110" s="596"/>
      <c r="AD110" s="596"/>
      <c r="AE110" s="596"/>
      <c r="AF110" s="596"/>
      <c r="AG110" s="596"/>
      <c r="AH110" s="596"/>
      <c r="AI110" s="596"/>
      <c r="AJ110" s="596"/>
      <c r="AK110" s="596"/>
      <c r="AL110" s="596"/>
      <c r="AM110" s="596"/>
      <c r="AN110" s="596"/>
      <c r="AO110" s="596"/>
      <c r="AP110" s="596"/>
      <c r="AQ110" s="596"/>
      <c r="AR110" s="596"/>
      <c r="AS110" s="596"/>
      <c r="AT110" s="596"/>
      <c r="AU110" s="596"/>
      <c r="AV110" s="596"/>
      <c r="AW110" s="596"/>
      <c r="AX110" s="596"/>
      <c r="AY110" s="596"/>
      <c r="AZ110" s="596"/>
      <c r="BA110" s="596"/>
      <c r="BB110" s="596"/>
      <c r="BC110" s="596"/>
      <c r="BD110" s="596"/>
      <c r="BE110" s="596"/>
      <c r="BF110" s="596"/>
      <c r="BG110" s="596"/>
      <c r="BH110" s="596"/>
      <c r="BI110" s="596"/>
      <c r="BJ110" s="596"/>
      <c r="BK110" s="596"/>
      <c r="BL110" s="596"/>
      <c r="BM110" s="596"/>
      <c r="BN110" s="596"/>
      <c r="BO110" s="596"/>
      <c r="BP110" s="596"/>
      <c r="BQ110" s="596"/>
      <c r="BR110" s="596"/>
      <c r="BS110" s="596"/>
      <c r="BT110" s="596"/>
      <c r="BU110" s="596"/>
      <c r="BV110" s="596"/>
      <c r="BW110" s="596"/>
      <c r="BX110" s="596"/>
      <c r="BY110" s="596"/>
      <c r="BZ110" s="596"/>
      <c r="CA110" s="596"/>
      <c r="CB110" s="596"/>
      <c r="CC110" s="596"/>
      <c r="CD110" s="596"/>
      <c r="CE110" s="596"/>
      <c r="CF110" s="596"/>
      <c r="CG110" s="596"/>
      <c r="CH110" s="596"/>
      <c r="CI110" s="596"/>
      <c r="CJ110" s="596"/>
      <c r="CK110" s="596"/>
      <c r="CL110" s="596"/>
      <c r="CM110" s="596"/>
      <c r="CN110" s="596"/>
      <c r="CO110" s="596"/>
      <c r="CP110" s="596"/>
      <c r="CQ110" s="596"/>
      <c r="CR110" s="596"/>
      <c r="CS110" s="596"/>
      <c r="CT110" s="596"/>
      <c r="CU110" s="596"/>
      <c r="CV110" s="596"/>
      <c r="CW110" s="596"/>
      <c r="CX110" s="596"/>
      <c r="CY110" s="596"/>
      <c r="CZ110" s="596"/>
      <c r="DA110" s="596"/>
      <c r="DB110" s="596"/>
      <c r="DC110" s="596"/>
      <c r="DD110" s="596"/>
      <c r="DE110" s="596"/>
      <c r="DF110" s="596"/>
      <c r="DG110" s="596"/>
      <c r="DH110" s="596"/>
      <c r="DI110" s="596"/>
      <c r="DJ110" s="596"/>
      <c r="DK110" s="596"/>
      <c r="DL110" s="596"/>
      <c r="DM110" s="596"/>
      <c r="DN110" s="596"/>
      <c r="DO110" s="596"/>
      <c r="DP110" s="596"/>
      <c r="DQ110" s="596"/>
      <c r="DR110" s="596"/>
      <c r="DS110" s="596"/>
      <c r="DT110" s="596"/>
      <c r="DU110" s="596"/>
      <c r="DV110" s="596"/>
      <c r="DW110" s="596"/>
      <c r="DX110" s="596"/>
      <c r="DY110" s="596"/>
      <c r="DZ110" s="596"/>
      <c r="EA110" s="596"/>
    </row>
    <row r="111" spans="1:131">
      <c r="A111" s="596"/>
      <c r="B111" s="596"/>
      <c r="C111" s="596"/>
      <c r="D111" s="596"/>
      <c r="E111" s="596"/>
      <c r="F111" s="596"/>
      <c r="G111" s="596"/>
      <c r="H111" s="596"/>
      <c r="I111" s="596"/>
      <c r="J111" s="596"/>
      <c r="K111" s="638"/>
      <c r="L111" s="638"/>
      <c r="M111" s="638"/>
      <c r="N111" s="638"/>
      <c r="O111" s="638"/>
      <c r="P111" s="596"/>
      <c r="Q111" s="596"/>
      <c r="R111" s="596"/>
      <c r="S111" s="596"/>
      <c r="T111" s="596"/>
      <c r="U111" s="596"/>
      <c r="V111" s="596"/>
      <c r="W111" s="596"/>
      <c r="X111" s="596"/>
      <c r="Y111" s="596"/>
      <c r="Z111" s="596"/>
      <c r="AA111" s="596"/>
      <c r="AB111" s="596"/>
      <c r="AC111" s="596"/>
      <c r="AD111" s="596"/>
      <c r="AE111" s="596"/>
      <c r="AF111" s="596"/>
      <c r="AG111" s="596"/>
      <c r="AH111" s="596"/>
      <c r="AI111" s="596"/>
      <c r="AJ111" s="596"/>
      <c r="AK111" s="596"/>
      <c r="AL111" s="596"/>
      <c r="AM111" s="596"/>
      <c r="AN111" s="596"/>
      <c r="AO111" s="596"/>
      <c r="AP111" s="596"/>
      <c r="AQ111" s="596"/>
      <c r="AR111" s="596"/>
      <c r="AS111" s="596"/>
      <c r="AT111" s="596"/>
      <c r="AU111" s="596"/>
      <c r="AV111" s="596"/>
      <c r="AW111" s="596"/>
      <c r="AX111" s="596"/>
      <c r="AY111" s="596"/>
      <c r="AZ111" s="596"/>
      <c r="BA111" s="596"/>
      <c r="BB111" s="596"/>
      <c r="BC111" s="596"/>
      <c r="BD111" s="596"/>
      <c r="BE111" s="596"/>
      <c r="BF111" s="596"/>
      <c r="BG111" s="596"/>
      <c r="BH111" s="596"/>
      <c r="BI111" s="596"/>
      <c r="BJ111" s="596"/>
      <c r="BK111" s="596"/>
      <c r="BL111" s="596"/>
      <c r="BM111" s="596"/>
      <c r="BN111" s="596"/>
      <c r="BO111" s="596"/>
      <c r="BP111" s="596"/>
      <c r="BQ111" s="596"/>
      <c r="BR111" s="596"/>
      <c r="BS111" s="596"/>
      <c r="BT111" s="596"/>
      <c r="BU111" s="596"/>
      <c r="BV111" s="596"/>
      <c r="BW111" s="596"/>
      <c r="BX111" s="596"/>
      <c r="BY111" s="596"/>
      <c r="BZ111" s="596"/>
      <c r="CA111" s="596"/>
      <c r="CB111" s="596"/>
      <c r="CC111" s="596"/>
      <c r="CD111" s="596"/>
      <c r="CE111" s="596"/>
      <c r="CF111" s="596"/>
      <c r="CG111" s="596"/>
      <c r="CH111" s="596"/>
      <c r="CI111" s="596"/>
      <c r="CJ111" s="596"/>
      <c r="CK111" s="596"/>
      <c r="CL111" s="596"/>
      <c r="CM111" s="596"/>
      <c r="CN111" s="596"/>
      <c r="CO111" s="596"/>
      <c r="CP111" s="596"/>
      <c r="CQ111" s="596"/>
      <c r="CR111" s="596"/>
      <c r="CS111" s="596"/>
      <c r="CT111" s="596"/>
      <c r="CU111" s="596"/>
      <c r="CV111" s="596"/>
      <c r="CW111" s="596"/>
      <c r="CX111" s="596"/>
      <c r="CY111" s="596"/>
      <c r="CZ111" s="596"/>
      <c r="DA111" s="596"/>
      <c r="DB111" s="596"/>
      <c r="DC111" s="596"/>
      <c r="DD111" s="596"/>
      <c r="DE111" s="596"/>
      <c r="DF111" s="596"/>
      <c r="DG111" s="596"/>
      <c r="DH111" s="596"/>
      <c r="DI111" s="596"/>
      <c r="DJ111" s="596"/>
      <c r="DK111" s="596"/>
      <c r="DL111" s="596"/>
      <c r="DM111" s="596"/>
      <c r="DN111" s="596"/>
      <c r="DO111" s="596"/>
      <c r="DP111" s="596"/>
      <c r="DQ111" s="596"/>
      <c r="DR111" s="596"/>
      <c r="DS111" s="596"/>
      <c r="DT111" s="596"/>
      <c r="DU111" s="596"/>
      <c r="DV111" s="596"/>
      <c r="DW111" s="596"/>
      <c r="DX111" s="596"/>
      <c r="DY111" s="596"/>
      <c r="DZ111" s="596"/>
      <c r="EA111" s="596"/>
    </row>
    <row r="112" spans="1:131">
      <c r="A112" s="596"/>
      <c r="B112" s="596"/>
      <c r="C112" s="596"/>
      <c r="D112" s="596"/>
      <c r="E112" s="596"/>
      <c r="F112" s="596"/>
      <c r="G112" s="596"/>
      <c r="H112" s="596"/>
      <c r="I112" s="596"/>
      <c r="J112" s="596"/>
      <c r="K112" s="638"/>
      <c r="L112" s="638"/>
      <c r="M112" s="638"/>
      <c r="N112" s="638"/>
      <c r="O112" s="638"/>
      <c r="P112" s="596"/>
      <c r="Q112" s="596"/>
      <c r="R112" s="596"/>
      <c r="S112" s="596"/>
      <c r="T112" s="596"/>
      <c r="U112" s="596"/>
      <c r="V112" s="596"/>
      <c r="W112" s="596"/>
      <c r="X112" s="596"/>
      <c r="Y112" s="596"/>
      <c r="Z112" s="596"/>
      <c r="AA112" s="596"/>
      <c r="AB112" s="596"/>
      <c r="AC112" s="596"/>
      <c r="AD112" s="596"/>
      <c r="AE112" s="596"/>
      <c r="AF112" s="596"/>
      <c r="AG112" s="596"/>
      <c r="AH112" s="596"/>
      <c r="AI112" s="596"/>
      <c r="AJ112" s="596"/>
      <c r="AK112" s="596"/>
      <c r="AL112" s="596"/>
      <c r="AM112" s="596"/>
      <c r="AN112" s="596"/>
      <c r="AO112" s="596"/>
      <c r="AP112" s="596"/>
      <c r="AQ112" s="596"/>
      <c r="AR112" s="596"/>
      <c r="AS112" s="596"/>
      <c r="AT112" s="596"/>
      <c r="AU112" s="596"/>
      <c r="AV112" s="596"/>
      <c r="AW112" s="596"/>
      <c r="AX112" s="596"/>
      <c r="AY112" s="596"/>
      <c r="AZ112" s="596"/>
      <c r="BA112" s="596"/>
      <c r="BB112" s="596"/>
      <c r="BC112" s="596"/>
      <c r="BD112" s="596"/>
      <c r="BE112" s="596"/>
      <c r="BF112" s="596"/>
      <c r="BG112" s="596"/>
      <c r="BH112" s="596"/>
      <c r="BI112" s="596"/>
      <c r="BJ112" s="596"/>
      <c r="BK112" s="596"/>
      <c r="BL112" s="596"/>
      <c r="BM112" s="596"/>
      <c r="BN112" s="596"/>
      <c r="BO112" s="596"/>
      <c r="BP112" s="596"/>
      <c r="BQ112" s="596"/>
      <c r="BR112" s="596"/>
      <c r="BS112" s="596"/>
      <c r="BT112" s="596"/>
      <c r="BU112" s="596"/>
      <c r="BV112" s="596"/>
      <c r="BW112" s="596"/>
      <c r="BX112" s="596"/>
      <c r="BY112" s="596"/>
      <c r="BZ112" s="596"/>
      <c r="CA112" s="596"/>
      <c r="CB112" s="596"/>
      <c r="CC112" s="596"/>
      <c r="CD112" s="596"/>
      <c r="CE112" s="596"/>
      <c r="CF112" s="596"/>
      <c r="CG112" s="596"/>
      <c r="CH112" s="596"/>
      <c r="CI112" s="596"/>
      <c r="CJ112" s="596"/>
      <c r="CK112" s="596"/>
      <c r="CL112" s="596"/>
      <c r="CM112" s="596"/>
      <c r="CN112" s="596"/>
      <c r="CO112" s="596"/>
      <c r="CP112" s="596"/>
      <c r="CQ112" s="596"/>
      <c r="CR112" s="596"/>
      <c r="CS112" s="596"/>
      <c r="CT112" s="596"/>
      <c r="CU112" s="596"/>
      <c r="CV112" s="596"/>
      <c r="CW112" s="596"/>
      <c r="CX112" s="596"/>
      <c r="CY112" s="596"/>
      <c r="CZ112" s="596"/>
      <c r="DA112" s="596"/>
      <c r="DB112" s="596"/>
      <c r="DC112" s="596"/>
      <c r="DD112" s="596"/>
      <c r="DE112" s="596"/>
      <c r="DF112" s="596"/>
      <c r="DG112" s="596"/>
      <c r="DH112" s="596"/>
      <c r="DI112" s="596"/>
      <c r="DJ112" s="596"/>
      <c r="DK112" s="596"/>
      <c r="DL112" s="596"/>
      <c r="DM112" s="596"/>
      <c r="DN112" s="596"/>
      <c r="DO112" s="596"/>
      <c r="DP112" s="596"/>
      <c r="DQ112" s="596"/>
      <c r="DR112" s="596"/>
      <c r="DS112" s="596"/>
      <c r="DT112" s="596"/>
      <c r="DU112" s="596"/>
      <c r="DV112" s="596"/>
      <c r="DW112" s="596"/>
      <c r="DX112" s="596"/>
      <c r="DY112" s="596"/>
      <c r="DZ112" s="596"/>
      <c r="EA112" s="596"/>
    </row>
    <row r="113" spans="1:131">
      <c r="A113" s="596"/>
      <c r="B113" s="596"/>
      <c r="C113" s="596"/>
      <c r="D113" s="596"/>
      <c r="E113" s="596"/>
      <c r="F113" s="596"/>
      <c r="G113" s="596"/>
      <c r="H113" s="596"/>
      <c r="I113" s="596"/>
      <c r="J113" s="596"/>
      <c r="K113" s="638"/>
      <c r="L113" s="638"/>
      <c r="M113" s="638"/>
      <c r="N113" s="638"/>
      <c r="O113" s="638"/>
      <c r="P113" s="596"/>
      <c r="Q113" s="596"/>
      <c r="R113" s="596"/>
      <c r="S113" s="596"/>
      <c r="T113" s="596"/>
      <c r="U113" s="596"/>
      <c r="V113" s="596"/>
      <c r="W113" s="596"/>
      <c r="X113" s="596"/>
      <c r="Y113" s="596"/>
      <c r="Z113" s="596"/>
      <c r="AA113" s="596"/>
      <c r="AB113" s="596"/>
      <c r="AC113" s="596"/>
      <c r="AD113" s="596"/>
      <c r="AE113" s="596"/>
      <c r="AF113" s="596"/>
      <c r="AG113" s="596"/>
      <c r="AH113" s="596"/>
      <c r="AI113" s="596"/>
      <c r="AJ113" s="596"/>
      <c r="AK113" s="596"/>
      <c r="AL113" s="596"/>
      <c r="AM113" s="596"/>
      <c r="AN113" s="596"/>
      <c r="AO113" s="596"/>
      <c r="AP113" s="596"/>
      <c r="AQ113" s="596"/>
      <c r="AR113" s="596"/>
      <c r="AS113" s="596"/>
      <c r="AT113" s="596"/>
      <c r="AU113" s="596"/>
      <c r="AV113" s="596"/>
      <c r="AW113" s="596"/>
      <c r="AX113" s="596"/>
      <c r="AY113" s="596"/>
      <c r="AZ113" s="596"/>
      <c r="BA113" s="596"/>
      <c r="BB113" s="596"/>
      <c r="BC113" s="596"/>
      <c r="BD113" s="596"/>
      <c r="BE113" s="596"/>
      <c r="BF113" s="596"/>
      <c r="BG113" s="596"/>
      <c r="BH113" s="596"/>
      <c r="BI113" s="596"/>
      <c r="BJ113" s="596"/>
      <c r="BK113" s="596"/>
      <c r="BL113" s="596"/>
      <c r="BM113" s="596"/>
      <c r="BN113" s="596"/>
      <c r="BO113" s="596"/>
      <c r="BP113" s="596"/>
      <c r="BQ113" s="596"/>
      <c r="BR113" s="596"/>
      <c r="BS113" s="596"/>
      <c r="BT113" s="596"/>
      <c r="BU113" s="596"/>
      <c r="BV113" s="596"/>
      <c r="BW113" s="596"/>
      <c r="BX113" s="596"/>
      <c r="BY113" s="596"/>
      <c r="BZ113" s="596"/>
      <c r="CA113" s="596"/>
      <c r="CB113" s="596"/>
      <c r="CC113" s="596"/>
      <c r="CD113" s="596"/>
      <c r="CE113" s="596"/>
      <c r="CF113" s="596"/>
      <c r="CG113" s="596"/>
      <c r="CH113" s="596"/>
      <c r="CI113" s="596"/>
      <c r="CJ113" s="596"/>
      <c r="CK113" s="596"/>
      <c r="CL113" s="596"/>
      <c r="CM113" s="596"/>
      <c r="CN113" s="596"/>
      <c r="CO113" s="596"/>
      <c r="CP113" s="596"/>
      <c r="CQ113" s="596"/>
      <c r="CR113" s="596"/>
      <c r="CS113" s="596"/>
      <c r="CT113" s="596"/>
      <c r="CU113" s="596"/>
      <c r="CV113" s="596"/>
      <c r="CW113" s="596"/>
      <c r="CX113" s="596"/>
      <c r="CY113" s="596"/>
      <c r="CZ113" s="596"/>
      <c r="DA113" s="596"/>
      <c r="DB113" s="596"/>
      <c r="DC113" s="596"/>
      <c r="DD113" s="596"/>
      <c r="DE113" s="596"/>
      <c r="DF113" s="596"/>
      <c r="DG113" s="596"/>
      <c r="DH113" s="596"/>
      <c r="DI113" s="596"/>
      <c r="DJ113" s="596"/>
      <c r="DK113" s="596"/>
      <c r="DL113" s="596"/>
      <c r="DM113" s="596"/>
      <c r="DN113" s="596"/>
      <c r="DO113" s="596"/>
      <c r="DP113" s="596"/>
      <c r="DQ113" s="596"/>
      <c r="DR113" s="596"/>
      <c r="DS113" s="596"/>
      <c r="DT113" s="596"/>
      <c r="DU113" s="596"/>
      <c r="DV113" s="596"/>
      <c r="DW113" s="596"/>
      <c r="DX113" s="596"/>
      <c r="DY113" s="596"/>
      <c r="DZ113" s="596"/>
      <c r="EA113" s="596"/>
    </row>
    <row r="114" spans="1:131">
      <c r="A114" s="596"/>
      <c r="B114" s="596"/>
      <c r="C114" s="596"/>
      <c r="D114" s="596"/>
      <c r="E114" s="596"/>
      <c r="F114" s="596"/>
      <c r="G114" s="596"/>
      <c r="H114" s="596"/>
      <c r="I114" s="596"/>
      <c r="J114" s="596"/>
      <c r="K114" s="638"/>
      <c r="L114" s="638"/>
      <c r="M114" s="638"/>
      <c r="N114" s="638"/>
      <c r="O114" s="638"/>
      <c r="P114" s="596"/>
      <c r="Q114" s="596"/>
      <c r="R114" s="596"/>
      <c r="S114" s="596"/>
      <c r="T114" s="596"/>
      <c r="U114" s="596"/>
      <c r="V114" s="596"/>
      <c r="W114" s="596"/>
      <c r="X114" s="596"/>
      <c r="Y114" s="596"/>
      <c r="Z114" s="596"/>
      <c r="AA114" s="596"/>
      <c r="AB114" s="596"/>
      <c r="AC114" s="596"/>
      <c r="AD114" s="596"/>
      <c r="AE114" s="596"/>
      <c r="AF114" s="596"/>
      <c r="AG114" s="596"/>
      <c r="AH114" s="596"/>
      <c r="AI114" s="596"/>
      <c r="AJ114" s="596"/>
      <c r="AK114" s="596"/>
      <c r="AL114" s="596"/>
      <c r="AM114" s="596"/>
      <c r="AN114" s="596"/>
      <c r="AO114" s="596"/>
      <c r="AP114" s="596"/>
      <c r="AQ114" s="596"/>
      <c r="AR114" s="596"/>
      <c r="AS114" s="596"/>
      <c r="AT114" s="596"/>
      <c r="AU114" s="596"/>
      <c r="AV114" s="596"/>
      <c r="AW114" s="596"/>
      <c r="AX114" s="596"/>
      <c r="AY114" s="596"/>
      <c r="AZ114" s="596"/>
      <c r="BA114" s="596"/>
      <c r="BB114" s="596"/>
      <c r="BC114" s="596"/>
      <c r="BD114" s="596"/>
      <c r="BE114" s="596"/>
      <c r="BF114" s="596"/>
      <c r="BG114" s="596"/>
      <c r="BH114" s="596"/>
      <c r="BI114" s="596"/>
      <c r="BJ114" s="596"/>
      <c r="BK114" s="596"/>
      <c r="BL114" s="596"/>
      <c r="BM114" s="596"/>
      <c r="BN114" s="596"/>
      <c r="BO114" s="596"/>
      <c r="BP114" s="596"/>
      <c r="BQ114" s="596"/>
      <c r="BR114" s="596"/>
      <c r="BS114" s="596"/>
      <c r="BT114" s="596"/>
      <c r="BU114" s="596"/>
      <c r="BV114" s="596"/>
      <c r="BW114" s="596"/>
      <c r="BX114" s="596"/>
      <c r="BY114" s="596"/>
      <c r="BZ114" s="596"/>
      <c r="CA114" s="596"/>
      <c r="CB114" s="596"/>
      <c r="CC114" s="596"/>
      <c r="CD114" s="596"/>
      <c r="CE114" s="596"/>
      <c r="CF114" s="596"/>
      <c r="CG114" s="596"/>
      <c r="CH114" s="596"/>
      <c r="CI114" s="596"/>
      <c r="CJ114" s="596"/>
      <c r="CK114" s="596"/>
      <c r="CL114" s="596"/>
      <c r="CM114" s="596"/>
      <c r="CN114" s="596"/>
      <c r="CO114" s="596"/>
      <c r="CP114" s="596"/>
      <c r="CQ114" s="596"/>
      <c r="CR114" s="596"/>
      <c r="CS114" s="596"/>
      <c r="CT114" s="596"/>
      <c r="CU114" s="596"/>
      <c r="CV114" s="596"/>
      <c r="CW114" s="596"/>
      <c r="CX114" s="596"/>
      <c r="CY114" s="596"/>
      <c r="CZ114" s="596"/>
      <c r="DA114" s="596"/>
      <c r="DB114" s="596"/>
      <c r="DC114" s="596"/>
      <c r="DD114" s="596"/>
      <c r="DE114" s="596"/>
      <c r="DF114" s="596"/>
      <c r="DG114" s="596"/>
      <c r="DH114" s="596"/>
      <c r="DI114" s="596"/>
      <c r="DJ114" s="596"/>
      <c r="DK114" s="596"/>
      <c r="DL114" s="596"/>
      <c r="DM114" s="596"/>
      <c r="DN114" s="596"/>
      <c r="DO114" s="596"/>
      <c r="DP114" s="596"/>
      <c r="DQ114" s="596"/>
      <c r="DR114" s="596"/>
      <c r="DS114" s="596"/>
      <c r="DT114" s="596"/>
      <c r="DU114" s="596"/>
      <c r="DV114" s="596"/>
      <c r="DW114" s="596"/>
      <c r="DX114" s="596"/>
      <c r="DY114" s="596"/>
      <c r="DZ114" s="596"/>
      <c r="EA114" s="596"/>
    </row>
    <row r="115" spans="1:131">
      <c r="A115" s="596"/>
      <c r="B115" s="596"/>
      <c r="C115" s="596"/>
      <c r="D115" s="596"/>
      <c r="E115" s="596"/>
      <c r="F115" s="596"/>
      <c r="G115" s="596"/>
      <c r="H115" s="596"/>
      <c r="I115" s="596"/>
      <c r="J115" s="596"/>
      <c r="K115" s="638"/>
      <c r="L115" s="638"/>
      <c r="M115" s="638"/>
      <c r="N115" s="638"/>
      <c r="O115" s="638"/>
      <c r="P115" s="596"/>
      <c r="Q115" s="596"/>
      <c r="R115" s="596"/>
      <c r="S115" s="596"/>
      <c r="T115" s="596"/>
      <c r="U115" s="596"/>
      <c r="V115" s="596"/>
      <c r="W115" s="596"/>
      <c r="X115" s="596"/>
      <c r="Y115" s="596"/>
      <c r="Z115" s="596"/>
      <c r="AA115" s="596"/>
      <c r="AB115" s="596"/>
      <c r="AC115" s="596"/>
      <c r="AD115" s="596"/>
      <c r="AE115" s="596"/>
      <c r="AF115" s="596"/>
      <c r="AG115" s="596"/>
      <c r="AH115" s="596"/>
      <c r="AI115" s="596"/>
      <c r="AJ115" s="596"/>
      <c r="AK115" s="596"/>
      <c r="AL115" s="596"/>
      <c r="AM115" s="596"/>
      <c r="AN115" s="596"/>
      <c r="AO115" s="596"/>
      <c r="AP115" s="596"/>
      <c r="AQ115" s="596"/>
      <c r="AR115" s="596"/>
      <c r="AS115" s="596"/>
      <c r="AT115" s="596"/>
      <c r="AU115" s="596"/>
      <c r="AV115" s="596"/>
      <c r="AW115" s="596"/>
      <c r="AX115" s="596"/>
      <c r="AY115" s="596"/>
      <c r="AZ115" s="596"/>
      <c r="BA115" s="596"/>
      <c r="BB115" s="596"/>
      <c r="BC115" s="596"/>
      <c r="BD115" s="596"/>
      <c r="BE115" s="596"/>
      <c r="BF115" s="596"/>
      <c r="BG115" s="596"/>
      <c r="BH115" s="596"/>
      <c r="BI115" s="596"/>
      <c r="BJ115" s="596"/>
      <c r="BK115" s="596"/>
      <c r="BL115" s="596"/>
      <c r="BM115" s="596"/>
      <c r="BN115" s="596"/>
      <c r="BO115" s="596"/>
      <c r="BP115" s="596"/>
      <c r="BQ115" s="596"/>
      <c r="BR115" s="596"/>
      <c r="BS115" s="596"/>
      <c r="BT115" s="596"/>
      <c r="BU115" s="596"/>
      <c r="BV115" s="596"/>
      <c r="BW115" s="596"/>
      <c r="BX115" s="596"/>
      <c r="BY115" s="596"/>
      <c r="BZ115" s="596"/>
      <c r="CA115" s="596"/>
      <c r="CB115" s="596"/>
      <c r="CC115" s="596"/>
      <c r="CD115" s="596"/>
      <c r="CE115" s="596"/>
      <c r="CF115" s="596"/>
      <c r="CG115" s="596"/>
      <c r="CH115" s="596"/>
      <c r="CI115" s="596"/>
      <c r="CJ115" s="596"/>
      <c r="CK115" s="596"/>
      <c r="CL115" s="596"/>
      <c r="CM115" s="596"/>
      <c r="CN115" s="596"/>
      <c r="CO115" s="596"/>
      <c r="CP115" s="596"/>
      <c r="CQ115" s="596"/>
      <c r="CR115" s="596"/>
      <c r="CS115" s="596"/>
      <c r="CT115" s="596"/>
      <c r="CU115" s="596"/>
      <c r="CV115" s="596"/>
      <c r="CW115" s="596"/>
      <c r="CX115" s="596"/>
      <c r="CY115" s="596"/>
      <c r="CZ115" s="596"/>
      <c r="DA115" s="596"/>
      <c r="DB115" s="596"/>
      <c r="DC115" s="596"/>
      <c r="DD115" s="596"/>
      <c r="DE115" s="596"/>
      <c r="DF115" s="596"/>
      <c r="DG115" s="596"/>
      <c r="DH115" s="596"/>
      <c r="DI115" s="596"/>
      <c r="DJ115" s="596"/>
      <c r="DK115" s="596"/>
      <c r="DL115" s="596"/>
      <c r="DM115" s="596"/>
      <c r="DN115" s="596"/>
      <c r="DO115" s="596"/>
      <c r="DP115" s="596"/>
      <c r="DQ115" s="596"/>
      <c r="DR115" s="596"/>
      <c r="DS115" s="596"/>
      <c r="DT115" s="596"/>
      <c r="DU115" s="596"/>
      <c r="DV115" s="596"/>
      <c r="DW115" s="596"/>
      <c r="DX115" s="596"/>
      <c r="DY115" s="596"/>
      <c r="DZ115" s="596"/>
      <c r="EA115" s="596"/>
    </row>
    <row r="116" spans="1:131">
      <c r="A116" s="596"/>
      <c r="B116" s="596"/>
      <c r="C116" s="596"/>
      <c r="D116" s="596"/>
      <c r="E116" s="596"/>
      <c r="F116" s="596"/>
      <c r="G116" s="596"/>
      <c r="H116" s="596"/>
      <c r="I116" s="596"/>
      <c r="J116" s="596"/>
      <c r="K116" s="638"/>
      <c r="L116" s="638"/>
      <c r="M116" s="638"/>
      <c r="N116" s="638"/>
      <c r="O116" s="638"/>
      <c r="P116" s="596"/>
      <c r="Q116" s="596"/>
      <c r="R116" s="596"/>
      <c r="S116" s="596"/>
      <c r="T116" s="596"/>
      <c r="U116" s="596"/>
      <c r="V116" s="596"/>
      <c r="W116" s="596"/>
      <c r="X116" s="596"/>
      <c r="Y116" s="596"/>
      <c r="Z116" s="596"/>
      <c r="AA116" s="596"/>
      <c r="AB116" s="596"/>
      <c r="AC116" s="596"/>
      <c r="AD116" s="596"/>
      <c r="AE116" s="596"/>
      <c r="AF116" s="596"/>
      <c r="AG116" s="596"/>
      <c r="AH116" s="596"/>
      <c r="AI116" s="596"/>
      <c r="AJ116" s="596"/>
      <c r="AK116" s="596"/>
      <c r="AL116" s="596"/>
      <c r="AM116" s="596"/>
      <c r="AN116" s="596"/>
      <c r="AO116" s="596"/>
      <c r="AP116" s="596"/>
      <c r="AQ116" s="596"/>
      <c r="AR116" s="596"/>
      <c r="AS116" s="596"/>
      <c r="AT116" s="596"/>
      <c r="AU116" s="596"/>
      <c r="AV116" s="596"/>
      <c r="AW116" s="596"/>
      <c r="AX116" s="596"/>
      <c r="AY116" s="596"/>
      <c r="AZ116" s="596"/>
      <c r="BA116" s="596"/>
      <c r="BB116" s="596"/>
      <c r="BC116" s="596"/>
      <c r="BD116" s="596"/>
      <c r="BE116" s="596"/>
      <c r="BF116" s="596"/>
      <c r="BG116" s="596"/>
      <c r="BH116" s="596"/>
      <c r="BI116" s="596"/>
      <c r="BJ116" s="596"/>
      <c r="BK116" s="596"/>
      <c r="BL116" s="596"/>
      <c r="BM116" s="596"/>
      <c r="BN116" s="596"/>
      <c r="BO116" s="596"/>
      <c r="BP116" s="596"/>
      <c r="BQ116" s="596"/>
      <c r="BR116" s="596"/>
      <c r="BS116" s="596"/>
      <c r="BT116" s="596"/>
      <c r="BU116" s="596"/>
      <c r="BV116" s="596"/>
      <c r="BW116" s="596"/>
      <c r="BX116" s="596"/>
      <c r="BY116" s="596"/>
      <c r="BZ116" s="596"/>
      <c r="CA116" s="596"/>
      <c r="CB116" s="596"/>
      <c r="CC116" s="596"/>
      <c r="CD116" s="596"/>
      <c r="CE116" s="596"/>
      <c r="CF116" s="596"/>
      <c r="CG116" s="596"/>
      <c r="CH116" s="596"/>
      <c r="CI116" s="596"/>
      <c r="CJ116" s="596"/>
      <c r="CK116" s="596"/>
      <c r="CL116" s="596"/>
      <c r="CM116" s="596"/>
      <c r="CN116" s="596"/>
      <c r="CO116" s="596"/>
      <c r="CP116" s="596"/>
      <c r="CQ116" s="596"/>
      <c r="CR116" s="596"/>
      <c r="CS116" s="596"/>
      <c r="CT116" s="596"/>
      <c r="CU116" s="596"/>
      <c r="CV116" s="596"/>
      <c r="CW116" s="596"/>
      <c r="CX116" s="596"/>
      <c r="CY116" s="596"/>
      <c r="CZ116" s="596"/>
      <c r="DA116" s="596"/>
      <c r="DB116" s="596"/>
      <c r="DC116" s="596"/>
      <c r="DD116" s="596"/>
      <c r="DE116" s="596"/>
      <c r="DF116" s="596"/>
      <c r="DG116" s="596"/>
      <c r="DH116" s="596"/>
      <c r="DI116" s="596"/>
      <c r="DJ116" s="596"/>
      <c r="DK116" s="596"/>
      <c r="DL116" s="596"/>
      <c r="DM116" s="596"/>
      <c r="DN116" s="596"/>
      <c r="DO116" s="596"/>
      <c r="DP116" s="596"/>
      <c r="DQ116" s="596"/>
      <c r="DR116" s="596"/>
      <c r="DS116" s="596"/>
      <c r="DT116" s="596"/>
      <c r="DU116" s="596"/>
      <c r="DV116" s="596"/>
      <c r="DW116" s="596"/>
      <c r="DX116" s="596"/>
      <c r="DY116" s="596"/>
      <c r="DZ116" s="596"/>
      <c r="EA116" s="596"/>
    </row>
    <row r="117" spans="1:131">
      <c r="A117" s="596"/>
      <c r="B117" s="596"/>
      <c r="C117" s="596"/>
      <c r="D117" s="596"/>
      <c r="E117" s="596"/>
      <c r="F117" s="596"/>
      <c r="G117" s="596"/>
      <c r="H117" s="596"/>
      <c r="I117" s="596"/>
      <c r="J117" s="596"/>
      <c r="K117" s="638"/>
      <c r="L117" s="638"/>
      <c r="M117" s="638"/>
      <c r="N117" s="638"/>
      <c r="O117" s="638"/>
      <c r="P117" s="596"/>
      <c r="Q117" s="596"/>
      <c r="R117" s="596"/>
      <c r="S117" s="596"/>
      <c r="T117" s="596"/>
      <c r="U117" s="596"/>
      <c r="V117" s="596"/>
      <c r="W117" s="596"/>
      <c r="X117" s="596"/>
      <c r="Y117" s="596"/>
      <c r="Z117" s="596"/>
      <c r="AA117" s="596"/>
      <c r="AB117" s="596"/>
      <c r="AC117" s="596"/>
      <c r="AD117" s="596"/>
      <c r="AE117" s="596"/>
      <c r="AF117" s="596"/>
      <c r="AG117" s="596"/>
      <c r="AH117" s="596"/>
      <c r="AI117" s="596"/>
      <c r="AJ117" s="596"/>
      <c r="AK117" s="596"/>
      <c r="AL117" s="596"/>
      <c r="AM117" s="596"/>
      <c r="AN117" s="596"/>
      <c r="AO117" s="596"/>
      <c r="AP117" s="596"/>
      <c r="AQ117" s="596"/>
      <c r="AR117" s="596"/>
      <c r="AS117" s="596"/>
      <c r="AT117" s="596"/>
      <c r="AU117" s="596"/>
      <c r="AV117" s="596"/>
      <c r="AW117" s="596"/>
      <c r="AX117" s="596"/>
      <c r="AY117" s="596"/>
      <c r="AZ117" s="596"/>
      <c r="BA117" s="596"/>
      <c r="BB117" s="596"/>
      <c r="BC117" s="596"/>
      <c r="BD117" s="596"/>
      <c r="BE117" s="596"/>
      <c r="BF117" s="596"/>
      <c r="BG117" s="596"/>
      <c r="BH117" s="596"/>
      <c r="BI117" s="596"/>
      <c r="BJ117" s="596"/>
      <c r="BK117" s="596"/>
      <c r="BL117" s="596"/>
      <c r="BM117" s="596"/>
      <c r="BN117" s="596"/>
      <c r="BO117" s="596"/>
      <c r="BP117" s="596"/>
      <c r="BQ117" s="596"/>
      <c r="BR117" s="596"/>
      <c r="BS117" s="596"/>
      <c r="BT117" s="596"/>
      <c r="BU117" s="596"/>
      <c r="BV117" s="596"/>
      <c r="BW117" s="596"/>
      <c r="BX117" s="596"/>
      <c r="BY117" s="596"/>
      <c r="BZ117" s="596"/>
      <c r="CA117" s="596"/>
      <c r="CB117" s="596"/>
      <c r="CC117" s="596"/>
      <c r="CD117" s="596"/>
      <c r="CE117" s="596"/>
      <c r="CF117" s="596"/>
      <c r="CG117" s="596"/>
      <c r="CH117" s="596"/>
      <c r="CI117" s="596"/>
      <c r="CJ117" s="596"/>
      <c r="CK117" s="596"/>
      <c r="CL117" s="596"/>
      <c r="CM117" s="596"/>
      <c r="CN117" s="596"/>
      <c r="CO117" s="596"/>
      <c r="CP117" s="596"/>
      <c r="CQ117" s="596"/>
      <c r="CR117" s="596"/>
      <c r="CS117" s="596"/>
      <c r="CT117" s="596"/>
      <c r="CU117" s="596"/>
      <c r="CV117" s="596"/>
      <c r="CW117" s="596"/>
      <c r="CX117" s="596"/>
      <c r="CY117" s="596"/>
      <c r="CZ117" s="596"/>
      <c r="DA117" s="596"/>
      <c r="DB117" s="596"/>
      <c r="DC117" s="596"/>
      <c r="DD117" s="596"/>
      <c r="DE117" s="596"/>
      <c r="DF117" s="596"/>
      <c r="DG117" s="596"/>
      <c r="DH117" s="596"/>
      <c r="DI117" s="596"/>
      <c r="DJ117" s="596"/>
      <c r="DK117" s="596"/>
      <c r="DL117" s="596"/>
      <c r="DM117" s="596"/>
      <c r="DN117" s="596"/>
      <c r="DO117" s="596"/>
      <c r="DP117" s="596"/>
      <c r="DQ117" s="596"/>
      <c r="DR117" s="596"/>
      <c r="DS117" s="596"/>
      <c r="DT117" s="596"/>
      <c r="DU117" s="596"/>
      <c r="DV117" s="596"/>
      <c r="DW117" s="596"/>
      <c r="DX117" s="596"/>
      <c r="DY117" s="596"/>
      <c r="DZ117" s="596"/>
      <c r="EA117" s="596"/>
    </row>
    <row r="118" spans="1:131">
      <c r="A118" s="596"/>
      <c r="B118" s="596"/>
      <c r="C118" s="596"/>
      <c r="D118" s="596"/>
      <c r="E118" s="596"/>
      <c r="F118" s="596"/>
      <c r="G118" s="596"/>
      <c r="H118" s="596"/>
      <c r="I118" s="596"/>
      <c r="J118" s="596"/>
      <c r="K118" s="638"/>
      <c r="L118" s="638"/>
      <c r="M118" s="638"/>
      <c r="N118" s="638"/>
      <c r="O118" s="638"/>
      <c r="P118" s="596"/>
      <c r="Q118" s="596"/>
      <c r="R118" s="596"/>
      <c r="S118" s="596"/>
      <c r="T118" s="596"/>
      <c r="U118" s="596"/>
      <c r="V118" s="596"/>
      <c r="W118" s="596"/>
      <c r="X118" s="596"/>
      <c r="Y118" s="596"/>
      <c r="Z118" s="596"/>
      <c r="AA118" s="596"/>
      <c r="AB118" s="596"/>
      <c r="AC118" s="596"/>
      <c r="AD118" s="596"/>
      <c r="AE118" s="596"/>
      <c r="AF118" s="596"/>
      <c r="AG118" s="596"/>
      <c r="AH118" s="596"/>
      <c r="AI118" s="596"/>
      <c r="AJ118" s="596"/>
      <c r="AK118" s="596"/>
      <c r="AL118" s="596"/>
      <c r="AM118" s="596"/>
      <c r="AN118" s="596"/>
      <c r="AO118" s="596"/>
      <c r="AP118" s="596"/>
      <c r="AQ118" s="596"/>
      <c r="AR118" s="596"/>
      <c r="AS118" s="596"/>
      <c r="AT118" s="596"/>
      <c r="AU118" s="596"/>
      <c r="AV118" s="596"/>
      <c r="AW118" s="596"/>
      <c r="AX118" s="596"/>
      <c r="AY118" s="596"/>
      <c r="AZ118" s="596"/>
      <c r="BA118" s="596"/>
      <c r="BB118" s="596"/>
      <c r="BC118" s="596"/>
      <c r="BD118" s="596"/>
      <c r="BE118" s="596"/>
      <c r="BF118" s="596"/>
      <c r="BG118" s="596"/>
      <c r="BH118" s="596"/>
      <c r="BI118" s="596"/>
      <c r="BJ118" s="596"/>
      <c r="BK118" s="596"/>
      <c r="BL118" s="596"/>
      <c r="BM118" s="596"/>
      <c r="BN118" s="596"/>
      <c r="BO118" s="596"/>
      <c r="BP118" s="596"/>
      <c r="BQ118" s="596"/>
      <c r="BR118" s="596"/>
      <c r="BS118" s="596"/>
      <c r="BT118" s="596"/>
      <c r="BU118" s="596"/>
      <c r="BV118" s="596"/>
      <c r="BW118" s="596"/>
      <c r="BX118" s="596"/>
      <c r="BY118" s="596"/>
      <c r="BZ118" s="596"/>
      <c r="CA118" s="596"/>
      <c r="CB118" s="596"/>
      <c r="CC118" s="596"/>
      <c r="CD118" s="596"/>
      <c r="CE118" s="596"/>
      <c r="CF118" s="596"/>
      <c r="CG118" s="596"/>
      <c r="CH118" s="596"/>
      <c r="CI118" s="596"/>
      <c r="CJ118" s="596"/>
      <c r="CK118" s="596"/>
      <c r="CL118" s="596"/>
      <c r="CM118" s="596"/>
      <c r="CN118" s="596"/>
      <c r="CO118" s="596"/>
      <c r="CP118" s="596"/>
      <c r="CQ118" s="596"/>
      <c r="CR118" s="596"/>
      <c r="CS118" s="596"/>
      <c r="CT118" s="596"/>
      <c r="CU118" s="596"/>
      <c r="CV118" s="596"/>
      <c r="CW118" s="596"/>
      <c r="CX118" s="596"/>
      <c r="CY118" s="596"/>
      <c r="CZ118" s="596"/>
      <c r="DA118" s="596"/>
      <c r="DB118" s="596"/>
      <c r="DC118" s="596"/>
      <c r="DD118" s="596"/>
      <c r="DE118" s="596"/>
      <c r="DF118" s="596"/>
      <c r="DG118" s="596"/>
      <c r="DH118" s="596"/>
      <c r="DI118" s="596"/>
      <c r="DJ118" s="596"/>
      <c r="DK118" s="596"/>
      <c r="DL118" s="596"/>
      <c r="DM118" s="596"/>
      <c r="DN118" s="596"/>
      <c r="DO118" s="596"/>
      <c r="DP118" s="596"/>
      <c r="DQ118" s="596"/>
      <c r="DR118" s="596"/>
      <c r="DS118" s="596"/>
      <c r="DT118" s="596"/>
      <c r="DU118" s="596"/>
      <c r="DV118" s="596"/>
      <c r="DW118" s="596"/>
      <c r="DX118" s="596"/>
      <c r="DY118" s="596"/>
      <c r="DZ118" s="596"/>
      <c r="EA118" s="596"/>
    </row>
    <row r="119" spans="1:131">
      <c r="A119" s="596"/>
      <c r="B119" s="596"/>
      <c r="C119" s="596"/>
      <c r="D119" s="596"/>
      <c r="E119" s="596"/>
      <c r="F119" s="596"/>
      <c r="G119" s="596"/>
      <c r="H119" s="596"/>
      <c r="I119" s="596"/>
      <c r="J119" s="596"/>
      <c r="K119" s="638"/>
      <c r="L119" s="638"/>
      <c r="M119" s="638"/>
      <c r="N119" s="638"/>
      <c r="O119" s="638"/>
      <c r="P119" s="596"/>
      <c r="Q119" s="596"/>
      <c r="R119" s="596"/>
      <c r="S119" s="596"/>
      <c r="T119" s="596"/>
      <c r="U119" s="596"/>
      <c r="V119" s="596"/>
      <c r="W119" s="596"/>
      <c r="X119" s="596"/>
      <c r="Y119" s="596"/>
      <c r="Z119" s="596"/>
      <c r="AA119" s="596"/>
      <c r="AB119" s="596"/>
      <c r="AC119" s="596"/>
      <c r="AD119" s="596"/>
      <c r="AE119" s="596"/>
      <c r="AF119" s="596"/>
      <c r="AG119" s="596"/>
      <c r="AH119" s="596"/>
      <c r="AI119" s="596"/>
      <c r="AJ119" s="596"/>
      <c r="AK119" s="596"/>
      <c r="AL119" s="596"/>
      <c r="AM119" s="596"/>
      <c r="AN119" s="596"/>
      <c r="AO119" s="596"/>
      <c r="AP119" s="596"/>
      <c r="AQ119" s="596"/>
      <c r="AR119" s="596"/>
      <c r="AS119" s="596"/>
      <c r="AT119" s="596"/>
      <c r="AU119" s="596"/>
      <c r="AV119" s="596"/>
      <c r="AW119" s="596"/>
      <c r="AX119" s="596"/>
      <c r="AY119" s="596"/>
      <c r="AZ119" s="596"/>
      <c r="BA119" s="596"/>
      <c r="BB119" s="596"/>
      <c r="BC119" s="596"/>
      <c r="BD119" s="596"/>
      <c r="BE119" s="596"/>
      <c r="BF119" s="596"/>
      <c r="BG119" s="596"/>
      <c r="BH119" s="596"/>
      <c r="BI119" s="596"/>
      <c r="BJ119" s="596"/>
      <c r="BK119" s="596"/>
      <c r="BL119" s="596"/>
      <c r="BM119" s="596"/>
      <c r="BN119" s="596"/>
      <c r="BO119" s="596"/>
      <c r="BP119" s="596"/>
      <c r="BQ119" s="596"/>
      <c r="BR119" s="596"/>
      <c r="BS119" s="596"/>
      <c r="BT119" s="596"/>
      <c r="BU119" s="596"/>
      <c r="BV119" s="596"/>
      <c r="BW119" s="596"/>
      <c r="BX119" s="596"/>
      <c r="BY119" s="596"/>
      <c r="BZ119" s="596"/>
      <c r="CA119" s="596"/>
      <c r="CB119" s="596"/>
      <c r="CC119" s="596"/>
      <c r="CD119" s="596"/>
      <c r="CE119" s="596"/>
      <c r="CF119" s="596"/>
      <c r="CG119" s="596"/>
      <c r="CH119" s="596"/>
      <c r="CI119" s="596"/>
      <c r="CJ119" s="596"/>
      <c r="CK119" s="596"/>
      <c r="CL119" s="596"/>
      <c r="CM119" s="596"/>
      <c r="CN119" s="596"/>
      <c r="CO119" s="596"/>
      <c r="CP119" s="596"/>
      <c r="CQ119" s="596"/>
      <c r="CR119" s="596"/>
      <c r="CS119" s="596"/>
      <c r="CT119" s="596"/>
      <c r="CU119" s="596"/>
      <c r="CV119" s="596"/>
      <c r="CW119" s="596"/>
      <c r="CX119" s="596"/>
      <c r="CY119" s="596"/>
      <c r="CZ119" s="596"/>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6"/>
      <c r="DZ119" s="596"/>
      <c r="EA119" s="596"/>
    </row>
    <row r="120" spans="1:131">
      <c r="A120" s="596"/>
      <c r="B120" s="596"/>
      <c r="C120" s="596"/>
      <c r="D120" s="596"/>
      <c r="E120" s="596"/>
      <c r="F120" s="596"/>
      <c r="G120" s="596"/>
      <c r="H120" s="596"/>
      <c r="I120" s="596"/>
      <c r="J120" s="596"/>
      <c r="K120" s="638"/>
      <c r="L120" s="638"/>
      <c r="M120" s="638"/>
      <c r="N120" s="638"/>
      <c r="O120" s="638"/>
      <c r="P120" s="596"/>
      <c r="Q120" s="596"/>
      <c r="R120" s="596"/>
      <c r="S120" s="596"/>
      <c r="T120" s="596"/>
      <c r="U120" s="596"/>
      <c r="V120" s="596"/>
      <c r="W120" s="596"/>
      <c r="X120" s="596"/>
      <c r="Y120" s="596"/>
      <c r="Z120" s="596"/>
      <c r="AA120" s="596"/>
      <c r="AB120" s="596"/>
      <c r="AC120" s="596"/>
      <c r="AD120" s="596"/>
      <c r="AE120" s="596"/>
      <c r="AF120" s="596"/>
      <c r="AG120" s="596"/>
      <c r="AH120" s="596"/>
      <c r="AI120" s="596"/>
      <c r="AJ120" s="596"/>
      <c r="AK120" s="596"/>
      <c r="AL120" s="596"/>
      <c r="AM120" s="596"/>
      <c r="AN120" s="596"/>
      <c r="AO120" s="596"/>
      <c r="AP120" s="596"/>
      <c r="AQ120" s="596"/>
      <c r="AR120" s="596"/>
      <c r="AS120" s="596"/>
      <c r="AT120" s="596"/>
      <c r="AU120" s="596"/>
      <c r="AV120" s="596"/>
      <c r="AW120" s="596"/>
      <c r="AX120" s="596"/>
      <c r="AY120" s="596"/>
      <c r="AZ120" s="596"/>
      <c r="BA120" s="596"/>
      <c r="BB120" s="596"/>
      <c r="BC120" s="596"/>
      <c r="BD120" s="596"/>
      <c r="BE120" s="596"/>
      <c r="BF120" s="596"/>
      <c r="BG120" s="596"/>
      <c r="BH120" s="596"/>
      <c r="BI120" s="596"/>
      <c r="BJ120" s="596"/>
      <c r="BK120" s="596"/>
      <c r="BL120" s="596"/>
      <c r="BM120" s="596"/>
      <c r="BN120" s="596"/>
      <c r="BO120" s="596"/>
      <c r="BP120" s="596"/>
      <c r="BQ120" s="596"/>
      <c r="BR120" s="596"/>
      <c r="BS120" s="596"/>
      <c r="BT120" s="596"/>
      <c r="BU120" s="596"/>
      <c r="BV120" s="596"/>
      <c r="BW120" s="596"/>
      <c r="BX120" s="596"/>
      <c r="BY120" s="596"/>
      <c r="BZ120" s="596"/>
      <c r="CA120" s="596"/>
      <c r="CB120" s="596"/>
      <c r="CC120" s="596"/>
      <c r="CD120" s="596"/>
      <c r="CE120" s="596"/>
      <c r="CF120" s="596"/>
      <c r="CG120" s="596"/>
      <c r="CH120" s="596"/>
      <c r="CI120" s="596"/>
      <c r="CJ120" s="596"/>
      <c r="CK120" s="596"/>
      <c r="CL120" s="596"/>
      <c r="CM120" s="596"/>
      <c r="CN120" s="596"/>
      <c r="CO120" s="596"/>
      <c r="CP120" s="596"/>
      <c r="CQ120" s="596"/>
      <c r="CR120" s="596"/>
      <c r="CS120" s="596"/>
      <c r="CT120" s="596"/>
      <c r="CU120" s="596"/>
      <c r="CV120" s="596"/>
      <c r="CW120" s="596"/>
      <c r="CX120" s="596"/>
      <c r="CY120" s="596"/>
      <c r="CZ120" s="596"/>
      <c r="DA120" s="596"/>
      <c r="DB120" s="596"/>
      <c r="DC120" s="596"/>
      <c r="DD120" s="596"/>
      <c r="DE120" s="596"/>
      <c r="DF120" s="596"/>
      <c r="DG120" s="596"/>
      <c r="DH120" s="596"/>
      <c r="DI120" s="596"/>
      <c r="DJ120" s="596"/>
      <c r="DK120" s="596"/>
      <c r="DL120" s="596"/>
      <c r="DM120" s="596"/>
      <c r="DN120" s="596"/>
      <c r="DO120" s="596"/>
      <c r="DP120" s="596"/>
      <c r="DQ120" s="596"/>
      <c r="DR120" s="596"/>
      <c r="DS120" s="596"/>
      <c r="DT120" s="596"/>
      <c r="DU120" s="596"/>
      <c r="DV120" s="596"/>
      <c r="DW120" s="596"/>
      <c r="DX120" s="596"/>
      <c r="DY120" s="596"/>
      <c r="DZ120" s="596"/>
      <c r="EA120" s="596"/>
    </row>
    <row r="121" spans="1:131">
      <c r="A121" s="596"/>
      <c r="B121" s="596"/>
      <c r="C121" s="596"/>
      <c r="D121" s="596"/>
      <c r="E121" s="596"/>
      <c r="F121" s="596"/>
      <c r="G121" s="596"/>
      <c r="H121" s="596"/>
      <c r="I121" s="596"/>
      <c r="J121" s="596"/>
      <c r="K121" s="638"/>
      <c r="L121" s="638"/>
      <c r="M121" s="638"/>
      <c r="N121" s="638"/>
      <c r="O121" s="638"/>
      <c r="P121" s="596"/>
      <c r="Q121" s="596"/>
      <c r="R121" s="596"/>
      <c r="S121" s="596"/>
      <c r="T121" s="596"/>
      <c r="U121" s="596"/>
      <c r="V121" s="596"/>
      <c r="W121" s="596"/>
      <c r="X121" s="596"/>
      <c r="Y121" s="596"/>
      <c r="Z121" s="596"/>
      <c r="AA121" s="596"/>
      <c r="AB121" s="596"/>
      <c r="AC121" s="596"/>
      <c r="AD121" s="596"/>
      <c r="AE121" s="596"/>
      <c r="AF121" s="596"/>
      <c r="AG121" s="596"/>
      <c r="AH121" s="596"/>
      <c r="AI121" s="596"/>
      <c r="AJ121" s="596"/>
      <c r="AK121" s="596"/>
      <c r="AL121" s="596"/>
      <c r="AM121" s="596"/>
      <c r="AN121" s="596"/>
      <c r="AO121" s="596"/>
      <c r="AP121" s="596"/>
      <c r="AQ121" s="596"/>
      <c r="AR121" s="596"/>
      <c r="AS121" s="596"/>
      <c r="AT121" s="596"/>
      <c r="AU121" s="596"/>
      <c r="AV121" s="596"/>
      <c r="AW121" s="596"/>
      <c r="AX121" s="596"/>
      <c r="AY121" s="596"/>
      <c r="AZ121" s="596"/>
      <c r="BA121" s="596"/>
      <c r="BB121" s="596"/>
      <c r="BC121" s="596"/>
      <c r="BD121" s="596"/>
      <c r="BE121" s="596"/>
      <c r="BF121" s="596"/>
      <c r="BG121" s="596"/>
      <c r="BH121" s="596"/>
      <c r="BI121" s="596"/>
      <c r="BJ121" s="596"/>
      <c r="BK121" s="596"/>
      <c r="BL121" s="596"/>
      <c r="BM121" s="596"/>
      <c r="BN121" s="596"/>
      <c r="BO121" s="596"/>
      <c r="BP121" s="596"/>
      <c r="BQ121" s="596"/>
      <c r="BR121" s="596"/>
      <c r="BS121" s="596"/>
      <c r="BT121" s="596"/>
      <c r="BU121" s="596"/>
      <c r="BV121" s="596"/>
      <c r="BW121" s="596"/>
      <c r="BX121" s="596"/>
      <c r="BY121" s="596"/>
      <c r="BZ121" s="596"/>
      <c r="CA121" s="596"/>
      <c r="CB121" s="596"/>
      <c r="CC121" s="596"/>
      <c r="CD121" s="596"/>
      <c r="CE121" s="596"/>
      <c r="CF121" s="596"/>
      <c r="CG121" s="596"/>
      <c r="CH121" s="596"/>
      <c r="CI121" s="596"/>
      <c r="CJ121" s="596"/>
      <c r="CK121" s="596"/>
      <c r="CL121" s="596"/>
      <c r="CM121" s="596"/>
      <c r="CN121" s="596"/>
      <c r="CO121" s="596"/>
      <c r="CP121" s="596"/>
      <c r="CQ121" s="596"/>
      <c r="CR121" s="596"/>
      <c r="CS121" s="596"/>
      <c r="CT121" s="596"/>
      <c r="CU121" s="596"/>
      <c r="CV121" s="596"/>
      <c r="CW121" s="596"/>
      <c r="CX121" s="596"/>
      <c r="CY121" s="596"/>
      <c r="CZ121" s="596"/>
      <c r="DA121" s="596"/>
      <c r="DB121" s="596"/>
      <c r="DC121" s="596"/>
      <c r="DD121" s="596"/>
      <c r="DE121" s="596"/>
      <c r="DF121" s="596"/>
      <c r="DG121" s="596"/>
      <c r="DH121" s="596"/>
      <c r="DI121" s="596"/>
      <c r="DJ121" s="596"/>
      <c r="DK121" s="596"/>
      <c r="DL121" s="596"/>
      <c r="DM121" s="596"/>
      <c r="DN121" s="596"/>
      <c r="DO121" s="596"/>
      <c r="DP121" s="596"/>
      <c r="DQ121" s="596"/>
      <c r="DR121" s="596"/>
      <c r="DS121" s="596"/>
      <c r="DT121" s="596"/>
      <c r="DU121" s="596"/>
      <c r="DV121" s="596"/>
      <c r="DW121" s="596"/>
      <c r="DX121" s="596"/>
      <c r="DY121" s="596"/>
      <c r="DZ121" s="596"/>
      <c r="EA121" s="596"/>
    </row>
    <row r="122" spans="1:131">
      <c r="A122" s="596"/>
      <c r="B122" s="596"/>
      <c r="C122" s="596"/>
      <c r="D122" s="596"/>
      <c r="E122" s="596"/>
      <c r="F122" s="596"/>
      <c r="G122" s="596"/>
      <c r="H122" s="596"/>
      <c r="I122" s="596"/>
      <c r="J122" s="596"/>
      <c r="K122" s="638"/>
      <c r="L122" s="638"/>
      <c r="M122" s="638"/>
      <c r="N122" s="638"/>
      <c r="O122" s="638"/>
      <c r="P122" s="596"/>
      <c r="Q122" s="596"/>
      <c r="R122" s="596"/>
      <c r="S122" s="596"/>
      <c r="T122" s="596"/>
      <c r="U122" s="596"/>
      <c r="V122" s="596"/>
      <c r="W122" s="596"/>
      <c r="X122" s="596"/>
      <c r="Y122" s="596"/>
      <c r="Z122" s="596"/>
      <c r="AA122" s="596"/>
      <c r="AB122" s="596"/>
      <c r="AC122" s="596"/>
      <c r="AD122" s="596"/>
      <c r="AE122" s="596"/>
      <c r="AF122" s="596"/>
      <c r="AG122" s="596"/>
      <c r="AH122" s="596"/>
      <c r="AI122" s="596"/>
      <c r="AJ122" s="596"/>
      <c r="AK122" s="596"/>
      <c r="AL122" s="596"/>
      <c r="AM122" s="596"/>
      <c r="AN122" s="596"/>
      <c r="AO122" s="596"/>
      <c r="AP122" s="596"/>
      <c r="AQ122" s="596"/>
      <c r="AR122" s="596"/>
      <c r="AS122" s="596"/>
      <c r="AT122" s="596"/>
      <c r="AU122" s="596"/>
      <c r="AV122" s="596"/>
      <c r="AW122" s="596"/>
      <c r="AX122" s="596"/>
      <c r="AY122" s="596"/>
      <c r="AZ122" s="596"/>
      <c r="BA122" s="596"/>
      <c r="BB122" s="596"/>
      <c r="BC122" s="596"/>
      <c r="BD122" s="596"/>
      <c r="BE122" s="596"/>
      <c r="BF122" s="596"/>
      <c r="BG122" s="596"/>
      <c r="BH122" s="596"/>
      <c r="BI122" s="596"/>
      <c r="BJ122" s="596"/>
      <c r="BK122" s="596"/>
      <c r="BL122" s="596"/>
      <c r="BM122" s="596"/>
      <c r="BN122" s="596"/>
      <c r="BO122" s="596"/>
      <c r="BP122" s="596"/>
      <c r="BQ122" s="596"/>
      <c r="BR122" s="596"/>
      <c r="BS122" s="596"/>
      <c r="BT122" s="596"/>
      <c r="BU122" s="596"/>
      <c r="BV122" s="596"/>
      <c r="BW122" s="596"/>
      <c r="BX122" s="596"/>
      <c r="BY122" s="596"/>
      <c r="BZ122" s="596"/>
      <c r="CA122" s="596"/>
      <c r="CB122" s="596"/>
      <c r="CC122" s="596"/>
      <c r="CD122" s="596"/>
      <c r="CE122" s="596"/>
      <c r="CF122" s="596"/>
      <c r="CG122" s="596"/>
      <c r="CH122" s="596"/>
      <c r="CI122" s="596"/>
      <c r="CJ122" s="596"/>
      <c r="CK122" s="596"/>
      <c r="CL122" s="596"/>
      <c r="CM122" s="596"/>
      <c r="CN122" s="596"/>
      <c r="CO122" s="596"/>
      <c r="CP122" s="596"/>
      <c r="CQ122" s="596"/>
      <c r="CR122" s="596"/>
      <c r="CS122" s="596"/>
      <c r="CT122" s="596"/>
      <c r="CU122" s="596"/>
      <c r="CV122" s="596"/>
      <c r="CW122" s="596"/>
      <c r="CX122" s="596"/>
      <c r="CY122" s="596"/>
      <c r="CZ122" s="596"/>
      <c r="DA122" s="596"/>
      <c r="DB122" s="596"/>
      <c r="DC122" s="596"/>
      <c r="DD122" s="596"/>
      <c r="DE122" s="596"/>
      <c r="DF122" s="596"/>
      <c r="DG122" s="596"/>
      <c r="DH122" s="596"/>
      <c r="DI122" s="596"/>
      <c r="DJ122" s="596"/>
      <c r="DK122" s="596"/>
      <c r="DL122" s="596"/>
      <c r="DM122" s="596"/>
      <c r="DN122" s="596"/>
      <c r="DO122" s="596"/>
      <c r="DP122" s="596"/>
      <c r="DQ122" s="596"/>
      <c r="DR122" s="596"/>
      <c r="DS122" s="596"/>
      <c r="DT122" s="596"/>
      <c r="DU122" s="596"/>
      <c r="DV122" s="596"/>
      <c r="DW122" s="596"/>
      <c r="DX122" s="596"/>
      <c r="DY122" s="596"/>
      <c r="DZ122" s="596"/>
      <c r="EA122" s="596"/>
    </row>
    <row r="123" spans="1:131">
      <c r="A123" s="596"/>
      <c r="B123" s="596"/>
      <c r="C123" s="596"/>
      <c r="D123" s="596"/>
      <c r="E123" s="596"/>
      <c r="F123" s="596"/>
      <c r="G123" s="596"/>
      <c r="H123" s="596"/>
      <c r="I123" s="596"/>
      <c r="J123" s="596"/>
      <c r="K123" s="638"/>
      <c r="L123" s="638"/>
      <c r="M123" s="638"/>
      <c r="N123" s="638"/>
      <c r="O123" s="638"/>
      <c r="P123" s="596"/>
      <c r="Q123" s="596"/>
      <c r="R123" s="596"/>
      <c r="S123" s="596"/>
      <c r="T123" s="596"/>
      <c r="U123" s="596"/>
      <c r="V123" s="596"/>
      <c r="W123" s="596"/>
      <c r="X123" s="596"/>
      <c r="Y123" s="596"/>
      <c r="Z123" s="596"/>
      <c r="AA123" s="596"/>
      <c r="AB123" s="596"/>
      <c r="AC123" s="596"/>
      <c r="AD123" s="596"/>
      <c r="AE123" s="596"/>
      <c r="AF123" s="596"/>
      <c r="AG123" s="596"/>
      <c r="AH123" s="596"/>
      <c r="AI123" s="596"/>
      <c r="AJ123" s="596"/>
      <c r="AK123" s="596"/>
      <c r="AL123" s="596"/>
      <c r="AM123" s="596"/>
      <c r="AN123" s="596"/>
      <c r="AO123" s="596"/>
      <c r="AP123" s="596"/>
      <c r="AQ123" s="596"/>
      <c r="AR123" s="596"/>
      <c r="AS123" s="596"/>
      <c r="AT123" s="596"/>
      <c r="AU123" s="596"/>
      <c r="AV123" s="596"/>
      <c r="AW123" s="596"/>
      <c r="AX123" s="596"/>
      <c r="AY123" s="596"/>
      <c r="AZ123" s="596"/>
      <c r="BA123" s="596"/>
      <c r="BB123" s="596"/>
      <c r="BC123" s="596"/>
      <c r="BD123" s="596"/>
      <c r="BE123" s="596"/>
      <c r="BF123" s="596"/>
      <c r="BG123" s="596"/>
      <c r="BH123" s="596"/>
      <c r="BI123" s="596"/>
      <c r="BJ123" s="596"/>
      <c r="BK123" s="596"/>
      <c r="BL123" s="596"/>
      <c r="BM123" s="596"/>
      <c r="BN123" s="596"/>
      <c r="BO123" s="596"/>
      <c r="BP123" s="596"/>
      <c r="BQ123" s="596"/>
      <c r="BR123" s="596"/>
      <c r="BS123" s="596"/>
      <c r="BT123" s="596"/>
      <c r="BU123" s="596"/>
      <c r="BV123" s="596"/>
      <c r="BW123" s="596"/>
      <c r="BX123" s="596"/>
      <c r="BY123" s="596"/>
      <c r="BZ123" s="596"/>
      <c r="CA123" s="596"/>
      <c r="CB123" s="596"/>
      <c r="CC123" s="596"/>
      <c r="CD123" s="596"/>
      <c r="CE123" s="596"/>
      <c r="CF123" s="596"/>
      <c r="CG123" s="596"/>
      <c r="CH123" s="596"/>
      <c r="CI123" s="596"/>
      <c r="CJ123" s="596"/>
      <c r="CK123" s="596"/>
      <c r="CL123" s="596"/>
      <c r="CM123" s="596"/>
      <c r="CN123" s="596"/>
      <c r="CO123" s="596"/>
      <c r="CP123" s="596"/>
      <c r="CQ123" s="596"/>
      <c r="CR123" s="596"/>
      <c r="CS123" s="596"/>
      <c r="CT123" s="596"/>
      <c r="CU123" s="596"/>
      <c r="CV123" s="596"/>
      <c r="CW123" s="596"/>
      <c r="CX123" s="596"/>
      <c r="CY123" s="596"/>
      <c r="CZ123" s="596"/>
      <c r="DA123" s="596"/>
      <c r="DB123" s="596"/>
      <c r="DC123" s="596"/>
      <c r="DD123" s="596"/>
      <c r="DE123" s="596"/>
      <c r="DF123" s="596"/>
      <c r="DG123" s="596"/>
      <c r="DH123" s="596"/>
      <c r="DI123" s="596"/>
      <c r="DJ123" s="596"/>
      <c r="DK123" s="596"/>
      <c r="DL123" s="596"/>
      <c r="DM123" s="596"/>
      <c r="DN123" s="596"/>
      <c r="DO123" s="596"/>
      <c r="DP123" s="596"/>
      <c r="DQ123" s="596"/>
      <c r="DR123" s="596"/>
      <c r="DS123" s="596"/>
      <c r="DT123" s="596"/>
      <c r="DU123" s="596"/>
      <c r="DV123" s="596"/>
      <c r="DW123" s="596"/>
      <c r="DX123" s="596"/>
      <c r="DY123" s="596"/>
      <c r="DZ123" s="596"/>
      <c r="EA123" s="596"/>
    </row>
    <row r="124" spans="1:131">
      <c r="A124" s="596"/>
      <c r="B124" s="596"/>
      <c r="C124" s="596"/>
      <c r="D124" s="596"/>
      <c r="E124" s="596"/>
      <c r="F124" s="596"/>
      <c r="G124" s="596"/>
      <c r="H124" s="596"/>
      <c r="I124" s="596"/>
      <c r="J124" s="596"/>
      <c r="K124" s="638"/>
      <c r="L124" s="638"/>
      <c r="M124" s="638"/>
      <c r="N124" s="638"/>
      <c r="O124" s="638"/>
      <c r="P124" s="596"/>
      <c r="Q124" s="596"/>
      <c r="R124" s="596"/>
      <c r="S124" s="596"/>
      <c r="T124" s="596"/>
      <c r="U124" s="596"/>
      <c r="V124" s="596"/>
      <c r="W124" s="596"/>
      <c r="X124" s="596"/>
      <c r="Y124" s="596"/>
      <c r="Z124" s="596"/>
      <c r="AA124" s="596"/>
      <c r="AB124" s="596"/>
      <c r="AC124" s="596"/>
      <c r="AD124" s="596"/>
      <c r="AE124" s="596"/>
      <c r="AF124" s="596"/>
      <c r="AG124" s="596"/>
      <c r="AH124" s="596"/>
      <c r="AI124" s="596"/>
      <c r="AJ124" s="596"/>
      <c r="AK124" s="596"/>
      <c r="AL124" s="596"/>
      <c r="AM124" s="596"/>
      <c r="AN124" s="596"/>
      <c r="AO124" s="596"/>
      <c r="AP124" s="596"/>
      <c r="AQ124" s="596"/>
      <c r="AR124" s="596"/>
      <c r="AS124" s="596"/>
      <c r="AT124" s="596"/>
      <c r="AU124" s="596"/>
      <c r="AV124" s="596"/>
      <c r="AW124" s="596"/>
      <c r="AX124" s="596"/>
      <c r="AY124" s="596"/>
      <c r="AZ124" s="596"/>
      <c r="BA124" s="596"/>
      <c r="BB124" s="596"/>
      <c r="BC124" s="596"/>
      <c r="BD124" s="596"/>
      <c r="BE124" s="596"/>
      <c r="BF124" s="596"/>
      <c r="BG124" s="596"/>
      <c r="BH124" s="596"/>
      <c r="BI124" s="596"/>
      <c r="BJ124" s="596"/>
      <c r="BK124" s="596"/>
      <c r="BL124" s="596"/>
      <c r="BM124" s="596"/>
      <c r="BN124" s="596"/>
      <c r="BO124" s="596"/>
      <c r="BP124" s="596"/>
      <c r="BQ124" s="596"/>
      <c r="BR124" s="596"/>
      <c r="BS124" s="596"/>
      <c r="BT124" s="596"/>
      <c r="BU124" s="596"/>
      <c r="BV124" s="596"/>
      <c r="BW124" s="596"/>
      <c r="BX124" s="596"/>
      <c r="BY124" s="596"/>
      <c r="BZ124" s="596"/>
      <c r="CA124" s="596"/>
      <c r="CB124" s="596"/>
      <c r="CC124" s="596"/>
      <c r="CD124" s="596"/>
      <c r="CE124" s="596"/>
      <c r="CF124" s="596"/>
      <c r="CG124" s="596"/>
      <c r="CH124" s="596"/>
      <c r="CI124" s="596"/>
      <c r="CJ124" s="596"/>
      <c r="CK124" s="596"/>
      <c r="CL124" s="596"/>
      <c r="CM124" s="596"/>
      <c r="CN124" s="596"/>
      <c r="CO124" s="596"/>
      <c r="CP124" s="596"/>
      <c r="CQ124" s="596"/>
      <c r="CR124" s="596"/>
      <c r="CS124" s="596"/>
      <c r="CT124" s="596"/>
      <c r="CU124" s="596"/>
      <c r="CV124" s="596"/>
      <c r="CW124" s="596"/>
      <c r="CX124" s="596"/>
      <c r="CY124" s="596"/>
      <c r="CZ124" s="596"/>
      <c r="DA124" s="596"/>
      <c r="DB124" s="596"/>
      <c r="DC124" s="596"/>
      <c r="DD124" s="596"/>
      <c r="DE124" s="596"/>
      <c r="DF124" s="596"/>
      <c r="DG124" s="596"/>
      <c r="DH124" s="596"/>
      <c r="DI124" s="596"/>
      <c r="DJ124" s="596"/>
      <c r="DK124" s="596"/>
      <c r="DL124" s="596"/>
      <c r="DM124" s="596"/>
      <c r="DN124" s="596"/>
      <c r="DO124" s="596"/>
      <c r="DP124" s="596"/>
      <c r="DQ124" s="596"/>
      <c r="DR124" s="596"/>
      <c r="DS124" s="596"/>
      <c r="DT124" s="596"/>
      <c r="DU124" s="596"/>
      <c r="DV124" s="596"/>
      <c r="DW124" s="596"/>
      <c r="DX124" s="596"/>
      <c r="DY124" s="596"/>
      <c r="DZ124" s="596"/>
      <c r="EA124" s="596"/>
    </row>
    <row r="125" spans="1:131">
      <c r="A125" s="596"/>
      <c r="B125" s="596"/>
      <c r="C125" s="596"/>
      <c r="D125" s="596"/>
      <c r="E125" s="596"/>
      <c r="F125" s="596"/>
      <c r="G125" s="596"/>
      <c r="H125" s="596"/>
      <c r="I125" s="596"/>
      <c r="J125" s="596"/>
      <c r="K125" s="638"/>
      <c r="L125" s="638"/>
      <c r="M125" s="638"/>
      <c r="N125" s="638"/>
      <c r="O125" s="638"/>
      <c r="P125" s="596"/>
      <c r="Q125" s="596"/>
      <c r="R125" s="596"/>
      <c r="S125" s="596"/>
      <c r="T125" s="596"/>
      <c r="U125" s="596"/>
      <c r="V125" s="596"/>
      <c r="W125" s="596"/>
      <c r="X125" s="596"/>
      <c r="Y125" s="596"/>
      <c r="Z125" s="596"/>
      <c r="AA125" s="596"/>
      <c r="AB125" s="596"/>
      <c r="AC125" s="596"/>
      <c r="AD125" s="596"/>
      <c r="AE125" s="596"/>
      <c r="AF125" s="596"/>
      <c r="AG125" s="596"/>
      <c r="AH125" s="596"/>
      <c r="AI125" s="596"/>
      <c r="AJ125" s="596"/>
      <c r="AK125" s="596"/>
      <c r="AL125" s="596"/>
      <c r="AM125" s="596"/>
      <c r="AN125" s="596"/>
      <c r="AO125" s="596"/>
      <c r="AP125" s="596"/>
      <c r="AQ125" s="596"/>
      <c r="AR125" s="596"/>
      <c r="AS125" s="596"/>
      <c r="AT125" s="596"/>
      <c r="AU125" s="596"/>
      <c r="AV125" s="596"/>
      <c r="AW125" s="596"/>
      <c r="AX125" s="596"/>
      <c r="AY125" s="596"/>
      <c r="AZ125" s="596"/>
      <c r="BA125" s="596"/>
      <c r="BB125" s="596"/>
      <c r="BC125" s="596"/>
      <c r="BD125" s="596"/>
      <c r="BE125" s="596"/>
      <c r="BF125" s="596"/>
      <c r="BG125" s="596"/>
      <c r="BH125" s="596"/>
      <c r="BI125" s="596"/>
      <c r="BJ125" s="596"/>
      <c r="BK125" s="596"/>
      <c r="BL125" s="596"/>
      <c r="BM125" s="596"/>
      <c r="BN125" s="596"/>
      <c r="BO125" s="596"/>
      <c r="BP125" s="596"/>
      <c r="BQ125" s="596"/>
      <c r="BR125" s="596"/>
      <c r="BS125" s="596"/>
      <c r="BT125" s="596"/>
      <c r="BU125" s="596"/>
      <c r="BV125" s="596"/>
      <c r="BW125" s="596"/>
      <c r="BX125" s="596"/>
      <c r="BY125" s="596"/>
      <c r="BZ125" s="596"/>
      <c r="CA125" s="596"/>
      <c r="CB125" s="596"/>
      <c r="CC125" s="596"/>
      <c r="CD125" s="596"/>
      <c r="CE125" s="596"/>
      <c r="CF125" s="596"/>
      <c r="CG125" s="596"/>
      <c r="CH125" s="596"/>
      <c r="CI125" s="596"/>
      <c r="CJ125" s="596"/>
      <c r="CK125" s="596"/>
      <c r="CL125" s="596"/>
      <c r="CM125" s="596"/>
      <c r="CN125" s="596"/>
      <c r="CO125" s="596"/>
      <c r="CP125" s="596"/>
      <c r="CQ125" s="596"/>
      <c r="CR125" s="596"/>
      <c r="CS125" s="596"/>
      <c r="CT125" s="596"/>
      <c r="CU125" s="596"/>
      <c r="CV125" s="596"/>
      <c r="CW125" s="596"/>
      <c r="CX125" s="596"/>
      <c r="CY125" s="596"/>
      <c r="CZ125" s="596"/>
      <c r="DA125" s="596"/>
      <c r="DB125" s="596"/>
      <c r="DC125" s="596"/>
      <c r="DD125" s="596"/>
      <c r="DE125" s="596"/>
      <c r="DF125" s="596"/>
      <c r="DG125" s="596"/>
      <c r="DH125" s="596"/>
      <c r="DI125" s="596"/>
      <c r="DJ125" s="596"/>
      <c r="DK125" s="596"/>
      <c r="DL125" s="596"/>
      <c r="DM125" s="596"/>
      <c r="DN125" s="596"/>
      <c r="DO125" s="596"/>
      <c r="DP125" s="596"/>
      <c r="DQ125" s="596"/>
      <c r="DR125" s="596"/>
      <c r="DS125" s="596"/>
      <c r="DT125" s="596"/>
      <c r="DU125" s="596"/>
      <c r="DV125" s="596"/>
      <c r="DW125" s="596"/>
      <c r="DX125" s="596"/>
      <c r="DY125" s="596"/>
      <c r="DZ125" s="596"/>
      <c r="EA125" s="596"/>
    </row>
    <row r="126" spans="1:131">
      <c r="A126" s="596"/>
      <c r="B126" s="596"/>
      <c r="C126" s="596"/>
      <c r="D126" s="596"/>
      <c r="E126" s="596"/>
      <c r="F126" s="596"/>
      <c r="G126" s="596"/>
      <c r="H126" s="596"/>
      <c r="I126" s="596"/>
      <c r="J126" s="596"/>
      <c r="K126" s="638"/>
      <c r="L126" s="638"/>
      <c r="M126" s="638"/>
      <c r="N126" s="638"/>
      <c r="O126" s="638"/>
      <c r="P126" s="596"/>
      <c r="Q126" s="596"/>
      <c r="R126" s="596"/>
      <c r="S126" s="596"/>
      <c r="T126" s="596"/>
      <c r="U126" s="596"/>
      <c r="V126" s="596"/>
      <c r="W126" s="596"/>
      <c r="X126" s="596"/>
      <c r="Y126" s="596"/>
      <c r="Z126" s="596"/>
      <c r="AA126" s="596"/>
      <c r="AB126" s="596"/>
      <c r="AC126" s="596"/>
      <c r="AD126" s="596"/>
      <c r="AE126" s="596"/>
      <c r="AF126" s="596"/>
      <c r="AG126" s="596"/>
      <c r="AH126" s="596"/>
      <c r="AI126" s="596"/>
      <c r="AJ126" s="596"/>
      <c r="AK126" s="596"/>
      <c r="AL126" s="596"/>
      <c r="AM126" s="596"/>
      <c r="AN126" s="596"/>
      <c r="AO126" s="596"/>
      <c r="AP126" s="596"/>
      <c r="AQ126" s="596"/>
      <c r="AR126" s="596"/>
      <c r="AS126" s="596"/>
      <c r="AT126" s="596"/>
      <c r="AU126" s="596"/>
      <c r="AV126" s="596"/>
      <c r="AW126" s="596"/>
      <c r="AX126" s="596"/>
      <c r="AY126" s="596"/>
      <c r="AZ126" s="596"/>
      <c r="BA126" s="596"/>
      <c r="BB126" s="596"/>
      <c r="BC126" s="596"/>
      <c r="BD126" s="596"/>
      <c r="BE126" s="596"/>
      <c r="BF126" s="596"/>
      <c r="BG126" s="596"/>
      <c r="BH126" s="596"/>
      <c r="BI126" s="596"/>
      <c r="BJ126" s="596"/>
      <c r="BK126" s="596"/>
      <c r="BL126" s="596"/>
      <c r="BM126" s="596"/>
      <c r="BN126" s="596"/>
      <c r="BO126" s="596"/>
      <c r="BP126" s="596"/>
      <c r="BQ126" s="596"/>
      <c r="BR126" s="596"/>
      <c r="BS126" s="596"/>
      <c r="BT126" s="596"/>
      <c r="BU126" s="596"/>
      <c r="BV126" s="596"/>
      <c r="BW126" s="596"/>
      <c r="BX126" s="596"/>
      <c r="BY126" s="596"/>
      <c r="BZ126" s="596"/>
      <c r="CA126" s="596"/>
      <c r="CB126" s="596"/>
      <c r="CC126" s="596"/>
      <c r="CD126" s="596"/>
      <c r="CE126" s="596"/>
      <c r="CF126" s="596"/>
      <c r="CG126" s="596"/>
      <c r="CH126" s="596"/>
      <c r="CI126" s="596"/>
      <c r="CJ126" s="596"/>
      <c r="CK126" s="596"/>
      <c r="CL126" s="596"/>
      <c r="CM126" s="596"/>
      <c r="CN126" s="596"/>
      <c r="CO126" s="596"/>
      <c r="CP126" s="596"/>
      <c r="CQ126" s="596"/>
      <c r="CR126" s="596"/>
      <c r="CS126" s="596"/>
      <c r="CT126" s="596"/>
      <c r="CU126" s="596"/>
      <c r="CV126" s="596"/>
      <c r="CW126" s="596"/>
      <c r="CX126" s="596"/>
      <c r="CY126" s="596"/>
      <c r="CZ126" s="596"/>
      <c r="DA126" s="596"/>
      <c r="DB126" s="596"/>
      <c r="DC126" s="596"/>
      <c r="DD126" s="596"/>
      <c r="DE126" s="596"/>
      <c r="DF126" s="596"/>
      <c r="DG126" s="596"/>
      <c r="DH126" s="596"/>
      <c r="DI126" s="596"/>
      <c r="DJ126" s="596"/>
      <c r="DK126" s="596"/>
      <c r="DL126" s="596"/>
      <c r="DM126" s="596"/>
      <c r="DN126" s="596"/>
      <c r="DO126" s="596"/>
      <c r="DP126" s="596"/>
      <c r="DQ126" s="596"/>
      <c r="DR126" s="596"/>
      <c r="DS126" s="596"/>
      <c r="DT126" s="596"/>
      <c r="DU126" s="596"/>
      <c r="DV126" s="596"/>
      <c r="DW126" s="596"/>
      <c r="DX126" s="596"/>
      <c r="DY126" s="596"/>
      <c r="DZ126" s="596"/>
      <c r="EA126" s="596"/>
    </row>
    <row r="127" spans="1:131">
      <c r="A127" s="596"/>
      <c r="B127" s="596"/>
      <c r="C127" s="596"/>
      <c r="D127" s="596"/>
      <c r="E127" s="596"/>
      <c r="F127" s="596"/>
      <c r="G127" s="596"/>
      <c r="H127" s="596"/>
      <c r="I127" s="596"/>
      <c r="J127" s="596"/>
      <c r="K127" s="638"/>
      <c r="L127" s="638"/>
      <c r="M127" s="638"/>
      <c r="N127" s="638"/>
      <c r="O127" s="638"/>
      <c r="P127" s="596"/>
      <c r="Q127" s="596"/>
      <c r="R127" s="596"/>
      <c r="S127" s="596"/>
      <c r="T127" s="596"/>
      <c r="U127" s="596"/>
      <c r="V127" s="596"/>
      <c r="W127" s="596"/>
      <c r="X127" s="596"/>
      <c r="Y127" s="596"/>
      <c r="Z127" s="596"/>
      <c r="AA127" s="596"/>
      <c r="AB127" s="596"/>
      <c r="AC127" s="596"/>
      <c r="AD127" s="596"/>
      <c r="AE127" s="596"/>
      <c r="AF127" s="596"/>
      <c r="AG127" s="596"/>
      <c r="AH127" s="596"/>
      <c r="AI127" s="596"/>
      <c r="AJ127" s="596"/>
      <c r="AK127" s="596"/>
      <c r="AL127" s="596"/>
      <c r="AM127" s="596"/>
      <c r="AN127" s="596"/>
      <c r="AO127" s="596"/>
      <c r="AP127" s="596"/>
      <c r="AQ127" s="596"/>
      <c r="AR127" s="596"/>
      <c r="AS127" s="596"/>
      <c r="AT127" s="596"/>
      <c r="AU127" s="596"/>
      <c r="AV127" s="596"/>
      <c r="AW127" s="596"/>
      <c r="AX127" s="596"/>
      <c r="AY127" s="596"/>
      <c r="AZ127" s="596"/>
      <c r="BA127" s="596"/>
      <c r="BB127" s="596"/>
      <c r="BC127" s="596"/>
      <c r="BD127" s="596"/>
      <c r="BE127" s="596"/>
      <c r="BF127" s="596"/>
      <c r="BG127" s="596"/>
      <c r="BH127" s="596"/>
      <c r="BI127" s="596"/>
      <c r="BJ127" s="596"/>
      <c r="BK127" s="596"/>
      <c r="BL127" s="596"/>
      <c r="BM127" s="596"/>
      <c r="BN127" s="596"/>
      <c r="BO127" s="596"/>
      <c r="BP127" s="596"/>
      <c r="BQ127" s="596"/>
      <c r="BR127" s="596"/>
      <c r="BS127" s="596"/>
      <c r="BT127" s="596"/>
      <c r="BU127" s="596"/>
      <c r="BV127" s="596"/>
      <c r="BW127" s="596"/>
      <c r="BX127" s="596"/>
      <c r="BY127" s="596"/>
      <c r="BZ127" s="596"/>
      <c r="CA127" s="596"/>
      <c r="CB127" s="596"/>
      <c r="CC127" s="596"/>
      <c r="CD127" s="596"/>
      <c r="CE127" s="596"/>
      <c r="CF127" s="596"/>
      <c r="CG127" s="596"/>
      <c r="CH127" s="596"/>
      <c r="CI127" s="596"/>
      <c r="CJ127" s="596"/>
      <c r="CK127" s="596"/>
      <c r="CL127" s="596"/>
      <c r="CM127" s="596"/>
      <c r="CN127" s="596"/>
      <c r="CO127" s="596"/>
      <c r="CP127" s="596"/>
      <c r="CQ127" s="596"/>
      <c r="CR127" s="596"/>
      <c r="CS127" s="596"/>
      <c r="CT127" s="596"/>
      <c r="CU127" s="596"/>
      <c r="CV127" s="596"/>
      <c r="CW127" s="596"/>
      <c r="CX127" s="596"/>
      <c r="CY127" s="596"/>
      <c r="CZ127" s="596"/>
      <c r="DA127" s="596"/>
      <c r="DB127" s="596"/>
      <c r="DC127" s="596"/>
      <c r="DD127" s="596"/>
      <c r="DE127" s="596"/>
      <c r="DF127" s="596"/>
      <c r="DG127" s="596"/>
      <c r="DH127" s="596"/>
      <c r="DI127" s="596"/>
      <c r="DJ127" s="596"/>
      <c r="DK127" s="596"/>
      <c r="DL127" s="596"/>
      <c r="DM127" s="596"/>
      <c r="DN127" s="596"/>
      <c r="DO127" s="596"/>
      <c r="DP127" s="596"/>
      <c r="DQ127" s="596"/>
      <c r="DR127" s="596"/>
      <c r="DS127" s="596"/>
      <c r="DT127" s="596"/>
      <c r="DU127" s="596"/>
      <c r="DV127" s="596"/>
      <c r="DW127" s="596"/>
      <c r="DX127" s="596"/>
      <c r="DY127" s="596"/>
      <c r="DZ127" s="596"/>
      <c r="EA127" s="596"/>
    </row>
    <row r="128" spans="1:131">
      <c r="A128" s="596"/>
      <c r="B128" s="596"/>
      <c r="C128" s="596"/>
      <c r="D128" s="596"/>
      <c r="E128" s="596"/>
      <c r="F128" s="596"/>
      <c r="G128" s="596"/>
      <c r="H128" s="596"/>
      <c r="I128" s="596"/>
      <c r="J128" s="596"/>
      <c r="K128" s="638"/>
      <c r="L128" s="638"/>
      <c r="M128" s="638"/>
      <c r="N128" s="638"/>
      <c r="O128" s="638"/>
      <c r="P128" s="596"/>
      <c r="Q128" s="596"/>
      <c r="R128" s="596"/>
      <c r="S128" s="596"/>
      <c r="T128" s="596"/>
      <c r="U128" s="596"/>
      <c r="V128" s="596"/>
      <c r="W128" s="596"/>
      <c r="X128" s="596"/>
      <c r="Y128" s="596"/>
      <c r="Z128" s="596"/>
      <c r="AA128" s="596"/>
      <c r="AB128" s="596"/>
      <c r="AC128" s="596"/>
      <c r="AD128" s="596"/>
      <c r="AE128" s="596"/>
      <c r="AF128" s="596"/>
      <c r="AG128" s="596"/>
      <c r="AH128" s="596"/>
      <c r="AI128" s="596"/>
      <c r="AJ128" s="596"/>
      <c r="AK128" s="596"/>
      <c r="AL128" s="596"/>
      <c r="AM128" s="596"/>
      <c r="AN128" s="596"/>
      <c r="AO128" s="596"/>
      <c r="AP128" s="596"/>
      <c r="AQ128" s="596"/>
      <c r="AR128" s="596"/>
      <c r="AS128" s="596"/>
      <c r="AT128" s="596"/>
      <c r="AU128" s="596"/>
      <c r="AV128" s="596"/>
      <c r="AW128" s="596"/>
      <c r="AX128" s="596"/>
      <c r="AY128" s="596"/>
      <c r="AZ128" s="596"/>
      <c r="BA128" s="596"/>
      <c r="BB128" s="596"/>
      <c r="BC128" s="596"/>
      <c r="BD128" s="596"/>
      <c r="BE128" s="596"/>
      <c r="BF128" s="596"/>
      <c r="BG128" s="596"/>
      <c r="BH128" s="596"/>
      <c r="BI128" s="596"/>
      <c r="BJ128" s="596"/>
      <c r="BK128" s="596"/>
      <c r="BL128" s="596"/>
      <c r="BM128" s="596"/>
      <c r="BN128" s="596"/>
      <c r="BO128" s="596"/>
      <c r="BP128" s="596"/>
      <c r="BQ128" s="596"/>
      <c r="BR128" s="596"/>
      <c r="BS128" s="596"/>
      <c r="BT128" s="596"/>
      <c r="BU128" s="596"/>
      <c r="BV128" s="596"/>
      <c r="BW128" s="596"/>
      <c r="BX128" s="596"/>
      <c r="BY128" s="596"/>
      <c r="BZ128" s="596"/>
      <c r="CA128" s="596"/>
      <c r="CB128" s="596"/>
      <c r="CC128" s="596"/>
      <c r="CD128" s="596"/>
      <c r="CE128" s="596"/>
      <c r="CF128" s="596"/>
      <c r="CG128" s="596"/>
      <c r="CH128" s="596"/>
      <c r="CI128" s="596"/>
      <c r="CJ128" s="596"/>
      <c r="CK128" s="596"/>
      <c r="CL128" s="596"/>
      <c r="CM128" s="596"/>
      <c r="CN128" s="596"/>
      <c r="CO128" s="596"/>
      <c r="CP128" s="596"/>
      <c r="CQ128" s="596"/>
      <c r="CR128" s="596"/>
      <c r="CS128" s="596"/>
      <c r="CT128" s="596"/>
      <c r="CU128" s="596"/>
      <c r="CV128" s="596"/>
      <c r="CW128" s="596"/>
      <c r="CX128" s="596"/>
      <c r="CY128" s="596"/>
      <c r="CZ128" s="596"/>
      <c r="DA128" s="596"/>
      <c r="DB128" s="596"/>
      <c r="DC128" s="596"/>
      <c r="DD128" s="596"/>
      <c r="DE128" s="596"/>
      <c r="DF128" s="596"/>
      <c r="DG128" s="596"/>
      <c r="DH128" s="596"/>
      <c r="DI128" s="596"/>
      <c r="DJ128" s="596"/>
      <c r="DK128" s="596"/>
      <c r="DL128" s="596"/>
      <c r="DM128" s="596"/>
      <c r="DN128" s="596"/>
      <c r="DO128" s="596"/>
      <c r="DP128" s="596"/>
      <c r="DQ128" s="596"/>
      <c r="DR128" s="596"/>
      <c r="DS128" s="596"/>
      <c r="DT128" s="596"/>
      <c r="DU128" s="596"/>
      <c r="DV128" s="596"/>
      <c r="DW128" s="596"/>
      <c r="DX128" s="596"/>
      <c r="DY128" s="596"/>
      <c r="DZ128" s="596"/>
      <c r="EA128" s="596"/>
    </row>
    <row r="129" spans="1:131">
      <c r="A129" s="596"/>
      <c r="B129" s="596"/>
      <c r="C129" s="596"/>
      <c r="D129" s="596"/>
      <c r="E129" s="596"/>
      <c r="F129" s="596"/>
      <c r="G129" s="596"/>
      <c r="H129" s="596"/>
      <c r="I129" s="596"/>
      <c r="J129" s="596"/>
      <c r="K129" s="638"/>
      <c r="L129" s="638"/>
      <c r="M129" s="638"/>
      <c r="N129" s="638"/>
      <c r="O129" s="638"/>
      <c r="P129" s="596"/>
      <c r="Q129" s="596"/>
      <c r="R129" s="596"/>
      <c r="S129" s="596"/>
      <c r="T129" s="596"/>
      <c r="U129" s="596"/>
      <c r="V129" s="596"/>
      <c r="W129" s="596"/>
      <c r="X129" s="596"/>
      <c r="Y129" s="596"/>
      <c r="Z129" s="596"/>
      <c r="AA129" s="596"/>
      <c r="AB129" s="596"/>
      <c r="AC129" s="596"/>
      <c r="AD129" s="596"/>
      <c r="AE129" s="596"/>
      <c r="AF129" s="596"/>
      <c r="AG129" s="596"/>
      <c r="AH129" s="596"/>
      <c r="AI129" s="596"/>
      <c r="AJ129" s="596"/>
      <c r="AK129" s="596"/>
      <c r="AL129" s="596"/>
      <c r="AM129" s="596"/>
      <c r="AN129" s="596"/>
      <c r="AO129" s="596"/>
      <c r="AP129" s="596"/>
      <c r="AQ129" s="596"/>
      <c r="AR129" s="596"/>
      <c r="AS129" s="596"/>
      <c r="AT129" s="596"/>
      <c r="AU129" s="596"/>
      <c r="AV129" s="596"/>
      <c r="AW129" s="596"/>
      <c r="AX129" s="596"/>
      <c r="AY129" s="596"/>
      <c r="AZ129" s="596"/>
      <c r="BA129" s="596"/>
      <c r="BB129" s="596"/>
      <c r="BC129" s="596"/>
      <c r="BD129" s="596"/>
      <c r="BE129" s="596"/>
      <c r="BF129" s="596"/>
      <c r="BG129" s="596"/>
      <c r="BH129" s="596"/>
      <c r="BI129" s="596"/>
      <c r="BJ129" s="596"/>
      <c r="BK129" s="596"/>
      <c r="BL129" s="596"/>
      <c r="BM129" s="596"/>
      <c r="BN129" s="596"/>
      <c r="BO129" s="596"/>
      <c r="BP129" s="596"/>
      <c r="BQ129" s="596"/>
      <c r="BR129" s="596"/>
      <c r="BS129" s="596"/>
      <c r="BT129" s="596"/>
      <c r="BU129" s="596"/>
      <c r="BV129" s="596"/>
      <c r="BW129" s="596"/>
      <c r="BX129" s="596"/>
      <c r="BY129" s="596"/>
      <c r="BZ129" s="596"/>
      <c r="CA129" s="596"/>
      <c r="CB129" s="596"/>
      <c r="CC129" s="596"/>
      <c r="CD129" s="596"/>
      <c r="CE129" s="596"/>
      <c r="CF129" s="596"/>
      <c r="CG129" s="596"/>
      <c r="CH129" s="596"/>
      <c r="CI129" s="596"/>
      <c r="CJ129" s="596"/>
      <c r="CK129" s="596"/>
      <c r="CL129" s="596"/>
      <c r="CM129" s="596"/>
      <c r="CN129" s="596"/>
      <c r="CO129" s="596"/>
      <c r="CP129" s="596"/>
      <c r="CQ129" s="596"/>
      <c r="CR129" s="596"/>
      <c r="CS129" s="596"/>
      <c r="CT129" s="596"/>
      <c r="CU129" s="596"/>
      <c r="CV129" s="596"/>
      <c r="CW129" s="596"/>
      <c r="CX129" s="596"/>
      <c r="CY129" s="596"/>
      <c r="CZ129" s="596"/>
      <c r="DA129" s="596"/>
      <c r="DB129" s="596"/>
      <c r="DC129" s="596"/>
      <c r="DD129" s="596"/>
      <c r="DE129" s="596"/>
      <c r="DF129" s="596"/>
      <c r="DG129" s="596"/>
      <c r="DH129" s="596"/>
      <c r="DI129" s="596"/>
      <c r="DJ129" s="596"/>
      <c r="DK129" s="596"/>
      <c r="DL129" s="596"/>
      <c r="DM129" s="596"/>
      <c r="DN129" s="596"/>
      <c r="DO129" s="596"/>
      <c r="DP129" s="596"/>
      <c r="DQ129" s="596"/>
      <c r="DR129" s="596"/>
      <c r="DS129" s="596"/>
      <c r="DT129" s="596"/>
      <c r="DU129" s="596"/>
      <c r="DV129" s="596"/>
      <c r="DW129" s="596"/>
      <c r="DX129" s="596"/>
      <c r="DY129" s="596"/>
      <c r="DZ129" s="596"/>
      <c r="EA129" s="596"/>
    </row>
    <row r="130" spans="1:131">
      <c r="A130" s="596"/>
      <c r="B130" s="596"/>
      <c r="C130" s="596"/>
      <c r="D130" s="596"/>
      <c r="E130" s="596"/>
      <c r="F130" s="596"/>
      <c r="G130" s="596"/>
      <c r="H130" s="596"/>
      <c r="I130" s="596"/>
      <c r="J130" s="596"/>
      <c r="K130" s="638"/>
      <c r="L130" s="638"/>
      <c r="M130" s="638"/>
      <c r="N130" s="638"/>
      <c r="O130" s="638"/>
      <c r="P130" s="596"/>
      <c r="Q130" s="596"/>
      <c r="R130" s="596"/>
      <c r="S130" s="596"/>
      <c r="T130" s="596"/>
      <c r="U130" s="596"/>
      <c r="V130" s="596"/>
      <c r="W130" s="596"/>
      <c r="X130" s="596"/>
      <c r="Y130" s="596"/>
      <c r="Z130" s="596"/>
      <c r="AA130" s="596"/>
      <c r="AB130" s="596"/>
      <c r="AC130" s="596"/>
      <c r="AD130" s="596"/>
      <c r="AE130" s="596"/>
      <c r="AF130" s="596"/>
      <c r="AG130" s="596"/>
      <c r="AH130" s="596"/>
      <c r="AI130" s="596"/>
      <c r="AJ130" s="596"/>
      <c r="AK130" s="596"/>
      <c r="AL130" s="596"/>
      <c r="AM130" s="596"/>
      <c r="AN130" s="596"/>
      <c r="AO130" s="596"/>
      <c r="AP130" s="596"/>
      <c r="AQ130" s="596"/>
      <c r="AR130" s="596"/>
      <c r="AS130" s="596"/>
      <c r="AT130" s="596"/>
      <c r="AU130" s="596"/>
      <c r="AV130" s="596"/>
      <c r="AW130" s="596"/>
      <c r="AX130" s="596"/>
      <c r="AY130" s="596"/>
      <c r="AZ130" s="596"/>
      <c r="BA130" s="596"/>
      <c r="BB130" s="596"/>
      <c r="BC130" s="596"/>
      <c r="BD130" s="596"/>
      <c r="BE130" s="596"/>
      <c r="BF130" s="596"/>
      <c r="BG130" s="596"/>
      <c r="BH130" s="596"/>
      <c r="BI130" s="596"/>
      <c r="BJ130" s="596"/>
      <c r="BK130" s="596"/>
      <c r="BL130" s="596"/>
      <c r="BM130" s="596"/>
      <c r="BN130" s="596"/>
      <c r="BO130" s="596"/>
      <c r="BP130" s="596"/>
      <c r="BQ130" s="596"/>
      <c r="BR130" s="596"/>
      <c r="BS130" s="596"/>
      <c r="BT130" s="596"/>
      <c r="BU130" s="596"/>
      <c r="BV130" s="596"/>
      <c r="BW130" s="596"/>
      <c r="BX130" s="596"/>
      <c r="BY130" s="596"/>
      <c r="BZ130" s="596"/>
      <c r="CA130" s="596"/>
      <c r="CB130" s="596"/>
      <c r="CC130" s="596"/>
      <c r="CD130" s="596"/>
      <c r="CE130" s="596"/>
      <c r="CF130" s="596"/>
      <c r="CG130" s="596"/>
      <c r="CH130" s="596"/>
      <c r="CI130" s="596"/>
      <c r="CJ130" s="596"/>
      <c r="CK130" s="596"/>
      <c r="CL130" s="596"/>
      <c r="CM130" s="596"/>
      <c r="CN130" s="596"/>
      <c r="CO130" s="596"/>
      <c r="CP130" s="596"/>
      <c r="CQ130" s="596"/>
      <c r="CR130" s="596"/>
      <c r="CS130" s="596"/>
      <c r="CT130" s="596"/>
      <c r="CU130" s="596"/>
      <c r="CV130" s="596"/>
      <c r="CW130" s="596"/>
      <c r="CX130" s="596"/>
      <c r="CY130" s="596"/>
      <c r="CZ130" s="596"/>
      <c r="DA130" s="596"/>
      <c r="DB130" s="596"/>
      <c r="DC130" s="596"/>
      <c r="DD130" s="596"/>
      <c r="DE130" s="596"/>
      <c r="DF130" s="596"/>
      <c r="DG130" s="596"/>
      <c r="DH130" s="596"/>
      <c r="DI130" s="596"/>
      <c r="DJ130" s="596"/>
      <c r="DK130" s="596"/>
      <c r="DL130" s="596"/>
      <c r="DM130" s="596"/>
      <c r="DN130" s="596"/>
      <c r="DO130" s="596"/>
      <c r="DP130" s="596"/>
      <c r="DQ130" s="596"/>
      <c r="DR130" s="596"/>
      <c r="DS130" s="596"/>
      <c r="DT130" s="596"/>
      <c r="DU130" s="596"/>
      <c r="DV130" s="596"/>
      <c r="DW130" s="596"/>
      <c r="DX130" s="596"/>
      <c r="DY130" s="596"/>
      <c r="DZ130" s="596"/>
      <c r="EA130" s="596"/>
    </row>
    <row r="131" spans="1:131">
      <c r="A131" s="596"/>
      <c r="B131" s="596"/>
      <c r="C131" s="596"/>
      <c r="D131" s="596"/>
      <c r="E131" s="596"/>
      <c r="F131" s="596"/>
      <c r="G131" s="596"/>
      <c r="H131" s="596"/>
      <c r="I131" s="596"/>
      <c r="J131" s="596"/>
      <c r="K131" s="638"/>
      <c r="L131" s="638"/>
      <c r="M131" s="638"/>
      <c r="N131" s="638"/>
      <c r="O131" s="638"/>
      <c r="P131" s="596"/>
      <c r="Q131" s="596"/>
      <c r="R131" s="596"/>
      <c r="S131" s="596"/>
      <c r="T131" s="596"/>
      <c r="U131" s="596"/>
      <c r="V131" s="596"/>
      <c r="W131" s="596"/>
      <c r="X131" s="596"/>
      <c r="Y131" s="596"/>
      <c r="Z131" s="596"/>
      <c r="AA131" s="596"/>
      <c r="AB131" s="596"/>
      <c r="AC131" s="596"/>
      <c r="AD131" s="596"/>
      <c r="AE131" s="596"/>
      <c r="AF131" s="596"/>
      <c r="AG131" s="596"/>
      <c r="AH131" s="596"/>
      <c r="AI131" s="596"/>
      <c r="AJ131" s="596"/>
      <c r="AK131" s="596"/>
      <c r="AL131" s="596"/>
      <c r="AM131" s="596"/>
      <c r="AN131" s="596"/>
      <c r="AO131" s="596"/>
      <c r="AP131" s="596"/>
      <c r="AQ131" s="596"/>
      <c r="AR131" s="596"/>
      <c r="AS131" s="596"/>
      <c r="AT131" s="596"/>
      <c r="AU131" s="596"/>
      <c r="AV131" s="596"/>
      <c r="AW131" s="596"/>
      <c r="AX131" s="596"/>
      <c r="AY131" s="596"/>
      <c r="AZ131" s="596"/>
      <c r="BA131" s="596"/>
      <c r="BB131" s="596"/>
      <c r="BC131" s="596"/>
      <c r="BD131" s="596"/>
      <c r="BE131" s="596"/>
      <c r="BF131" s="596"/>
      <c r="BG131" s="596"/>
      <c r="BH131" s="596"/>
      <c r="BI131" s="596"/>
      <c r="BJ131" s="596"/>
      <c r="BK131" s="596"/>
      <c r="BL131" s="596"/>
      <c r="BM131" s="596"/>
      <c r="BN131" s="596"/>
      <c r="BO131" s="596"/>
      <c r="BP131" s="596"/>
      <c r="BQ131" s="596"/>
      <c r="BR131" s="596"/>
      <c r="BS131" s="596"/>
      <c r="BT131" s="596"/>
      <c r="BU131" s="596"/>
      <c r="BV131" s="596"/>
      <c r="BW131" s="596"/>
      <c r="BX131" s="596"/>
      <c r="BY131" s="596"/>
      <c r="BZ131" s="596"/>
      <c r="CA131" s="596"/>
      <c r="CB131" s="596"/>
      <c r="CC131" s="596"/>
      <c r="CD131" s="596"/>
      <c r="CE131" s="596"/>
      <c r="CF131" s="596"/>
      <c r="CG131" s="596"/>
      <c r="CH131" s="596"/>
      <c r="CI131" s="596"/>
      <c r="CJ131" s="596"/>
      <c r="CK131" s="596"/>
      <c r="CL131" s="596"/>
      <c r="CM131" s="596"/>
      <c r="CN131" s="596"/>
      <c r="CO131" s="596"/>
      <c r="CP131" s="596"/>
      <c r="CQ131" s="596"/>
      <c r="CR131" s="596"/>
      <c r="CS131" s="596"/>
      <c r="CT131" s="596"/>
      <c r="CU131" s="596"/>
      <c r="CV131" s="596"/>
      <c r="CW131" s="596"/>
      <c r="CX131" s="596"/>
      <c r="CY131" s="596"/>
      <c r="CZ131" s="596"/>
      <c r="DA131" s="596"/>
      <c r="DB131" s="596"/>
      <c r="DC131" s="596"/>
      <c r="DD131" s="596"/>
      <c r="DE131" s="596"/>
      <c r="DF131" s="596"/>
      <c r="DG131" s="596"/>
      <c r="DH131" s="596"/>
      <c r="DI131" s="596"/>
      <c r="DJ131" s="596"/>
      <c r="DK131" s="596"/>
      <c r="DL131" s="596"/>
      <c r="DM131" s="596"/>
      <c r="DN131" s="596"/>
      <c r="DO131" s="596"/>
      <c r="DP131" s="596"/>
      <c r="DQ131" s="596"/>
      <c r="DR131" s="596"/>
      <c r="DS131" s="596"/>
      <c r="DT131" s="596"/>
      <c r="DU131" s="596"/>
      <c r="DV131" s="596"/>
      <c r="DW131" s="596"/>
      <c r="DX131" s="596"/>
      <c r="DY131" s="596"/>
      <c r="DZ131" s="596"/>
      <c r="EA131" s="596"/>
    </row>
    <row r="132" spans="1:131">
      <c r="A132" s="596"/>
      <c r="B132" s="596"/>
      <c r="C132" s="596"/>
      <c r="D132" s="596"/>
      <c r="E132" s="596"/>
      <c r="F132" s="596"/>
      <c r="G132" s="596"/>
      <c r="H132" s="596"/>
      <c r="I132" s="596"/>
      <c r="J132" s="596"/>
      <c r="K132" s="638"/>
      <c r="L132" s="638"/>
      <c r="M132" s="638"/>
      <c r="N132" s="638"/>
      <c r="O132" s="638"/>
      <c r="P132" s="596"/>
      <c r="Q132" s="596"/>
      <c r="R132" s="596"/>
      <c r="S132" s="596"/>
      <c r="T132" s="596"/>
      <c r="U132" s="596"/>
      <c r="V132" s="596"/>
      <c r="W132" s="596"/>
      <c r="X132" s="596"/>
      <c r="Y132" s="596"/>
      <c r="Z132" s="596"/>
      <c r="AA132" s="596"/>
      <c r="AB132" s="596"/>
      <c r="AC132" s="596"/>
      <c r="AD132" s="596"/>
      <c r="AE132" s="596"/>
      <c r="AF132" s="596"/>
      <c r="AG132" s="596"/>
      <c r="AH132" s="596"/>
      <c r="AI132" s="596"/>
      <c r="AJ132" s="596"/>
      <c r="AK132" s="596"/>
      <c r="AL132" s="596"/>
      <c r="AM132" s="596"/>
      <c r="AN132" s="596"/>
      <c r="AO132" s="596"/>
      <c r="AP132" s="596"/>
      <c r="AQ132" s="596"/>
      <c r="AR132" s="596"/>
      <c r="AS132" s="596"/>
      <c r="AT132" s="596"/>
      <c r="AU132" s="596"/>
      <c r="AV132" s="596"/>
      <c r="AW132" s="596"/>
      <c r="AX132" s="596"/>
      <c r="AY132" s="596"/>
      <c r="AZ132" s="596"/>
      <c r="BA132" s="596"/>
      <c r="BB132" s="596"/>
      <c r="BC132" s="596"/>
      <c r="BD132" s="596"/>
      <c r="BE132" s="596"/>
      <c r="BF132" s="596"/>
      <c r="BG132" s="596"/>
      <c r="BH132" s="596"/>
      <c r="BI132" s="596"/>
      <c r="BJ132" s="596"/>
      <c r="BK132" s="596"/>
      <c r="BL132" s="596"/>
      <c r="BM132" s="596"/>
      <c r="BN132" s="596"/>
      <c r="BO132" s="596"/>
      <c r="BP132" s="596"/>
      <c r="BQ132" s="596"/>
      <c r="BR132" s="596"/>
      <c r="BS132" s="596"/>
      <c r="BT132" s="596"/>
      <c r="BU132" s="596"/>
      <c r="BV132" s="596"/>
      <c r="BW132" s="596"/>
      <c r="BX132" s="596"/>
      <c r="BY132" s="596"/>
      <c r="BZ132" s="596"/>
      <c r="CA132" s="596"/>
      <c r="CB132" s="596"/>
      <c r="CC132" s="596"/>
      <c r="CD132" s="596"/>
      <c r="CE132" s="596"/>
      <c r="CF132" s="596"/>
      <c r="CG132" s="596"/>
      <c r="CH132" s="596"/>
      <c r="CI132" s="596"/>
      <c r="CJ132" s="596"/>
      <c r="CK132" s="596"/>
      <c r="CL132" s="596"/>
      <c r="CM132" s="596"/>
      <c r="CN132" s="596"/>
      <c r="CO132" s="596"/>
      <c r="CP132" s="596"/>
      <c r="CQ132" s="596"/>
      <c r="CR132" s="596"/>
      <c r="CS132" s="596"/>
      <c r="CT132" s="596"/>
      <c r="CU132" s="596"/>
      <c r="CV132" s="596"/>
      <c r="CW132" s="596"/>
      <c r="CX132" s="596"/>
      <c r="CY132" s="596"/>
      <c r="CZ132" s="596"/>
      <c r="DA132" s="596"/>
      <c r="DB132" s="596"/>
      <c r="DC132" s="596"/>
      <c r="DD132" s="596"/>
      <c r="DE132" s="596"/>
      <c r="DF132" s="596"/>
      <c r="DG132" s="596"/>
      <c r="DH132" s="596"/>
      <c r="DI132" s="596"/>
      <c r="DJ132" s="596"/>
      <c r="DK132" s="596"/>
      <c r="DL132" s="596"/>
      <c r="DM132" s="596"/>
      <c r="DN132" s="596"/>
      <c r="DO132" s="596"/>
      <c r="DP132" s="596"/>
      <c r="DQ132" s="596"/>
      <c r="DR132" s="596"/>
      <c r="DS132" s="596"/>
      <c r="DT132" s="596"/>
      <c r="DU132" s="596"/>
      <c r="DV132" s="596"/>
      <c r="DW132" s="596"/>
      <c r="DX132" s="596"/>
      <c r="DY132" s="596"/>
      <c r="DZ132" s="596"/>
      <c r="EA132" s="596"/>
    </row>
    <row r="133" spans="1:131">
      <c r="A133" s="596"/>
      <c r="B133" s="596"/>
      <c r="C133" s="596"/>
      <c r="D133" s="596"/>
      <c r="E133" s="596"/>
      <c r="F133" s="596"/>
      <c r="G133" s="596"/>
      <c r="H133" s="596"/>
      <c r="I133" s="596"/>
      <c r="J133" s="596"/>
      <c r="K133" s="638"/>
      <c r="L133" s="638"/>
      <c r="M133" s="638"/>
      <c r="N133" s="638"/>
      <c r="O133" s="638"/>
      <c r="P133" s="596"/>
      <c r="Q133" s="596"/>
      <c r="R133" s="596"/>
      <c r="S133" s="596"/>
      <c r="T133" s="596"/>
      <c r="U133" s="596"/>
      <c r="V133" s="596"/>
      <c r="W133" s="596"/>
      <c r="X133" s="596"/>
      <c r="Y133" s="596"/>
      <c r="Z133" s="596"/>
      <c r="AA133" s="596"/>
      <c r="AB133" s="596"/>
      <c r="AC133" s="596"/>
      <c r="AD133" s="596"/>
      <c r="AE133" s="596"/>
      <c r="AF133" s="596"/>
      <c r="AG133" s="596"/>
      <c r="AH133" s="596"/>
      <c r="AI133" s="596"/>
      <c r="AJ133" s="596"/>
      <c r="AK133" s="596"/>
      <c r="AL133" s="596"/>
      <c r="AM133" s="596"/>
      <c r="AN133" s="596"/>
      <c r="AO133" s="596"/>
      <c r="AP133" s="596"/>
      <c r="AQ133" s="596"/>
      <c r="AR133" s="596"/>
      <c r="AS133" s="596"/>
      <c r="AT133" s="596"/>
      <c r="AU133" s="596"/>
      <c r="AV133" s="596"/>
      <c r="AW133" s="596"/>
      <c r="AX133" s="596"/>
      <c r="AY133" s="596"/>
      <c r="AZ133" s="596"/>
      <c r="BA133" s="596"/>
      <c r="BB133" s="596"/>
      <c r="BC133" s="596"/>
      <c r="BD133" s="596"/>
      <c r="BE133" s="596"/>
      <c r="BF133" s="596"/>
      <c r="BG133" s="596"/>
      <c r="BH133" s="596"/>
      <c r="BI133" s="596"/>
      <c r="BJ133" s="596"/>
      <c r="BK133" s="596"/>
      <c r="BL133" s="596"/>
      <c r="BM133" s="596"/>
      <c r="BN133" s="596"/>
      <c r="BO133" s="596"/>
      <c r="BP133" s="596"/>
      <c r="BQ133" s="596"/>
      <c r="BR133" s="596"/>
      <c r="BS133" s="596"/>
      <c r="BT133" s="596"/>
      <c r="BU133" s="596"/>
      <c r="BV133" s="596"/>
      <c r="BW133" s="596"/>
      <c r="BX133" s="596"/>
      <c r="BY133" s="596"/>
      <c r="BZ133" s="596"/>
      <c r="CA133" s="596"/>
      <c r="CB133" s="596"/>
      <c r="CC133" s="596"/>
      <c r="CD133" s="596"/>
      <c r="CE133" s="596"/>
      <c r="CF133" s="596"/>
      <c r="CG133" s="596"/>
      <c r="CH133" s="596"/>
      <c r="CI133" s="596"/>
      <c r="CJ133" s="596"/>
      <c r="CK133" s="596"/>
      <c r="CL133" s="596"/>
      <c r="CM133" s="596"/>
      <c r="CN133" s="596"/>
      <c r="CO133" s="596"/>
      <c r="CP133" s="596"/>
      <c r="CQ133" s="596"/>
      <c r="CR133" s="596"/>
      <c r="CS133" s="596"/>
      <c r="CT133" s="596"/>
      <c r="CU133" s="596"/>
      <c r="CV133" s="596"/>
      <c r="CW133" s="596"/>
      <c r="CX133" s="596"/>
      <c r="CY133" s="596"/>
      <c r="CZ133" s="596"/>
      <c r="DA133" s="596"/>
      <c r="DB133" s="596"/>
      <c r="DC133" s="596"/>
      <c r="DD133" s="596"/>
      <c r="DE133" s="596"/>
      <c r="DF133" s="596"/>
      <c r="DG133" s="596"/>
      <c r="DH133" s="596"/>
      <c r="DI133" s="596"/>
      <c r="DJ133" s="596"/>
      <c r="DK133" s="596"/>
      <c r="DL133" s="596"/>
      <c r="DM133" s="596"/>
      <c r="DN133" s="596"/>
      <c r="DO133" s="596"/>
      <c r="DP133" s="596"/>
      <c r="DQ133" s="596"/>
      <c r="DR133" s="596"/>
      <c r="DS133" s="596"/>
      <c r="DT133" s="596"/>
      <c r="DU133" s="596"/>
      <c r="DV133" s="596"/>
      <c r="DW133" s="596"/>
      <c r="DX133" s="596"/>
      <c r="DY133" s="596"/>
      <c r="DZ133" s="596"/>
      <c r="EA133" s="596"/>
    </row>
    <row r="134" spans="1:131">
      <c r="A134" s="596"/>
      <c r="B134" s="596"/>
      <c r="C134" s="596"/>
      <c r="D134" s="596"/>
      <c r="E134" s="596"/>
      <c r="F134" s="596"/>
      <c r="G134" s="596"/>
      <c r="H134" s="596"/>
      <c r="I134" s="596"/>
      <c r="J134" s="596"/>
      <c r="K134" s="638"/>
      <c r="L134" s="638"/>
      <c r="M134" s="638"/>
      <c r="N134" s="638"/>
      <c r="O134" s="638"/>
      <c r="P134" s="596"/>
      <c r="Q134" s="596"/>
      <c r="R134" s="596"/>
      <c r="S134" s="596"/>
      <c r="T134" s="596"/>
      <c r="U134" s="596"/>
      <c r="V134" s="596"/>
      <c r="W134" s="596"/>
      <c r="X134" s="596"/>
      <c r="Y134" s="596"/>
      <c r="Z134" s="596"/>
      <c r="AA134" s="596"/>
      <c r="AB134" s="596"/>
      <c r="AC134" s="596"/>
      <c r="AD134" s="596"/>
      <c r="AE134" s="596"/>
      <c r="AF134" s="596"/>
      <c r="AG134" s="596"/>
      <c r="AH134" s="596"/>
      <c r="AI134" s="596"/>
      <c r="AJ134" s="596"/>
      <c r="AK134" s="596"/>
      <c r="AL134" s="596"/>
      <c r="AM134" s="596"/>
      <c r="AN134" s="596"/>
      <c r="AO134" s="596"/>
      <c r="AP134" s="596"/>
      <c r="AQ134" s="596"/>
      <c r="AR134" s="596"/>
      <c r="AS134" s="596"/>
      <c r="AT134" s="596"/>
      <c r="AU134" s="596"/>
      <c r="AV134" s="596"/>
      <c r="AW134" s="596"/>
      <c r="AX134" s="596"/>
      <c r="AY134" s="596"/>
      <c r="AZ134" s="596"/>
      <c r="BA134" s="596"/>
      <c r="BB134" s="596"/>
      <c r="BC134" s="596"/>
      <c r="BD134" s="596"/>
      <c r="BE134" s="596"/>
      <c r="BF134" s="596"/>
      <c r="BG134" s="596"/>
      <c r="BH134" s="596"/>
      <c r="BI134" s="596"/>
      <c r="BJ134" s="596"/>
      <c r="BK134" s="596"/>
      <c r="BL134" s="596"/>
      <c r="BM134" s="596"/>
      <c r="BN134" s="596"/>
      <c r="BO134" s="596"/>
      <c r="BP134" s="596"/>
      <c r="BQ134" s="596"/>
      <c r="BR134" s="596"/>
      <c r="BS134" s="596"/>
      <c r="BT134" s="596"/>
      <c r="BU134" s="596"/>
      <c r="BV134" s="596"/>
      <c r="BW134" s="596"/>
      <c r="BX134" s="596"/>
      <c r="BY134" s="596"/>
      <c r="BZ134" s="596"/>
      <c r="CA134" s="596"/>
      <c r="CB134" s="596"/>
      <c r="CC134" s="596"/>
      <c r="CD134" s="596"/>
      <c r="CE134" s="596"/>
      <c r="CF134" s="596"/>
      <c r="CG134" s="596"/>
      <c r="CH134" s="596"/>
      <c r="CI134" s="596"/>
      <c r="CJ134" s="596"/>
      <c r="CK134" s="596"/>
      <c r="CL134" s="596"/>
      <c r="CM134" s="596"/>
      <c r="CN134" s="596"/>
      <c r="CO134" s="596"/>
      <c r="CP134" s="596"/>
      <c r="CQ134" s="596"/>
      <c r="CR134" s="596"/>
      <c r="CS134" s="596"/>
      <c r="CT134" s="596"/>
      <c r="CU134" s="596"/>
      <c r="CV134" s="596"/>
      <c r="CW134" s="596"/>
      <c r="CX134" s="596"/>
      <c r="CY134" s="596"/>
      <c r="CZ134" s="596"/>
      <c r="DA134" s="596"/>
      <c r="DB134" s="596"/>
      <c r="DC134" s="596"/>
      <c r="DD134" s="596"/>
      <c r="DE134" s="596"/>
      <c r="DF134" s="596"/>
      <c r="DG134" s="596"/>
      <c r="DH134" s="596"/>
      <c r="DI134" s="596"/>
      <c r="DJ134" s="596"/>
      <c r="DK134" s="596"/>
      <c r="DL134" s="596"/>
      <c r="DM134" s="596"/>
      <c r="DN134" s="596"/>
      <c r="DO134" s="596"/>
      <c r="DP134" s="596"/>
      <c r="DQ134" s="596"/>
      <c r="DR134" s="596"/>
      <c r="DS134" s="596"/>
      <c r="DT134" s="596"/>
      <c r="DU134" s="596"/>
      <c r="DV134" s="596"/>
      <c r="DW134" s="596"/>
      <c r="DX134" s="596"/>
      <c r="DY134" s="596"/>
      <c r="DZ134" s="596"/>
      <c r="EA134" s="596"/>
    </row>
    <row r="135" spans="1:131">
      <c r="A135" s="596"/>
      <c r="B135" s="596"/>
      <c r="C135" s="596"/>
      <c r="D135" s="596"/>
      <c r="E135" s="596"/>
      <c r="F135" s="596"/>
      <c r="G135" s="596"/>
      <c r="H135" s="596"/>
      <c r="I135" s="596"/>
      <c r="J135" s="596"/>
      <c r="K135" s="638"/>
      <c r="L135" s="638"/>
      <c r="M135" s="638"/>
      <c r="N135" s="638"/>
      <c r="O135" s="638"/>
      <c r="P135" s="596"/>
      <c r="Q135" s="596"/>
      <c r="R135" s="596"/>
      <c r="S135" s="596"/>
      <c r="T135" s="596"/>
      <c r="U135" s="596"/>
      <c r="V135" s="596"/>
      <c r="W135" s="596"/>
      <c r="X135" s="596"/>
      <c r="Y135" s="596"/>
      <c r="Z135" s="596"/>
      <c r="AA135" s="596"/>
      <c r="AB135" s="596"/>
      <c r="AC135" s="596"/>
      <c r="AD135" s="596"/>
      <c r="AE135" s="596"/>
      <c r="AF135" s="596"/>
      <c r="AG135" s="596"/>
      <c r="AH135" s="596"/>
      <c r="AI135" s="596"/>
      <c r="AJ135" s="596"/>
      <c r="AK135" s="596"/>
      <c r="AL135" s="596"/>
      <c r="AM135" s="596"/>
      <c r="AN135" s="596"/>
      <c r="AO135" s="596"/>
      <c r="AP135" s="596"/>
      <c r="AQ135" s="596"/>
      <c r="AR135" s="596"/>
      <c r="AS135" s="596"/>
      <c r="AT135" s="596"/>
      <c r="AU135" s="596"/>
      <c r="AV135" s="596"/>
      <c r="AW135" s="596"/>
      <c r="AX135" s="596"/>
      <c r="AY135" s="596"/>
      <c r="AZ135" s="596"/>
      <c r="BA135" s="596"/>
      <c r="BB135" s="596"/>
      <c r="BC135" s="596"/>
      <c r="BD135" s="596"/>
      <c r="BE135" s="596"/>
      <c r="BF135" s="596"/>
      <c r="BG135" s="596"/>
      <c r="BH135" s="596"/>
      <c r="BI135" s="596"/>
      <c r="BJ135" s="596"/>
      <c r="BK135" s="596"/>
      <c r="BL135" s="596"/>
      <c r="BM135" s="596"/>
      <c r="BN135" s="596"/>
      <c r="BO135" s="596"/>
      <c r="BP135" s="596"/>
      <c r="BQ135" s="596"/>
      <c r="BR135" s="596"/>
      <c r="BS135" s="596"/>
      <c r="BT135" s="596"/>
      <c r="BU135" s="596"/>
      <c r="BV135" s="596"/>
      <c r="BW135" s="596"/>
      <c r="BX135" s="596"/>
      <c r="BY135" s="596"/>
      <c r="BZ135" s="596"/>
      <c r="CA135" s="596"/>
      <c r="CB135" s="596"/>
      <c r="CC135" s="596"/>
      <c r="CD135" s="596"/>
      <c r="CE135" s="596"/>
      <c r="CF135" s="596"/>
      <c r="CG135" s="596"/>
      <c r="CH135" s="596"/>
      <c r="CI135" s="596"/>
      <c r="CJ135" s="596"/>
      <c r="CK135" s="596"/>
      <c r="CL135" s="596"/>
      <c r="CM135" s="596"/>
      <c r="CN135" s="596"/>
      <c r="CO135" s="596"/>
      <c r="CP135" s="596"/>
      <c r="CQ135" s="596"/>
      <c r="CR135" s="596"/>
      <c r="CS135" s="596"/>
      <c r="CT135" s="596"/>
      <c r="CU135" s="596"/>
      <c r="CV135" s="596"/>
      <c r="CW135" s="596"/>
      <c r="CX135" s="596"/>
      <c r="CY135" s="596"/>
      <c r="CZ135" s="596"/>
      <c r="DA135" s="596"/>
      <c r="DB135" s="596"/>
      <c r="DC135" s="596"/>
      <c r="DD135" s="596"/>
      <c r="DE135" s="596"/>
      <c r="DF135" s="596"/>
      <c r="DG135" s="596"/>
      <c r="DH135" s="596"/>
      <c r="DI135" s="596"/>
      <c r="DJ135" s="596"/>
      <c r="DK135" s="596"/>
      <c r="DL135" s="596"/>
      <c r="DM135" s="596"/>
      <c r="DN135" s="596"/>
      <c r="DO135" s="596"/>
      <c r="DP135" s="596"/>
      <c r="DQ135" s="596"/>
      <c r="DR135" s="596"/>
      <c r="DS135" s="596"/>
      <c r="DT135" s="596"/>
      <c r="DU135" s="596"/>
      <c r="DV135" s="596"/>
      <c r="DW135" s="596"/>
      <c r="DX135" s="596"/>
      <c r="DY135" s="596"/>
      <c r="DZ135" s="596"/>
      <c r="EA135" s="596"/>
    </row>
    <row r="136" spans="1:131">
      <c r="A136" s="596"/>
      <c r="B136" s="596"/>
      <c r="C136" s="596"/>
      <c r="D136" s="596"/>
      <c r="E136" s="596"/>
      <c r="F136" s="596"/>
      <c r="G136" s="596"/>
      <c r="H136" s="596"/>
      <c r="I136" s="596"/>
      <c r="J136" s="596"/>
      <c r="K136" s="638"/>
      <c r="L136" s="638"/>
      <c r="M136" s="638"/>
      <c r="N136" s="638"/>
      <c r="O136" s="638"/>
      <c r="P136" s="596"/>
      <c r="Q136" s="596"/>
      <c r="R136" s="596"/>
      <c r="S136" s="596"/>
      <c r="T136" s="596"/>
      <c r="U136" s="596"/>
      <c r="V136" s="596"/>
      <c r="W136" s="596"/>
      <c r="X136" s="596"/>
      <c r="Y136" s="596"/>
      <c r="Z136" s="596"/>
      <c r="AA136" s="596"/>
      <c r="AB136" s="596"/>
      <c r="AC136" s="596"/>
      <c r="AD136" s="596"/>
      <c r="AE136" s="596"/>
      <c r="AF136" s="596"/>
      <c r="AG136" s="596"/>
      <c r="AH136" s="596"/>
      <c r="AI136" s="596"/>
      <c r="AJ136" s="596"/>
      <c r="AK136" s="596"/>
      <c r="AL136" s="596"/>
      <c r="AM136" s="596"/>
      <c r="AN136" s="596"/>
      <c r="AO136" s="596"/>
      <c r="AP136" s="596"/>
      <c r="AQ136" s="596"/>
      <c r="AR136" s="596"/>
      <c r="AS136" s="596"/>
      <c r="AT136" s="596"/>
      <c r="AU136" s="596"/>
      <c r="AV136" s="596"/>
      <c r="AW136" s="596"/>
      <c r="AX136" s="596"/>
      <c r="AY136" s="596"/>
      <c r="AZ136" s="596"/>
      <c r="BA136" s="596"/>
      <c r="BB136" s="596"/>
      <c r="BC136" s="596"/>
      <c r="BD136" s="596"/>
      <c r="BE136" s="596"/>
      <c r="BF136" s="596"/>
      <c r="BG136" s="596"/>
      <c r="BH136" s="596"/>
      <c r="BI136" s="596"/>
      <c r="BJ136" s="596"/>
      <c r="BK136" s="596"/>
      <c r="BL136" s="596"/>
      <c r="BM136" s="596"/>
      <c r="BN136" s="596"/>
      <c r="BO136" s="596"/>
      <c r="BP136" s="596"/>
      <c r="BQ136" s="596"/>
      <c r="BR136" s="596"/>
      <c r="BS136" s="596"/>
      <c r="BT136" s="596"/>
      <c r="BU136" s="596"/>
      <c r="BV136" s="596"/>
      <c r="BW136" s="596"/>
      <c r="BX136" s="596"/>
      <c r="BY136" s="596"/>
      <c r="BZ136" s="596"/>
      <c r="CA136" s="596"/>
      <c r="CB136" s="596"/>
      <c r="CC136" s="596"/>
      <c r="CD136" s="596"/>
      <c r="CE136" s="596"/>
      <c r="CF136" s="596"/>
      <c r="CG136" s="596"/>
      <c r="CH136" s="596"/>
      <c r="CI136" s="596"/>
      <c r="CJ136" s="596"/>
      <c r="CK136" s="596"/>
      <c r="CL136" s="596"/>
      <c r="CM136" s="596"/>
      <c r="CN136" s="596"/>
      <c r="CO136" s="596"/>
      <c r="CP136" s="596"/>
      <c r="CQ136" s="596"/>
      <c r="CR136" s="596"/>
      <c r="CS136" s="596"/>
      <c r="CT136" s="596"/>
      <c r="CU136" s="596"/>
      <c r="CV136" s="596"/>
      <c r="CW136" s="596"/>
      <c r="CX136" s="596"/>
      <c r="CY136" s="596"/>
      <c r="CZ136" s="596"/>
      <c r="DA136" s="596"/>
      <c r="DB136" s="596"/>
      <c r="DC136" s="596"/>
      <c r="DD136" s="596"/>
      <c r="DE136" s="596"/>
      <c r="DF136" s="596"/>
      <c r="DG136" s="596"/>
      <c r="DH136" s="596"/>
      <c r="DI136" s="596"/>
      <c r="DJ136" s="596"/>
      <c r="DK136" s="596"/>
      <c r="DL136" s="596"/>
      <c r="DM136" s="596"/>
      <c r="DN136" s="596"/>
      <c r="DO136" s="596"/>
      <c r="DP136" s="596"/>
      <c r="DQ136" s="596"/>
      <c r="DR136" s="596"/>
      <c r="DS136" s="596"/>
      <c r="DT136" s="596"/>
      <c r="DU136" s="596"/>
      <c r="DV136" s="596"/>
      <c r="DW136" s="596"/>
      <c r="DX136" s="596"/>
      <c r="DY136" s="596"/>
      <c r="DZ136" s="596"/>
      <c r="EA136" s="596"/>
    </row>
    <row r="137" spans="1:131">
      <c r="A137" s="596"/>
      <c r="B137" s="596"/>
      <c r="C137" s="596"/>
      <c r="D137" s="596"/>
      <c r="E137" s="596"/>
      <c r="F137" s="596"/>
      <c r="G137" s="596"/>
      <c r="H137" s="596"/>
      <c r="I137" s="596"/>
      <c r="J137" s="596"/>
      <c r="K137" s="638"/>
      <c r="L137" s="638"/>
      <c r="M137" s="638"/>
      <c r="N137" s="638"/>
      <c r="O137" s="638"/>
      <c r="P137" s="596"/>
      <c r="Q137" s="596"/>
      <c r="R137" s="596"/>
      <c r="S137" s="596"/>
      <c r="T137" s="596"/>
      <c r="U137" s="596"/>
      <c r="V137" s="596"/>
      <c r="W137" s="596"/>
      <c r="X137" s="596"/>
      <c r="Y137" s="596"/>
      <c r="Z137" s="596"/>
      <c r="AA137" s="596"/>
      <c r="AB137" s="596"/>
      <c r="AC137" s="596"/>
      <c r="AD137" s="596"/>
      <c r="AE137" s="596"/>
      <c r="AF137" s="596"/>
      <c r="AG137" s="596"/>
      <c r="AH137" s="596"/>
      <c r="AI137" s="596"/>
      <c r="AJ137" s="596"/>
      <c r="AK137" s="596"/>
      <c r="AL137" s="596"/>
      <c r="AM137" s="596"/>
      <c r="AN137" s="596"/>
      <c r="AO137" s="596"/>
      <c r="AP137" s="596"/>
      <c r="AQ137" s="596"/>
      <c r="AR137" s="596"/>
      <c r="AS137" s="596"/>
      <c r="AT137" s="596"/>
      <c r="AU137" s="596"/>
      <c r="AV137" s="596"/>
      <c r="AW137" s="596"/>
      <c r="AX137" s="596"/>
      <c r="AY137" s="596"/>
      <c r="AZ137" s="596"/>
      <c r="BA137" s="596"/>
      <c r="BB137" s="596"/>
      <c r="BC137" s="596"/>
      <c r="BD137" s="596"/>
      <c r="BE137" s="596"/>
      <c r="BF137" s="596"/>
      <c r="BG137" s="596"/>
      <c r="BH137" s="596"/>
      <c r="BI137" s="596"/>
      <c r="BJ137" s="596"/>
      <c r="BK137" s="596"/>
      <c r="BL137" s="596"/>
      <c r="BM137" s="596"/>
      <c r="BN137" s="596"/>
      <c r="BO137" s="596"/>
      <c r="BP137" s="596"/>
      <c r="BQ137" s="596"/>
      <c r="BR137" s="596"/>
      <c r="BS137" s="596"/>
      <c r="BT137" s="596"/>
      <c r="BU137" s="596"/>
      <c r="BV137" s="596"/>
      <c r="BW137" s="596"/>
      <c r="BX137" s="596"/>
      <c r="BY137" s="596"/>
      <c r="BZ137" s="596"/>
      <c r="CA137" s="596"/>
      <c r="CB137" s="596"/>
      <c r="CC137" s="596"/>
      <c r="CD137" s="596"/>
      <c r="CE137" s="596"/>
      <c r="CF137" s="596"/>
      <c r="CG137" s="596"/>
      <c r="CH137" s="596"/>
      <c r="CI137" s="596"/>
      <c r="CJ137" s="596"/>
      <c r="CK137" s="596"/>
      <c r="CL137" s="596"/>
      <c r="CM137" s="596"/>
      <c r="CN137" s="596"/>
      <c r="CO137" s="596"/>
      <c r="CP137" s="596"/>
      <c r="CQ137" s="596"/>
      <c r="CR137" s="596"/>
      <c r="CS137" s="596"/>
      <c r="CT137" s="596"/>
      <c r="CU137" s="596"/>
      <c r="CV137" s="596"/>
      <c r="CW137" s="596"/>
      <c r="CX137" s="596"/>
      <c r="CY137" s="596"/>
      <c r="CZ137" s="596"/>
      <c r="DA137" s="596"/>
      <c r="DB137" s="596"/>
      <c r="DC137" s="596"/>
      <c r="DD137" s="596"/>
      <c r="DE137" s="596"/>
      <c r="DF137" s="596"/>
      <c r="DG137" s="596"/>
      <c r="DH137" s="596"/>
      <c r="DI137" s="596"/>
      <c r="DJ137" s="596"/>
      <c r="DK137" s="596"/>
      <c r="DL137" s="596"/>
      <c r="DM137" s="596"/>
      <c r="DN137" s="596"/>
      <c r="DO137" s="596"/>
      <c r="DP137" s="596"/>
      <c r="DQ137" s="596"/>
      <c r="DR137" s="596"/>
      <c r="DS137" s="596"/>
      <c r="DT137" s="596"/>
      <c r="DU137" s="596"/>
      <c r="DV137" s="596"/>
      <c r="DW137" s="596"/>
      <c r="DX137" s="596"/>
      <c r="DY137" s="596"/>
      <c r="DZ137" s="596"/>
      <c r="EA137" s="596"/>
    </row>
    <row r="138" spans="1:131">
      <c r="A138" s="596"/>
      <c r="B138" s="596"/>
      <c r="C138" s="596"/>
      <c r="D138" s="596"/>
      <c r="E138" s="596"/>
      <c r="F138" s="596"/>
      <c r="G138" s="596"/>
      <c r="H138" s="596"/>
      <c r="I138" s="596"/>
      <c r="J138" s="596"/>
      <c r="K138" s="638"/>
      <c r="L138" s="638"/>
      <c r="M138" s="638"/>
      <c r="N138" s="638"/>
      <c r="O138" s="638"/>
      <c r="P138" s="596"/>
      <c r="Q138" s="596"/>
      <c r="R138" s="596"/>
      <c r="S138" s="596"/>
      <c r="T138" s="596"/>
      <c r="U138" s="596"/>
      <c r="V138" s="596"/>
      <c r="W138" s="596"/>
      <c r="X138" s="596"/>
      <c r="Y138" s="596"/>
      <c r="Z138" s="596"/>
      <c r="AA138" s="596"/>
      <c r="AB138" s="596"/>
      <c r="AC138" s="596"/>
      <c r="AD138" s="596"/>
      <c r="AE138" s="596"/>
      <c r="AF138" s="596"/>
      <c r="AG138" s="596"/>
      <c r="AH138" s="596"/>
      <c r="AI138" s="596"/>
      <c r="AJ138" s="596"/>
      <c r="AK138" s="596"/>
      <c r="AL138" s="596"/>
      <c r="AM138" s="596"/>
      <c r="AN138" s="596"/>
      <c r="AO138" s="596"/>
      <c r="AP138" s="596"/>
      <c r="AQ138" s="596"/>
      <c r="AR138" s="596"/>
      <c r="AS138" s="596"/>
      <c r="AT138" s="596"/>
      <c r="AU138" s="596"/>
      <c r="AV138" s="596"/>
      <c r="AW138" s="596"/>
      <c r="AX138" s="596"/>
      <c r="AY138" s="596"/>
      <c r="AZ138" s="596"/>
      <c r="BA138" s="596"/>
      <c r="BB138" s="596"/>
      <c r="BC138" s="596"/>
      <c r="BD138" s="596"/>
      <c r="BE138" s="596"/>
      <c r="BF138" s="596"/>
      <c r="BG138" s="596"/>
      <c r="BH138" s="596"/>
      <c r="BI138" s="596"/>
      <c r="BJ138" s="596"/>
      <c r="BK138" s="596"/>
      <c r="BL138" s="596"/>
      <c r="BM138" s="596"/>
      <c r="BN138" s="596"/>
      <c r="BO138" s="596"/>
      <c r="BP138" s="596"/>
      <c r="BQ138" s="596"/>
      <c r="BR138" s="596"/>
      <c r="BS138" s="596"/>
      <c r="BT138" s="596"/>
      <c r="BU138" s="596"/>
      <c r="BV138" s="596"/>
      <c r="BW138" s="596"/>
      <c r="BX138" s="596"/>
      <c r="BY138" s="596"/>
      <c r="BZ138" s="596"/>
      <c r="CA138" s="596"/>
      <c r="CB138" s="596"/>
      <c r="CC138" s="596"/>
      <c r="CD138" s="596"/>
      <c r="CE138" s="596"/>
      <c r="CF138" s="596"/>
      <c r="CG138" s="596"/>
      <c r="CH138" s="596"/>
      <c r="CI138" s="596"/>
      <c r="CJ138" s="596"/>
      <c r="CK138" s="596"/>
      <c r="CL138" s="596"/>
      <c r="CM138" s="596"/>
      <c r="CN138" s="596"/>
      <c r="CO138" s="596"/>
      <c r="CP138" s="596"/>
      <c r="CQ138" s="596"/>
      <c r="CR138" s="596"/>
      <c r="CS138" s="596"/>
      <c r="CT138" s="596"/>
      <c r="CU138" s="596"/>
      <c r="CV138" s="596"/>
      <c r="CW138" s="596"/>
      <c r="CX138" s="596"/>
      <c r="CY138" s="596"/>
      <c r="CZ138" s="596"/>
      <c r="DA138" s="596"/>
      <c r="DB138" s="596"/>
      <c r="DC138" s="596"/>
      <c r="DD138" s="596"/>
      <c r="DE138" s="596"/>
      <c r="DF138" s="596"/>
      <c r="DG138" s="596"/>
      <c r="DH138" s="596"/>
      <c r="DI138" s="596"/>
      <c r="DJ138" s="596"/>
      <c r="DK138" s="596"/>
      <c r="DL138" s="596"/>
      <c r="DM138" s="596"/>
      <c r="DN138" s="596"/>
      <c r="DO138" s="596"/>
      <c r="DP138" s="596"/>
      <c r="DQ138" s="596"/>
      <c r="DR138" s="596"/>
      <c r="DS138" s="596"/>
      <c r="DT138" s="596"/>
      <c r="DU138" s="596"/>
      <c r="DV138" s="596"/>
      <c r="DW138" s="596"/>
      <c r="DX138" s="596"/>
      <c r="DY138" s="596"/>
      <c r="DZ138" s="596"/>
      <c r="EA138" s="596"/>
    </row>
    <row r="139" spans="1:131">
      <c r="A139" s="596"/>
      <c r="B139" s="596"/>
      <c r="C139" s="596"/>
      <c r="D139" s="596"/>
      <c r="E139" s="596"/>
      <c r="F139" s="596"/>
      <c r="G139" s="596"/>
      <c r="H139" s="596"/>
      <c r="I139" s="596"/>
      <c r="J139" s="596"/>
      <c r="K139" s="638"/>
      <c r="L139" s="638"/>
      <c r="M139" s="638"/>
      <c r="N139" s="638"/>
      <c r="O139" s="638"/>
      <c r="P139" s="596"/>
      <c r="Q139" s="596"/>
      <c r="R139" s="596"/>
      <c r="S139" s="596"/>
      <c r="T139" s="596"/>
      <c r="U139" s="596"/>
      <c r="V139" s="596"/>
      <c r="W139" s="596"/>
      <c r="X139" s="596"/>
      <c r="Y139" s="596"/>
      <c r="Z139" s="596"/>
      <c r="AA139" s="596"/>
      <c r="AB139" s="596"/>
      <c r="AC139" s="596"/>
      <c r="AD139" s="596"/>
      <c r="AE139" s="596"/>
      <c r="AF139" s="596"/>
      <c r="AG139" s="596"/>
      <c r="AH139" s="596"/>
      <c r="AI139" s="596"/>
      <c r="AJ139" s="596"/>
      <c r="AK139" s="596"/>
      <c r="AL139" s="596"/>
      <c r="AM139" s="596"/>
      <c r="AN139" s="596"/>
      <c r="AO139" s="596"/>
      <c r="AP139" s="596"/>
      <c r="AQ139" s="596"/>
      <c r="AR139" s="596"/>
      <c r="AS139" s="596"/>
      <c r="AT139" s="596"/>
      <c r="AU139" s="596"/>
      <c r="AV139" s="596"/>
      <c r="AW139" s="596"/>
      <c r="AX139" s="596"/>
      <c r="AY139" s="596"/>
      <c r="AZ139" s="596"/>
      <c r="BA139" s="596"/>
      <c r="BB139" s="596"/>
      <c r="BC139" s="596"/>
      <c r="BD139" s="596"/>
      <c r="BE139" s="596"/>
      <c r="BF139" s="596"/>
      <c r="BG139" s="596"/>
      <c r="BH139" s="596"/>
      <c r="BI139" s="596"/>
      <c r="BJ139" s="596"/>
      <c r="BK139" s="596"/>
      <c r="BL139" s="596"/>
      <c r="BM139" s="596"/>
      <c r="BN139" s="596"/>
      <c r="BO139" s="596"/>
      <c r="BP139" s="596"/>
      <c r="BQ139" s="596"/>
      <c r="BR139" s="596"/>
      <c r="BS139" s="596"/>
      <c r="BT139" s="596"/>
      <c r="BU139" s="596"/>
      <c r="BV139" s="596"/>
      <c r="BW139" s="596"/>
      <c r="BX139" s="596"/>
      <c r="BY139" s="596"/>
      <c r="BZ139" s="596"/>
      <c r="CA139" s="596"/>
      <c r="CB139" s="596"/>
      <c r="CC139" s="596"/>
      <c r="CD139" s="596"/>
      <c r="CE139" s="596"/>
      <c r="CF139" s="596"/>
      <c r="CG139" s="596"/>
      <c r="CH139" s="596"/>
      <c r="CI139" s="596"/>
      <c r="CJ139" s="596"/>
      <c r="CK139" s="596"/>
      <c r="CL139" s="596"/>
      <c r="CM139" s="596"/>
      <c r="CN139" s="596"/>
      <c r="CO139" s="596"/>
      <c r="CP139" s="596"/>
      <c r="CQ139" s="596"/>
      <c r="CR139" s="596"/>
      <c r="CS139" s="596"/>
      <c r="CT139" s="596"/>
      <c r="CU139" s="596"/>
      <c r="CV139" s="596"/>
      <c r="CW139" s="596"/>
      <c r="CX139" s="596"/>
      <c r="CY139" s="596"/>
      <c r="CZ139" s="596"/>
      <c r="DA139" s="596"/>
      <c r="DB139" s="596"/>
      <c r="DC139" s="596"/>
      <c r="DD139" s="596"/>
      <c r="DE139" s="596"/>
      <c r="DF139" s="596"/>
      <c r="DG139" s="596"/>
      <c r="DH139" s="596"/>
      <c r="DI139" s="596"/>
      <c r="DJ139" s="596"/>
      <c r="DK139" s="596"/>
      <c r="DL139" s="596"/>
      <c r="DM139" s="596"/>
      <c r="DN139" s="596"/>
      <c r="DO139" s="596"/>
      <c r="DP139" s="596"/>
      <c r="DQ139" s="596"/>
      <c r="DR139" s="596"/>
      <c r="DS139" s="596"/>
      <c r="DT139" s="596"/>
      <c r="DU139" s="596"/>
      <c r="DV139" s="596"/>
      <c r="DW139" s="596"/>
      <c r="DX139" s="596"/>
      <c r="DY139" s="596"/>
      <c r="DZ139" s="596"/>
      <c r="EA139" s="596"/>
    </row>
    <row r="140" spans="1:131">
      <c r="A140" s="596"/>
      <c r="B140" s="596"/>
      <c r="C140" s="596"/>
      <c r="D140" s="596"/>
      <c r="E140" s="596"/>
      <c r="F140" s="596"/>
      <c r="G140" s="596"/>
      <c r="H140" s="596"/>
      <c r="I140" s="596"/>
      <c r="J140" s="596"/>
      <c r="K140" s="638"/>
      <c r="L140" s="638"/>
      <c r="M140" s="638"/>
      <c r="N140" s="638"/>
      <c r="O140" s="638"/>
      <c r="P140" s="596"/>
      <c r="Q140" s="596"/>
      <c r="R140" s="596"/>
      <c r="S140" s="596"/>
      <c r="T140" s="596"/>
      <c r="U140" s="596"/>
      <c r="V140" s="596"/>
      <c r="W140" s="596"/>
      <c r="X140" s="596"/>
      <c r="Y140" s="596"/>
      <c r="Z140" s="596"/>
      <c r="AA140" s="596"/>
      <c r="AB140" s="596"/>
      <c r="AC140" s="596"/>
      <c r="AD140" s="596"/>
      <c r="AE140" s="596"/>
      <c r="AF140" s="596"/>
      <c r="AG140" s="596"/>
      <c r="AH140" s="596"/>
      <c r="AI140" s="596"/>
      <c r="AJ140" s="596"/>
      <c r="AK140" s="596"/>
      <c r="AL140" s="596"/>
      <c r="AM140" s="596"/>
      <c r="AN140" s="596"/>
      <c r="AO140" s="596"/>
      <c r="AP140" s="596"/>
      <c r="AQ140" s="596"/>
      <c r="AR140" s="596"/>
      <c r="AS140" s="596"/>
      <c r="AT140" s="596"/>
      <c r="AU140" s="596"/>
      <c r="AV140" s="596"/>
      <c r="AW140" s="596"/>
      <c r="AX140" s="596"/>
      <c r="AY140" s="596"/>
      <c r="AZ140" s="596"/>
      <c r="BA140" s="596"/>
      <c r="BB140" s="596"/>
      <c r="BC140" s="596"/>
      <c r="BD140" s="596"/>
      <c r="BE140" s="596"/>
      <c r="BF140" s="596"/>
      <c r="BG140" s="596"/>
      <c r="BH140" s="596"/>
      <c r="BI140" s="596"/>
      <c r="BJ140" s="596"/>
      <c r="BK140" s="596"/>
      <c r="BL140" s="596"/>
      <c r="BM140" s="596"/>
      <c r="BN140" s="596"/>
      <c r="BO140" s="596"/>
      <c r="BP140" s="596"/>
      <c r="BQ140" s="596"/>
      <c r="BR140" s="596"/>
      <c r="BS140" s="596"/>
      <c r="BT140" s="596"/>
      <c r="BU140" s="596"/>
      <c r="BV140" s="596"/>
      <c r="BW140" s="596"/>
      <c r="BX140" s="596"/>
      <c r="BY140" s="596"/>
      <c r="BZ140" s="596"/>
      <c r="CA140" s="596"/>
      <c r="CB140" s="596"/>
      <c r="CC140" s="596"/>
      <c r="CD140" s="596"/>
      <c r="CE140" s="596"/>
      <c r="CF140" s="596"/>
      <c r="CG140" s="596"/>
      <c r="CH140" s="596"/>
      <c r="CI140" s="596"/>
      <c r="CJ140" s="596"/>
      <c r="CK140" s="596"/>
      <c r="CL140" s="596"/>
      <c r="CM140" s="596"/>
      <c r="CN140" s="596"/>
      <c r="CO140" s="596"/>
      <c r="CP140" s="596"/>
      <c r="CQ140" s="596"/>
      <c r="CR140" s="596"/>
      <c r="CS140" s="596"/>
      <c r="CT140" s="596"/>
      <c r="CU140" s="596"/>
      <c r="CV140" s="596"/>
      <c r="CW140" s="596"/>
      <c r="CX140" s="596"/>
      <c r="CY140" s="596"/>
      <c r="CZ140" s="596"/>
      <c r="DA140" s="596"/>
      <c r="DB140" s="596"/>
      <c r="DC140" s="596"/>
      <c r="DD140" s="596"/>
      <c r="DE140" s="596"/>
      <c r="DF140" s="596"/>
      <c r="DG140" s="596"/>
      <c r="DH140" s="596"/>
      <c r="DI140" s="596"/>
      <c r="DJ140" s="596"/>
      <c r="DK140" s="596"/>
      <c r="DL140" s="596"/>
      <c r="DM140" s="596"/>
      <c r="DN140" s="596"/>
      <c r="DO140" s="596"/>
      <c r="DP140" s="596"/>
      <c r="DQ140" s="596"/>
      <c r="DR140" s="596"/>
      <c r="DS140" s="596"/>
      <c r="DT140" s="596"/>
      <c r="DU140" s="596"/>
      <c r="DV140" s="596"/>
      <c r="DW140" s="596"/>
      <c r="DX140" s="596"/>
      <c r="DY140" s="596"/>
      <c r="DZ140" s="596"/>
      <c r="EA140" s="596"/>
    </row>
    <row r="141" spans="1:131">
      <c r="A141" s="596"/>
      <c r="B141" s="596"/>
      <c r="C141" s="596"/>
      <c r="D141" s="596"/>
      <c r="E141" s="596"/>
      <c r="F141" s="596"/>
      <c r="G141" s="596"/>
      <c r="H141" s="596"/>
      <c r="I141" s="596"/>
      <c r="J141" s="596"/>
      <c r="K141" s="638"/>
      <c r="L141" s="638"/>
      <c r="M141" s="638"/>
      <c r="N141" s="638"/>
      <c r="O141" s="638"/>
      <c r="P141" s="596"/>
      <c r="Q141" s="596"/>
      <c r="R141" s="596"/>
      <c r="S141" s="596"/>
      <c r="T141" s="596"/>
      <c r="U141" s="596"/>
      <c r="V141" s="596"/>
      <c r="W141" s="596"/>
      <c r="X141" s="596"/>
      <c r="Y141" s="596"/>
      <c r="Z141" s="596"/>
      <c r="AA141" s="596"/>
      <c r="AB141" s="596"/>
      <c r="AC141" s="596"/>
      <c r="AD141" s="596"/>
      <c r="AE141" s="596"/>
      <c r="AF141" s="596"/>
      <c r="AG141" s="596"/>
      <c r="AH141" s="596"/>
      <c r="AI141" s="596"/>
      <c r="AJ141" s="596"/>
      <c r="AK141" s="596"/>
      <c r="AL141" s="596"/>
      <c r="AM141" s="596"/>
      <c r="AN141" s="596"/>
      <c r="AO141" s="596"/>
      <c r="AP141" s="596"/>
      <c r="AQ141" s="596"/>
      <c r="AR141" s="596"/>
      <c r="AS141" s="596"/>
      <c r="AT141" s="596"/>
      <c r="AU141" s="596"/>
      <c r="AV141" s="596"/>
      <c r="AW141" s="596"/>
      <c r="AX141" s="596"/>
      <c r="AY141" s="596"/>
      <c r="AZ141" s="596"/>
      <c r="BA141" s="596"/>
      <c r="BB141" s="596"/>
      <c r="BC141" s="596"/>
      <c r="BD141" s="596"/>
      <c r="BE141" s="596"/>
      <c r="BF141" s="596"/>
      <c r="BG141" s="596"/>
      <c r="BH141" s="596"/>
      <c r="BI141" s="596"/>
      <c r="BJ141" s="596"/>
      <c r="BK141" s="596"/>
      <c r="BL141" s="596"/>
      <c r="BM141" s="596"/>
      <c r="BN141" s="596"/>
      <c r="BO141" s="596"/>
      <c r="BP141" s="596"/>
      <c r="BQ141" s="596"/>
      <c r="BR141" s="596"/>
      <c r="BS141" s="596"/>
      <c r="BT141" s="596"/>
      <c r="BU141" s="596"/>
      <c r="BV141" s="596"/>
      <c r="BW141" s="596"/>
      <c r="BX141" s="596"/>
      <c r="BY141" s="596"/>
      <c r="BZ141" s="596"/>
      <c r="CA141" s="596"/>
      <c r="CB141" s="596"/>
      <c r="CC141" s="596"/>
      <c r="CD141" s="596"/>
      <c r="CE141" s="596"/>
      <c r="CF141" s="596"/>
      <c r="CG141" s="596"/>
      <c r="CH141" s="596"/>
      <c r="CI141" s="596"/>
      <c r="CJ141" s="596"/>
      <c r="CK141" s="596"/>
      <c r="CL141" s="596"/>
      <c r="CM141" s="596"/>
      <c r="CN141" s="596"/>
      <c r="CO141" s="596"/>
      <c r="CP141" s="596"/>
      <c r="CQ141" s="596"/>
      <c r="CR141" s="596"/>
      <c r="CS141" s="596"/>
      <c r="CT141" s="596"/>
      <c r="CU141" s="596"/>
      <c r="CV141" s="596"/>
      <c r="CW141" s="596"/>
      <c r="CX141" s="596"/>
      <c r="CY141" s="596"/>
      <c r="CZ141" s="596"/>
      <c r="DA141" s="596"/>
      <c r="DB141" s="596"/>
      <c r="DC141" s="596"/>
      <c r="DD141" s="596"/>
      <c r="DE141" s="596"/>
      <c r="DF141" s="596"/>
      <c r="DG141" s="596"/>
      <c r="DH141" s="596"/>
      <c r="DI141" s="596"/>
      <c r="DJ141" s="596"/>
      <c r="DK141" s="596"/>
      <c r="DL141" s="596"/>
      <c r="DM141" s="596"/>
      <c r="DN141" s="596"/>
      <c r="DO141" s="596"/>
      <c r="DP141" s="596"/>
      <c r="DQ141" s="596"/>
      <c r="DR141" s="596"/>
      <c r="DS141" s="596"/>
      <c r="DT141" s="596"/>
      <c r="DU141" s="596"/>
      <c r="DV141" s="596"/>
      <c r="DW141" s="596"/>
      <c r="DX141" s="596"/>
      <c r="DY141" s="596"/>
      <c r="DZ141" s="596"/>
      <c r="EA141" s="596"/>
    </row>
    <row r="142" spans="1:131">
      <c r="A142" s="596"/>
      <c r="B142" s="596"/>
      <c r="C142" s="596"/>
      <c r="D142" s="596"/>
      <c r="E142" s="596"/>
      <c r="F142" s="596"/>
      <c r="G142" s="596"/>
      <c r="H142" s="596"/>
      <c r="I142" s="596"/>
      <c r="J142" s="596"/>
      <c r="K142" s="638"/>
      <c r="L142" s="638"/>
      <c r="M142" s="638"/>
      <c r="N142" s="638"/>
      <c r="O142" s="638"/>
      <c r="P142" s="596"/>
      <c r="Q142" s="596"/>
      <c r="R142" s="596"/>
      <c r="S142" s="596"/>
      <c r="T142" s="596"/>
      <c r="U142" s="596"/>
      <c r="V142" s="596"/>
      <c r="W142" s="596"/>
      <c r="X142" s="596"/>
      <c r="Y142" s="596"/>
      <c r="Z142" s="596"/>
      <c r="AA142" s="596"/>
      <c r="AB142" s="596"/>
      <c r="AC142" s="596"/>
      <c r="AD142" s="596"/>
      <c r="AE142" s="596"/>
      <c r="AF142" s="596"/>
      <c r="AG142" s="596"/>
      <c r="AH142" s="596"/>
      <c r="AI142" s="596"/>
      <c r="AJ142" s="596"/>
      <c r="AK142" s="596"/>
      <c r="AL142" s="596"/>
      <c r="AM142" s="596"/>
      <c r="AN142" s="596"/>
      <c r="AO142" s="596"/>
      <c r="AP142" s="596"/>
      <c r="AQ142" s="596"/>
      <c r="AR142" s="596"/>
      <c r="AS142" s="596"/>
      <c r="AT142" s="596"/>
      <c r="AU142" s="596"/>
      <c r="AV142" s="596"/>
      <c r="AW142" s="596"/>
      <c r="AX142" s="596"/>
      <c r="AY142" s="596"/>
      <c r="AZ142" s="596"/>
      <c r="BA142" s="596"/>
      <c r="BB142" s="596"/>
      <c r="BC142" s="596"/>
      <c r="BD142" s="596"/>
      <c r="BE142" s="596"/>
      <c r="BF142" s="596"/>
      <c r="BG142" s="596"/>
      <c r="BH142" s="596"/>
      <c r="BI142" s="596"/>
      <c r="BJ142" s="596"/>
      <c r="BK142" s="596"/>
      <c r="BL142" s="596"/>
      <c r="BM142" s="596"/>
      <c r="BN142" s="596"/>
      <c r="BO142" s="596"/>
      <c r="BP142" s="596"/>
      <c r="BQ142" s="596"/>
      <c r="BR142" s="596"/>
      <c r="BS142" s="596"/>
      <c r="BT142" s="596"/>
      <c r="BU142" s="596"/>
      <c r="BV142" s="596"/>
      <c r="BW142" s="596"/>
      <c r="BX142" s="596"/>
      <c r="BY142" s="596"/>
      <c r="BZ142" s="596"/>
      <c r="CA142" s="596"/>
      <c r="CB142" s="596"/>
      <c r="CC142" s="596"/>
      <c r="CD142" s="596"/>
      <c r="CE142" s="596"/>
      <c r="CF142" s="596"/>
      <c r="CG142" s="596"/>
      <c r="CH142" s="596"/>
      <c r="CI142" s="596"/>
      <c r="CJ142" s="596"/>
      <c r="CK142" s="596"/>
      <c r="CL142" s="596"/>
      <c r="CM142" s="596"/>
      <c r="CN142" s="596"/>
      <c r="CO142" s="596"/>
      <c r="CP142" s="596"/>
      <c r="CQ142" s="596"/>
      <c r="CR142" s="596"/>
      <c r="CS142" s="596"/>
      <c r="CT142" s="596"/>
      <c r="CU142" s="596"/>
      <c r="CV142" s="596"/>
      <c r="CW142" s="596"/>
      <c r="CX142" s="596"/>
      <c r="CY142" s="596"/>
      <c r="CZ142" s="596"/>
      <c r="DA142" s="596"/>
      <c r="DB142" s="596"/>
      <c r="DC142" s="596"/>
      <c r="DD142" s="596"/>
      <c r="DE142" s="596"/>
      <c r="DF142" s="596"/>
      <c r="DG142" s="596"/>
      <c r="DH142" s="596"/>
      <c r="DI142" s="596"/>
      <c r="DJ142" s="596"/>
      <c r="DK142" s="596"/>
      <c r="DL142" s="596"/>
      <c r="DM142" s="596"/>
      <c r="DN142" s="596"/>
      <c r="DO142" s="596"/>
      <c r="DP142" s="596"/>
      <c r="DQ142" s="596"/>
      <c r="DR142" s="596"/>
      <c r="DS142" s="596"/>
      <c r="DT142" s="596"/>
      <c r="DU142" s="596"/>
      <c r="DV142" s="596"/>
      <c r="DW142" s="596"/>
      <c r="DX142" s="596"/>
      <c r="DY142" s="596"/>
      <c r="DZ142" s="596"/>
      <c r="EA142" s="596"/>
    </row>
    <row r="143" spans="1:131">
      <c r="A143" s="596"/>
      <c r="B143" s="596"/>
      <c r="C143" s="596"/>
      <c r="D143" s="596"/>
      <c r="E143" s="596"/>
      <c r="F143" s="596"/>
      <c r="G143" s="596"/>
      <c r="H143" s="596"/>
      <c r="I143" s="596"/>
      <c r="J143" s="596"/>
      <c r="K143" s="638"/>
      <c r="L143" s="638"/>
      <c r="M143" s="638"/>
      <c r="N143" s="638"/>
      <c r="O143" s="638"/>
      <c r="P143" s="596"/>
      <c r="Q143" s="596"/>
      <c r="R143" s="596"/>
      <c r="S143" s="596"/>
      <c r="T143" s="596"/>
      <c r="U143" s="596"/>
      <c r="V143" s="596"/>
      <c r="W143" s="596"/>
      <c r="X143" s="596"/>
      <c r="Y143" s="596"/>
      <c r="Z143" s="596"/>
      <c r="AA143" s="596"/>
      <c r="AB143" s="596"/>
      <c r="AC143" s="596"/>
      <c r="AD143" s="596"/>
      <c r="AE143" s="596"/>
      <c r="AF143" s="596"/>
      <c r="AG143" s="596"/>
      <c r="AH143" s="596"/>
      <c r="AI143" s="596"/>
      <c r="AJ143" s="596"/>
      <c r="AK143" s="596"/>
      <c r="AL143" s="596"/>
      <c r="AM143" s="596"/>
      <c r="AN143" s="596"/>
      <c r="AO143" s="596"/>
      <c r="AP143" s="596"/>
      <c r="AQ143" s="596"/>
      <c r="AR143" s="596"/>
      <c r="AS143" s="596"/>
      <c r="AT143" s="596"/>
      <c r="AU143" s="596"/>
      <c r="AV143" s="596"/>
      <c r="AW143" s="596"/>
      <c r="AX143" s="596"/>
      <c r="AY143" s="596"/>
      <c r="AZ143" s="596"/>
      <c r="BA143" s="596"/>
      <c r="BB143" s="596"/>
      <c r="BC143" s="596"/>
      <c r="BD143" s="596"/>
      <c r="BE143" s="596"/>
      <c r="BF143" s="596"/>
      <c r="BG143" s="596"/>
      <c r="BH143" s="596"/>
      <c r="BI143" s="596"/>
      <c r="BJ143" s="596"/>
      <c r="BK143" s="596"/>
      <c r="BL143" s="596"/>
      <c r="BM143" s="596"/>
      <c r="BN143" s="596"/>
      <c r="BO143" s="596"/>
      <c r="BP143" s="596"/>
      <c r="BQ143" s="596"/>
      <c r="BR143" s="596"/>
      <c r="BS143" s="596"/>
      <c r="BT143" s="596"/>
      <c r="BU143" s="596"/>
      <c r="BV143" s="596"/>
      <c r="BW143" s="596"/>
      <c r="BX143" s="596"/>
      <c r="BY143" s="596"/>
      <c r="BZ143" s="596"/>
      <c r="CA143" s="596"/>
      <c r="CB143" s="596"/>
      <c r="CC143" s="596"/>
      <c r="CD143" s="596"/>
      <c r="CE143" s="596"/>
      <c r="CF143" s="596"/>
      <c r="CG143" s="596"/>
      <c r="CH143" s="596"/>
      <c r="CI143" s="596"/>
      <c r="CJ143" s="596"/>
      <c r="CK143" s="596"/>
      <c r="CL143" s="596"/>
      <c r="CM143" s="596"/>
      <c r="CN143" s="596"/>
      <c r="CO143" s="596"/>
      <c r="CP143" s="596"/>
      <c r="CQ143" s="596"/>
      <c r="CR143" s="596"/>
      <c r="CS143" s="596"/>
      <c r="CT143" s="596"/>
      <c r="CU143" s="596"/>
      <c r="CV143" s="596"/>
      <c r="CW143" s="596"/>
      <c r="CX143" s="596"/>
      <c r="CY143" s="596"/>
      <c r="CZ143" s="596"/>
      <c r="DA143" s="596"/>
      <c r="DB143" s="596"/>
      <c r="DC143" s="596"/>
      <c r="DD143" s="596"/>
      <c r="DE143" s="596"/>
      <c r="DF143" s="596"/>
      <c r="DG143" s="596"/>
      <c r="DH143" s="596"/>
      <c r="DI143" s="596"/>
      <c r="DJ143" s="596"/>
      <c r="DK143" s="596"/>
      <c r="DL143" s="596"/>
      <c r="DM143" s="596"/>
      <c r="DN143" s="596"/>
      <c r="DO143" s="596"/>
      <c r="DP143" s="596"/>
      <c r="DQ143" s="596"/>
      <c r="DR143" s="596"/>
      <c r="DS143" s="596"/>
      <c r="DT143" s="596"/>
      <c r="DU143" s="596"/>
      <c r="DV143" s="596"/>
      <c r="DW143" s="596"/>
      <c r="DX143" s="596"/>
      <c r="DY143" s="596"/>
      <c r="DZ143" s="596"/>
      <c r="EA143" s="596"/>
    </row>
    <row r="144" spans="1:131">
      <c r="A144" s="596"/>
      <c r="B144" s="596"/>
      <c r="C144" s="596"/>
      <c r="D144" s="596"/>
      <c r="E144" s="596"/>
      <c r="F144" s="596"/>
      <c r="G144" s="596"/>
      <c r="H144" s="596"/>
      <c r="I144" s="596"/>
      <c r="J144" s="596"/>
      <c r="K144" s="638"/>
      <c r="L144" s="638"/>
      <c r="M144" s="638"/>
      <c r="N144" s="638"/>
      <c r="O144" s="638"/>
      <c r="P144" s="596"/>
      <c r="Q144" s="596"/>
      <c r="R144" s="596"/>
      <c r="S144" s="596"/>
      <c r="T144" s="596"/>
      <c r="U144" s="596"/>
      <c r="V144" s="596"/>
      <c r="W144" s="596"/>
      <c r="X144" s="596"/>
      <c r="Y144" s="596"/>
      <c r="Z144" s="596"/>
      <c r="AA144" s="596"/>
      <c r="AB144" s="596"/>
      <c r="AC144" s="596"/>
      <c r="AD144" s="596"/>
      <c r="AE144" s="596"/>
      <c r="AF144" s="596"/>
      <c r="AG144" s="596"/>
      <c r="AH144" s="596"/>
      <c r="AI144" s="596"/>
      <c r="AJ144" s="596"/>
      <c r="AK144" s="596"/>
      <c r="AL144" s="596"/>
      <c r="AM144" s="596"/>
      <c r="AN144" s="596"/>
      <c r="AO144" s="596"/>
      <c r="AP144" s="596"/>
      <c r="AQ144" s="596"/>
      <c r="AR144" s="596"/>
      <c r="AS144" s="596"/>
      <c r="AT144" s="596"/>
      <c r="AU144" s="596"/>
      <c r="AV144" s="596"/>
      <c r="AW144" s="596"/>
      <c r="AX144" s="596"/>
      <c r="AY144" s="596"/>
      <c r="AZ144" s="596"/>
      <c r="BA144" s="596"/>
      <c r="BB144" s="596"/>
      <c r="BC144" s="596"/>
      <c r="BD144" s="596"/>
      <c r="BE144" s="596"/>
      <c r="BF144" s="596"/>
      <c r="BG144" s="596"/>
      <c r="BH144" s="596"/>
      <c r="BI144" s="596"/>
      <c r="BJ144" s="596"/>
      <c r="BK144" s="596"/>
      <c r="BL144" s="596"/>
      <c r="BM144" s="596"/>
      <c r="BN144" s="596"/>
      <c r="BO144" s="596"/>
      <c r="BP144" s="596"/>
      <c r="BQ144" s="596"/>
      <c r="BR144" s="596"/>
      <c r="BS144" s="596"/>
      <c r="BT144" s="596"/>
      <c r="BU144" s="596"/>
      <c r="BV144" s="596"/>
      <c r="BW144" s="596"/>
      <c r="BX144" s="596"/>
      <c r="BY144" s="596"/>
      <c r="BZ144" s="596"/>
      <c r="CA144" s="596"/>
      <c r="CB144" s="596"/>
      <c r="CC144" s="596"/>
      <c r="CD144" s="596"/>
      <c r="CE144" s="596"/>
      <c r="CF144" s="596"/>
      <c r="CG144" s="596"/>
      <c r="CH144" s="596"/>
      <c r="CI144" s="596"/>
      <c r="CJ144" s="596"/>
      <c r="CK144" s="596"/>
      <c r="CL144" s="596"/>
      <c r="CM144" s="596"/>
      <c r="CN144" s="596"/>
      <c r="CO144" s="596"/>
      <c r="CP144" s="596"/>
      <c r="CQ144" s="596"/>
      <c r="CR144" s="596"/>
      <c r="CS144" s="596"/>
      <c r="CT144" s="596"/>
      <c r="CU144" s="596"/>
      <c r="CV144" s="596"/>
      <c r="CW144" s="596"/>
      <c r="CX144" s="596"/>
      <c r="CY144" s="596"/>
      <c r="CZ144" s="596"/>
      <c r="DA144" s="596"/>
      <c r="DB144" s="596"/>
      <c r="DC144" s="596"/>
      <c r="DD144" s="596"/>
      <c r="DE144" s="596"/>
      <c r="DF144" s="596"/>
      <c r="DG144" s="596"/>
      <c r="DH144" s="596"/>
      <c r="DI144" s="596"/>
      <c r="DJ144" s="596"/>
      <c r="DK144" s="596"/>
      <c r="DL144" s="596"/>
      <c r="DM144" s="596"/>
      <c r="DN144" s="596"/>
      <c r="DO144" s="596"/>
      <c r="DP144" s="596"/>
      <c r="DQ144" s="596"/>
      <c r="DR144" s="596"/>
      <c r="DS144" s="596"/>
      <c r="DT144" s="596"/>
      <c r="DU144" s="596"/>
      <c r="DV144" s="596"/>
      <c r="DW144" s="596"/>
      <c r="DX144" s="596"/>
      <c r="DY144" s="596"/>
      <c r="DZ144" s="596"/>
      <c r="EA144" s="596"/>
    </row>
    <row r="145" spans="1:131">
      <c r="A145" s="596"/>
      <c r="B145" s="596"/>
      <c r="C145" s="596"/>
      <c r="D145" s="596"/>
      <c r="E145" s="596"/>
      <c r="F145" s="596"/>
      <c r="G145" s="596"/>
      <c r="H145" s="596"/>
      <c r="I145" s="596"/>
      <c r="J145" s="596"/>
      <c r="K145" s="638"/>
      <c r="L145" s="638"/>
      <c r="M145" s="638"/>
      <c r="N145" s="638"/>
      <c r="O145" s="638"/>
      <c r="P145" s="596"/>
      <c r="Q145" s="596"/>
      <c r="R145" s="596"/>
      <c r="S145" s="596"/>
      <c r="T145" s="596"/>
      <c r="U145" s="596"/>
      <c r="V145" s="596"/>
      <c r="W145" s="596"/>
      <c r="X145" s="596"/>
      <c r="Y145" s="596"/>
      <c r="Z145" s="596"/>
      <c r="AA145" s="596"/>
      <c r="AB145" s="596"/>
      <c r="AC145" s="596"/>
      <c r="AD145" s="596"/>
      <c r="AE145" s="596"/>
      <c r="AF145" s="596"/>
      <c r="AG145" s="596"/>
      <c r="AH145" s="596"/>
      <c r="AI145" s="596"/>
      <c r="AJ145" s="596"/>
      <c r="AK145" s="596"/>
      <c r="AL145" s="596"/>
      <c r="AM145" s="596"/>
      <c r="AN145" s="596"/>
      <c r="AO145" s="596"/>
      <c r="AP145" s="596"/>
      <c r="AQ145" s="596"/>
      <c r="AR145" s="596"/>
      <c r="AS145" s="596"/>
      <c r="AT145" s="596"/>
      <c r="AU145" s="596"/>
      <c r="AV145" s="596"/>
      <c r="AW145" s="596"/>
      <c r="AX145" s="596"/>
      <c r="AY145" s="596"/>
      <c r="AZ145" s="596"/>
      <c r="BA145" s="596"/>
      <c r="BB145" s="596"/>
      <c r="BC145" s="596"/>
      <c r="BD145" s="596"/>
      <c r="BE145" s="596"/>
      <c r="BF145" s="596"/>
      <c r="BG145" s="596"/>
      <c r="BH145" s="596"/>
      <c r="BI145" s="596"/>
      <c r="BJ145" s="596"/>
      <c r="BK145" s="596"/>
      <c r="BL145" s="596"/>
      <c r="BM145" s="596"/>
      <c r="BN145" s="596"/>
      <c r="BO145" s="596"/>
      <c r="BP145" s="596"/>
      <c r="BQ145" s="596"/>
      <c r="BR145" s="596"/>
      <c r="BS145" s="596"/>
      <c r="BT145" s="596"/>
      <c r="BU145" s="596"/>
      <c r="BV145" s="596"/>
      <c r="BW145" s="596"/>
      <c r="BX145" s="596"/>
      <c r="BY145" s="596"/>
      <c r="BZ145" s="596"/>
      <c r="CA145" s="596"/>
      <c r="CB145" s="596"/>
      <c r="CC145" s="596"/>
      <c r="CD145" s="596"/>
      <c r="CE145" s="596"/>
      <c r="CF145" s="596"/>
      <c r="CG145" s="596"/>
      <c r="CH145" s="596"/>
      <c r="CI145" s="596"/>
      <c r="CJ145" s="596"/>
      <c r="CK145" s="596"/>
      <c r="CL145" s="596"/>
      <c r="CM145" s="596"/>
      <c r="CN145" s="596"/>
      <c r="CO145" s="596"/>
      <c r="CP145" s="596"/>
      <c r="CQ145" s="596"/>
      <c r="CR145" s="596"/>
      <c r="CS145" s="596"/>
      <c r="CT145" s="596"/>
      <c r="CU145" s="596"/>
      <c r="CV145" s="596"/>
      <c r="CW145" s="596"/>
      <c r="CX145" s="596"/>
      <c r="CY145" s="596"/>
      <c r="CZ145" s="596"/>
      <c r="DA145" s="596"/>
      <c r="DB145" s="596"/>
      <c r="DC145" s="596"/>
      <c r="DD145" s="596"/>
      <c r="DE145" s="596"/>
      <c r="DF145" s="596"/>
      <c r="DG145" s="596"/>
      <c r="DH145" s="596"/>
      <c r="DI145" s="596"/>
      <c r="DJ145" s="596"/>
      <c r="DK145" s="596"/>
      <c r="DL145" s="596"/>
      <c r="DM145" s="596"/>
      <c r="DN145" s="596"/>
      <c r="DO145" s="596"/>
      <c r="DP145" s="596"/>
      <c r="DQ145" s="596"/>
      <c r="DR145" s="596"/>
      <c r="DS145" s="596"/>
      <c r="DT145" s="596"/>
      <c r="DU145" s="596"/>
      <c r="DV145" s="596"/>
      <c r="DW145" s="596"/>
      <c r="DX145" s="596"/>
      <c r="DY145" s="596"/>
      <c r="DZ145" s="596"/>
      <c r="EA145" s="596"/>
    </row>
    <row r="146" spans="1:131">
      <c r="A146" s="596"/>
      <c r="B146" s="596"/>
      <c r="C146" s="596"/>
      <c r="D146" s="596"/>
      <c r="E146" s="596"/>
      <c r="F146" s="596"/>
      <c r="G146" s="596"/>
      <c r="H146" s="596"/>
      <c r="I146" s="596"/>
      <c r="J146" s="596"/>
      <c r="K146" s="638"/>
      <c r="L146" s="638"/>
      <c r="M146" s="638"/>
      <c r="N146" s="638"/>
      <c r="O146" s="638"/>
      <c r="P146" s="596"/>
      <c r="Q146" s="596"/>
      <c r="R146" s="596"/>
      <c r="S146" s="596"/>
      <c r="T146" s="596"/>
      <c r="U146" s="596"/>
      <c r="V146" s="596"/>
      <c r="W146" s="596"/>
      <c r="X146" s="596"/>
      <c r="Y146" s="596"/>
      <c r="Z146" s="596"/>
      <c r="AA146" s="596"/>
      <c r="AB146" s="596"/>
      <c r="AC146" s="596"/>
      <c r="AD146" s="596"/>
      <c r="AE146" s="596"/>
      <c r="AF146" s="596"/>
      <c r="AG146" s="596"/>
      <c r="AH146" s="596"/>
      <c r="AI146" s="596"/>
      <c r="AJ146" s="596"/>
      <c r="AK146" s="596"/>
      <c r="AL146" s="596"/>
      <c r="AM146" s="596"/>
      <c r="AN146" s="596"/>
      <c r="AO146" s="596"/>
      <c r="AP146" s="596"/>
      <c r="AQ146" s="596"/>
      <c r="AR146" s="596"/>
      <c r="AS146" s="596"/>
      <c r="AT146" s="596"/>
      <c r="AU146" s="596"/>
      <c r="AV146" s="596"/>
      <c r="AW146" s="596"/>
      <c r="AX146" s="596"/>
      <c r="AY146" s="596"/>
      <c r="AZ146" s="596"/>
      <c r="BA146" s="596"/>
      <c r="BB146" s="596"/>
      <c r="BC146" s="596"/>
      <c r="BD146" s="596"/>
      <c r="BE146" s="596"/>
      <c r="BF146" s="596"/>
      <c r="BG146" s="596"/>
      <c r="BH146" s="596"/>
      <c r="BI146" s="596"/>
      <c r="BJ146" s="596"/>
      <c r="BK146" s="596"/>
      <c r="BL146" s="596"/>
      <c r="BM146" s="596"/>
      <c r="BN146" s="596"/>
      <c r="BO146" s="596"/>
      <c r="BP146" s="596"/>
      <c r="BQ146" s="596"/>
      <c r="BR146" s="596"/>
      <c r="BS146" s="596"/>
      <c r="BT146" s="596"/>
      <c r="BU146" s="596"/>
      <c r="BV146" s="596"/>
      <c r="BW146" s="596"/>
      <c r="BX146" s="596"/>
      <c r="BY146" s="596"/>
      <c r="BZ146" s="596"/>
      <c r="CA146" s="596"/>
      <c r="CB146" s="596"/>
      <c r="CC146" s="596"/>
      <c r="CD146" s="596"/>
      <c r="CE146" s="596"/>
      <c r="CF146" s="596"/>
      <c r="CG146" s="596"/>
      <c r="CH146" s="596"/>
      <c r="CI146" s="596"/>
      <c r="CJ146" s="596"/>
      <c r="CK146" s="596"/>
      <c r="CL146" s="596"/>
      <c r="CM146" s="596"/>
      <c r="CN146" s="596"/>
      <c r="CO146" s="596"/>
      <c r="CP146" s="596"/>
      <c r="CQ146" s="596"/>
      <c r="CR146" s="596"/>
      <c r="CS146" s="596"/>
      <c r="CT146" s="596"/>
      <c r="CU146" s="596"/>
      <c r="CV146" s="596"/>
      <c r="CW146" s="596"/>
      <c r="CX146" s="596"/>
      <c r="CY146" s="596"/>
      <c r="CZ146" s="596"/>
      <c r="DA146" s="596"/>
      <c r="DB146" s="596"/>
      <c r="DC146" s="596"/>
      <c r="DD146" s="596"/>
      <c r="DE146" s="596"/>
      <c r="DF146" s="596"/>
      <c r="DG146" s="596"/>
      <c r="DH146" s="596"/>
      <c r="DI146" s="596"/>
      <c r="DJ146" s="596"/>
      <c r="DK146" s="596"/>
      <c r="DL146" s="596"/>
      <c r="DM146" s="596"/>
      <c r="DN146" s="596"/>
      <c r="DO146" s="596"/>
      <c r="DP146" s="596"/>
      <c r="DQ146" s="596"/>
      <c r="DR146" s="596"/>
      <c r="DS146" s="596"/>
      <c r="DT146" s="596"/>
      <c r="DU146" s="596"/>
      <c r="DV146" s="596"/>
      <c r="DW146" s="596"/>
      <c r="DX146" s="596"/>
      <c r="DY146" s="596"/>
      <c r="DZ146" s="596"/>
      <c r="EA146" s="596"/>
    </row>
    <row r="147" spans="1:131">
      <c r="A147" s="596"/>
      <c r="B147" s="596"/>
      <c r="C147" s="596"/>
      <c r="D147" s="596"/>
      <c r="E147" s="596"/>
      <c r="F147" s="596"/>
      <c r="G147" s="596"/>
      <c r="H147" s="596"/>
      <c r="I147" s="596"/>
      <c r="J147" s="596"/>
      <c r="K147" s="638"/>
      <c r="L147" s="638"/>
      <c r="M147" s="638"/>
      <c r="N147" s="638"/>
      <c r="O147" s="638"/>
      <c r="P147" s="596"/>
      <c r="Q147" s="596"/>
      <c r="R147" s="596"/>
      <c r="S147" s="596"/>
      <c r="T147" s="596"/>
      <c r="U147" s="596"/>
      <c r="V147" s="596"/>
      <c r="W147" s="596"/>
      <c r="X147" s="596"/>
      <c r="Y147" s="596"/>
      <c r="Z147" s="596"/>
      <c r="AA147" s="596"/>
      <c r="AB147" s="596"/>
      <c r="AC147" s="596"/>
      <c r="AD147" s="596"/>
      <c r="AE147" s="596"/>
      <c r="AF147" s="596"/>
      <c r="AG147" s="596"/>
      <c r="AH147" s="596"/>
      <c r="AI147" s="596"/>
      <c r="AJ147" s="596"/>
      <c r="AK147" s="596"/>
      <c r="AL147" s="596"/>
      <c r="AM147" s="596"/>
      <c r="AN147" s="596"/>
      <c r="AO147" s="596"/>
      <c r="AP147" s="596"/>
      <c r="AQ147" s="596"/>
      <c r="AR147" s="596"/>
      <c r="AS147" s="596"/>
      <c r="AT147" s="596"/>
      <c r="AU147" s="596"/>
      <c r="AV147" s="596"/>
      <c r="AW147" s="596"/>
      <c r="AX147" s="596"/>
      <c r="AY147" s="596"/>
      <c r="AZ147" s="596"/>
      <c r="BA147" s="596"/>
      <c r="BB147" s="596"/>
      <c r="BC147" s="596"/>
      <c r="BD147" s="596"/>
      <c r="BE147" s="596"/>
      <c r="BF147" s="596"/>
      <c r="BG147" s="596"/>
      <c r="BH147" s="596"/>
      <c r="BI147" s="596"/>
      <c r="BJ147" s="596"/>
      <c r="BK147" s="596"/>
      <c r="BL147" s="596"/>
      <c r="BM147" s="596"/>
      <c r="BN147" s="596"/>
      <c r="BO147" s="596"/>
      <c r="BP147" s="596"/>
      <c r="BQ147" s="596"/>
      <c r="BR147" s="596"/>
      <c r="BS147" s="596"/>
      <c r="BT147" s="596"/>
      <c r="BU147" s="596"/>
      <c r="BV147" s="596"/>
      <c r="BW147" s="596"/>
      <c r="BX147" s="596"/>
      <c r="BY147" s="596"/>
      <c r="BZ147" s="596"/>
      <c r="CA147" s="596"/>
      <c r="CB147" s="596"/>
      <c r="CC147" s="596"/>
      <c r="CD147" s="596"/>
      <c r="CE147" s="596"/>
      <c r="CF147" s="596"/>
      <c r="CG147" s="596"/>
      <c r="CH147" s="596"/>
      <c r="CI147" s="596"/>
      <c r="CJ147" s="596"/>
      <c r="CK147" s="596"/>
      <c r="CL147" s="596"/>
      <c r="CM147" s="596"/>
      <c r="CN147" s="596"/>
      <c r="CO147" s="596"/>
      <c r="CP147" s="596"/>
      <c r="CQ147" s="596"/>
      <c r="CR147" s="596"/>
      <c r="CS147" s="596"/>
      <c r="CT147" s="596"/>
      <c r="CU147" s="596"/>
      <c r="CV147" s="596"/>
      <c r="CW147" s="596"/>
      <c r="CX147" s="596"/>
      <c r="CY147" s="596"/>
      <c r="CZ147" s="596"/>
      <c r="DA147" s="596"/>
      <c r="DB147" s="596"/>
      <c r="DC147" s="596"/>
      <c r="DD147" s="596"/>
      <c r="DE147" s="596"/>
      <c r="DF147" s="596"/>
      <c r="DG147" s="596"/>
      <c r="DH147" s="596"/>
      <c r="DI147" s="596"/>
      <c r="DJ147" s="596"/>
      <c r="DK147" s="596"/>
      <c r="DL147" s="596"/>
      <c r="DM147" s="596"/>
      <c r="DN147" s="596"/>
      <c r="DO147" s="596"/>
      <c r="DP147" s="596"/>
      <c r="DQ147" s="596"/>
      <c r="DR147" s="596"/>
      <c r="DS147" s="596"/>
      <c r="DT147" s="596"/>
      <c r="DU147" s="596"/>
      <c r="DV147" s="596"/>
      <c r="DW147" s="596"/>
      <c r="DX147" s="596"/>
      <c r="DY147" s="596"/>
      <c r="DZ147" s="596"/>
      <c r="EA147" s="596"/>
    </row>
    <row r="148" spans="1:131">
      <c r="A148" s="596"/>
      <c r="B148" s="596"/>
      <c r="C148" s="596"/>
      <c r="D148" s="596"/>
      <c r="E148" s="596"/>
      <c r="F148" s="596"/>
      <c r="G148" s="596"/>
      <c r="H148" s="596"/>
      <c r="I148" s="596"/>
      <c r="J148" s="596"/>
      <c r="K148" s="638"/>
      <c r="L148" s="638"/>
      <c r="M148" s="638"/>
      <c r="N148" s="638"/>
      <c r="O148" s="638"/>
      <c r="P148" s="596"/>
      <c r="Q148" s="596"/>
      <c r="R148" s="596"/>
      <c r="S148" s="596"/>
      <c r="T148" s="596"/>
      <c r="U148" s="596"/>
      <c r="V148" s="596"/>
      <c r="W148" s="596"/>
      <c r="X148" s="596"/>
      <c r="Y148" s="596"/>
      <c r="Z148" s="596"/>
      <c r="AA148" s="596"/>
      <c r="AB148" s="596"/>
      <c r="AC148" s="596"/>
      <c r="AD148" s="596"/>
      <c r="AE148" s="596"/>
      <c r="AF148" s="596"/>
      <c r="AG148" s="596"/>
      <c r="AH148" s="596"/>
      <c r="AI148" s="596"/>
      <c r="AJ148" s="596"/>
      <c r="AK148" s="596"/>
      <c r="AL148" s="596"/>
      <c r="AM148" s="596"/>
      <c r="AN148" s="596"/>
      <c r="AO148" s="596"/>
      <c r="AP148" s="596"/>
      <c r="AQ148" s="596"/>
      <c r="AR148" s="596"/>
      <c r="AS148" s="596"/>
      <c r="AT148" s="596"/>
      <c r="AU148" s="596"/>
      <c r="AV148" s="596"/>
      <c r="AW148" s="596"/>
      <c r="AX148" s="596"/>
      <c r="AY148" s="596"/>
      <c r="AZ148" s="596"/>
      <c r="BA148" s="596"/>
      <c r="BB148" s="596"/>
      <c r="BC148" s="596"/>
      <c r="BD148" s="596"/>
      <c r="BE148" s="596"/>
      <c r="BF148" s="596"/>
      <c r="BG148" s="596"/>
      <c r="BH148" s="596"/>
      <c r="BI148" s="596"/>
      <c r="BJ148" s="596"/>
      <c r="BK148" s="596"/>
      <c r="BL148" s="596"/>
      <c r="BM148" s="596"/>
      <c r="BN148" s="596"/>
      <c r="BO148" s="596"/>
      <c r="BP148" s="596"/>
      <c r="BQ148" s="596"/>
      <c r="BR148" s="596"/>
      <c r="BS148" s="596"/>
      <c r="BT148" s="596"/>
      <c r="BU148" s="596"/>
      <c r="BV148" s="596"/>
      <c r="BW148" s="596"/>
      <c r="BX148" s="596"/>
      <c r="BY148" s="596"/>
      <c r="BZ148" s="596"/>
      <c r="CA148" s="596"/>
      <c r="CB148" s="596"/>
      <c r="CC148" s="596"/>
      <c r="CD148" s="596"/>
      <c r="CE148" s="596"/>
      <c r="CF148" s="596"/>
      <c r="CG148" s="596"/>
      <c r="CH148" s="596"/>
      <c r="CI148" s="596"/>
      <c r="CJ148" s="596"/>
      <c r="CK148" s="596"/>
      <c r="CL148" s="596"/>
      <c r="CM148" s="596"/>
      <c r="CN148" s="596"/>
      <c r="CO148" s="596"/>
      <c r="CP148" s="596"/>
      <c r="CQ148" s="596"/>
      <c r="CR148" s="596"/>
      <c r="CS148" s="596"/>
      <c r="CT148" s="596"/>
      <c r="CU148" s="596"/>
      <c r="CV148" s="596"/>
      <c r="CW148" s="596"/>
      <c r="CX148" s="596"/>
      <c r="CY148" s="596"/>
      <c r="CZ148" s="596"/>
      <c r="DA148" s="596"/>
      <c r="DB148" s="596"/>
      <c r="DC148" s="596"/>
      <c r="DD148" s="596"/>
      <c r="DE148" s="596"/>
      <c r="DF148" s="596"/>
      <c r="DG148" s="596"/>
      <c r="DH148" s="596"/>
      <c r="DI148" s="596"/>
      <c r="DJ148" s="596"/>
      <c r="DK148" s="596"/>
      <c r="DL148" s="596"/>
      <c r="DM148" s="596"/>
      <c r="DN148" s="596"/>
      <c r="DO148" s="596"/>
      <c r="DP148" s="596"/>
      <c r="DQ148" s="596"/>
      <c r="DR148" s="596"/>
      <c r="DS148" s="596"/>
      <c r="DT148" s="596"/>
      <c r="DU148" s="596"/>
      <c r="DV148" s="596"/>
      <c r="DW148" s="596"/>
      <c r="DX148" s="596"/>
      <c r="DY148" s="596"/>
      <c r="DZ148" s="596"/>
      <c r="EA148" s="596"/>
    </row>
    <row r="149" spans="1:131">
      <c r="A149" s="596"/>
      <c r="B149" s="596"/>
      <c r="C149" s="596"/>
      <c r="D149" s="596"/>
      <c r="E149" s="596"/>
      <c r="F149" s="596"/>
      <c r="G149" s="596"/>
      <c r="H149" s="596"/>
      <c r="I149" s="596"/>
      <c r="J149" s="596"/>
      <c r="K149" s="638"/>
      <c r="L149" s="638"/>
      <c r="M149" s="638"/>
      <c r="N149" s="638"/>
      <c r="O149" s="638"/>
      <c r="P149" s="596"/>
      <c r="Q149" s="596"/>
      <c r="R149" s="596"/>
      <c r="S149" s="596"/>
      <c r="T149" s="596"/>
      <c r="U149" s="596"/>
      <c r="V149" s="596"/>
      <c r="W149" s="596"/>
      <c r="X149" s="596"/>
      <c r="Y149" s="596"/>
      <c r="Z149" s="596"/>
      <c r="AA149" s="596"/>
      <c r="AB149" s="596"/>
      <c r="AC149" s="596"/>
      <c r="AD149" s="596"/>
      <c r="AE149" s="596"/>
      <c r="AF149" s="596"/>
      <c r="AG149" s="596"/>
      <c r="AH149" s="596"/>
      <c r="AI149" s="596"/>
      <c r="AJ149" s="596"/>
      <c r="AK149" s="596"/>
      <c r="AL149" s="596"/>
      <c r="AM149" s="596"/>
      <c r="AN149" s="596"/>
      <c r="AO149" s="596"/>
      <c r="AP149" s="596"/>
      <c r="AQ149" s="596"/>
      <c r="AR149" s="596"/>
      <c r="AS149" s="596"/>
      <c r="AT149" s="596"/>
      <c r="AU149" s="596"/>
      <c r="AV149" s="596"/>
      <c r="AW149" s="596"/>
      <c r="AX149" s="596"/>
      <c r="AY149" s="596"/>
      <c r="AZ149" s="596"/>
      <c r="BA149" s="596"/>
      <c r="BB149" s="596"/>
      <c r="BC149" s="596"/>
      <c r="BD149" s="596"/>
      <c r="BE149" s="596"/>
      <c r="BF149" s="596"/>
      <c r="BG149" s="596"/>
      <c r="BH149" s="596"/>
      <c r="BI149" s="596"/>
      <c r="BJ149" s="596"/>
      <c r="BK149" s="596"/>
      <c r="BL149" s="596"/>
      <c r="BM149" s="596"/>
      <c r="BN149" s="596"/>
      <c r="BO149" s="596"/>
      <c r="BP149" s="596"/>
      <c r="BQ149" s="596"/>
      <c r="BR149" s="596"/>
      <c r="BS149" s="596"/>
      <c r="BT149" s="596"/>
      <c r="BU149" s="596"/>
      <c r="BV149" s="596"/>
      <c r="BW149" s="596"/>
      <c r="BX149" s="596"/>
      <c r="BY149" s="596"/>
      <c r="BZ149" s="596"/>
      <c r="CA149" s="596"/>
      <c r="CB149" s="596"/>
      <c r="CC149" s="596"/>
      <c r="CD149" s="596"/>
      <c r="CE149" s="596"/>
      <c r="CF149" s="596"/>
      <c r="CG149" s="596"/>
      <c r="CH149" s="596"/>
      <c r="CI149" s="596"/>
      <c r="CJ149" s="596"/>
      <c r="CK149" s="596"/>
      <c r="CL149" s="596"/>
      <c r="CM149" s="596"/>
      <c r="CN149" s="596"/>
      <c r="CO149" s="596"/>
      <c r="CP149" s="596"/>
      <c r="CQ149" s="596"/>
      <c r="CR149" s="596"/>
      <c r="CS149" s="596"/>
      <c r="CT149" s="596"/>
      <c r="CU149" s="596"/>
      <c r="CV149" s="596"/>
      <c r="CW149" s="596"/>
      <c r="CX149" s="596"/>
      <c r="CY149" s="596"/>
      <c r="CZ149" s="596"/>
      <c r="DA149" s="596"/>
      <c r="DB149" s="596"/>
      <c r="DC149" s="596"/>
      <c r="DD149" s="596"/>
      <c r="DE149" s="596"/>
      <c r="DF149" s="596"/>
      <c r="DG149" s="596"/>
      <c r="DH149" s="596"/>
      <c r="DI149" s="596"/>
      <c r="DJ149" s="596"/>
      <c r="DK149" s="596"/>
      <c r="DL149" s="596"/>
      <c r="DM149" s="596"/>
      <c r="DN149" s="596"/>
      <c r="DO149" s="596"/>
      <c r="DP149" s="596"/>
      <c r="DQ149" s="596"/>
      <c r="DR149" s="596"/>
      <c r="DS149" s="596"/>
      <c r="DT149" s="596"/>
      <c r="DU149" s="596"/>
      <c r="DV149" s="596"/>
      <c r="DW149" s="596"/>
      <c r="DX149" s="596"/>
      <c r="DY149" s="596"/>
      <c r="DZ149" s="596"/>
      <c r="EA149" s="596"/>
    </row>
    <row r="150" spans="1:131">
      <c r="A150" s="596"/>
      <c r="B150" s="596"/>
      <c r="C150" s="596"/>
      <c r="D150" s="596"/>
      <c r="E150" s="596"/>
      <c r="F150" s="596"/>
      <c r="G150" s="596"/>
      <c r="H150" s="596"/>
      <c r="I150" s="596"/>
      <c r="J150" s="596"/>
      <c r="K150" s="638"/>
      <c r="L150" s="638"/>
      <c r="M150" s="638"/>
      <c r="N150" s="638"/>
      <c r="O150" s="638"/>
      <c r="P150" s="596"/>
      <c r="Q150" s="596"/>
      <c r="R150" s="596"/>
      <c r="S150" s="596"/>
      <c r="T150" s="596"/>
      <c r="U150" s="596"/>
      <c r="V150" s="596"/>
      <c r="W150" s="596"/>
      <c r="X150" s="596"/>
      <c r="Y150" s="596"/>
      <c r="Z150" s="596"/>
      <c r="AA150" s="596"/>
      <c r="AB150" s="596"/>
      <c r="AC150" s="596"/>
      <c r="AD150" s="596"/>
      <c r="AE150" s="596"/>
      <c r="AF150" s="596"/>
      <c r="AG150" s="596"/>
      <c r="AH150" s="596"/>
      <c r="AI150" s="596"/>
      <c r="AJ150" s="596"/>
      <c r="AK150" s="596"/>
      <c r="AL150" s="596"/>
      <c r="AM150" s="596"/>
      <c r="AN150" s="596"/>
      <c r="AO150" s="596"/>
      <c r="AP150" s="596"/>
      <c r="AQ150" s="596"/>
      <c r="AR150" s="596"/>
      <c r="AS150" s="596"/>
      <c r="AT150" s="596"/>
      <c r="AU150" s="596"/>
      <c r="AV150" s="596"/>
      <c r="AW150" s="596"/>
      <c r="AX150" s="596"/>
      <c r="AY150" s="596"/>
      <c r="AZ150" s="596"/>
      <c r="BA150" s="596"/>
      <c r="BB150" s="596"/>
      <c r="BC150" s="596"/>
      <c r="BD150" s="596"/>
      <c r="BE150" s="596"/>
      <c r="BF150" s="596"/>
      <c r="BG150" s="596"/>
      <c r="BH150" s="596"/>
      <c r="BI150" s="596"/>
      <c r="BJ150" s="596"/>
      <c r="BK150" s="596"/>
      <c r="BL150" s="596"/>
      <c r="BM150" s="596"/>
      <c r="BN150" s="596"/>
      <c r="BO150" s="596"/>
      <c r="BP150" s="596"/>
      <c r="BQ150" s="596"/>
      <c r="BR150" s="596"/>
      <c r="BS150" s="596"/>
      <c r="BT150" s="596"/>
      <c r="BU150" s="596"/>
      <c r="BV150" s="596"/>
      <c r="BW150" s="596"/>
      <c r="BX150" s="596"/>
      <c r="BY150" s="596"/>
      <c r="BZ150" s="596"/>
      <c r="CA150" s="596"/>
      <c r="CB150" s="596"/>
      <c r="CC150" s="596"/>
      <c r="CD150" s="596"/>
      <c r="CE150" s="596"/>
      <c r="CF150" s="596"/>
      <c r="CG150" s="596"/>
      <c r="CH150" s="596"/>
      <c r="CI150" s="596"/>
      <c r="CJ150" s="596"/>
      <c r="CK150" s="596"/>
      <c r="CL150" s="596"/>
      <c r="CM150" s="596"/>
      <c r="CN150" s="596"/>
      <c r="CO150" s="596"/>
      <c r="CP150" s="596"/>
      <c r="CQ150" s="596"/>
      <c r="CR150" s="596"/>
      <c r="CS150" s="596"/>
      <c r="CT150" s="596"/>
      <c r="CU150" s="596"/>
      <c r="CV150" s="596"/>
      <c r="CW150" s="596"/>
      <c r="CX150" s="596"/>
      <c r="CY150" s="596"/>
      <c r="CZ150" s="596"/>
      <c r="DA150" s="596"/>
      <c r="DB150" s="596"/>
      <c r="DC150" s="596"/>
      <c r="DD150" s="596"/>
      <c r="DE150" s="596"/>
      <c r="DF150" s="596"/>
      <c r="DG150" s="596"/>
      <c r="DH150" s="596"/>
      <c r="DI150" s="596"/>
      <c r="DJ150" s="596"/>
      <c r="DK150" s="596"/>
      <c r="DL150" s="596"/>
      <c r="DM150" s="596"/>
      <c r="DN150" s="596"/>
      <c r="DO150" s="596"/>
      <c r="DP150" s="596"/>
      <c r="DQ150" s="596"/>
      <c r="DR150" s="596"/>
      <c r="DS150" s="596"/>
      <c r="DT150" s="596"/>
      <c r="DU150" s="596"/>
      <c r="DV150" s="596"/>
      <c r="DW150" s="596"/>
      <c r="DX150" s="596"/>
      <c r="DY150" s="596"/>
      <c r="DZ150" s="596"/>
      <c r="EA150" s="596"/>
    </row>
    <row r="151" spans="1:131">
      <c r="A151" s="596"/>
      <c r="B151" s="596"/>
      <c r="C151" s="596"/>
      <c r="D151" s="596"/>
      <c r="E151" s="596"/>
      <c r="F151" s="596"/>
      <c r="G151" s="596"/>
      <c r="H151" s="596"/>
      <c r="I151" s="596"/>
      <c r="J151" s="596"/>
      <c r="K151" s="638"/>
      <c r="L151" s="638"/>
      <c r="M151" s="638"/>
      <c r="N151" s="638"/>
      <c r="O151" s="638"/>
      <c r="P151" s="596"/>
      <c r="Q151" s="596"/>
      <c r="R151" s="596"/>
      <c r="S151" s="596"/>
      <c r="T151" s="596"/>
      <c r="U151" s="596"/>
      <c r="V151" s="596"/>
      <c r="W151" s="596"/>
      <c r="X151" s="596"/>
      <c r="Y151" s="596"/>
      <c r="Z151" s="596"/>
      <c r="AA151" s="596"/>
      <c r="AB151" s="596"/>
      <c r="AC151" s="596"/>
      <c r="AD151" s="596"/>
      <c r="AE151" s="596"/>
      <c r="AF151" s="596"/>
      <c r="AG151" s="596"/>
      <c r="AH151" s="596"/>
      <c r="AI151" s="596"/>
      <c r="AJ151" s="596"/>
      <c r="AK151" s="596"/>
      <c r="AL151" s="596"/>
      <c r="AM151" s="596"/>
      <c r="AN151" s="596"/>
      <c r="AO151" s="596"/>
      <c r="AP151" s="596"/>
      <c r="AQ151" s="596"/>
      <c r="AR151" s="596"/>
      <c r="AS151" s="596"/>
      <c r="AT151" s="596"/>
      <c r="AU151" s="596"/>
      <c r="AV151" s="596"/>
      <c r="AW151" s="596"/>
      <c r="AX151" s="596"/>
      <c r="AY151" s="596"/>
      <c r="AZ151" s="596"/>
      <c r="BA151" s="596"/>
      <c r="BB151" s="596"/>
      <c r="BC151" s="596"/>
      <c r="BD151" s="596"/>
      <c r="BE151" s="596"/>
      <c r="BF151" s="596"/>
      <c r="BG151" s="596"/>
      <c r="BH151" s="596"/>
      <c r="BI151" s="596"/>
      <c r="BJ151" s="596"/>
      <c r="BK151" s="596"/>
      <c r="BL151" s="596"/>
      <c r="BM151" s="596"/>
      <c r="BN151" s="596"/>
      <c r="BO151" s="596"/>
      <c r="BP151" s="596"/>
      <c r="BQ151" s="596"/>
      <c r="BR151" s="596"/>
      <c r="BS151" s="596"/>
      <c r="BT151" s="596"/>
      <c r="BU151" s="596"/>
      <c r="BV151" s="596"/>
      <c r="BW151" s="596"/>
      <c r="BX151" s="596"/>
      <c r="BY151" s="596"/>
      <c r="BZ151" s="596"/>
      <c r="CA151" s="596"/>
      <c r="CB151" s="596"/>
      <c r="CC151" s="596"/>
      <c r="CD151" s="596"/>
      <c r="CE151" s="596"/>
      <c r="CF151" s="596"/>
      <c r="CG151" s="596"/>
      <c r="CH151" s="596"/>
      <c r="CI151" s="596"/>
      <c r="CJ151" s="596"/>
      <c r="CK151" s="596"/>
      <c r="CL151" s="596"/>
      <c r="CM151" s="596"/>
      <c r="CN151" s="596"/>
      <c r="CO151" s="596"/>
      <c r="CP151" s="596"/>
      <c r="CQ151" s="596"/>
      <c r="CR151" s="596"/>
      <c r="CS151" s="596"/>
      <c r="CT151" s="596"/>
      <c r="CU151" s="596"/>
      <c r="CV151" s="596"/>
      <c r="CW151" s="596"/>
      <c r="CX151" s="596"/>
      <c r="CY151" s="596"/>
      <c r="CZ151" s="596"/>
      <c r="DA151" s="596"/>
      <c r="DB151" s="596"/>
      <c r="DC151" s="596"/>
      <c r="DD151" s="596"/>
      <c r="DE151" s="596"/>
      <c r="DF151" s="596"/>
      <c r="DG151" s="596"/>
      <c r="DH151" s="596"/>
      <c r="DI151" s="596"/>
      <c r="DJ151" s="596"/>
      <c r="DK151" s="596"/>
      <c r="DL151" s="596"/>
      <c r="DM151" s="596"/>
      <c r="DN151" s="596"/>
      <c r="DO151" s="596"/>
      <c r="DP151" s="596"/>
      <c r="DQ151" s="596"/>
      <c r="DR151" s="596"/>
      <c r="DS151" s="596"/>
      <c r="DT151" s="596"/>
      <c r="DU151" s="596"/>
      <c r="DV151" s="596"/>
      <c r="DW151" s="596"/>
      <c r="DX151" s="596"/>
      <c r="DY151" s="596"/>
      <c r="DZ151" s="596"/>
      <c r="EA151" s="596"/>
    </row>
    <row r="152" spans="1:131">
      <c r="A152" s="596"/>
      <c r="B152" s="596"/>
      <c r="C152" s="596"/>
      <c r="D152" s="596"/>
      <c r="E152" s="596"/>
      <c r="F152" s="596"/>
      <c r="G152" s="596"/>
      <c r="H152" s="596"/>
      <c r="I152" s="596"/>
      <c r="J152" s="596"/>
      <c r="K152" s="638"/>
      <c r="L152" s="638"/>
      <c r="M152" s="638"/>
      <c r="N152" s="638"/>
      <c r="O152" s="638"/>
      <c r="P152" s="596"/>
      <c r="Q152" s="596"/>
      <c r="R152" s="596"/>
      <c r="S152" s="596"/>
      <c r="T152" s="596"/>
      <c r="U152" s="596"/>
      <c r="V152" s="596"/>
      <c r="W152" s="596"/>
      <c r="X152" s="596"/>
      <c r="Y152" s="596"/>
      <c r="Z152" s="596"/>
      <c r="AA152" s="596"/>
      <c r="AB152" s="596"/>
      <c r="AC152" s="596"/>
      <c r="AD152" s="596"/>
      <c r="AE152" s="596"/>
      <c r="AF152" s="596"/>
      <c r="AG152" s="596"/>
      <c r="AH152" s="596"/>
      <c r="AI152" s="596"/>
      <c r="AJ152" s="596"/>
      <c r="AK152" s="596"/>
      <c r="AL152" s="596"/>
      <c r="AM152" s="596"/>
      <c r="AN152" s="596"/>
      <c r="AO152" s="596"/>
      <c r="AP152" s="596"/>
      <c r="AQ152" s="596"/>
      <c r="AR152" s="596"/>
      <c r="AS152" s="596"/>
      <c r="AT152" s="596"/>
      <c r="AU152" s="596"/>
      <c r="AV152" s="596"/>
      <c r="AW152" s="596"/>
      <c r="AX152" s="596"/>
      <c r="AY152" s="596"/>
      <c r="AZ152" s="596"/>
      <c r="BA152" s="596"/>
      <c r="BB152" s="596"/>
      <c r="BC152" s="596"/>
      <c r="BD152" s="596"/>
      <c r="BE152" s="596"/>
      <c r="BF152" s="596"/>
      <c r="BG152" s="596"/>
      <c r="BH152" s="596"/>
      <c r="BI152" s="596"/>
      <c r="BJ152" s="596"/>
      <c r="BK152" s="596"/>
      <c r="BL152" s="596"/>
      <c r="BM152" s="596"/>
      <c r="BN152" s="596"/>
      <c r="BO152" s="596"/>
      <c r="BP152" s="596"/>
      <c r="BQ152" s="596"/>
      <c r="BR152" s="596"/>
      <c r="BS152" s="596"/>
      <c r="BT152" s="596"/>
      <c r="BU152" s="596"/>
      <c r="BV152" s="596"/>
      <c r="BW152" s="596"/>
      <c r="BX152" s="596"/>
      <c r="BY152" s="596"/>
      <c r="BZ152" s="596"/>
      <c r="CA152" s="596"/>
      <c r="CB152" s="596"/>
      <c r="CC152" s="596"/>
      <c r="CD152" s="596"/>
      <c r="CE152" s="596"/>
      <c r="CF152" s="596"/>
      <c r="CG152" s="596"/>
      <c r="CH152" s="596"/>
      <c r="CI152" s="596"/>
      <c r="CJ152" s="596"/>
      <c r="CK152" s="596"/>
      <c r="CL152" s="596"/>
      <c r="CM152" s="596"/>
      <c r="CN152" s="596"/>
      <c r="CO152" s="596"/>
      <c r="CP152" s="596"/>
      <c r="CQ152" s="596"/>
      <c r="CR152" s="596"/>
      <c r="CS152" s="596"/>
      <c r="CT152" s="596"/>
      <c r="CU152" s="596"/>
      <c r="CV152" s="596"/>
      <c r="CW152" s="596"/>
      <c r="CX152" s="596"/>
      <c r="CY152" s="596"/>
      <c r="CZ152" s="596"/>
      <c r="DA152" s="596"/>
      <c r="DB152" s="596"/>
      <c r="DC152" s="596"/>
      <c r="DD152" s="596"/>
      <c r="DE152" s="596"/>
      <c r="DF152" s="596"/>
      <c r="DG152" s="596"/>
      <c r="DH152" s="596"/>
      <c r="DI152" s="596"/>
      <c r="DJ152" s="596"/>
      <c r="DK152" s="596"/>
      <c r="DL152" s="596"/>
      <c r="DM152" s="596"/>
      <c r="DN152" s="596"/>
      <c r="DO152" s="596"/>
      <c r="DP152" s="596"/>
      <c r="DQ152" s="596"/>
      <c r="DR152" s="596"/>
      <c r="DS152" s="596"/>
      <c r="DT152" s="596"/>
      <c r="DU152" s="596"/>
      <c r="DV152" s="596"/>
      <c r="DW152" s="596"/>
      <c r="DX152" s="596"/>
      <c r="DY152" s="596"/>
      <c r="DZ152" s="596"/>
      <c r="EA152" s="596"/>
    </row>
    <row r="153" spans="1:131">
      <c r="A153" s="596"/>
      <c r="B153" s="596"/>
      <c r="C153" s="596"/>
      <c r="D153" s="596"/>
      <c r="E153" s="596"/>
      <c r="F153" s="596"/>
      <c r="G153" s="596"/>
      <c r="H153" s="596"/>
      <c r="I153" s="596"/>
      <c r="J153" s="596"/>
      <c r="K153" s="638"/>
      <c r="L153" s="638"/>
      <c r="M153" s="638"/>
      <c r="N153" s="638"/>
      <c r="O153" s="638"/>
      <c r="P153" s="596"/>
      <c r="Q153" s="596"/>
      <c r="R153" s="596"/>
      <c r="S153" s="596"/>
      <c r="T153" s="596"/>
      <c r="U153" s="596"/>
      <c r="V153" s="596"/>
      <c r="W153" s="596"/>
      <c r="X153" s="596"/>
      <c r="Y153" s="596"/>
      <c r="Z153" s="596"/>
      <c r="AA153" s="596"/>
      <c r="AB153" s="596"/>
      <c r="AC153" s="596"/>
      <c r="AD153" s="596"/>
      <c r="AE153" s="596"/>
      <c r="AF153" s="596"/>
      <c r="AG153" s="596"/>
      <c r="AH153" s="596"/>
      <c r="AI153" s="596"/>
      <c r="AJ153" s="596"/>
      <c r="AK153" s="596"/>
      <c r="AL153" s="596"/>
      <c r="AM153" s="596"/>
      <c r="AN153" s="596"/>
      <c r="AO153" s="596"/>
      <c r="AP153" s="596"/>
      <c r="AQ153" s="596"/>
      <c r="AR153" s="596"/>
      <c r="AS153" s="596"/>
      <c r="AT153" s="596"/>
      <c r="AU153" s="596"/>
      <c r="AV153" s="596"/>
      <c r="AW153" s="596"/>
      <c r="AX153" s="596"/>
      <c r="AY153" s="596"/>
      <c r="AZ153" s="596"/>
      <c r="BA153" s="596"/>
      <c r="BB153" s="596"/>
      <c r="BC153" s="596"/>
      <c r="BD153" s="596"/>
      <c r="BE153" s="596"/>
      <c r="BF153" s="596"/>
      <c r="BG153" s="596"/>
      <c r="BH153" s="596"/>
      <c r="BI153" s="596"/>
      <c r="BJ153" s="596"/>
      <c r="BK153" s="596"/>
      <c r="BL153" s="596"/>
      <c r="BM153" s="596"/>
      <c r="BN153" s="596"/>
      <c r="BO153" s="596"/>
      <c r="BP153" s="596"/>
      <c r="BQ153" s="596"/>
      <c r="BR153" s="596"/>
      <c r="BS153" s="596"/>
      <c r="BT153" s="596"/>
      <c r="BU153" s="596"/>
      <c r="BV153" s="596"/>
      <c r="BW153" s="596"/>
      <c r="BX153" s="596"/>
      <c r="BY153" s="596"/>
      <c r="BZ153" s="596"/>
      <c r="CA153" s="596"/>
      <c r="CB153" s="596"/>
      <c r="CC153" s="596"/>
      <c r="CD153" s="596"/>
      <c r="CE153" s="596"/>
      <c r="CF153" s="596"/>
      <c r="CG153" s="596"/>
      <c r="CH153" s="596"/>
      <c r="CI153" s="596"/>
      <c r="CJ153" s="596"/>
      <c r="CK153" s="596"/>
      <c r="CL153" s="596"/>
      <c r="CM153" s="596"/>
      <c r="CN153" s="596"/>
      <c r="CO153" s="596"/>
      <c r="CP153" s="596"/>
      <c r="CQ153" s="596"/>
      <c r="CR153" s="596"/>
      <c r="CS153" s="596"/>
      <c r="CT153" s="596"/>
      <c r="CU153" s="596"/>
      <c r="CV153" s="596"/>
      <c r="CW153" s="596"/>
      <c r="CX153" s="596"/>
      <c r="CY153" s="596"/>
      <c r="CZ153" s="596"/>
      <c r="DA153" s="596"/>
      <c r="DB153" s="596"/>
      <c r="DC153" s="596"/>
      <c r="DD153" s="596"/>
      <c r="DE153" s="596"/>
      <c r="DF153" s="596"/>
      <c r="DG153" s="596"/>
      <c r="DH153" s="596"/>
      <c r="DI153" s="596"/>
      <c r="DJ153" s="596"/>
      <c r="DK153" s="596"/>
      <c r="DL153" s="596"/>
      <c r="DM153" s="596"/>
      <c r="DN153" s="596"/>
      <c r="DO153" s="596"/>
      <c r="DP153" s="596"/>
      <c r="DQ153" s="596"/>
      <c r="DR153" s="596"/>
      <c r="DS153" s="596"/>
      <c r="DT153" s="596"/>
      <c r="DU153" s="596"/>
      <c r="DV153" s="596"/>
      <c r="DW153" s="596"/>
      <c r="DX153" s="596"/>
      <c r="DY153" s="596"/>
      <c r="DZ153" s="596"/>
      <c r="EA153" s="596"/>
    </row>
    <row r="154" spans="1:131">
      <c r="A154" s="596"/>
      <c r="B154" s="596"/>
      <c r="C154" s="596"/>
      <c r="D154" s="596"/>
      <c r="E154" s="596"/>
      <c r="F154" s="596"/>
      <c r="G154" s="596"/>
      <c r="H154" s="596"/>
      <c r="I154" s="596"/>
      <c r="J154" s="596"/>
      <c r="K154" s="638"/>
      <c r="L154" s="638"/>
      <c r="M154" s="638"/>
      <c r="N154" s="638"/>
      <c r="O154" s="638"/>
      <c r="P154" s="596"/>
      <c r="Q154" s="596"/>
      <c r="R154" s="596"/>
      <c r="S154" s="596"/>
      <c r="T154" s="596"/>
      <c r="U154" s="596"/>
      <c r="V154" s="596"/>
      <c r="W154" s="596"/>
      <c r="X154" s="596"/>
      <c r="Y154" s="596"/>
      <c r="Z154" s="596"/>
      <c r="AA154" s="596"/>
      <c r="AB154" s="596"/>
      <c r="AC154" s="596"/>
      <c r="AD154" s="596"/>
      <c r="AE154" s="596"/>
      <c r="AF154" s="596"/>
      <c r="AG154" s="596"/>
      <c r="AH154" s="596"/>
      <c r="AI154" s="596"/>
      <c r="AJ154" s="596"/>
      <c r="AK154" s="596"/>
      <c r="AL154" s="596"/>
      <c r="AM154" s="596"/>
      <c r="AN154" s="596"/>
      <c r="AO154" s="596"/>
      <c r="AP154" s="596"/>
      <c r="AQ154" s="596"/>
      <c r="AR154" s="596"/>
      <c r="AS154" s="596"/>
      <c r="AT154" s="596"/>
      <c r="AU154" s="596"/>
      <c r="AV154" s="596"/>
      <c r="AW154" s="596"/>
      <c r="AX154" s="596"/>
      <c r="AY154" s="596"/>
      <c r="AZ154" s="596"/>
      <c r="BA154" s="596"/>
      <c r="BB154" s="596"/>
      <c r="BC154" s="596"/>
      <c r="BD154" s="596"/>
      <c r="BE154" s="596"/>
      <c r="BF154" s="596"/>
      <c r="BG154" s="596"/>
      <c r="BH154" s="596"/>
      <c r="BI154" s="596"/>
      <c r="BJ154" s="596"/>
      <c r="BK154" s="596"/>
      <c r="BL154" s="596"/>
      <c r="BM154" s="596"/>
      <c r="BN154" s="596"/>
      <c r="BO154" s="596"/>
      <c r="BP154" s="596"/>
      <c r="BQ154" s="596"/>
      <c r="BR154" s="596"/>
      <c r="BS154" s="596"/>
      <c r="BT154" s="596"/>
      <c r="BU154" s="596"/>
      <c r="BV154" s="596"/>
      <c r="BW154" s="596"/>
      <c r="BX154" s="596"/>
      <c r="BY154" s="596"/>
      <c r="BZ154" s="596"/>
      <c r="CA154" s="596"/>
      <c r="CB154" s="596"/>
      <c r="CC154" s="596"/>
      <c r="CD154" s="596"/>
      <c r="CE154" s="596"/>
      <c r="CF154" s="596"/>
      <c r="CG154" s="596"/>
      <c r="CH154" s="596"/>
      <c r="CI154" s="596"/>
      <c r="CJ154" s="596"/>
      <c r="CK154" s="596"/>
      <c r="CL154" s="596"/>
      <c r="CM154" s="596"/>
      <c r="CN154" s="596"/>
      <c r="CO154" s="596"/>
      <c r="CP154" s="596"/>
      <c r="CQ154" s="596"/>
      <c r="CR154" s="596"/>
      <c r="CS154" s="596"/>
      <c r="CT154" s="596"/>
      <c r="CU154" s="596"/>
      <c r="CV154" s="596"/>
      <c r="CW154" s="596"/>
      <c r="CX154" s="596"/>
      <c r="CY154" s="596"/>
      <c r="CZ154" s="596"/>
      <c r="DA154" s="596"/>
      <c r="DB154" s="596"/>
      <c r="DC154" s="596"/>
      <c r="DD154" s="596"/>
      <c r="DE154" s="596"/>
      <c r="DF154" s="596"/>
      <c r="DG154" s="596"/>
      <c r="DH154" s="596"/>
      <c r="DI154" s="596"/>
      <c r="DJ154" s="596"/>
      <c r="DK154" s="596"/>
      <c r="DL154" s="596"/>
      <c r="DM154" s="596"/>
      <c r="DN154" s="596"/>
      <c r="DO154" s="596"/>
      <c r="DP154" s="596"/>
      <c r="DQ154" s="596"/>
      <c r="DR154" s="596"/>
      <c r="DS154" s="596"/>
      <c r="DT154" s="596"/>
      <c r="DU154" s="596"/>
      <c r="DV154" s="596"/>
      <c r="DW154" s="596"/>
      <c r="DX154" s="596"/>
      <c r="DY154" s="596"/>
      <c r="DZ154" s="596"/>
      <c r="EA154" s="596"/>
    </row>
    <row r="155" spans="1:131">
      <c r="A155" s="596"/>
      <c r="B155" s="596"/>
      <c r="C155" s="596"/>
      <c r="D155" s="596"/>
      <c r="E155" s="596"/>
      <c r="F155" s="596"/>
      <c r="G155" s="596"/>
      <c r="H155" s="596"/>
      <c r="I155" s="596"/>
      <c r="J155" s="596"/>
      <c r="K155" s="638"/>
      <c r="L155" s="638"/>
      <c r="M155" s="638"/>
      <c r="N155" s="638"/>
      <c r="O155" s="638"/>
      <c r="P155" s="596"/>
      <c r="Q155" s="596"/>
      <c r="R155" s="596"/>
      <c r="S155" s="596"/>
      <c r="T155" s="596"/>
      <c r="U155" s="596"/>
      <c r="V155" s="596"/>
      <c r="W155" s="596"/>
      <c r="X155" s="596"/>
      <c r="Y155" s="596"/>
      <c r="Z155" s="596"/>
      <c r="AA155" s="596"/>
      <c r="AB155" s="596"/>
      <c r="AC155" s="596"/>
      <c r="AD155" s="596"/>
      <c r="AE155" s="596"/>
      <c r="AF155" s="596"/>
      <c r="AG155" s="596"/>
      <c r="AH155" s="596"/>
      <c r="AI155" s="596"/>
      <c r="AJ155" s="596"/>
      <c r="AK155" s="596"/>
      <c r="AL155" s="596"/>
      <c r="AM155" s="596"/>
      <c r="AN155" s="596"/>
      <c r="AO155" s="596"/>
      <c r="AP155" s="596"/>
      <c r="AQ155" s="596"/>
      <c r="AR155" s="596"/>
      <c r="AS155" s="596"/>
      <c r="AT155" s="596"/>
      <c r="AU155" s="596"/>
      <c r="AV155" s="596"/>
      <c r="AW155" s="596"/>
      <c r="AX155" s="596"/>
      <c r="AY155" s="596"/>
      <c r="AZ155" s="596"/>
      <c r="BA155" s="596"/>
      <c r="BB155" s="596"/>
      <c r="BC155" s="596"/>
      <c r="BD155" s="596"/>
      <c r="BE155" s="596"/>
      <c r="BF155" s="596"/>
      <c r="BG155" s="596"/>
      <c r="BH155" s="596"/>
      <c r="BI155" s="596"/>
      <c r="BJ155" s="596"/>
      <c r="BK155" s="596"/>
      <c r="BL155" s="596"/>
      <c r="BM155" s="596"/>
      <c r="BN155" s="596"/>
      <c r="BO155" s="596"/>
      <c r="BP155" s="596"/>
      <c r="BQ155" s="596"/>
      <c r="BR155" s="596"/>
      <c r="BS155" s="596"/>
      <c r="BT155" s="596"/>
      <c r="BU155" s="596"/>
      <c r="BV155" s="596"/>
      <c r="BW155" s="596"/>
      <c r="BX155" s="596"/>
      <c r="BY155" s="596"/>
      <c r="BZ155" s="596"/>
      <c r="CA155" s="596"/>
      <c r="CB155" s="596"/>
      <c r="CC155" s="596"/>
      <c r="CD155" s="596"/>
      <c r="CE155" s="596"/>
      <c r="CF155" s="596"/>
      <c r="CG155" s="596"/>
      <c r="CH155" s="596"/>
      <c r="CI155" s="596"/>
      <c r="CJ155" s="596"/>
      <c r="CK155" s="596"/>
      <c r="CL155" s="596"/>
      <c r="CM155" s="596"/>
      <c r="CN155" s="596"/>
      <c r="CO155" s="596"/>
      <c r="CP155" s="596"/>
      <c r="CQ155" s="596"/>
      <c r="CR155" s="596"/>
      <c r="CS155" s="596"/>
      <c r="CT155" s="596"/>
      <c r="CU155" s="596"/>
      <c r="CV155" s="596"/>
      <c r="CW155" s="596"/>
      <c r="CX155" s="596"/>
      <c r="CY155" s="596"/>
      <c r="CZ155" s="596"/>
      <c r="DA155" s="596"/>
      <c r="DB155" s="596"/>
      <c r="DC155" s="596"/>
      <c r="DD155" s="596"/>
      <c r="DE155" s="596"/>
      <c r="DF155" s="596"/>
      <c r="DG155" s="596"/>
      <c r="DH155" s="596"/>
      <c r="DI155" s="596"/>
      <c r="DJ155" s="596"/>
      <c r="DK155" s="596"/>
      <c r="DL155" s="596"/>
      <c r="DM155" s="596"/>
      <c r="DN155" s="596"/>
      <c r="DO155" s="596"/>
      <c r="DP155" s="596"/>
      <c r="DQ155" s="596"/>
      <c r="DR155" s="596"/>
      <c r="DS155" s="596"/>
      <c r="DT155" s="596"/>
      <c r="DU155" s="596"/>
      <c r="DV155" s="596"/>
      <c r="DW155" s="596"/>
      <c r="DX155" s="596"/>
      <c r="DY155" s="596"/>
      <c r="DZ155" s="596"/>
      <c r="EA155" s="596"/>
    </row>
    <row r="156" spans="1:131">
      <c r="A156" s="596"/>
      <c r="B156" s="596"/>
      <c r="C156" s="596"/>
      <c r="D156" s="596"/>
      <c r="E156" s="596"/>
      <c r="F156" s="596"/>
      <c r="G156" s="596"/>
      <c r="H156" s="596"/>
      <c r="I156" s="596"/>
      <c r="J156" s="596"/>
      <c r="K156" s="638"/>
      <c r="L156" s="638"/>
      <c r="M156" s="638"/>
      <c r="N156" s="638"/>
      <c r="O156" s="638"/>
      <c r="P156" s="596"/>
      <c r="Q156" s="596"/>
      <c r="R156" s="596"/>
      <c r="S156" s="596"/>
      <c r="T156" s="596"/>
      <c r="U156" s="596"/>
      <c r="V156" s="596"/>
      <c r="W156" s="596"/>
      <c r="X156" s="596"/>
      <c r="Y156" s="596"/>
      <c r="Z156" s="596"/>
      <c r="AA156" s="596"/>
      <c r="AB156" s="596"/>
      <c r="AC156" s="596"/>
      <c r="AD156" s="596"/>
      <c r="AE156" s="596"/>
      <c r="AF156" s="596"/>
      <c r="AG156" s="596"/>
      <c r="AH156" s="596"/>
      <c r="AI156" s="596"/>
      <c r="AJ156" s="596"/>
      <c r="AK156" s="596"/>
      <c r="AL156" s="596"/>
      <c r="AM156" s="596"/>
      <c r="AN156" s="596"/>
      <c r="AO156" s="596"/>
      <c r="AP156" s="596"/>
      <c r="AQ156" s="596"/>
      <c r="AR156" s="596"/>
      <c r="AS156" s="596"/>
      <c r="AT156" s="596"/>
      <c r="AU156" s="596"/>
      <c r="AV156" s="596"/>
      <c r="AW156" s="596"/>
      <c r="AX156" s="596"/>
      <c r="AY156" s="596"/>
      <c r="AZ156" s="596"/>
      <c r="BA156" s="596"/>
      <c r="BB156" s="596"/>
      <c r="BC156" s="596"/>
      <c r="BD156" s="596"/>
      <c r="BE156" s="596"/>
      <c r="BF156" s="596"/>
      <c r="BG156" s="596"/>
      <c r="BH156" s="596"/>
      <c r="BI156" s="596"/>
      <c r="BJ156" s="596"/>
      <c r="BK156" s="596"/>
      <c r="BL156" s="596"/>
      <c r="BM156" s="596"/>
      <c r="BN156" s="596"/>
      <c r="BO156" s="596"/>
      <c r="BP156" s="596"/>
      <c r="BQ156" s="596"/>
      <c r="BR156" s="596"/>
      <c r="BS156" s="596"/>
      <c r="BT156" s="596"/>
      <c r="BU156" s="596"/>
      <c r="BV156" s="596"/>
      <c r="BW156" s="596"/>
      <c r="BX156" s="596"/>
      <c r="BY156" s="596"/>
      <c r="BZ156" s="596"/>
      <c r="CA156" s="596"/>
      <c r="CB156" s="596"/>
      <c r="CC156" s="596"/>
      <c r="CD156" s="596"/>
      <c r="CE156" s="596"/>
      <c r="CF156" s="596"/>
      <c r="CG156" s="596"/>
      <c r="CH156" s="596"/>
      <c r="CI156" s="596"/>
      <c r="CJ156" s="596"/>
      <c r="CK156" s="596"/>
      <c r="CL156" s="596"/>
      <c r="CM156" s="596"/>
      <c r="CN156" s="596"/>
      <c r="CO156" s="596"/>
      <c r="CP156" s="596"/>
      <c r="CQ156" s="596"/>
      <c r="CR156" s="596"/>
      <c r="CS156" s="596"/>
      <c r="CT156" s="596"/>
      <c r="CU156" s="596"/>
      <c r="CV156" s="596"/>
      <c r="CW156" s="596"/>
      <c r="CX156" s="596"/>
      <c r="CY156" s="596"/>
      <c r="CZ156" s="596"/>
      <c r="DA156" s="596"/>
      <c r="DB156" s="596"/>
      <c r="DC156" s="596"/>
      <c r="DD156" s="596"/>
      <c r="DE156" s="596"/>
      <c r="DF156" s="596"/>
      <c r="DG156" s="596"/>
      <c r="DH156" s="596"/>
      <c r="DI156" s="596"/>
      <c r="DJ156" s="596"/>
      <c r="DK156" s="596"/>
      <c r="DL156" s="596"/>
      <c r="DM156" s="596"/>
      <c r="DN156" s="596"/>
      <c r="DO156" s="596"/>
      <c r="DP156" s="596"/>
      <c r="DQ156" s="596"/>
      <c r="DR156" s="596"/>
      <c r="DS156" s="596"/>
      <c r="DT156" s="596"/>
      <c r="DU156" s="596"/>
      <c r="DV156" s="596"/>
      <c r="DW156" s="596"/>
      <c r="DX156" s="596"/>
      <c r="DY156" s="596"/>
      <c r="DZ156" s="596"/>
      <c r="EA156" s="596"/>
    </row>
    <row r="157" spans="1:131">
      <c r="A157" s="596"/>
      <c r="B157" s="596"/>
      <c r="C157" s="596"/>
      <c r="D157" s="596"/>
      <c r="E157" s="596"/>
      <c r="F157" s="596"/>
      <c r="G157" s="596"/>
      <c r="H157" s="596"/>
      <c r="I157" s="596"/>
      <c r="J157" s="596"/>
      <c r="K157" s="638"/>
      <c r="L157" s="638"/>
      <c r="M157" s="638"/>
      <c r="N157" s="638"/>
      <c r="O157" s="638"/>
      <c r="P157" s="596"/>
      <c r="Q157" s="596"/>
      <c r="R157" s="596"/>
      <c r="S157" s="596"/>
      <c r="T157" s="596"/>
      <c r="U157" s="596"/>
      <c r="V157" s="596"/>
      <c r="W157" s="596"/>
      <c r="X157" s="596"/>
      <c r="Y157" s="596"/>
      <c r="Z157" s="596"/>
      <c r="AA157" s="596"/>
      <c r="AB157" s="596"/>
      <c r="AC157" s="596"/>
      <c r="AD157" s="596"/>
      <c r="AE157" s="596"/>
      <c r="AF157" s="596"/>
      <c r="AG157" s="596"/>
      <c r="AH157" s="596"/>
      <c r="AI157" s="596"/>
      <c r="AJ157" s="596"/>
      <c r="AK157" s="596"/>
      <c r="AL157" s="596"/>
      <c r="AM157" s="596"/>
      <c r="AN157" s="596"/>
      <c r="AO157" s="596"/>
      <c r="AP157" s="596"/>
      <c r="AQ157" s="596"/>
      <c r="AR157" s="596"/>
      <c r="AS157" s="596"/>
      <c r="AT157" s="596"/>
      <c r="AU157" s="596"/>
      <c r="AV157" s="596"/>
      <c r="AW157" s="596"/>
      <c r="AX157" s="596"/>
      <c r="AY157" s="596"/>
      <c r="AZ157" s="596"/>
      <c r="BA157" s="596"/>
      <c r="BB157" s="596"/>
      <c r="BC157" s="596"/>
      <c r="BD157" s="596"/>
      <c r="BE157" s="596"/>
      <c r="BF157" s="596"/>
      <c r="BG157" s="596"/>
      <c r="BH157" s="596"/>
      <c r="BI157" s="596"/>
      <c r="BJ157" s="596"/>
      <c r="BK157" s="596"/>
      <c r="BL157" s="596"/>
      <c r="BM157" s="596"/>
      <c r="BN157" s="596"/>
      <c r="BO157" s="596"/>
      <c r="BP157" s="596"/>
      <c r="BQ157" s="596"/>
      <c r="BR157" s="596"/>
      <c r="BS157" s="596"/>
      <c r="BT157" s="596"/>
      <c r="BU157" s="596"/>
      <c r="BV157" s="596"/>
      <c r="BW157" s="596"/>
      <c r="BX157" s="596"/>
      <c r="BY157" s="596"/>
      <c r="BZ157" s="596"/>
      <c r="CA157" s="596"/>
      <c r="CB157" s="596"/>
      <c r="CC157" s="596"/>
      <c r="CD157" s="596"/>
      <c r="CE157" s="596"/>
      <c r="CF157" s="596"/>
      <c r="CG157" s="596"/>
      <c r="CH157" s="596"/>
      <c r="CI157" s="596"/>
      <c r="CJ157" s="596"/>
      <c r="CK157" s="596"/>
      <c r="CL157" s="596"/>
      <c r="CM157" s="596"/>
      <c r="CN157" s="596"/>
      <c r="CO157" s="596"/>
      <c r="CP157" s="596"/>
      <c r="CQ157" s="596"/>
      <c r="CR157" s="596"/>
      <c r="CS157" s="596"/>
      <c r="CT157" s="596"/>
      <c r="CU157" s="596"/>
      <c r="CV157" s="596"/>
      <c r="CW157" s="596"/>
      <c r="CX157" s="596"/>
      <c r="CY157" s="596"/>
      <c r="CZ157" s="596"/>
      <c r="DA157" s="596"/>
      <c r="DB157" s="596"/>
      <c r="DC157" s="596"/>
      <c r="DD157" s="596"/>
      <c r="DE157" s="596"/>
      <c r="DF157" s="596"/>
      <c r="DG157" s="596"/>
      <c r="DH157" s="596"/>
      <c r="DI157" s="596"/>
      <c r="DJ157" s="596"/>
      <c r="DK157" s="596"/>
      <c r="DL157" s="596"/>
      <c r="DM157" s="596"/>
      <c r="DN157" s="596"/>
      <c r="DO157" s="596"/>
      <c r="DP157" s="596"/>
      <c r="DQ157" s="596"/>
      <c r="DR157" s="596"/>
      <c r="DS157" s="596"/>
      <c r="DT157" s="596"/>
      <c r="DU157" s="596"/>
      <c r="DV157" s="596"/>
      <c r="DW157" s="596"/>
      <c r="DX157" s="596"/>
      <c r="DY157" s="596"/>
      <c r="DZ157" s="596"/>
      <c r="EA157" s="596"/>
    </row>
    <row r="158" spans="1:131">
      <c r="A158" s="596"/>
      <c r="B158" s="596"/>
      <c r="C158" s="596"/>
      <c r="D158" s="596"/>
      <c r="E158" s="596"/>
      <c r="F158" s="596"/>
      <c r="G158" s="596"/>
      <c r="H158" s="596"/>
      <c r="I158" s="596"/>
      <c r="J158" s="596"/>
      <c r="K158" s="638"/>
      <c r="L158" s="638"/>
      <c r="M158" s="638"/>
      <c r="N158" s="638"/>
      <c r="O158" s="638"/>
      <c r="P158" s="596"/>
      <c r="Q158" s="596"/>
      <c r="R158" s="596"/>
      <c r="S158" s="596"/>
      <c r="T158" s="596"/>
      <c r="U158" s="596"/>
      <c r="V158" s="596"/>
      <c r="W158" s="596"/>
      <c r="X158" s="596"/>
      <c r="Y158" s="596"/>
      <c r="Z158" s="596"/>
      <c r="AA158" s="596"/>
      <c r="AB158" s="596"/>
      <c r="AC158" s="596"/>
      <c r="AD158" s="596"/>
      <c r="AE158" s="596"/>
      <c r="AF158" s="596"/>
      <c r="AG158" s="596"/>
      <c r="AH158" s="596"/>
      <c r="AI158" s="596"/>
      <c r="AJ158" s="596"/>
      <c r="AK158" s="596"/>
      <c r="AL158" s="596"/>
      <c r="AM158" s="596"/>
      <c r="AN158" s="596"/>
      <c r="AO158" s="596"/>
      <c r="AP158" s="596"/>
      <c r="AQ158" s="596"/>
      <c r="AR158" s="596"/>
      <c r="AS158" s="596"/>
      <c r="AT158" s="596"/>
      <c r="AU158" s="596"/>
      <c r="AV158" s="596"/>
      <c r="AW158" s="596"/>
      <c r="AX158" s="596"/>
      <c r="AY158" s="596"/>
      <c r="AZ158" s="596"/>
      <c r="BA158" s="596"/>
      <c r="BB158" s="596"/>
      <c r="BC158" s="596"/>
      <c r="BD158" s="596"/>
      <c r="BE158" s="596"/>
      <c r="BF158" s="596"/>
      <c r="BG158" s="596"/>
      <c r="BH158" s="596"/>
      <c r="BI158" s="596"/>
      <c r="BJ158" s="596"/>
      <c r="BK158" s="596"/>
      <c r="BL158" s="596"/>
      <c r="BM158" s="596"/>
      <c r="BN158" s="596"/>
      <c r="BO158" s="596"/>
      <c r="BP158" s="596"/>
      <c r="BQ158" s="596"/>
      <c r="BR158" s="596"/>
      <c r="BS158" s="596"/>
      <c r="BT158" s="596"/>
      <c r="BU158" s="596"/>
      <c r="BV158" s="596"/>
      <c r="BW158" s="596"/>
      <c r="BX158" s="596"/>
      <c r="BY158" s="596"/>
      <c r="BZ158" s="596"/>
      <c r="CA158" s="596"/>
      <c r="CB158" s="596"/>
      <c r="CC158" s="596"/>
      <c r="CD158" s="596"/>
      <c r="CE158" s="596"/>
      <c r="CF158" s="596"/>
      <c r="CG158" s="596"/>
      <c r="CH158" s="596"/>
      <c r="CI158" s="596"/>
      <c r="CJ158" s="596"/>
      <c r="CK158" s="596"/>
      <c r="CL158" s="596"/>
      <c r="CM158" s="596"/>
      <c r="CN158" s="596"/>
      <c r="CO158" s="596"/>
      <c r="CP158" s="596"/>
      <c r="CQ158" s="596"/>
      <c r="CR158" s="596"/>
      <c r="CS158" s="596"/>
      <c r="CT158" s="596"/>
      <c r="CU158" s="596"/>
      <c r="CV158" s="596"/>
      <c r="CW158" s="596"/>
      <c r="CX158" s="596"/>
      <c r="CY158" s="596"/>
      <c r="CZ158" s="596"/>
      <c r="DA158" s="596"/>
      <c r="DB158" s="596"/>
      <c r="DC158" s="596"/>
      <c r="DD158" s="596"/>
      <c r="DE158" s="596"/>
      <c r="DF158" s="596"/>
      <c r="DG158" s="596"/>
      <c r="DH158" s="596"/>
      <c r="DI158" s="596"/>
      <c r="DJ158" s="596"/>
      <c r="DK158" s="596"/>
      <c r="DL158" s="596"/>
      <c r="DM158" s="596"/>
      <c r="DN158" s="596"/>
      <c r="DO158" s="596"/>
      <c r="DP158" s="596"/>
      <c r="DQ158" s="596"/>
      <c r="DR158" s="596"/>
      <c r="DS158" s="596"/>
      <c r="DT158" s="596"/>
      <c r="DU158" s="596"/>
      <c r="DV158" s="596"/>
      <c r="DW158" s="596"/>
      <c r="DX158" s="596"/>
      <c r="DY158" s="596"/>
      <c r="DZ158" s="596"/>
      <c r="EA158" s="596"/>
    </row>
    <row r="159" spans="1:131">
      <c r="A159" s="596"/>
      <c r="B159" s="596"/>
      <c r="C159" s="596"/>
      <c r="D159" s="596"/>
      <c r="E159" s="596"/>
      <c r="F159" s="596"/>
      <c r="G159" s="596"/>
      <c r="H159" s="596"/>
      <c r="I159" s="596"/>
      <c r="J159" s="596"/>
      <c r="K159" s="638"/>
      <c r="L159" s="638"/>
      <c r="M159" s="638"/>
      <c r="N159" s="638"/>
      <c r="O159" s="638"/>
      <c r="P159" s="596"/>
      <c r="Q159" s="596"/>
      <c r="R159" s="596"/>
      <c r="S159" s="596"/>
      <c r="T159" s="596"/>
      <c r="U159" s="596"/>
      <c r="V159" s="596"/>
      <c r="W159" s="596"/>
      <c r="X159" s="596"/>
      <c r="Y159" s="596"/>
      <c r="Z159" s="596"/>
      <c r="AA159" s="596"/>
      <c r="AB159" s="596"/>
      <c r="AC159" s="596"/>
      <c r="AD159" s="596"/>
      <c r="AE159" s="596"/>
      <c r="AF159" s="596"/>
      <c r="AG159" s="596"/>
      <c r="AH159" s="596"/>
      <c r="AI159" s="596"/>
      <c r="AJ159" s="596"/>
      <c r="AK159" s="596"/>
      <c r="AL159" s="596"/>
      <c r="AM159" s="596"/>
      <c r="AN159" s="596"/>
      <c r="AO159" s="596"/>
      <c r="AP159" s="596"/>
      <c r="AQ159" s="596"/>
      <c r="AR159" s="596"/>
      <c r="AS159" s="596"/>
      <c r="AT159" s="596"/>
      <c r="AU159" s="596"/>
      <c r="AV159" s="596"/>
      <c r="AW159" s="596"/>
      <c r="AX159" s="596"/>
      <c r="AY159" s="596"/>
      <c r="AZ159" s="596"/>
      <c r="BA159" s="596"/>
      <c r="BB159" s="596"/>
      <c r="BC159" s="596"/>
      <c r="BD159" s="596"/>
      <c r="BE159" s="596"/>
      <c r="BF159" s="596"/>
      <c r="BG159" s="596"/>
      <c r="BH159" s="596"/>
      <c r="BI159" s="596"/>
      <c r="BJ159" s="596"/>
      <c r="BK159" s="596"/>
      <c r="BL159" s="596"/>
      <c r="BM159" s="596"/>
      <c r="BN159" s="596"/>
      <c r="BO159" s="596"/>
      <c r="BP159" s="596"/>
      <c r="BQ159" s="596"/>
      <c r="BR159" s="596"/>
      <c r="BS159" s="596"/>
      <c r="BT159" s="596"/>
      <c r="BU159" s="596"/>
      <c r="BV159" s="596"/>
      <c r="BW159" s="596"/>
      <c r="BX159" s="596"/>
      <c r="BY159" s="596"/>
      <c r="BZ159" s="596"/>
      <c r="CA159" s="596"/>
      <c r="CB159" s="596"/>
      <c r="CC159" s="596"/>
      <c r="CD159" s="596"/>
      <c r="CE159" s="596"/>
      <c r="CF159" s="596"/>
      <c r="CG159" s="596"/>
      <c r="CH159" s="596"/>
      <c r="CI159" s="596"/>
      <c r="CJ159" s="596"/>
      <c r="CK159" s="596"/>
      <c r="CL159" s="596"/>
      <c r="CM159" s="596"/>
      <c r="CN159" s="596"/>
      <c r="CO159" s="596"/>
      <c r="CP159" s="596"/>
      <c r="CQ159" s="596"/>
      <c r="CR159" s="596"/>
      <c r="CS159" s="596"/>
      <c r="CT159" s="596"/>
      <c r="CU159" s="596"/>
      <c r="CV159" s="596"/>
      <c r="CW159" s="596"/>
      <c r="CX159" s="596"/>
      <c r="CY159" s="596"/>
      <c r="CZ159" s="596"/>
      <c r="DA159" s="596"/>
      <c r="DB159" s="596"/>
      <c r="DC159" s="596"/>
      <c r="DD159" s="596"/>
      <c r="DE159" s="596"/>
      <c r="DF159" s="596"/>
      <c r="DG159" s="596"/>
      <c r="DH159" s="596"/>
      <c r="DI159" s="596"/>
      <c r="DJ159" s="596"/>
      <c r="DK159" s="596"/>
      <c r="DL159" s="596"/>
      <c r="DM159" s="596"/>
      <c r="DN159" s="596"/>
      <c r="DO159" s="596"/>
      <c r="DP159" s="596"/>
      <c r="DQ159" s="596"/>
      <c r="DR159" s="596"/>
      <c r="DS159" s="596"/>
      <c r="DT159" s="596"/>
      <c r="DU159" s="596"/>
      <c r="DV159" s="596"/>
      <c r="DW159" s="596"/>
      <c r="DX159" s="596"/>
      <c r="DY159" s="596"/>
      <c r="DZ159" s="596"/>
      <c r="EA159" s="596"/>
    </row>
    <row r="160" spans="1:131">
      <c r="A160" s="596"/>
      <c r="B160" s="596"/>
      <c r="C160" s="596"/>
      <c r="D160" s="596"/>
      <c r="E160" s="596"/>
      <c r="F160" s="596"/>
      <c r="G160" s="596"/>
      <c r="H160" s="596"/>
      <c r="I160" s="596"/>
      <c r="J160" s="596"/>
      <c r="K160" s="638"/>
      <c r="L160" s="638"/>
      <c r="M160" s="638"/>
      <c r="N160" s="638"/>
      <c r="O160" s="638"/>
      <c r="P160" s="596"/>
      <c r="Q160" s="596"/>
      <c r="R160" s="596"/>
      <c r="S160" s="596"/>
      <c r="T160" s="596"/>
      <c r="U160" s="596"/>
      <c r="V160" s="596"/>
      <c r="W160" s="596"/>
      <c r="X160" s="596"/>
      <c r="Y160" s="596"/>
      <c r="Z160" s="596"/>
      <c r="AA160" s="596"/>
      <c r="AB160" s="596"/>
      <c r="AC160" s="596"/>
      <c r="AD160" s="596"/>
      <c r="AE160" s="596"/>
      <c r="AF160" s="596"/>
      <c r="AG160" s="596"/>
      <c r="AH160" s="596"/>
      <c r="AI160" s="596"/>
      <c r="AJ160" s="596"/>
      <c r="AK160" s="596"/>
      <c r="AL160" s="596"/>
      <c r="AM160" s="596"/>
      <c r="AN160" s="596"/>
      <c r="AO160" s="596"/>
      <c r="AP160" s="596"/>
      <c r="AQ160" s="596"/>
      <c r="AR160" s="596"/>
      <c r="AS160" s="596"/>
      <c r="AT160" s="596"/>
      <c r="AU160" s="596"/>
      <c r="AV160" s="596"/>
      <c r="AW160" s="596"/>
      <c r="AX160" s="596"/>
      <c r="AY160" s="596"/>
      <c r="AZ160" s="596"/>
      <c r="BA160" s="596"/>
      <c r="BB160" s="596"/>
      <c r="BC160" s="596"/>
      <c r="BD160" s="596"/>
      <c r="BE160" s="596"/>
      <c r="BF160" s="596"/>
      <c r="BG160" s="596"/>
      <c r="BH160" s="596"/>
      <c r="BI160" s="596"/>
      <c r="BJ160" s="596"/>
      <c r="BK160" s="596"/>
      <c r="BL160" s="596"/>
      <c r="BM160" s="596"/>
      <c r="BN160" s="596"/>
      <c r="BO160" s="596"/>
      <c r="BP160" s="596"/>
      <c r="BQ160" s="596"/>
      <c r="BR160" s="596"/>
      <c r="BS160" s="596"/>
      <c r="BT160" s="596"/>
      <c r="BU160" s="596"/>
      <c r="BV160" s="596"/>
      <c r="BW160" s="596"/>
      <c r="BX160" s="596"/>
      <c r="BY160" s="596"/>
      <c r="BZ160" s="596"/>
      <c r="CA160" s="596"/>
      <c r="CB160" s="596"/>
      <c r="CC160" s="596"/>
      <c r="CD160" s="596"/>
      <c r="CE160" s="596"/>
      <c r="CF160" s="596"/>
      <c r="CG160" s="596"/>
      <c r="CH160" s="596"/>
      <c r="CI160" s="596"/>
      <c r="CJ160" s="596"/>
      <c r="CK160" s="596"/>
      <c r="CL160" s="596"/>
      <c r="CM160" s="596"/>
      <c r="CN160" s="596"/>
      <c r="CO160" s="596"/>
      <c r="CP160" s="596"/>
      <c r="CQ160" s="596"/>
      <c r="CR160" s="596"/>
      <c r="CS160" s="596"/>
      <c r="CT160" s="596"/>
      <c r="CU160" s="596"/>
      <c r="CV160" s="596"/>
      <c r="CW160" s="596"/>
      <c r="CX160" s="596"/>
      <c r="CY160" s="596"/>
      <c r="CZ160" s="596"/>
      <c r="DA160" s="596"/>
      <c r="DB160" s="596"/>
      <c r="DC160" s="596"/>
      <c r="DD160" s="596"/>
      <c r="DE160" s="596"/>
      <c r="DF160" s="596"/>
      <c r="DG160" s="596"/>
      <c r="DH160" s="596"/>
      <c r="DI160" s="596"/>
      <c r="DJ160" s="596"/>
      <c r="DK160" s="596"/>
      <c r="DL160" s="596"/>
      <c r="DM160" s="596"/>
      <c r="DN160" s="596"/>
      <c r="DO160" s="596"/>
      <c r="DP160" s="596"/>
      <c r="DQ160" s="596"/>
      <c r="DR160" s="596"/>
      <c r="DS160" s="596"/>
      <c r="DT160" s="596"/>
      <c r="DU160" s="596"/>
      <c r="DV160" s="596"/>
      <c r="DW160" s="596"/>
      <c r="DX160" s="596"/>
      <c r="DY160" s="596"/>
      <c r="DZ160" s="596"/>
      <c r="EA160" s="596"/>
    </row>
    <row r="161" spans="1:131">
      <c r="A161" s="596"/>
      <c r="B161" s="596"/>
      <c r="C161" s="596"/>
      <c r="D161" s="596"/>
      <c r="E161" s="596"/>
      <c r="F161" s="596"/>
      <c r="G161" s="596"/>
      <c r="H161" s="596"/>
      <c r="I161" s="596"/>
      <c r="J161" s="596"/>
      <c r="K161" s="638"/>
      <c r="L161" s="638"/>
      <c r="M161" s="638"/>
      <c r="N161" s="638"/>
      <c r="O161" s="638"/>
      <c r="P161" s="596"/>
      <c r="Q161" s="596"/>
      <c r="R161" s="596"/>
      <c r="S161" s="596"/>
      <c r="T161" s="596"/>
      <c r="U161" s="596"/>
      <c r="V161" s="596"/>
      <c r="W161" s="596"/>
      <c r="X161" s="596"/>
      <c r="Y161" s="596"/>
      <c r="Z161" s="596"/>
      <c r="AA161" s="596"/>
      <c r="AB161" s="596"/>
      <c r="AC161" s="596"/>
      <c r="AD161" s="596"/>
      <c r="AE161" s="596"/>
      <c r="AF161" s="596"/>
      <c r="AG161" s="596"/>
      <c r="AH161" s="596"/>
      <c r="AI161" s="596"/>
      <c r="AJ161" s="596"/>
      <c r="AK161" s="596"/>
      <c r="AL161" s="596"/>
      <c r="AM161" s="596"/>
      <c r="AN161" s="596"/>
      <c r="AO161" s="596"/>
      <c r="AP161" s="596"/>
      <c r="AQ161" s="596"/>
      <c r="AR161" s="596"/>
      <c r="AS161" s="596"/>
      <c r="AT161" s="596"/>
      <c r="AU161" s="596"/>
      <c r="AV161" s="596"/>
      <c r="AW161" s="596"/>
      <c r="AX161" s="596"/>
      <c r="AY161" s="596"/>
      <c r="AZ161" s="596"/>
      <c r="BA161" s="596"/>
      <c r="BB161" s="596"/>
      <c r="BC161" s="596"/>
      <c r="BD161" s="596"/>
      <c r="BE161" s="596"/>
      <c r="BF161" s="596"/>
      <c r="BG161" s="596"/>
      <c r="BH161" s="596"/>
      <c r="BI161" s="596"/>
      <c r="BJ161" s="596"/>
      <c r="BK161" s="596"/>
      <c r="BL161" s="596"/>
      <c r="BM161" s="596"/>
      <c r="BN161" s="596"/>
      <c r="BO161" s="596"/>
      <c r="BP161" s="596"/>
      <c r="BQ161" s="596"/>
      <c r="BR161" s="596"/>
      <c r="BS161" s="596"/>
      <c r="BT161" s="596"/>
      <c r="BU161" s="596"/>
      <c r="BV161" s="596"/>
      <c r="BW161" s="596"/>
      <c r="BX161" s="596"/>
      <c r="BY161" s="596"/>
      <c r="BZ161" s="596"/>
      <c r="CA161" s="596"/>
      <c r="CB161" s="596"/>
      <c r="CC161" s="596"/>
      <c r="CD161" s="596"/>
      <c r="CE161" s="596"/>
      <c r="CF161" s="596"/>
      <c r="CG161" s="596"/>
      <c r="CH161" s="596"/>
      <c r="CI161" s="596"/>
      <c r="CJ161" s="596"/>
      <c r="CK161" s="596"/>
      <c r="CL161" s="596"/>
      <c r="CM161" s="596"/>
      <c r="CN161" s="596"/>
      <c r="CO161" s="596"/>
      <c r="CP161" s="596"/>
      <c r="CQ161" s="596"/>
      <c r="CR161" s="596"/>
      <c r="CS161" s="596"/>
      <c r="CT161" s="596"/>
      <c r="CU161" s="596"/>
      <c r="CV161" s="596"/>
      <c r="CW161" s="596"/>
      <c r="CX161" s="596"/>
      <c r="CY161" s="596"/>
      <c r="CZ161" s="596"/>
      <c r="DA161" s="596"/>
      <c r="DB161" s="596"/>
      <c r="DC161" s="596"/>
      <c r="DD161" s="596"/>
      <c r="DE161" s="596"/>
      <c r="DF161" s="596"/>
      <c r="DG161" s="596"/>
      <c r="DH161" s="596"/>
      <c r="DI161" s="596"/>
      <c r="DJ161" s="596"/>
      <c r="DK161" s="596"/>
      <c r="DL161" s="596"/>
      <c r="DM161" s="596"/>
      <c r="DN161" s="596"/>
      <c r="DO161" s="596"/>
      <c r="DP161" s="596"/>
      <c r="DQ161" s="596"/>
      <c r="DR161" s="596"/>
      <c r="DS161" s="596"/>
      <c r="DT161" s="596"/>
      <c r="DU161" s="596"/>
      <c r="DV161" s="596"/>
      <c r="DW161" s="596"/>
      <c r="DX161" s="596"/>
      <c r="DY161" s="596"/>
      <c r="DZ161" s="596"/>
      <c r="EA161" s="596"/>
    </row>
    <row r="162" spans="1:131">
      <c r="A162" s="596"/>
      <c r="B162" s="596"/>
      <c r="C162" s="596"/>
      <c r="D162" s="596"/>
      <c r="E162" s="596"/>
      <c r="F162" s="596"/>
      <c r="G162" s="596"/>
      <c r="H162" s="596"/>
      <c r="I162" s="596"/>
      <c r="J162" s="596"/>
      <c r="K162" s="638"/>
      <c r="L162" s="638"/>
      <c r="M162" s="638"/>
      <c r="N162" s="638"/>
      <c r="O162" s="638"/>
      <c r="P162" s="596"/>
      <c r="Q162" s="596"/>
      <c r="R162" s="596"/>
      <c r="S162" s="596"/>
      <c r="T162" s="596"/>
      <c r="U162" s="596"/>
      <c r="V162" s="596"/>
      <c r="W162" s="596"/>
      <c r="X162" s="596"/>
      <c r="Y162" s="596"/>
      <c r="Z162" s="596"/>
      <c r="AA162" s="596"/>
      <c r="AB162" s="596"/>
      <c r="AC162" s="596"/>
      <c r="AD162" s="596"/>
      <c r="AE162" s="596"/>
      <c r="AF162" s="596"/>
      <c r="AG162" s="596"/>
      <c r="AH162" s="596"/>
      <c r="AI162" s="596"/>
      <c r="AJ162" s="596"/>
      <c r="AK162" s="596"/>
      <c r="AL162" s="596"/>
      <c r="AM162" s="596"/>
      <c r="AN162" s="596"/>
      <c r="AO162" s="596"/>
      <c r="AP162" s="596"/>
      <c r="AQ162" s="596"/>
      <c r="AR162" s="596"/>
      <c r="AS162" s="596"/>
      <c r="AT162" s="596"/>
      <c r="AU162" s="596"/>
      <c r="AV162" s="596"/>
      <c r="AW162" s="596"/>
      <c r="AX162" s="596"/>
      <c r="AY162" s="596"/>
      <c r="AZ162" s="596"/>
      <c r="BA162" s="596"/>
      <c r="BB162" s="596"/>
      <c r="BC162" s="596"/>
      <c r="BD162" s="596"/>
      <c r="BE162" s="596"/>
      <c r="BF162" s="596"/>
      <c r="BG162" s="596"/>
      <c r="BH162" s="596"/>
      <c r="BI162" s="596"/>
      <c r="BJ162" s="596"/>
      <c r="BK162" s="596"/>
      <c r="BL162" s="596"/>
      <c r="BM162" s="596"/>
      <c r="BN162" s="596"/>
      <c r="BO162" s="596"/>
      <c r="BP162" s="596"/>
      <c r="BQ162" s="596"/>
      <c r="BR162" s="596"/>
      <c r="BS162" s="596"/>
      <c r="BT162" s="596"/>
      <c r="BU162" s="596"/>
      <c r="BV162" s="596"/>
      <c r="BW162" s="596"/>
      <c r="BX162" s="596"/>
      <c r="BY162" s="596"/>
      <c r="BZ162" s="596"/>
      <c r="CA162" s="596"/>
      <c r="CB162" s="596"/>
      <c r="CC162" s="596"/>
      <c r="CD162" s="596"/>
      <c r="CE162" s="596"/>
      <c r="CF162" s="596"/>
      <c r="CG162" s="596"/>
      <c r="CH162" s="596"/>
      <c r="CI162" s="596"/>
      <c r="CJ162" s="596"/>
      <c r="CK162" s="596"/>
      <c r="CL162" s="596"/>
      <c r="CM162" s="596"/>
      <c r="CN162" s="596"/>
      <c r="CO162" s="596"/>
      <c r="CP162" s="596"/>
      <c r="CQ162" s="596"/>
      <c r="CR162" s="596"/>
      <c r="CS162" s="596"/>
      <c r="CT162" s="596"/>
      <c r="CU162" s="596"/>
      <c r="CV162" s="596"/>
      <c r="CW162" s="596"/>
      <c r="CX162" s="596"/>
      <c r="CY162" s="596"/>
      <c r="CZ162" s="596"/>
      <c r="DA162" s="596"/>
      <c r="DB162" s="596"/>
      <c r="DC162" s="596"/>
      <c r="DD162" s="596"/>
      <c r="DE162" s="596"/>
      <c r="DF162" s="596"/>
      <c r="DG162" s="596"/>
      <c r="DH162" s="596"/>
      <c r="DI162" s="596"/>
      <c r="DJ162" s="596"/>
      <c r="DK162" s="596"/>
      <c r="DL162" s="596"/>
      <c r="DM162" s="596"/>
      <c r="DN162" s="596"/>
      <c r="DO162" s="596"/>
      <c r="DP162" s="596"/>
      <c r="DQ162" s="596"/>
      <c r="DR162" s="596"/>
      <c r="DS162" s="596"/>
      <c r="DT162" s="596"/>
      <c r="DU162" s="596"/>
      <c r="DV162" s="596"/>
      <c r="DW162" s="596"/>
      <c r="DX162" s="596"/>
      <c r="DY162" s="596"/>
      <c r="DZ162" s="596"/>
      <c r="EA162" s="596"/>
    </row>
    <row r="163" spans="1:131">
      <c r="A163" s="596"/>
      <c r="B163" s="596"/>
      <c r="C163" s="596"/>
      <c r="D163" s="596"/>
      <c r="E163" s="596"/>
      <c r="F163" s="596"/>
      <c r="G163" s="596"/>
      <c r="H163" s="596"/>
      <c r="I163" s="596"/>
      <c r="J163" s="596"/>
      <c r="K163" s="638"/>
      <c r="L163" s="638"/>
      <c r="M163" s="638"/>
      <c r="N163" s="638"/>
      <c r="O163" s="638"/>
      <c r="P163" s="596"/>
      <c r="Q163" s="596"/>
      <c r="R163" s="596"/>
      <c r="S163" s="596"/>
      <c r="T163" s="596"/>
      <c r="U163" s="596"/>
      <c r="V163" s="596"/>
      <c r="W163" s="596"/>
      <c r="X163" s="596"/>
      <c r="Y163" s="596"/>
      <c r="Z163" s="596"/>
      <c r="AA163" s="596"/>
      <c r="AB163" s="596"/>
      <c r="AC163" s="596"/>
      <c r="AD163" s="596"/>
      <c r="AE163" s="596"/>
      <c r="AF163" s="596"/>
      <c r="AG163" s="596"/>
      <c r="AH163" s="596"/>
      <c r="AI163" s="596"/>
      <c r="AJ163" s="596"/>
      <c r="AK163" s="596"/>
      <c r="AL163" s="596"/>
      <c r="AM163" s="596"/>
      <c r="AN163" s="596"/>
      <c r="AO163" s="596"/>
      <c r="AP163" s="596"/>
      <c r="AQ163" s="596"/>
      <c r="AR163" s="596"/>
      <c r="AS163" s="596"/>
      <c r="AT163" s="596"/>
      <c r="AU163" s="596"/>
      <c r="AV163" s="596"/>
      <c r="AW163" s="596"/>
      <c r="AX163" s="596"/>
      <c r="AY163" s="596"/>
      <c r="AZ163" s="596"/>
      <c r="BA163" s="596"/>
      <c r="BB163" s="596"/>
      <c r="BC163" s="596"/>
      <c r="BD163" s="596"/>
      <c r="BE163" s="596"/>
      <c r="BF163" s="596"/>
      <c r="BG163" s="596"/>
      <c r="BH163" s="596"/>
      <c r="BI163" s="596"/>
      <c r="BJ163" s="596"/>
      <c r="BK163" s="596"/>
      <c r="BL163" s="596"/>
      <c r="BM163" s="596"/>
      <c r="BN163" s="596"/>
      <c r="BO163" s="596"/>
      <c r="BP163" s="596"/>
      <c r="BQ163" s="596"/>
      <c r="BR163" s="596"/>
      <c r="BS163" s="596"/>
      <c r="BT163" s="596"/>
      <c r="BU163" s="596"/>
      <c r="BV163" s="596"/>
      <c r="BW163" s="596"/>
      <c r="BX163" s="596"/>
      <c r="BY163" s="596"/>
      <c r="BZ163" s="596"/>
      <c r="CA163" s="596"/>
      <c r="CB163" s="596"/>
      <c r="CC163" s="596"/>
      <c r="CD163" s="596"/>
      <c r="CE163" s="596"/>
      <c r="CF163" s="596"/>
      <c r="CG163" s="596"/>
      <c r="CH163" s="596"/>
      <c r="CI163" s="596"/>
      <c r="CJ163" s="596"/>
      <c r="CK163" s="596"/>
      <c r="CL163" s="596"/>
      <c r="CM163" s="596"/>
      <c r="CN163" s="596"/>
      <c r="CO163" s="596"/>
      <c r="CP163" s="596"/>
      <c r="CQ163" s="596"/>
      <c r="CR163" s="596"/>
      <c r="CS163" s="596"/>
      <c r="CT163" s="596"/>
      <c r="CU163" s="596"/>
      <c r="CV163" s="596"/>
      <c r="CW163" s="596"/>
      <c r="CX163" s="596"/>
      <c r="CY163" s="596"/>
      <c r="CZ163" s="596"/>
      <c r="DA163" s="596"/>
      <c r="DB163" s="596"/>
      <c r="DC163" s="596"/>
      <c r="DD163" s="596"/>
      <c r="DE163" s="596"/>
      <c r="DF163" s="596"/>
      <c r="DG163" s="596"/>
      <c r="DH163" s="596"/>
      <c r="DI163" s="596"/>
      <c r="DJ163" s="596"/>
      <c r="DK163" s="596"/>
      <c r="DL163" s="596"/>
      <c r="DM163" s="596"/>
      <c r="DN163" s="596"/>
      <c r="DO163" s="596"/>
      <c r="DP163" s="596"/>
      <c r="DQ163" s="596"/>
      <c r="DR163" s="596"/>
      <c r="DS163" s="596"/>
      <c r="DT163" s="596"/>
      <c r="DU163" s="596"/>
      <c r="DV163" s="596"/>
      <c r="DW163" s="596"/>
      <c r="DX163" s="596"/>
      <c r="DY163" s="596"/>
      <c r="DZ163" s="596"/>
      <c r="EA163" s="596"/>
    </row>
    <row r="164" spans="1:131">
      <c r="A164" s="596"/>
      <c r="B164" s="596"/>
      <c r="C164" s="596"/>
      <c r="D164" s="596"/>
      <c r="E164" s="596"/>
      <c r="F164" s="596"/>
      <c r="G164" s="596"/>
      <c r="H164" s="596"/>
      <c r="I164" s="596"/>
      <c r="J164" s="596"/>
      <c r="K164" s="638"/>
      <c r="L164" s="638"/>
      <c r="M164" s="638"/>
      <c r="N164" s="638"/>
      <c r="O164" s="638"/>
      <c r="P164" s="596"/>
      <c r="Q164" s="596"/>
      <c r="R164" s="596"/>
      <c r="S164" s="596"/>
      <c r="T164" s="596"/>
      <c r="U164" s="596"/>
      <c r="V164" s="596"/>
      <c r="W164" s="596"/>
      <c r="X164" s="596"/>
      <c r="Y164" s="596"/>
      <c r="Z164" s="596"/>
      <c r="AA164" s="596"/>
      <c r="AB164" s="596"/>
      <c r="AC164" s="596"/>
      <c r="AD164" s="596"/>
      <c r="AE164" s="596"/>
      <c r="AF164" s="596"/>
      <c r="AG164" s="596"/>
      <c r="AH164" s="596"/>
      <c r="AI164" s="596"/>
      <c r="AJ164" s="596"/>
      <c r="AK164" s="596"/>
      <c r="AL164" s="596"/>
      <c r="AM164" s="596"/>
      <c r="AN164" s="596"/>
      <c r="AO164" s="596"/>
      <c r="AP164" s="596"/>
      <c r="AQ164" s="596"/>
      <c r="AR164" s="596"/>
      <c r="AS164" s="596"/>
      <c r="AT164" s="596"/>
      <c r="AU164" s="596"/>
      <c r="AV164" s="596"/>
      <c r="AW164" s="596"/>
      <c r="AX164" s="596"/>
      <c r="AY164" s="596"/>
      <c r="AZ164" s="596"/>
      <c r="BA164" s="596"/>
      <c r="BB164" s="596"/>
      <c r="BC164" s="596"/>
      <c r="BD164" s="596"/>
      <c r="BE164" s="596"/>
      <c r="BF164" s="596"/>
      <c r="BG164" s="596"/>
      <c r="BH164" s="596"/>
      <c r="BI164" s="596"/>
      <c r="BJ164" s="596"/>
      <c r="BK164" s="596"/>
      <c r="BL164" s="596"/>
      <c r="BM164" s="596"/>
      <c r="BN164" s="596"/>
      <c r="BO164" s="596"/>
      <c r="BP164" s="596"/>
      <c r="BQ164" s="596"/>
      <c r="BR164" s="596"/>
      <c r="BS164" s="596"/>
      <c r="BT164" s="596"/>
      <c r="BU164" s="596"/>
      <c r="BV164" s="596"/>
      <c r="BW164" s="596"/>
      <c r="BX164" s="596"/>
      <c r="BY164" s="596"/>
      <c r="BZ164" s="596"/>
      <c r="CA164" s="596"/>
      <c r="CB164" s="596"/>
      <c r="CC164" s="596"/>
      <c r="CD164" s="596"/>
      <c r="CE164" s="596"/>
      <c r="CF164" s="596"/>
      <c r="CG164" s="596"/>
      <c r="CH164" s="596"/>
      <c r="CI164" s="596"/>
      <c r="CJ164" s="596"/>
      <c r="CK164" s="596"/>
      <c r="CL164" s="596"/>
      <c r="CM164" s="596"/>
      <c r="CN164" s="596"/>
      <c r="CO164" s="596"/>
      <c r="CP164" s="596"/>
      <c r="CQ164" s="596"/>
      <c r="CR164" s="596"/>
      <c r="CS164" s="596"/>
      <c r="CT164" s="596"/>
      <c r="CU164" s="596"/>
      <c r="CV164" s="596"/>
      <c r="CW164" s="596"/>
      <c r="CX164" s="596"/>
      <c r="CY164" s="596"/>
      <c r="CZ164" s="596"/>
      <c r="DA164" s="596"/>
      <c r="DB164" s="596"/>
      <c r="DC164" s="596"/>
      <c r="DD164" s="596"/>
      <c r="DE164" s="596"/>
      <c r="DF164" s="596"/>
      <c r="DG164" s="596"/>
      <c r="DH164" s="596"/>
      <c r="DI164" s="596"/>
      <c r="DJ164" s="596"/>
      <c r="DK164" s="596"/>
      <c r="DL164" s="596"/>
      <c r="DM164" s="596"/>
      <c r="DN164" s="596"/>
      <c r="DO164" s="596"/>
      <c r="DP164" s="596"/>
      <c r="DQ164" s="596"/>
      <c r="DR164" s="596"/>
      <c r="DS164" s="596"/>
      <c r="DT164" s="596"/>
      <c r="DU164" s="596"/>
      <c r="DV164" s="596"/>
      <c r="DW164" s="596"/>
      <c r="DX164" s="596"/>
      <c r="DY164" s="596"/>
      <c r="DZ164" s="596"/>
      <c r="EA164" s="596"/>
    </row>
    <row r="165" spans="1:131">
      <c r="A165" s="596"/>
      <c r="B165" s="596"/>
      <c r="C165" s="596"/>
      <c r="D165" s="596"/>
      <c r="E165" s="596"/>
      <c r="F165" s="596"/>
      <c r="G165" s="596"/>
      <c r="H165" s="596"/>
      <c r="I165" s="596"/>
      <c r="J165" s="596"/>
      <c r="K165" s="638"/>
      <c r="L165" s="638"/>
      <c r="M165" s="638"/>
      <c r="N165" s="638"/>
      <c r="O165" s="638"/>
      <c r="P165" s="596"/>
      <c r="Q165" s="596"/>
      <c r="R165" s="596"/>
      <c r="S165" s="596"/>
      <c r="T165" s="596"/>
      <c r="U165" s="596"/>
      <c r="V165" s="596"/>
      <c r="W165" s="596"/>
      <c r="X165" s="596"/>
      <c r="Y165" s="596"/>
      <c r="Z165" s="596"/>
      <c r="AA165" s="596"/>
      <c r="AB165" s="596"/>
      <c r="AC165" s="596"/>
      <c r="AD165" s="596"/>
      <c r="AE165" s="596"/>
      <c r="AF165" s="596"/>
      <c r="AG165" s="596"/>
      <c r="AH165" s="596"/>
      <c r="AI165" s="596"/>
      <c r="AJ165" s="596"/>
      <c r="AK165" s="596"/>
      <c r="AL165" s="596"/>
      <c r="AM165" s="596"/>
      <c r="AN165" s="596"/>
      <c r="AO165" s="596"/>
      <c r="AP165" s="596"/>
      <c r="AQ165" s="596"/>
      <c r="AR165" s="596"/>
      <c r="AS165" s="596"/>
      <c r="AT165" s="596"/>
      <c r="AU165" s="596"/>
      <c r="AV165" s="596"/>
      <c r="AW165" s="596"/>
      <c r="AX165" s="596"/>
      <c r="AY165" s="596"/>
      <c r="AZ165" s="596"/>
      <c r="BA165" s="596"/>
      <c r="BB165" s="596"/>
      <c r="BC165" s="596"/>
      <c r="BD165" s="596"/>
      <c r="BE165" s="596"/>
      <c r="BF165" s="596"/>
      <c r="BG165" s="596"/>
      <c r="BH165" s="596"/>
      <c r="BI165" s="596"/>
      <c r="BJ165" s="596"/>
      <c r="BK165" s="596"/>
      <c r="BL165" s="596"/>
      <c r="BM165" s="596"/>
      <c r="BN165" s="596"/>
      <c r="BO165" s="596"/>
      <c r="BP165" s="596"/>
      <c r="BQ165" s="596"/>
      <c r="BR165" s="596"/>
      <c r="BS165" s="596"/>
      <c r="BT165" s="596"/>
      <c r="BU165" s="596"/>
      <c r="BV165" s="596"/>
      <c r="BW165" s="596"/>
      <c r="BX165" s="596"/>
      <c r="BY165" s="596"/>
      <c r="BZ165" s="596"/>
      <c r="CA165" s="596"/>
      <c r="CB165" s="596"/>
      <c r="CC165" s="596"/>
      <c r="CD165" s="596"/>
      <c r="CE165" s="596"/>
      <c r="CF165" s="596"/>
      <c r="CG165" s="596"/>
      <c r="CH165" s="596"/>
      <c r="CI165" s="596"/>
      <c r="CJ165" s="596"/>
      <c r="CK165" s="596"/>
      <c r="CL165" s="596"/>
      <c r="CM165" s="596"/>
      <c r="CN165" s="596"/>
      <c r="CO165" s="596"/>
      <c r="CP165" s="596"/>
      <c r="CQ165" s="596"/>
      <c r="CR165" s="596"/>
      <c r="CS165" s="596"/>
      <c r="CT165" s="596"/>
      <c r="CU165" s="596"/>
      <c r="CV165" s="596"/>
      <c r="CW165" s="596"/>
      <c r="CX165" s="596"/>
      <c r="CY165" s="596"/>
      <c r="CZ165" s="596"/>
      <c r="DA165" s="596"/>
      <c r="DB165" s="596"/>
      <c r="DC165" s="596"/>
      <c r="DD165" s="596"/>
      <c r="DE165" s="596"/>
      <c r="DF165" s="596"/>
      <c r="DG165" s="596"/>
      <c r="DH165" s="596"/>
      <c r="DI165" s="596"/>
      <c r="DJ165" s="596"/>
      <c r="DK165" s="596"/>
      <c r="DL165" s="596"/>
      <c r="DM165" s="596"/>
      <c r="DN165" s="596"/>
      <c r="DO165" s="596"/>
      <c r="DP165" s="596"/>
      <c r="DQ165" s="596"/>
      <c r="DR165" s="596"/>
      <c r="DS165" s="596"/>
      <c r="DT165" s="596"/>
      <c r="DU165" s="596"/>
      <c r="DV165" s="596"/>
      <c r="DW165" s="596"/>
      <c r="DX165" s="596"/>
      <c r="DY165" s="596"/>
      <c r="DZ165" s="596"/>
      <c r="EA165" s="596"/>
    </row>
    <row r="166" spans="1:131">
      <c r="A166" s="596"/>
      <c r="B166" s="596"/>
      <c r="C166" s="596"/>
      <c r="D166" s="596"/>
      <c r="E166" s="596"/>
      <c r="F166" s="596"/>
      <c r="G166" s="596"/>
      <c r="H166" s="596"/>
      <c r="I166" s="596"/>
      <c r="J166" s="596"/>
      <c r="K166" s="638"/>
      <c r="L166" s="638"/>
      <c r="M166" s="638"/>
      <c r="N166" s="638"/>
      <c r="O166" s="638"/>
      <c r="P166" s="596"/>
      <c r="Q166" s="596"/>
      <c r="R166" s="596"/>
      <c r="S166" s="596"/>
      <c r="T166" s="596"/>
      <c r="U166" s="596"/>
      <c r="V166" s="596"/>
      <c r="W166" s="596"/>
      <c r="X166" s="596"/>
      <c r="Y166" s="596"/>
      <c r="Z166" s="596"/>
      <c r="AA166" s="596"/>
      <c r="AB166" s="596"/>
      <c r="AC166" s="596"/>
      <c r="AD166" s="596"/>
      <c r="AE166" s="596"/>
      <c r="AF166" s="596"/>
      <c r="AG166" s="596"/>
      <c r="AH166" s="596"/>
      <c r="AI166" s="596"/>
      <c r="AJ166" s="596"/>
      <c r="AK166" s="596"/>
      <c r="AL166" s="596"/>
      <c r="AM166" s="596"/>
      <c r="AN166" s="596"/>
      <c r="AO166" s="596"/>
      <c r="AP166" s="596"/>
      <c r="AQ166" s="596"/>
      <c r="AR166" s="596"/>
      <c r="AS166" s="596"/>
      <c r="AT166" s="596"/>
      <c r="AU166" s="596"/>
      <c r="AV166" s="596"/>
      <c r="AW166" s="596"/>
      <c r="AX166" s="596"/>
      <c r="AY166" s="596"/>
      <c r="AZ166" s="596"/>
      <c r="BA166" s="596"/>
      <c r="BB166" s="596"/>
      <c r="BC166" s="596"/>
      <c r="BD166" s="596"/>
      <c r="BE166" s="596"/>
      <c r="BF166" s="596"/>
      <c r="BG166" s="596"/>
      <c r="BH166" s="596"/>
      <c r="BI166" s="596"/>
      <c r="BJ166" s="596"/>
      <c r="BK166" s="596"/>
      <c r="BL166" s="596"/>
      <c r="BM166" s="596"/>
      <c r="BN166" s="596"/>
      <c r="BO166" s="596"/>
      <c r="BP166" s="596"/>
      <c r="BQ166" s="596"/>
      <c r="BR166" s="596"/>
      <c r="BS166" s="596"/>
      <c r="BT166" s="596"/>
      <c r="BU166" s="596"/>
      <c r="BV166" s="596"/>
      <c r="BW166" s="596"/>
      <c r="BX166" s="596"/>
      <c r="BY166" s="596"/>
      <c r="BZ166" s="596"/>
      <c r="CA166" s="596"/>
      <c r="CB166" s="596"/>
      <c r="CC166" s="596"/>
      <c r="CD166" s="596"/>
      <c r="CE166" s="596"/>
      <c r="CF166" s="596"/>
      <c r="CG166" s="596"/>
      <c r="CH166" s="596"/>
      <c r="CI166" s="596"/>
      <c r="CJ166" s="596"/>
      <c r="CK166" s="596"/>
      <c r="CL166" s="596"/>
      <c r="CM166" s="596"/>
      <c r="CN166" s="596"/>
      <c r="CO166" s="596"/>
      <c r="CP166" s="596"/>
      <c r="CQ166" s="596"/>
      <c r="CR166" s="596"/>
      <c r="CS166" s="596"/>
      <c r="CT166" s="596"/>
      <c r="CU166" s="596"/>
      <c r="CV166" s="596"/>
      <c r="CW166" s="596"/>
      <c r="CX166" s="596"/>
      <c r="CY166" s="596"/>
      <c r="CZ166" s="596"/>
      <c r="DA166" s="596"/>
      <c r="DB166" s="596"/>
      <c r="DC166" s="596"/>
      <c r="DD166" s="596"/>
      <c r="DE166" s="596"/>
      <c r="DF166" s="596"/>
      <c r="DG166" s="596"/>
      <c r="DH166" s="596"/>
      <c r="DI166" s="596"/>
      <c r="DJ166" s="596"/>
      <c r="DK166" s="596"/>
      <c r="DL166" s="596"/>
      <c r="DM166" s="596"/>
      <c r="DN166" s="596"/>
      <c r="DO166" s="596"/>
      <c r="DP166" s="596"/>
      <c r="DQ166" s="596"/>
      <c r="DR166" s="596"/>
      <c r="DS166" s="596"/>
      <c r="DT166" s="596"/>
      <c r="DU166" s="596"/>
      <c r="DV166" s="596"/>
      <c r="DW166" s="596"/>
      <c r="DX166" s="596"/>
      <c r="DY166" s="596"/>
      <c r="DZ166" s="596"/>
      <c r="EA166" s="596"/>
    </row>
    <row r="167" spans="1:131">
      <c r="A167" s="596"/>
      <c r="B167" s="596"/>
      <c r="C167" s="596"/>
      <c r="D167" s="596"/>
      <c r="E167" s="596"/>
      <c r="F167" s="596"/>
      <c r="G167" s="596"/>
      <c r="H167" s="596"/>
      <c r="I167" s="596"/>
      <c r="J167" s="596"/>
      <c r="K167" s="638"/>
      <c r="L167" s="638"/>
      <c r="M167" s="638"/>
      <c r="N167" s="638"/>
      <c r="O167" s="638"/>
      <c r="P167" s="596"/>
      <c r="Q167" s="596"/>
      <c r="R167" s="596"/>
      <c r="S167" s="596"/>
      <c r="T167" s="596"/>
      <c r="U167" s="596"/>
      <c r="V167" s="596"/>
      <c r="W167" s="596"/>
      <c r="X167" s="596"/>
      <c r="Y167" s="596"/>
      <c r="Z167" s="596"/>
      <c r="AA167" s="596"/>
      <c r="AB167" s="596"/>
      <c r="AC167" s="596"/>
      <c r="AD167" s="596"/>
      <c r="AE167" s="596"/>
      <c r="AF167" s="596"/>
      <c r="AG167" s="596"/>
      <c r="AH167" s="596"/>
      <c r="AI167" s="596"/>
      <c r="AJ167" s="596"/>
      <c r="AK167" s="596"/>
      <c r="AL167" s="596"/>
      <c r="AM167" s="596"/>
      <c r="AN167" s="596"/>
      <c r="AO167" s="596"/>
      <c r="AP167" s="596"/>
      <c r="AQ167" s="596"/>
      <c r="AR167" s="596"/>
      <c r="AS167" s="596"/>
      <c r="AT167" s="596"/>
      <c r="AU167" s="596"/>
      <c r="AV167" s="596"/>
      <c r="AW167" s="596"/>
      <c r="AX167" s="596"/>
      <c r="AY167" s="596"/>
      <c r="AZ167" s="596"/>
      <c r="BA167" s="596"/>
      <c r="BB167" s="596"/>
      <c r="BC167" s="596"/>
      <c r="BD167" s="596"/>
      <c r="BE167" s="596"/>
      <c r="BF167" s="596"/>
      <c r="BG167" s="596"/>
      <c r="BH167" s="596"/>
      <c r="BI167" s="596"/>
      <c r="BJ167" s="596"/>
      <c r="BK167" s="596"/>
      <c r="BL167" s="596"/>
      <c r="BM167" s="596"/>
      <c r="BN167" s="596"/>
      <c r="BO167" s="596"/>
      <c r="BP167" s="596"/>
      <c r="BQ167" s="596"/>
      <c r="BR167" s="596"/>
      <c r="BS167" s="596"/>
      <c r="BT167" s="596"/>
      <c r="BU167" s="596"/>
      <c r="BV167" s="596"/>
      <c r="BW167" s="596"/>
      <c r="BX167" s="596"/>
      <c r="BY167" s="596"/>
      <c r="BZ167" s="596"/>
      <c r="CA167" s="596"/>
      <c r="CB167" s="596"/>
      <c r="CC167" s="596"/>
      <c r="CD167" s="596"/>
      <c r="CE167" s="596"/>
      <c r="CF167" s="596"/>
      <c r="CG167" s="596"/>
      <c r="CH167" s="596"/>
      <c r="CI167" s="596"/>
      <c r="CJ167" s="596"/>
      <c r="CK167" s="596"/>
      <c r="CL167" s="596"/>
      <c r="CM167" s="596"/>
      <c r="CN167" s="596"/>
      <c r="CO167" s="596"/>
      <c r="CP167" s="596"/>
      <c r="CQ167" s="596"/>
      <c r="CR167" s="596"/>
      <c r="CS167" s="596"/>
      <c r="CT167" s="596"/>
      <c r="CU167" s="596"/>
      <c r="CV167" s="596"/>
      <c r="CW167" s="596"/>
      <c r="CX167" s="596"/>
      <c r="CY167" s="596"/>
      <c r="CZ167" s="596"/>
      <c r="DA167" s="596"/>
      <c r="DB167" s="596"/>
      <c r="DC167" s="596"/>
      <c r="DD167" s="596"/>
      <c r="DE167" s="596"/>
      <c r="DF167" s="596"/>
      <c r="DG167" s="596"/>
      <c r="DH167" s="596"/>
      <c r="DI167" s="596"/>
      <c r="DJ167" s="596"/>
      <c r="DK167" s="596"/>
      <c r="DL167" s="596"/>
      <c r="DM167" s="596"/>
      <c r="DN167" s="596"/>
      <c r="DO167" s="596"/>
      <c r="DP167" s="596"/>
      <c r="DQ167" s="596"/>
      <c r="DR167" s="596"/>
      <c r="DS167" s="596"/>
      <c r="DT167" s="596"/>
      <c r="DU167" s="596"/>
      <c r="DV167" s="596"/>
      <c r="DW167" s="596"/>
      <c r="DX167" s="596"/>
      <c r="DY167" s="596"/>
      <c r="DZ167" s="596"/>
      <c r="EA167" s="596"/>
    </row>
    <row r="168" spans="1:131">
      <c r="A168" s="596"/>
      <c r="B168" s="596"/>
      <c r="C168" s="596"/>
      <c r="D168" s="596"/>
      <c r="E168" s="596"/>
      <c r="F168" s="596"/>
      <c r="G168" s="596"/>
      <c r="H168" s="596"/>
      <c r="I168" s="596"/>
      <c r="J168" s="596"/>
      <c r="K168" s="638"/>
      <c r="L168" s="638"/>
      <c r="M168" s="638"/>
      <c r="N168" s="638"/>
      <c r="O168" s="638"/>
      <c r="P168" s="596"/>
      <c r="Q168" s="596"/>
      <c r="R168" s="596"/>
      <c r="S168" s="596"/>
      <c r="T168" s="596"/>
      <c r="U168" s="596"/>
      <c r="V168" s="596"/>
      <c r="W168" s="596"/>
      <c r="X168" s="596"/>
      <c r="Y168" s="596"/>
      <c r="Z168" s="596"/>
      <c r="AA168" s="596"/>
      <c r="AB168" s="596"/>
      <c r="AC168" s="596"/>
      <c r="AD168" s="596"/>
      <c r="AE168" s="596"/>
      <c r="AF168" s="596"/>
      <c r="AG168" s="596"/>
      <c r="AH168" s="596"/>
      <c r="AI168" s="596"/>
      <c r="AJ168" s="596"/>
      <c r="AK168" s="596"/>
      <c r="AL168" s="596"/>
      <c r="AM168" s="596"/>
      <c r="AN168" s="596"/>
      <c r="AO168" s="596"/>
      <c r="AP168" s="596"/>
      <c r="AQ168" s="596"/>
      <c r="AR168" s="596"/>
      <c r="AS168" s="596"/>
      <c r="AT168" s="596"/>
      <c r="AU168" s="596"/>
      <c r="AV168" s="596"/>
      <c r="AW168" s="596"/>
      <c r="AX168" s="596"/>
      <c r="AY168" s="596"/>
      <c r="AZ168" s="596"/>
      <c r="BA168" s="596"/>
      <c r="BB168" s="596"/>
      <c r="BC168" s="596"/>
      <c r="BD168" s="596"/>
      <c r="BE168" s="596"/>
      <c r="BF168" s="596"/>
      <c r="BG168" s="596"/>
      <c r="BH168" s="596"/>
      <c r="BI168" s="596"/>
      <c r="BJ168" s="596"/>
      <c r="BK168" s="596"/>
      <c r="BL168" s="596"/>
      <c r="BM168" s="596"/>
      <c r="BN168" s="596"/>
      <c r="BO168" s="596"/>
      <c r="BP168" s="596"/>
      <c r="BQ168" s="596"/>
      <c r="BR168" s="596"/>
      <c r="BS168" s="596"/>
      <c r="BT168" s="596"/>
      <c r="BU168" s="596"/>
      <c r="BV168" s="596"/>
      <c r="BW168" s="596"/>
      <c r="BX168" s="596"/>
      <c r="BY168" s="596"/>
      <c r="BZ168" s="596"/>
      <c r="CA168" s="596"/>
      <c r="CB168" s="596"/>
      <c r="CC168" s="596"/>
      <c r="CD168" s="596"/>
      <c r="CE168" s="596"/>
      <c r="CF168" s="596"/>
      <c r="CG168" s="596"/>
      <c r="CH168" s="596"/>
      <c r="CI168" s="596"/>
      <c r="CJ168" s="596"/>
      <c r="CK168" s="596"/>
      <c r="CL168" s="596"/>
      <c r="CM168" s="596"/>
      <c r="CN168" s="596"/>
      <c r="CO168" s="596"/>
      <c r="CP168" s="596"/>
      <c r="CQ168" s="596"/>
      <c r="CR168" s="596"/>
      <c r="CS168" s="596"/>
      <c r="CT168" s="596"/>
      <c r="CU168" s="596"/>
      <c r="CV168" s="596"/>
      <c r="CW168" s="596"/>
      <c r="CX168" s="596"/>
      <c r="CY168" s="596"/>
      <c r="CZ168" s="596"/>
      <c r="DA168" s="596"/>
      <c r="DB168" s="596"/>
      <c r="DC168" s="596"/>
      <c r="DD168" s="596"/>
      <c r="DE168" s="596"/>
      <c r="DF168" s="596"/>
      <c r="DG168" s="596"/>
      <c r="DH168" s="596"/>
      <c r="DI168" s="596"/>
      <c r="DJ168" s="596"/>
      <c r="DK168" s="596"/>
      <c r="DL168" s="596"/>
      <c r="DM168" s="596"/>
      <c r="DN168" s="596"/>
      <c r="DO168" s="596"/>
      <c r="DP168" s="596"/>
      <c r="DQ168" s="596"/>
      <c r="DR168" s="596"/>
      <c r="DS168" s="596"/>
      <c r="DT168" s="596"/>
      <c r="DU168" s="596"/>
      <c r="DV168" s="596"/>
      <c r="DW168" s="596"/>
      <c r="DX168" s="596"/>
      <c r="DY168" s="596"/>
      <c r="DZ168" s="596"/>
      <c r="EA168" s="596"/>
    </row>
    <row r="169" spans="1:131">
      <c r="A169" s="596"/>
      <c r="B169" s="596"/>
      <c r="C169" s="596"/>
      <c r="D169" s="596"/>
      <c r="E169" s="596"/>
      <c r="F169" s="596"/>
      <c r="G169" s="596"/>
      <c r="H169" s="596"/>
      <c r="I169" s="596"/>
      <c r="J169" s="596"/>
      <c r="K169" s="638"/>
      <c r="L169" s="638"/>
      <c r="M169" s="638"/>
      <c r="N169" s="638"/>
      <c r="O169" s="638"/>
      <c r="P169" s="596"/>
      <c r="Q169" s="596"/>
      <c r="R169" s="596"/>
      <c r="S169" s="596"/>
      <c r="T169" s="596"/>
      <c r="U169" s="596"/>
      <c r="V169" s="596"/>
      <c r="W169" s="596"/>
      <c r="X169" s="596"/>
      <c r="Y169" s="596"/>
      <c r="Z169" s="596"/>
      <c r="AA169" s="596"/>
      <c r="AB169" s="596"/>
      <c r="AC169" s="596"/>
      <c r="AD169" s="596"/>
      <c r="AE169" s="596"/>
      <c r="AF169" s="596"/>
      <c r="AG169" s="596"/>
      <c r="AH169" s="596"/>
      <c r="AI169" s="596"/>
      <c r="AJ169" s="596"/>
      <c r="AK169" s="596"/>
      <c r="AL169" s="596"/>
      <c r="AM169" s="596"/>
      <c r="AN169" s="596"/>
      <c r="AO169" s="596"/>
      <c r="AP169" s="596"/>
      <c r="AQ169" s="596"/>
      <c r="AR169" s="596"/>
      <c r="AS169" s="596"/>
      <c r="AT169" s="596"/>
      <c r="AU169" s="596"/>
      <c r="AV169" s="596"/>
      <c r="AW169" s="596"/>
      <c r="AX169" s="596"/>
      <c r="AY169" s="596"/>
      <c r="AZ169" s="596"/>
      <c r="BA169" s="596"/>
      <c r="BB169" s="596"/>
      <c r="BC169" s="596"/>
      <c r="BD169" s="596"/>
      <c r="BE169" s="596"/>
      <c r="BF169" s="596"/>
      <c r="BG169" s="596"/>
      <c r="BH169" s="596"/>
      <c r="BI169" s="596"/>
      <c r="BJ169" s="596"/>
      <c r="BK169" s="596"/>
      <c r="BL169" s="596"/>
      <c r="BM169" s="596"/>
      <c r="BN169" s="596"/>
      <c r="BO169" s="596"/>
      <c r="BP169" s="596"/>
      <c r="BQ169" s="596"/>
      <c r="BR169" s="596"/>
      <c r="BS169" s="596"/>
      <c r="BT169" s="596"/>
      <c r="BU169" s="596"/>
      <c r="BV169" s="596"/>
      <c r="BW169" s="596"/>
      <c r="BX169" s="596"/>
      <c r="BY169" s="596"/>
      <c r="BZ169" s="596"/>
      <c r="CA169" s="596"/>
      <c r="CB169" s="596"/>
      <c r="CC169" s="596"/>
      <c r="CD169" s="596"/>
      <c r="CE169" s="596"/>
      <c r="CF169" s="596"/>
      <c r="CG169" s="596"/>
      <c r="CH169" s="596"/>
      <c r="CI169" s="596"/>
      <c r="CJ169" s="596"/>
      <c r="CK169" s="596"/>
      <c r="CL169" s="596"/>
      <c r="CM169" s="596"/>
      <c r="CN169" s="596"/>
      <c r="CO169" s="596"/>
      <c r="CP169" s="596"/>
      <c r="CQ169" s="596"/>
      <c r="CR169" s="596"/>
      <c r="CS169" s="596"/>
      <c r="CT169" s="596"/>
      <c r="CU169" s="596"/>
      <c r="CV169" s="596"/>
      <c r="CW169" s="596"/>
      <c r="CX169" s="596"/>
      <c r="CY169" s="596"/>
      <c r="CZ169" s="596"/>
      <c r="DA169" s="596"/>
      <c r="DB169" s="596"/>
      <c r="DC169" s="596"/>
      <c r="DD169" s="596"/>
      <c r="DE169" s="596"/>
      <c r="DF169" s="596"/>
      <c r="DG169" s="596"/>
      <c r="DH169" s="596"/>
      <c r="DI169" s="596"/>
      <c r="DJ169" s="596"/>
      <c r="DK169" s="596"/>
      <c r="DL169" s="596"/>
      <c r="DM169" s="596"/>
      <c r="DN169" s="596"/>
      <c r="DO169" s="596"/>
      <c r="DP169" s="596"/>
      <c r="DQ169" s="596"/>
      <c r="DR169" s="596"/>
      <c r="DS169" s="596"/>
      <c r="DT169" s="596"/>
      <c r="DU169" s="596"/>
      <c r="DV169" s="596"/>
      <c r="DW169" s="596"/>
      <c r="DX169" s="596"/>
      <c r="DY169" s="596"/>
      <c r="DZ169" s="596"/>
      <c r="EA169" s="596"/>
    </row>
    <row r="170" spans="1:131">
      <c r="A170" s="596"/>
      <c r="B170" s="596"/>
      <c r="C170" s="596"/>
      <c r="D170" s="596"/>
      <c r="E170" s="596"/>
      <c r="F170" s="596"/>
      <c r="G170" s="596"/>
      <c r="H170" s="596"/>
      <c r="I170" s="596"/>
      <c r="J170" s="596"/>
      <c r="K170" s="638"/>
      <c r="L170" s="638"/>
      <c r="M170" s="638"/>
      <c r="N170" s="638"/>
      <c r="O170" s="638"/>
      <c r="P170" s="596"/>
      <c r="Q170" s="596"/>
      <c r="R170" s="596"/>
      <c r="S170" s="596"/>
      <c r="T170" s="596"/>
      <c r="U170" s="596"/>
      <c r="V170" s="596"/>
      <c r="W170" s="596"/>
      <c r="X170" s="596"/>
      <c r="Y170" s="596"/>
      <c r="Z170" s="596"/>
      <c r="AA170" s="596"/>
      <c r="AB170" s="596"/>
      <c r="AC170" s="596"/>
      <c r="AD170" s="596"/>
      <c r="AE170" s="596"/>
      <c r="AF170" s="596"/>
      <c r="AG170" s="596"/>
      <c r="AH170" s="596"/>
      <c r="AI170" s="596"/>
      <c r="AJ170" s="596"/>
      <c r="AK170" s="596"/>
      <c r="AL170" s="596"/>
      <c r="AM170" s="596"/>
      <c r="AN170" s="596"/>
      <c r="AO170" s="596"/>
      <c r="AP170" s="596"/>
      <c r="AQ170" s="596"/>
      <c r="AR170" s="596"/>
      <c r="AS170" s="596"/>
      <c r="AT170" s="596"/>
      <c r="AU170" s="596"/>
      <c r="AV170" s="596"/>
      <c r="AW170" s="596"/>
      <c r="AX170" s="596"/>
      <c r="AY170" s="596"/>
      <c r="AZ170" s="596"/>
      <c r="BA170" s="596"/>
      <c r="BB170" s="596"/>
      <c r="BC170" s="596"/>
      <c r="BD170" s="596"/>
      <c r="BE170" s="596"/>
      <c r="BF170" s="596"/>
      <c r="BG170" s="596"/>
      <c r="BH170" s="596"/>
      <c r="BI170" s="596"/>
      <c r="BJ170" s="596"/>
      <c r="BK170" s="596"/>
      <c r="BL170" s="596"/>
      <c r="BM170" s="596"/>
      <c r="BN170" s="596"/>
      <c r="BO170" s="596"/>
      <c r="BP170" s="596"/>
      <c r="BQ170" s="596"/>
      <c r="BR170" s="596"/>
      <c r="BS170" s="596"/>
      <c r="BT170" s="596"/>
      <c r="BU170" s="596"/>
      <c r="BV170" s="596"/>
      <c r="BW170" s="596"/>
      <c r="BX170" s="596"/>
      <c r="BY170" s="596"/>
      <c r="BZ170" s="596"/>
      <c r="CA170" s="596"/>
      <c r="CB170" s="596"/>
      <c r="CC170" s="596"/>
      <c r="CD170" s="596"/>
      <c r="CE170" s="596"/>
      <c r="CF170" s="596"/>
      <c r="CG170" s="596"/>
      <c r="CH170" s="596"/>
      <c r="CI170" s="596"/>
      <c r="CJ170" s="596"/>
      <c r="CK170" s="596"/>
      <c r="CL170" s="596"/>
      <c r="CM170" s="596"/>
      <c r="CN170" s="596"/>
      <c r="CO170" s="596"/>
      <c r="CP170" s="596"/>
      <c r="CQ170" s="596"/>
      <c r="CR170" s="596"/>
      <c r="CS170" s="596"/>
      <c r="CT170" s="596"/>
      <c r="CU170" s="596"/>
      <c r="CV170" s="596"/>
      <c r="CW170" s="596"/>
      <c r="CX170" s="596"/>
      <c r="CY170" s="596"/>
      <c r="CZ170" s="596"/>
      <c r="DA170" s="596"/>
      <c r="DB170" s="596"/>
      <c r="DC170" s="596"/>
      <c r="DD170" s="596"/>
      <c r="DE170" s="596"/>
      <c r="DF170" s="596"/>
      <c r="DG170" s="596"/>
      <c r="DH170" s="596"/>
      <c r="DI170" s="596"/>
      <c r="DJ170" s="596"/>
      <c r="DK170" s="596"/>
      <c r="DL170" s="596"/>
      <c r="DM170" s="596"/>
      <c r="DN170" s="596"/>
      <c r="DO170" s="596"/>
      <c r="DP170" s="596"/>
      <c r="DQ170" s="596"/>
      <c r="DR170" s="596"/>
      <c r="DS170" s="596"/>
      <c r="DT170" s="596"/>
      <c r="DU170" s="596"/>
      <c r="DV170" s="596"/>
      <c r="DW170" s="596"/>
      <c r="DX170" s="596"/>
      <c r="DY170" s="596"/>
      <c r="DZ170" s="596"/>
      <c r="EA170" s="596"/>
    </row>
    <row r="171" spans="1:131">
      <c r="A171" s="596"/>
      <c r="B171" s="596"/>
      <c r="C171" s="596"/>
      <c r="D171" s="596"/>
      <c r="E171" s="596"/>
      <c r="F171" s="596"/>
      <c r="G171" s="596"/>
      <c r="H171" s="596"/>
      <c r="I171" s="596"/>
      <c r="J171" s="596"/>
      <c r="K171" s="638"/>
      <c r="L171" s="638"/>
      <c r="M171" s="638"/>
      <c r="N171" s="638"/>
      <c r="O171" s="638"/>
      <c r="P171" s="596"/>
      <c r="Q171" s="596"/>
      <c r="R171" s="596"/>
      <c r="S171" s="596"/>
      <c r="T171" s="596"/>
      <c r="U171" s="596"/>
      <c r="V171" s="596"/>
      <c r="W171" s="596"/>
      <c r="X171" s="596"/>
      <c r="Y171" s="596"/>
      <c r="Z171" s="596"/>
      <c r="AA171" s="596"/>
      <c r="AB171" s="596"/>
      <c r="AC171" s="596"/>
      <c r="AD171" s="596"/>
      <c r="AE171" s="596"/>
      <c r="AF171" s="596"/>
      <c r="AG171" s="596"/>
      <c r="AH171" s="596"/>
      <c r="AI171" s="596"/>
      <c r="AJ171" s="596"/>
      <c r="AK171" s="596"/>
      <c r="AL171" s="596"/>
      <c r="AM171" s="596"/>
      <c r="AN171" s="596"/>
      <c r="AO171" s="596"/>
      <c r="AP171" s="596"/>
      <c r="AQ171" s="596"/>
      <c r="AR171" s="596"/>
      <c r="AS171" s="596"/>
      <c r="AT171" s="596"/>
      <c r="AU171" s="596"/>
      <c r="AV171" s="596"/>
      <c r="AW171" s="596"/>
      <c r="AX171" s="596"/>
      <c r="AY171" s="596"/>
      <c r="AZ171" s="596"/>
      <c r="BA171" s="596"/>
      <c r="BB171" s="596"/>
      <c r="BC171" s="596"/>
      <c r="BD171" s="596"/>
      <c r="BE171" s="596"/>
      <c r="BF171" s="596"/>
      <c r="BG171" s="596"/>
      <c r="BH171" s="596"/>
      <c r="BI171" s="596"/>
      <c r="BJ171" s="596"/>
      <c r="BK171" s="596"/>
      <c r="BL171" s="596"/>
      <c r="BM171" s="596"/>
      <c r="BN171" s="596"/>
      <c r="BO171" s="596"/>
      <c r="BP171" s="596"/>
      <c r="BQ171" s="596"/>
      <c r="BR171" s="596"/>
      <c r="BS171" s="596"/>
      <c r="BT171" s="596"/>
      <c r="BU171" s="596"/>
      <c r="BV171" s="596"/>
      <c r="BW171" s="596"/>
      <c r="BX171" s="596"/>
      <c r="BY171" s="596"/>
      <c r="BZ171" s="596"/>
      <c r="CA171" s="596"/>
      <c r="CB171" s="596"/>
      <c r="CC171" s="596"/>
      <c r="CD171" s="596"/>
      <c r="CE171" s="596"/>
      <c r="CF171" s="596"/>
      <c r="CG171" s="596"/>
      <c r="CH171" s="596"/>
      <c r="CI171" s="596"/>
      <c r="CJ171" s="596"/>
      <c r="CK171" s="596"/>
      <c r="CL171" s="596"/>
      <c r="CM171" s="596"/>
      <c r="CN171" s="596"/>
      <c r="CO171" s="596"/>
      <c r="CP171" s="596"/>
      <c r="CQ171" s="596"/>
      <c r="CR171" s="596"/>
      <c r="CS171" s="596"/>
      <c r="CT171" s="596"/>
      <c r="CU171" s="596"/>
      <c r="CV171" s="596"/>
      <c r="CW171" s="596"/>
      <c r="CX171" s="596"/>
      <c r="CY171" s="596"/>
      <c r="CZ171" s="596"/>
      <c r="DA171" s="596"/>
      <c r="DB171" s="596"/>
      <c r="DC171" s="596"/>
      <c r="DD171" s="596"/>
      <c r="DE171" s="596"/>
      <c r="DF171" s="596"/>
      <c r="DG171" s="596"/>
      <c r="DH171" s="596"/>
      <c r="DI171" s="596"/>
      <c r="DJ171" s="596"/>
      <c r="DK171" s="596"/>
      <c r="DL171" s="596"/>
      <c r="DM171" s="596"/>
      <c r="DN171" s="596"/>
      <c r="DO171" s="596"/>
      <c r="DP171" s="596"/>
      <c r="DQ171" s="596"/>
      <c r="DR171" s="596"/>
      <c r="DS171" s="596"/>
      <c r="DT171" s="596"/>
      <c r="DU171" s="596"/>
      <c r="DV171" s="596"/>
      <c r="DW171" s="596"/>
      <c r="DX171" s="596"/>
      <c r="DY171" s="596"/>
      <c r="DZ171" s="596"/>
      <c r="EA171" s="596"/>
    </row>
    <row r="172" spans="1:131">
      <c r="A172" s="596"/>
      <c r="B172" s="596"/>
      <c r="C172" s="596"/>
      <c r="D172" s="596"/>
      <c r="E172" s="596"/>
      <c r="F172" s="596"/>
      <c r="G172" s="596"/>
      <c r="H172" s="596"/>
      <c r="I172" s="596"/>
      <c r="J172" s="596"/>
      <c r="K172" s="638"/>
      <c r="L172" s="638"/>
      <c r="M172" s="638"/>
      <c r="N172" s="638"/>
      <c r="O172" s="638"/>
      <c r="P172" s="596"/>
      <c r="Q172" s="596"/>
      <c r="R172" s="596"/>
      <c r="S172" s="596"/>
      <c r="T172" s="596"/>
      <c r="U172" s="596"/>
      <c r="V172" s="596"/>
      <c r="W172" s="596"/>
      <c r="X172" s="596"/>
      <c r="Y172" s="596"/>
      <c r="Z172" s="596"/>
      <c r="AA172" s="596"/>
      <c r="AB172" s="596"/>
      <c r="AC172" s="596"/>
      <c r="AD172" s="596"/>
      <c r="AE172" s="596"/>
      <c r="AF172" s="596"/>
      <c r="AG172" s="596"/>
      <c r="AH172" s="596"/>
      <c r="AI172" s="596"/>
      <c r="AJ172" s="596"/>
      <c r="AK172" s="596"/>
      <c r="AL172" s="596"/>
      <c r="AM172" s="596"/>
      <c r="AN172" s="596"/>
      <c r="AO172" s="596"/>
      <c r="AP172" s="596"/>
      <c r="AQ172" s="596"/>
      <c r="AR172" s="596"/>
      <c r="AS172" s="596"/>
      <c r="AT172" s="596"/>
      <c r="AU172" s="596"/>
      <c r="AV172" s="596"/>
      <c r="AW172" s="596"/>
      <c r="AX172" s="596"/>
      <c r="AY172" s="596"/>
      <c r="AZ172" s="596"/>
      <c r="BA172" s="596"/>
      <c r="BB172" s="596"/>
      <c r="BC172" s="596"/>
      <c r="BD172" s="596"/>
      <c r="BE172" s="596"/>
      <c r="BF172" s="596"/>
      <c r="BG172" s="596"/>
      <c r="BH172" s="596"/>
      <c r="BI172" s="596"/>
      <c r="BJ172" s="596"/>
      <c r="BK172" s="596"/>
      <c r="BL172" s="596"/>
      <c r="BM172" s="596"/>
      <c r="BN172" s="596"/>
      <c r="BO172" s="596"/>
      <c r="BP172" s="596"/>
      <c r="BQ172" s="596"/>
      <c r="BR172" s="596"/>
      <c r="BS172" s="596"/>
      <c r="BT172" s="596"/>
      <c r="BU172" s="596"/>
      <c r="BV172" s="596"/>
      <c r="BW172" s="596"/>
      <c r="BX172" s="596"/>
      <c r="BY172" s="596"/>
      <c r="BZ172" s="596"/>
      <c r="CA172" s="596"/>
      <c r="CB172" s="596"/>
      <c r="CC172" s="596"/>
      <c r="CD172" s="596"/>
      <c r="CE172" s="596"/>
      <c r="CF172" s="596"/>
      <c r="CG172" s="596"/>
      <c r="CH172" s="596"/>
      <c r="CI172" s="596"/>
      <c r="CJ172" s="596"/>
      <c r="CK172" s="596"/>
      <c r="CL172" s="596"/>
      <c r="CM172" s="596"/>
      <c r="CN172" s="596"/>
      <c r="CO172" s="596"/>
      <c r="CP172" s="596"/>
      <c r="CQ172" s="596"/>
      <c r="CR172" s="596"/>
      <c r="CS172" s="596"/>
      <c r="CT172" s="596"/>
      <c r="CU172" s="596"/>
      <c r="CV172" s="596"/>
      <c r="CW172" s="596"/>
      <c r="CX172" s="596"/>
      <c r="CY172" s="596"/>
      <c r="CZ172" s="596"/>
      <c r="DA172" s="596"/>
      <c r="DB172" s="596"/>
      <c r="DC172" s="596"/>
      <c r="DD172" s="596"/>
      <c r="DE172" s="596"/>
      <c r="DF172" s="596"/>
      <c r="DG172" s="596"/>
      <c r="DH172" s="596"/>
      <c r="DI172" s="596"/>
      <c r="DJ172" s="596"/>
      <c r="DK172" s="596"/>
      <c r="DL172" s="596"/>
      <c r="DM172" s="596"/>
      <c r="DN172" s="596"/>
      <c r="DO172" s="596"/>
      <c r="DP172" s="596"/>
      <c r="DQ172" s="596"/>
      <c r="DR172" s="596"/>
      <c r="DS172" s="596"/>
      <c r="DT172" s="596"/>
      <c r="DU172" s="596"/>
      <c r="DV172" s="596"/>
      <c r="DW172" s="596"/>
      <c r="DX172" s="596"/>
      <c r="DY172" s="596"/>
      <c r="DZ172" s="596"/>
      <c r="EA172" s="596"/>
    </row>
    <row r="173" spans="1:131">
      <c r="A173" s="596"/>
      <c r="B173" s="596"/>
      <c r="C173" s="596"/>
      <c r="D173" s="596"/>
      <c r="E173" s="596"/>
      <c r="F173" s="596"/>
      <c r="G173" s="596"/>
      <c r="H173" s="596"/>
      <c r="I173" s="596"/>
      <c r="J173" s="596"/>
      <c r="K173" s="638"/>
      <c r="L173" s="638"/>
      <c r="M173" s="638"/>
      <c r="N173" s="638"/>
      <c r="O173" s="638"/>
      <c r="P173" s="596"/>
      <c r="Q173" s="596"/>
      <c r="R173" s="596"/>
      <c r="S173" s="596"/>
      <c r="T173" s="596"/>
      <c r="U173" s="596"/>
      <c r="V173" s="596"/>
      <c r="W173" s="596"/>
      <c r="X173" s="596"/>
      <c r="Y173" s="596"/>
      <c r="Z173" s="596"/>
      <c r="AA173" s="596"/>
      <c r="AB173" s="596"/>
      <c r="AC173" s="596"/>
      <c r="AD173" s="596"/>
      <c r="AE173" s="596"/>
      <c r="AF173" s="596"/>
      <c r="AG173" s="596"/>
      <c r="AH173" s="596"/>
      <c r="AI173" s="596"/>
      <c r="AJ173" s="596"/>
      <c r="AK173" s="596"/>
      <c r="AL173" s="596"/>
      <c r="AM173" s="596"/>
      <c r="AN173" s="596"/>
      <c r="AO173" s="596"/>
      <c r="AP173" s="596"/>
      <c r="AQ173" s="596"/>
      <c r="AR173" s="596"/>
      <c r="AS173" s="596"/>
      <c r="AT173" s="596"/>
      <c r="AU173" s="596"/>
      <c r="AV173" s="596"/>
      <c r="AW173" s="596"/>
      <c r="AX173" s="596"/>
      <c r="AY173" s="596"/>
      <c r="AZ173" s="596"/>
      <c r="BA173" s="596"/>
      <c r="BB173" s="596"/>
      <c r="BC173" s="596"/>
      <c r="BD173" s="596"/>
      <c r="BE173" s="596"/>
      <c r="BF173" s="596"/>
      <c r="BG173" s="596"/>
      <c r="BH173" s="596"/>
      <c r="BI173" s="596"/>
      <c r="BJ173" s="596"/>
      <c r="BK173" s="596"/>
      <c r="BL173" s="596"/>
      <c r="BM173" s="596"/>
      <c r="BN173" s="596"/>
      <c r="BO173" s="596"/>
      <c r="BP173" s="596"/>
      <c r="BQ173" s="596"/>
      <c r="BR173" s="596"/>
      <c r="BS173" s="596"/>
      <c r="BT173" s="596"/>
      <c r="BU173" s="596"/>
      <c r="BV173" s="596"/>
      <c r="BW173" s="596"/>
      <c r="BX173" s="596"/>
      <c r="BY173" s="596"/>
      <c r="BZ173" s="596"/>
      <c r="CA173" s="596"/>
      <c r="CB173" s="596"/>
      <c r="CC173" s="596"/>
      <c r="CD173" s="596"/>
      <c r="CE173" s="596"/>
      <c r="CF173" s="596"/>
      <c r="CG173" s="596"/>
      <c r="CH173" s="596"/>
      <c r="CI173" s="596"/>
      <c r="CJ173" s="596"/>
      <c r="CK173" s="596"/>
      <c r="CL173" s="596"/>
      <c r="CM173" s="596"/>
      <c r="CN173" s="596"/>
      <c r="CO173" s="596"/>
      <c r="CP173" s="596"/>
      <c r="CQ173" s="596"/>
      <c r="CR173" s="596"/>
      <c r="CS173" s="596"/>
      <c r="CT173" s="596"/>
      <c r="CU173" s="596"/>
      <c r="CV173" s="596"/>
      <c r="CW173" s="596"/>
      <c r="CX173" s="596"/>
      <c r="CY173" s="596"/>
      <c r="CZ173" s="596"/>
      <c r="DA173" s="596"/>
      <c r="DB173" s="596"/>
      <c r="DC173" s="596"/>
      <c r="DD173" s="596"/>
      <c r="DE173" s="596"/>
      <c r="DF173" s="596"/>
      <c r="DG173" s="596"/>
      <c r="DH173" s="596"/>
      <c r="DI173" s="596"/>
      <c r="DJ173" s="596"/>
      <c r="DK173" s="596"/>
      <c r="DL173" s="596"/>
      <c r="DM173" s="596"/>
      <c r="DN173" s="596"/>
      <c r="DO173" s="596"/>
      <c r="DP173" s="596"/>
      <c r="DQ173" s="596"/>
      <c r="DR173" s="596"/>
      <c r="DS173" s="596"/>
      <c r="DT173" s="596"/>
      <c r="DU173" s="596"/>
      <c r="DV173" s="596"/>
      <c r="DW173" s="596"/>
      <c r="DX173" s="596"/>
      <c r="DY173" s="596"/>
      <c r="DZ173" s="596"/>
      <c r="EA173" s="596"/>
    </row>
    <row r="174" spans="1:131">
      <c r="A174" s="596"/>
      <c r="B174" s="596"/>
      <c r="C174" s="596"/>
      <c r="D174" s="596"/>
      <c r="E174" s="596"/>
      <c r="F174" s="596"/>
      <c r="G174" s="596"/>
      <c r="H174" s="596"/>
      <c r="I174" s="596"/>
      <c r="J174" s="596"/>
      <c r="K174" s="638"/>
      <c r="L174" s="638"/>
      <c r="M174" s="638"/>
      <c r="N174" s="638"/>
      <c r="O174" s="638"/>
      <c r="P174" s="596"/>
      <c r="Q174" s="596"/>
      <c r="R174" s="596"/>
      <c r="S174" s="596"/>
      <c r="T174" s="596"/>
      <c r="U174" s="596"/>
      <c r="V174" s="596"/>
      <c r="W174" s="596"/>
      <c r="X174" s="596"/>
      <c r="Y174" s="596"/>
      <c r="Z174" s="596"/>
      <c r="AA174" s="596"/>
      <c r="AB174" s="596"/>
      <c r="AC174" s="596"/>
      <c r="AD174" s="596"/>
      <c r="AE174" s="596"/>
      <c r="AF174" s="596"/>
      <c r="AG174" s="596"/>
      <c r="AH174" s="596"/>
      <c r="AI174" s="596"/>
      <c r="AJ174" s="596"/>
      <c r="AK174" s="596"/>
      <c r="AL174" s="596"/>
      <c r="AM174" s="596"/>
      <c r="AN174" s="596"/>
      <c r="AO174" s="596"/>
      <c r="AP174" s="596"/>
      <c r="AQ174" s="596"/>
      <c r="AR174" s="596"/>
      <c r="AS174" s="596"/>
      <c r="AT174" s="596"/>
      <c r="AU174" s="596"/>
      <c r="AV174" s="596"/>
      <c r="AW174" s="596"/>
      <c r="AX174" s="596"/>
      <c r="AY174" s="596"/>
      <c r="AZ174" s="596"/>
      <c r="BA174" s="596"/>
      <c r="BB174" s="596"/>
      <c r="BC174" s="596"/>
      <c r="BD174" s="596"/>
      <c r="BE174" s="596"/>
      <c r="BF174" s="596"/>
      <c r="BG174" s="596"/>
      <c r="BH174" s="596"/>
      <c r="BI174" s="596"/>
      <c r="BJ174" s="596"/>
      <c r="BK174" s="596"/>
      <c r="BL174" s="596"/>
      <c r="BM174" s="596"/>
      <c r="BN174" s="596"/>
      <c r="BO174" s="596"/>
      <c r="BP174" s="596"/>
      <c r="BQ174" s="596"/>
      <c r="BR174" s="596"/>
      <c r="BS174" s="596"/>
      <c r="BT174" s="596"/>
      <c r="BU174" s="596"/>
      <c r="BV174" s="596"/>
      <c r="BW174" s="596"/>
      <c r="BX174" s="596"/>
      <c r="BY174" s="596"/>
      <c r="BZ174" s="596"/>
      <c r="CA174" s="596"/>
      <c r="CB174" s="596"/>
      <c r="CC174" s="596"/>
      <c r="CD174" s="596"/>
      <c r="CE174" s="596"/>
      <c r="CF174" s="596"/>
      <c r="CG174" s="596"/>
      <c r="CH174" s="596"/>
      <c r="CI174" s="596"/>
      <c r="CJ174" s="596"/>
      <c r="CK174" s="596"/>
      <c r="CL174" s="596"/>
      <c r="CM174" s="596"/>
      <c r="CN174" s="596"/>
      <c r="CO174" s="596"/>
      <c r="CP174" s="596"/>
      <c r="CQ174" s="596"/>
      <c r="CR174" s="596"/>
      <c r="CS174" s="596"/>
      <c r="CT174" s="596"/>
      <c r="CU174" s="596"/>
      <c r="CV174" s="596"/>
      <c r="CW174" s="596"/>
      <c r="CX174" s="596"/>
      <c r="CY174" s="596"/>
      <c r="CZ174" s="596"/>
      <c r="DA174" s="596"/>
      <c r="DB174" s="596"/>
      <c r="DC174" s="596"/>
      <c r="DD174" s="596"/>
      <c r="DE174" s="596"/>
      <c r="DF174" s="596"/>
      <c r="DG174" s="596"/>
      <c r="DH174" s="596"/>
      <c r="DI174" s="596"/>
      <c r="DJ174" s="596"/>
      <c r="DK174" s="596"/>
      <c r="DL174" s="596"/>
      <c r="DM174" s="596"/>
      <c r="DN174" s="596"/>
      <c r="DO174" s="596"/>
      <c r="DP174" s="596"/>
      <c r="DQ174" s="596"/>
      <c r="DR174" s="596"/>
      <c r="DS174" s="596"/>
      <c r="DT174" s="596"/>
      <c r="DU174" s="596"/>
      <c r="DV174" s="596"/>
      <c r="DW174" s="596"/>
      <c r="DX174" s="596"/>
      <c r="DY174" s="596"/>
      <c r="DZ174" s="596"/>
      <c r="EA174" s="596"/>
    </row>
    <row r="175" spans="1:131">
      <c r="A175" s="596"/>
      <c r="B175" s="596"/>
      <c r="C175" s="596"/>
      <c r="D175" s="596"/>
      <c r="E175" s="596"/>
      <c r="F175" s="596"/>
      <c r="G175" s="596"/>
      <c r="H175" s="596"/>
      <c r="I175" s="596"/>
      <c r="J175" s="596"/>
      <c r="K175" s="638"/>
      <c r="L175" s="638"/>
      <c r="M175" s="638"/>
      <c r="N175" s="638"/>
      <c r="O175" s="638"/>
      <c r="P175" s="596"/>
      <c r="Q175" s="596"/>
      <c r="R175" s="596"/>
      <c r="S175" s="596"/>
      <c r="T175" s="596"/>
      <c r="U175" s="596"/>
      <c r="V175" s="596"/>
      <c r="W175" s="596"/>
      <c r="X175" s="596"/>
      <c r="Y175" s="596"/>
      <c r="Z175" s="596"/>
      <c r="AA175" s="596"/>
      <c r="AB175" s="596"/>
      <c r="AC175" s="596"/>
      <c r="AD175" s="596"/>
      <c r="AE175" s="596"/>
      <c r="AF175" s="596"/>
      <c r="AG175" s="596"/>
      <c r="AH175" s="596"/>
      <c r="AI175" s="596"/>
      <c r="AJ175" s="596"/>
      <c r="AK175" s="596"/>
      <c r="AL175" s="596"/>
      <c r="AM175" s="596"/>
      <c r="AN175" s="596"/>
      <c r="AO175" s="596"/>
      <c r="AP175" s="596"/>
      <c r="AQ175" s="596"/>
      <c r="AR175" s="596"/>
      <c r="AS175" s="596"/>
      <c r="AT175" s="596"/>
      <c r="AU175" s="596"/>
      <c r="AV175" s="596"/>
      <c r="AW175" s="596"/>
      <c r="AX175" s="596"/>
      <c r="AY175" s="596"/>
      <c r="AZ175" s="596"/>
      <c r="BA175" s="596"/>
      <c r="BB175" s="596"/>
      <c r="BC175" s="596"/>
      <c r="BD175" s="596"/>
      <c r="BE175" s="596"/>
      <c r="BF175" s="596"/>
      <c r="BG175" s="596"/>
      <c r="BH175" s="596"/>
      <c r="BI175" s="596"/>
      <c r="BJ175" s="596"/>
      <c r="BK175" s="596"/>
      <c r="BL175" s="596"/>
      <c r="BM175" s="596"/>
      <c r="BN175" s="596"/>
      <c r="BO175" s="596"/>
      <c r="BP175" s="596"/>
      <c r="BQ175" s="596"/>
      <c r="BR175" s="596"/>
      <c r="BS175" s="596"/>
      <c r="BT175" s="596"/>
      <c r="BU175" s="596"/>
      <c r="BV175" s="596"/>
      <c r="BW175" s="596"/>
      <c r="BX175" s="596"/>
      <c r="BY175" s="596"/>
      <c r="BZ175" s="596"/>
      <c r="CA175" s="596"/>
      <c r="CB175" s="596"/>
      <c r="CC175" s="596"/>
      <c r="CD175" s="596"/>
      <c r="CE175" s="596"/>
      <c r="CF175" s="596"/>
      <c r="CG175" s="596"/>
      <c r="CH175" s="596"/>
      <c r="CI175" s="596"/>
      <c r="CJ175" s="596"/>
      <c r="CK175" s="596"/>
      <c r="CL175" s="596"/>
      <c r="CM175" s="596"/>
      <c r="CN175" s="596"/>
      <c r="CO175" s="596"/>
      <c r="CP175" s="596"/>
      <c r="CQ175" s="596"/>
      <c r="CR175" s="596"/>
      <c r="CS175" s="596"/>
      <c r="CT175" s="596"/>
      <c r="CU175" s="596"/>
      <c r="CV175" s="596"/>
      <c r="CW175" s="596"/>
      <c r="CX175" s="596"/>
      <c r="CY175" s="596"/>
      <c r="CZ175" s="596"/>
      <c r="DA175" s="596"/>
      <c r="DB175" s="596"/>
      <c r="DC175" s="596"/>
      <c r="DD175" s="596"/>
      <c r="DE175" s="596"/>
      <c r="DF175" s="596"/>
      <c r="DG175" s="596"/>
      <c r="DH175" s="596"/>
      <c r="DI175" s="596"/>
      <c r="DJ175" s="596"/>
      <c r="DK175" s="596"/>
      <c r="DL175" s="596"/>
      <c r="DM175" s="596"/>
      <c r="DN175" s="596"/>
      <c r="DO175" s="596"/>
      <c r="DP175" s="596"/>
      <c r="DQ175" s="596"/>
      <c r="DR175" s="596"/>
      <c r="DS175" s="596"/>
      <c r="DT175" s="596"/>
      <c r="DU175" s="596"/>
      <c r="DV175" s="596"/>
      <c r="DW175" s="596"/>
      <c r="DX175" s="596"/>
      <c r="DY175" s="596"/>
      <c r="DZ175" s="596"/>
      <c r="EA175" s="596"/>
    </row>
    <row r="176" spans="1:131">
      <c r="A176" s="596"/>
      <c r="B176" s="596"/>
      <c r="C176" s="596"/>
      <c r="D176" s="596"/>
      <c r="E176" s="596"/>
      <c r="F176" s="596"/>
      <c r="G176" s="596"/>
      <c r="H176" s="596"/>
      <c r="I176" s="596"/>
      <c r="J176" s="596"/>
      <c r="K176" s="638"/>
      <c r="L176" s="638"/>
      <c r="M176" s="638"/>
      <c r="N176" s="638"/>
      <c r="O176" s="638"/>
      <c r="P176" s="596"/>
      <c r="Q176" s="596"/>
      <c r="R176" s="596"/>
      <c r="S176" s="596"/>
      <c r="T176" s="596"/>
      <c r="U176" s="596"/>
      <c r="V176" s="596"/>
      <c r="W176" s="596"/>
      <c r="X176" s="596"/>
      <c r="Y176" s="596"/>
      <c r="Z176" s="596"/>
      <c r="AA176" s="596"/>
      <c r="AB176" s="596"/>
      <c r="AC176" s="596"/>
      <c r="AD176" s="596"/>
      <c r="AE176" s="596"/>
      <c r="AF176" s="596"/>
      <c r="AG176" s="596"/>
      <c r="AH176" s="596"/>
      <c r="AI176" s="596"/>
      <c r="AJ176" s="596"/>
      <c r="AK176" s="596"/>
      <c r="AL176" s="596"/>
      <c r="AM176" s="596"/>
      <c r="AN176" s="596"/>
      <c r="AO176" s="596"/>
      <c r="AP176" s="596"/>
      <c r="AQ176" s="596"/>
      <c r="AR176" s="596"/>
      <c r="AS176" s="596"/>
      <c r="AT176" s="596"/>
      <c r="AU176" s="596"/>
      <c r="AV176" s="596"/>
      <c r="AW176" s="596"/>
      <c r="AX176" s="596"/>
      <c r="AY176" s="596"/>
      <c r="AZ176" s="596"/>
      <c r="BA176" s="596"/>
      <c r="BB176" s="596"/>
      <c r="BC176" s="596"/>
      <c r="BD176" s="596"/>
      <c r="BE176" s="596"/>
      <c r="BF176" s="596"/>
      <c r="BG176" s="596"/>
      <c r="BH176" s="596"/>
      <c r="BI176" s="596"/>
      <c r="BJ176" s="596"/>
      <c r="BK176" s="596"/>
      <c r="BL176" s="596"/>
      <c r="BM176" s="596"/>
      <c r="BN176" s="596"/>
      <c r="BO176" s="596"/>
      <c r="BP176" s="596"/>
      <c r="BQ176" s="596"/>
      <c r="BR176" s="596"/>
      <c r="BS176" s="596"/>
      <c r="BT176" s="596"/>
      <c r="BU176" s="596"/>
      <c r="BV176" s="596"/>
      <c r="BW176" s="596"/>
      <c r="BX176" s="596"/>
      <c r="BY176" s="596"/>
      <c r="BZ176" s="596"/>
      <c r="CA176" s="596"/>
      <c r="CB176" s="596"/>
      <c r="CC176" s="596"/>
      <c r="CD176" s="596"/>
      <c r="CE176" s="596"/>
      <c r="CF176" s="596"/>
      <c r="CG176" s="596"/>
      <c r="CH176" s="596"/>
      <c r="CI176" s="596"/>
      <c r="CJ176" s="596"/>
      <c r="CK176" s="596"/>
      <c r="CL176" s="596"/>
      <c r="CM176" s="596"/>
      <c r="CN176" s="596"/>
      <c r="CO176" s="596"/>
      <c r="CP176" s="596"/>
      <c r="CQ176" s="596"/>
      <c r="CR176" s="596"/>
      <c r="CS176" s="596"/>
      <c r="CT176" s="596"/>
      <c r="CU176" s="596"/>
      <c r="CV176" s="596"/>
      <c r="CW176" s="596"/>
      <c r="CX176" s="596"/>
      <c r="CY176" s="596"/>
      <c r="CZ176" s="596"/>
      <c r="DA176" s="596"/>
      <c r="DB176" s="596"/>
      <c r="DC176" s="596"/>
      <c r="DD176" s="596"/>
      <c r="DE176" s="596"/>
      <c r="DF176" s="596"/>
      <c r="DG176" s="596"/>
      <c r="DH176" s="596"/>
      <c r="DI176" s="596"/>
      <c r="DJ176" s="596"/>
      <c r="DK176" s="596"/>
      <c r="DL176" s="596"/>
      <c r="DM176" s="596"/>
      <c r="DN176" s="596"/>
      <c r="DO176" s="596"/>
      <c r="DP176" s="596"/>
      <c r="DQ176" s="596"/>
      <c r="DR176" s="596"/>
      <c r="DS176" s="596"/>
      <c r="DT176" s="596"/>
      <c r="DU176" s="596"/>
      <c r="DV176" s="596"/>
      <c r="DW176" s="596"/>
      <c r="DX176" s="596"/>
      <c r="DY176" s="596"/>
      <c r="DZ176" s="596"/>
      <c r="EA176" s="596"/>
    </row>
    <row r="177" spans="1:131">
      <c r="A177" s="596"/>
      <c r="B177" s="596"/>
      <c r="C177" s="596"/>
      <c r="D177" s="596"/>
      <c r="E177" s="596"/>
      <c r="F177" s="596"/>
      <c r="G177" s="596"/>
      <c r="H177" s="596"/>
      <c r="I177" s="596"/>
      <c r="J177" s="596"/>
      <c r="K177" s="638"/>
      <c r="L177" s="638"/>
      <c r="M177" s="638"/>
      <c r="N177" s="638"/>
      <c r="O177" s="638"/>
      <c r="P177" s="596"/>
      <c r="Q177" s="596"/>
      <c r="R177" s="596"/>
      <c r="S177" s="596"/>
      <c r="T177" s="596"/>
      <c r="U177" s="596"/>
      <c r="V177" s="596"/>
      <c r="W177" s="596"/>
      <c r="X177" s="596"/>
      <c r="Y177" s="596"/>
      <c r="Z177" s="596"/>
      <c r="AA177" s="596"/>
      <c r="AB177" s="596"/>
      <c r="AC177" s="596"/>
      <c r="AD177" s="596"/>
      <c r="AE177" s="596"/>
      <c r="AF177" s="596"/>
      <c r="AG177" s="596"/>
      <c r="AH177" s="596"/>
      <c r="AI177" s="596"/>
      <c r="AJ177" s="596"/>
      <c r="AK177" s="596"/>
      <c r="AL177" s="596"/>
      <c r="AM177" s="596"/>
      <c r="AN177" s="596"/>
      <c r="AO177" s="596"/>
      <c r="AP177" s="596"/>
      <c r="AQ177" s="596"/>
      <c r="AR177" s="596"/>
      <c r="AS177" s="596"/>
      <c r="AT177" s="596"/>
      <c r="AU177" s="596"/>
      <c r="AV177" s="596"/>
      <c r="AW177" s="596"/>
      <c r="AX177" s="596"/>
      <c r="AY177" s="596"/>
      <c r="AZ177" s="596"/>
      <c r="BA177" s="596"/>
      <c r="BB177" s="596"/>
      <c r="BC177" s="596"/>
      <c r="BD177" s="596"/>
      <c r="BE177" s="596"/>
      <c r="BF177" s="596"/>
      <c r="BG177" s="596"/>
      <c r="BH177" s="596"/>
      <c r="BI177" s="596"/>
      <c r="BJ177" s="596"/>
      <c r="BK177" s="596"/>
      <c r="BL177" s="596"/>
      <c r="BM177" s="596"/>
      <c r="BN177" s="596"/>
      <c r="BO177" s="596"/>
      <c r="BP177" s="596"/>
      <c r="BQ177" s="596"/>
      <c r="BR177" s="596"/>
      <c r="BS177" s="596"/>
      <c r="BT177" s="596"/>
      <c r="BU177" s="596"/>
      <c r="BV177" s="596"/>
      <c r="BW177" s="596"/>
      <c r="BX177" s="596"/>
      <c r="BY177" s="596"/>
      <c r="BZ177" s="596"/>
      <c r="CA177" s="596"/>
      <c r="CB177" s="596"/>
      <c r="CC177" s="596"/>
      <c r="CD177" s="596"/>
      <c r="CE177" s="596"/>
      <c r="CF177" s="596"/>
      <c r="CG177" s="596"/>
      <c r="CH177" s="596"/>
      <c r="CI177" s="596"/>
      <c r="CJ177" s="596"/>
      <c r="CK177" s="596"/>
      <c r="CL177" s="596"/>
      <c r="CM177" s="596"/>
      <c r="CN177" s="596"/>
      <c r="CO177" s="596"/>
      <c r="CP177" s="596"/>
      <c r="CQ177" s="596"/>
      <c r="CR177" s="596"/>
      <c r="CS177" s="596"/>
      <c r="CT177" s="596"/>
      <c r="CU177" s="596"/>
      <c r="CV177" s="596"/>
      <c r="CW177" s="596"/>
      <c r="CX177" s="596"/>
      <c r="CY177" s="596"/>
      <c r="CZ177" s="596"/>
      <c r="DA177" s="596"/>
      <c r="DB177" s="596"/>
      <c r="DC177" s="596"/>
      <c r="DD177" s="596"/>
      <c r="DE177" s="596"/>
      <c r="DF177" s="596"/>
      <c r="DG177" s="596"/>
      <c r="DH177" s="596"/>
      <c r="DI177" s="596"/>
      <c r="DJ177" s="596"/>
      <c r="DK177" s="596"/>
      <c r="DL177" s="596"/>
      <c r="DM177" s="596"/>
      <c r="DN177" s="596"/>
      <c r="DO177" s="596"/>
      <c r="DP177" s="596"/>
      <c r="DQ177" s="596"/>
      <c r="DR177" s="596"/>
      <c r="DS177" s="596"/>
      <c r="DT177" s="596"/>
      <c r="DU177" s="596"/>
      <c r="DV177" s="596"/>
      <c r="DW177" s="596"/>
      <c r="DX177" s="596"/>
      <c r="DY177" s="596"/>
      <c r="DZ177" s="596"/>
      <c r="EA177" s="596"/>
    </row>
    <row r="178" spans="1:131">
      <c r="A178" s="596"/>
      <c r="B178" s="596"/>
      <c r="C178" s="596"/>
      <c r="D178" s="596"/>
      <c r="E178" s="596"/>
      <c r="F178" s="596"/>
      <c r="G178" s="596"/>
      <c r="H178" s="596"/>
      <c r="I178" s="596"/>
      <c r="J178" s="596"/>
      <c r="K178" s="638"/>
      <c r="L178" s="638"/>
      <c r="M178" s="638"/>
      <c r="N178" s="638"/>
      <c r="O178" s="638"/>
      <c r="P178" s="596"/>
      <c r="Q178" s="596"/>
      <c r="R178" s="596"/>
      <c r="S178" s="596"/>
      <c r="T178" s="596"/>
      <c r="U178" s="596"/>
      <c r="V178" s="596"/>
      <c r="W178" s="596"/>
      <c r="X178" s="596"/>
      <c r="Y178" s="596"/>
      <c r="Z178" s="596"/>
      <c r="AA178" s="596"/>
      <c r="AB178" s="596"/>
      <c r="AC178" s="596"/>
      <c r="AD178" s="596"/>
      <c r="AE178" s="596"/>
      <c r="AF178" s="596"/>
      <c r="AG178" s="596"/>
      <c r="AH178" s="596"/>
      <c r="AI178" s="596"/>
      <c r="AJ178" s="596"/>
      <c r="AK178" s="596"/>
      <c r="AL178" s="596"/>
      <c r="AM178" s="596"/>
      <c r="AN178" s="596"/>
      <c r="AO178" s="596"/>
      <c r="AP178" s="596"/>
      <c r="AQ178" s="596"/>
      <c r="AR178" s="596"/>
      <c r="AS178" s="596"/>
      <c r="AT178" s="596"/>
      <c r="AU178" s="596"/>
      <c r="AV178" s="596"/>
      <c r="AW178" s="596"/>
      <c r="AX178" s="596"/>
      <c r="AY178" s="596"/>
      <c r="AZ178" s="596"/>
      <c r="BA178" s="596"/>
      <c r="BB178" s="596"/>
      <c r="BC178" s="596"/>
      <c r="BD178" s="596"/>
      <c r="BE178" s="596"/>
      <c r="BF178" s="596"/>
      <c r="BG178" s="596"/>
      <c r="BH178" s="596"/>
      <c r="BI178" s="596"/>
      <c r="BJ178" s="596"/>
      <c r="BK178" s="596"/>
      <c r="BL178" s="596"/>
      <c r="BM178" s="596"/>
      <c r="BN178" s="596"/>
      <c r="BO178" s="596"/>
      <c r="BP178" s="596"/>
      <c r="BQ178" s="596"/>
      <c r="BR178" s="596"/>
      <c r="BS178" s="596"/>
      <c r="BT178" s="596"/>
      <c r="BU178" s="596"/>
      <c r="BV178" s="596"/>
      <c r="BW178" s="596"/>
      <c r="BX178" s="596"/>
      <c r="BY178" s="596"/>
      <c r="BZ178" s="596"/>
      <c r="CA178" s="596"/>
      <c r="CB178" s="596"/>
      <c r="CC178" s="596"/>
      <c r="CD178" s="596"/>
      <c r="CE178" s="596"/>
      <c r="CF178" s="596"/>
      <c r="CG178" s="596"/>
      <c r="CH178" s="596"/>
      <c r="CI178" s="596"/>
      <c r="CJ178" s="596"/>
      <c r="CK178" s="596"/>
      <c r="CL178" s="596"/>
      <c r="CM178" s="596"/>
      <c r="CN178" s="596"/>
      <c r="CO178" s="596"/>
      <c r="CP178" s="596"/>
      <c r="CQ178" s="596"/>
      <c r="CR178" s="596"/>
      <c r="CS178" s="596"/>
      <c r="CT178" s="596"/>
      <c r="CU178" s="596"/>
      <c r="CV178" s="596"/>
      <c r="CW178" s="596"/>
      <c r="CX178" s="596"/>
      <c r="CY178" s="596"/>
      <c r="CZ178" s="596"/>
      <c r="DA178" s="596"/>
      <c r="DB178" s="596"/>
      <c r="DC178" s="596"/>
      <c r="DD178" s="596"/>
      <c r="DE178" s="596"/>
      <c r="DF178" s="596"/>
      <c r="DG178" s="596"/>
      <c r="DH178" s="596"/>
      <c r="DI178" s="596"/>
      <c r="DJ178" s="596"/>
      <c r="DK178" s="596"/>
      <c r="DL178" s="596"/>
      <c r="DM178" s="596"/>
      <c r="DN178" s="596"/>
      <c r="DO178" s="596"/>
      <c r="DP178" s="596"/>
      <c r="DQ178" s="596"/>
      <c r="DR178" s="596"/>
      <c r="DS178" s="596"/>
      <c r="DT178" s="596"/>
      <c r="DU178" s="596"/>
      <c r="DV178" s="596"/>
      <c r="DW178" s="596"/>
      <c r="DX178" s="596"/>
      <c r="DY178" s="596"/>
      <c r="DZ178" s="596"/>
      <c r="EA178" s="596"/>
    </row>
    <row r="179" spans="1:131">
      <c r="A179" s="596"/>
      <c r="B179" s="596"/>
      <c r="C179" s="596"/>
      <c r="D179" s="596"/>
      <c r="E179" s="596"/>
      <c r="F179" s="596"/>
      <c r="G179" s="596"/>
      <c r="H179" s="596"/>
      <c r="I179" s="596"/>
      <c r="J179" s="596"/>
      <c r="K179" s="638"/>
      <c r="L179" s="638"/>
      <c r="M179" s="638"/>
      <c r="N179" s="638"/>
      <c r="O179" s="638"/>
      <c r="P179" s="596"/>
      <c r="Q179" s="596"/>
      <c r="R179" s="596"/>
      <c r="S179" s="596"/>
      <c r="T179" s="596"/>
      <c r="U179" s="596"/>
      <c r="V179" s="596"/>
      <c r="W179" s="596"/>
      <c r="X179" s="596"/>
      <c r="Y179" s="596"/>
      <c r="Z179" s="596"/>
      <c r="AA179" s="596"/>
      <c r="AB179" s="596"/>
      <c r="AC179" s="596"/>
      <c r="AD179" s="596"/>
      <c r="AE179" s="596"/>
      <c r="AF179" s="596"/>
      <c r="AG179" s="596"/>
      <c r="AH179" s="596"/>
      <c r="AI179" s="596"/>
      <c r="AJ179" s="596"/>
      <c r="AK179" s="596"/>
      <c r="AL179" s="596"/>
      <c r="AM179" s="596"/>
      <c r="AN179" s="596"/>
      <c r="AO179" s="596"/>
      <c r="AP179" s="596"/>
      <c r="AQ179" s="596"/>
      <c r="AR179" s="596"/>
      <c r="AS179" s="596"/>
      <c r="AT179" s="596"/>
      <c r="AU179" s="596"/>
      <c r="AV179" s="596"/>
      <c r="AW179" s="596"/>
      <c r="AX179" s="596"/>
      <c r="AY179" s="596"/>
      <c r="AZ179" s="596"/>
      <c r="BA179" s="596"/>
      <c r="BB179" s="596"/>
      <c r="BC179" s="596"/>
      <c r="BD179" s="596"/>
      <c r="BE179" s="596"/>
      <c r="BF179" s="596"/>
      <c r="BG179" s="596"/>
      <c r="BH179" s="596"/>
      <c r="BI179" s="596"/>
      <c r="BJ179" s="596"/>
      <c r="BK179" s="596"/>
      <c r="BL179" s="596"/>
      <c r="BM179" s="596"/>
      <c r="BN179" s="596"/>
      <c r="BO179" s="596"/>
      <c r="BP179" s="596"/>
      <c r="BQ179" s="596"/>
      <c r="BR179" s="596"/>
      <c r="BS179" s="596"/>
      <c r="BT179" s="596"/>
      <c r="BU179" s="596"/>
      <c r="BV179" s="596"/>
      <c r="BW179" s="596"/>
      <c r="BX179" s="596"/>
      <c r="BY179" s="596"/>
      <c r="BZ179" s="596"/>
      <c r="CA179" s="596"/>
      <c r="CB179" s="596"/>
      <c r="CC179" s="596"/>
      <c r="CD179" s="596"/>
      <c r="CE179" s="596"/>
      <c r="CF179" s="596"/>
      <c r="CG179" s="596"/>
      <c r="CH179" s="596"/>
      <c r="CI179" s="596"/>
      <c r="CJ179" s="596"/>
      <c r="CK179" s="596"/>
      <c r="CL179" s="596"/>
      <c r="CM179" s="596"/>
      <c r="CN179" s="596"/>
      <c r="CO179" s="596"/>
      <c r="CP179" s="596"/>
      <c r="CQ179" s="596"/>
      <c r="CR179" s="596"/>
      <c r="CS179" s="596"/>
      <c r="CT179" s="596"/>
      <c r="CU179" s="596"/>
      <c r="CV179" s="596"/>
      <c r="CW179" s="596"/>
      <c r="CX179" s="596"/>
      <c r="CY179" s="596"/>
      <c r="CZ179" s="596"/>
      <c r="DA179" s="596"/>
      <c r="DB179" s="596"/>
      <c r="DC179" s="596"/>
      <c r="DD179" s="596"/>
      <c r="DE179" s="596"/>
      <c r="DF179" s="596"/>
      <c r="DG179" s="596"/>
      <c r="DH179" s="596"/>
      <c r="DI179" s="596"/>
      <c r="DJ179" s="596"/>
      <c r="DK179" s="596"/>
      <c r="DL179" s="596"/>
      <c r="DM179" s="596"/>
      <c r="DN179" s="596"/>
      <c r="DO179" s="596"/>
      <c r="DP179" s="596"/>
      <c r="DQ179" s="596"/>
      <c r="DR179" s="596"/>
      <c r="DS179" s="596"/>
      <c r="DT179" s="596"/>
      <c r="DU179" s="596"/>
      <c r="DV179" s="596"/>
      <c r="DW179" s="596"/>
      <c r="DX179" s="596"/>
      <c r="DY179" s="596"/>
      <c r="DZ179" s="596"/>
      <c r="EA179" s="596"/>
    </row>
    <row r="180" spans="1:131">
      <c r="A180" s="596"/>
      <c r="B180" s="596"/>
      <c r="C180" s="596"/>
      <c r="D180" s="596"/>
      <c r="E180" s="596"/>
      <c r="F180" s="596"/>
      <c r="G180" s="596"/>
      <c r="H180" s="596"/>
      <c r="I180" s="596"/>
      <c r="J180" s="596"/>
      <c r="K180" s="638"/>
      <c r="L180" s="638"/>
      <c r="M180" s="638"/>
      <c r="N180" s="638"/>
      <c r="O180" s="638"/>
      <c r="P180" s="596"/>
      <c r="Q180" s="596"/>
      <c r="R180" s="596"/>
      <c r="S180" s="596"/>
      <c r="T180" s="596"/>
      <c r="U180" s="596"/>
      <c r="V180" s="596"/>
      <c r="W180" s="596"/>
      <c r="X180" s="596"/>
      <c r="Y180" s="596"/>
      <c r="Z180" s="596"/>
      <c r="AA180" s="596"/>
      <c r="AB180" s="596"/>
      <c r="AC180" s="596"/>
      <c r="AD180" s="596"/>
      <c r="AE180" s="596"/>
      <c r="AF180" s="596"/>
      <c r="AG180" s="596"/>
      <c r="AH180" s="596"/>
      <c r="AI180" s="596"/>
      <c r="AJ180" s="596"/>
      <c r="AK180" s="596"/>
      <c r="AL180" s="596"/>
      <c r="AM180" s="596"/>
      <c r="AN180" s="596"/>
      <c r="AO180" s="596"/>
      <c r="AP180" s="596"/>
      <c r="AQ180" s="596"/>
      <c r="AR180" s="596"/>
      <c r="AS180" s="596"/>
      <c r="AT180" s="596"/>
      <c r="AU180" s="596"/>
      <c r="AV180" s="596"/>
      <c r="AW180" s="596"/>
      <c r="AX180" s="596"/>
      <c r="AY180" s="596"/>
      <c r="AZ180" s="596"/>
      <c r="BA180" s="596"/>
      <c r="BB180" s="596"/>
      <c r="BC180" s="596"/>
      <c r="BD180" s="596"/>
      <c r="BE180" s="596"/>
      <c r="BF180" s="596"/>
      <c r="BG180" s="596"/>
      <c r="BH180" s="596"/>
      <c r="BI180" s="596"/>
      <c r="BJ180" s="596"/>
      <c r="BK180" s="596"/>
      <c r="BL180" s="596"/>
      <c r="BM180" s="596"/>
      <c r="BN180" s="596"/>
      <c r="BO180" s="596"/>
      <c r="BP180" s="596"/>
      <c r="BQ180" s="596"/>
      <c r="BR180" s="596"/>
      <c r="BS180" s="596"/>
      <c r="BT180" s="596"/>
      <c r="BU180" s="596"/>
      <c r="BV180" s="596"/>
      <c r="BW180" s="596"/>
      <c r="BX180" s="596"/>
      <c r="BY180" s="596"/>
      <c r="BZ180" s="596"/>
      <c r="CA180" s="596"/>
      <c r="CB180" s="596"/>
      <c r="CC180" s="596"/>
      <c r="CD180" s="596"/>
      <c r="CE180" s="596"/>
      <c r="CF180" s="596"/>
      <c r="CG180" s="596"/>
      <c r="CH180" s="596"/>
      <c r="CI180" s="596"/>
      <c r="CJ180" s="596"/>
      <c r="CK180" s="596"/>
      <c r="CL180" s="596"/>
      <c r="CM180" s="596"/>
      <c r="CN180" s="596"/>
      <c r="CO180" s="596"/>
      <c r="CP180" s="596"/>
      <c r="CQ180" s="596"/>
      <c r="CR180" s="596"/>
      <c r="CS180" s="596"/>
      <c r="CT180" s="596"/>
      <c r="CU180" s="596"/>
      <c r="CV180" s="596"/>
      <c r="CW180" s="596"/>
      <c r="CX180" s="596"/>
      <c r="CY180" s="596"/>
      <c r="CZ180" s="596"/>
      <c r="DA180" s="596"/>
      <c r="DB180" s="596"/>
      <c r="DC180" s="596"/>
      <c r="DD180" s="596"/>
      <c r="DE180" s="596"/>
      <c r="DF180" s="596"/>
      <c r="DG180" s="596"/>
      <c r="DH180" s="596"/>
      <c r="DI180" s="596"/>
      <c r="DJ180" s="596"/>
      <c r="DK180" s="596"/>
      <c r="DL180" s="596"/>
      <c r="DM180" s="596"/>
      <c r="DN180" s="596"/>
      <c r="DO180" s="596"/>
      <c r="DP180" s="596"/>
      <c r="DQ180" s="596"/>
      <c r="DR180" s="596"/>
      <c r="DS180" s="596"/>
      <c r="DT180" s="596"/>
      <c r="DU180" s="596"/>
      <c r="DV180" s="596"/>
      <c r="DW180" s="596"/>
      <c r="DX180" s="596"/>
      <c r="DY180" s="596"/>
      <c r="DZ180" s="596"/>
      <c r="EA180" s="596"/>
    </row>
    <row r="181" spans="1:131">
      <c r="A181" s="596"/>
      <c r="B181" s="596"/>
      <c r="C181" s="596"/>
      <c r="D181" s="596"/>
      <c r="E181" s="596"/>
      <c r="F181" s="596"/>
      <c r="G181" s="596"/>
      <c r="H181" s="596"/>
      <c r="I181" s="596"/>
      <c r="J181" s="596"/>
      <c r="K181" s="638"/>
      <c r="L181" s="638"/>
      <c r="M181" s="638"/>
      <c r="N181" s="638"/>
      <c r="O181" s="638"/>
      <c r="P181" s="596"/>
      <c r="Q181" s="596"/>
      <c r="R181" s="596"/>
      <c r="S181" s="596"/>
      <c r="T181" s="596"/>
      <c r="U181" s="596"/>
      <c r="V181" s="596"/>
      <c r="W181" s="596"/>
      <c r="X181" s="596"/>
      <c r="Y181" s="596"/>
      <c r="Z181" s="596"/>
      <c r="AA181" s="596"/>
      <c r="AB181" s="596"/>
      <c r="AC181" s="596"/>
      <c r="AD181" s="596"/>
      <c r="AE181" s="596"/>
      <c r="AF181" s="596"/>
      <c r="AG181" s="596"/>
      <c r="AH181" s="596"/>
      <c r="AI181" s="596"/>
      <c r="AJ181" s="596"/>
      <c r="AK181" s="596"/>
      <c r="AL181" s="596"/>
      <c r="AM181" s="596"/>
      <c r="AN181" s="596"/>
      <c r="AO181" s="596"/>
      <c r="AP181" s="596"/>
      <c r="AQ181" s="596"/>
      <c r="AR181" s="596"/>
      <c r="AS181" s="596"/>
      <c r="AT181" s="596"/>
      <c r="AU181" s="596"/>
      <c r="AV181" s="596"/>
      <c r="AW181" s="596"/>
      <c r="AX181" s="596"/>
      <c r="AY181" s="596"/>
      <c r="AZ181" s="596"/>
      <c r="BA181" s="596"/>
      <c r="BB181" s="596"/>
      <c r="BC181" s="596"/>
      <c r="BD181" s="596"/>
      <c r="BE181" s="596"/>
      <c r="BF181" s="596"/>
      <c r="BG181" s="596"/>
      <c r="BH181" s="596"/>
      <c r="BI181" s="596"/>
      <c r="BJ181" s="596"/>
      <c r="BK181" s="596"/>
      <c r="BL181" s="596"/>
      <c r="BM181" s="596"/>
      <c r="BN181" s="596"/>
      <c r="BO181" s="596"/>
      <c r="BP181" s="596"/>
      <c r="BQ181" s="596"/>
      <c r="BR181" s="596"/>
      <c r="BS181" s="596"/>
      <c r="BT181" s="596"/>
      <c r="BU181" s="596"/>
      <c r="BV181" s="596"/>
      <c r="BW181" s="596"/>
      <c r="BX181" s="596"/>
      <c r="BY181" s="596"/>
      <c r="BZ181" s="596"/>
      <c r="CA181" s="596"/>
      <c r="CB181" s="596"/>
      <c r="CC181" s="596"/>
      <c r="CD181" s="596"/>
      <c r="CE181" s="596"/>
      <c r="CF181" s="596"/>
      <c r="CG181" s="596"/>
      <c r="CH181" s="596"/>
      <c r="CI181" s="596"/>
      <c r="CJ181" s="596"/>
      <c r="CK181" s="596"/>
      <c r="CL181" s="596"/>
      <c r="CM181" s="596"/>
      <c r="CN181" s="596"/>
      <c r="CO181" s="596"/>
      <c r="CP181" s="596"/>
      <c r="CQ181" s="596"/>
      <c r="CR181" s="596"/>
      <c r="CS181" s="596"/>
      <c r="CT181" s="596"/>
      <c r="CU181" s="596"/>
      <c r="CV181" s="596"/>
      <c r="CW181" s="596"/>
      <c r="CX181" s="596"/>
      <c r="CY181" s="596"/>
      <c r="CZ181" s="596"/>
      <c r="DA181" s="596"/>
      <c r="DB181" s="596"/>
      <c r="DC181" s="596"/>
      <c r="DD181" s="596"/>
      <c r="DE181" s="596"/>
      <c r="DF181" s="596"/>
      <c r="DG181" s="596"/>
      <c r="DH181" s="596"/>
      <c r="DI181" s="596"/>
      <c r="DJ181" s="596"/>
      <c r="DK181" s="596"/>
      <c r="DL181" s="596"/>
      <c r="DM181" s="596"/>
      <c r="DN181" s="596"/>
      <c r="DO181" s="596"/>
      <c r="DP181" s="596"/>
      <c r="DQ181" s="596"/>
      <c r="DR181" s="596"/>
      <c r="DS181" s="596"/>
      <c r="DT181" s="596"/>
      <c r="DU181" s="596"/>
      <c r="DV181" s="596"/>
      <c r="DW181" s="596"/>
      <c r="DX181" s="596"/>
      <c r="DY181" s="596"/>
      <c r="DZ181" s="596"/>
      <c r="EA181" s="596"/>
    </row>
    <row r="182" spans="1:131">
      <c r="A182" s="596"/>
      <c r="B182" s="596"/>
      <c r="C182" s="596"/>
      <c r="D182" s="596"/>
      <c r="E182" s="596"/>
      <c r="F182" s="596"/>
      <c r="G182" s="596"/>
      <c r="H182" s="596"/>
      <c r="I182" s="596"/>
      <c r="J182" s="596"/>
      <c r="K182" s="638"/>
      <c r="L182" s="638"/>
      <c r="M182" s="638"/>
      <c r="N182" s="638"/>
      <c r="O182" s="638"/>
      <c r="P182" s="596"/>
      <c r="Q182" s="596"/>
      <c r="R182" s="596"/>
      <c r="S182" s="596"/>
      <c r="T182" s="596"/>
      <c r="U182" s="596"/>
      <c r="V182" s="596"/>
      <c r="W182" s="596"/>
      <c r="X182" s="596"/>
      <c r="Y182" s="596"/>
      <c r="Z182" s="596"/>
      <c r="AA182" s="596"/>
      <c r="AB182" s="596"/>
      <c r="AC182" s="596"/>
      <c r="AD182" s="596"/>
      <c r="AE182" s="596"/>
      <c r="AF182" s="596"/>
      <c r="AG182" s="596"/>
      <c r="AH182" s="596"/>
      <c r="AI182" s="596"/>
      <c r="AJ182" s="596"/>
      <c r="AK182" s="596"/>
      <c r="AL182" s="596"/>
      <c r="AM182" s="596"/>
      <c r="AN182" s="596"/>
      <c r="AO182" s="596"/>
      <c r="AP182" s="596"/>
      <c r="AQ182" s="596"/>
      <c r="AR182" s="596"/>
      <c r="AS182" s="596"/>
      <c r="AT182" s="596"/>
      <c r="AU182" s="596"/>
      <c r="AV182" s="596"/>
      <c r="AW182" s="596"/>
      <c r="AX182" s="596"/>
      <c r="AY182" s="596"/>
      <c r="AZ182" s="596"/>
      <c r="BA182" s="596"/>
      <c r="BB182" s="596"/>
      <c r="BC182" s="596"/>
      <c r="BD182" s="596"/>
      <c r="BE182" s="596"/>
      <c r="BF182" s="596"/>
      <c r="BG182" s="596"/>
      <c r="BH182" s="596"/>
      <c r="BI182" s="596"/>
      <c r="BJ182" s="596"/>
      <c r="BK182" s="596"/>
      <c r="BL182" s="596"/>
      <c r="BM182" s="596"/>
      <c r="BN182" s="596"/>
      <c r="BO182" s="596"/>
      <c r="BP182" s="596"/>
      <c r="BQ182" s="596"/>
      <c r="BR182" s="596"/>
      <c r="BS182" s="596"/>
      <c r="BT182" s="596"/>
      <c r="BU182" s="596"/>
      <c r="BV182" s="596"/>
      <c r="BW182" s="596"/>
      <c r="BX182" s="596"/>
      <c r="BY182" s="596"/>
      <c r="BZ182" s="596"/>
      <c r="CA182" s="596"/>
      <c r="CB182" s="596"/>
      <c r="CC182" s="596"/>
      <c r="CD182" s="596"/>
      <c r="CE182" s="596"/>
      <c r="CF182" s="596"/>
      <c r="CG182" s="596"/>
      <c r="CH182" s="596"/>
      <c r="CI182" s="596"/>
      <c r="CJ182" s="596"/>
      <c r="CK182" s="596"/>
      <c r="CL182" s="596"/>
      <c r="CM182" s="596"/>
      <c r="CN182" s="596"/>
      <c r="CO182" s="596"/>
      <c r="CP182" s="596"/>
      <c r="CQ182" s="596"/>
      <c r="CR182" s="596"/>
      <c r="CS182" s="596"/>
      <c r="CT182" s="596"/>
      <c r="CU182" s="596"/>
      <c r="CV182" s="596"/>
      <c r="CW182" s="596"/>
      <c r="CX182" s="596"/>
      <c r="CY182" s="596"/>
      <c r="CZ182" s="596"/>
      <c r="DA182" s="596"/>
      <c r="DB182" s="596"/>
      <c r="DC182" s="596"/>
      <c r="DD182" s="596"/>
      <c r="DE182" s="596"/>
      <c r="DF182" s="596"/>
      <c r="DG182" s="596"/>
      <c r="DH182" s="596"/>
      <c r="DI182" s="596"/>
      <c r="DJ182" s="596"/>
      <c r="DK182" s="596"/>
      <c r="DL182" s="596"/>
      <c r="DM182" s="596"/>
      <c r="DN182" s="596"/>
      <c r="DO182" s="596"/>
      <c r="DP182" s="596"/>
      <c r="DQ182" s="596"/>
      <c r="DR182" s="596"/>
      <c r="DS182" s="596"/>
      <c r="DT182" s="596"/>
      <c r="DU182" s="596"/>
      <c r="DV182" s="596"/>
      <c r="DW182" s="596"/>
      <c r="DX182" s="596"/>
      <c r="DY182" s="596"/>
      <c r="DZ182" s="596"/>
      <c r="EA182" s="596"/>
    </row>
    <row r="183" spans="1:131">
      <c r="A183" s="596"/>
      <c r="B183" s="596"/>
      <c r="C183" s="596"/>
      <c r="D183" s="596"/>
      <c r="E183" s="596"/>
      <c r="F183" s="596"/>
      <c r="G183" s="596"/>
      <c r="H183" s="596"/>
      <c r="I183" s="596"/>
      <c r="J183" s="596"/>
      <c r="K183" s="638"/>
      <c r="L183" s="638"/>
      <c r="M183" s="638"/>
      <c r="N183" s="638"/>
      <c r="O183" s="638"/>
      <c r="P183" s="596"/>
      <c r="Q183" s="596"/>
      <c r="R183" s="596"/>
      <c r="S183" s="596"/>
      <c r="T183" s="596"/>
      <c r="U183" s="596"/>
      <c r="V183" s="596"/>
      <c r="W183" s="596"/>
      <c r="X183" s="596"/>
      <c r="Y183" s="596"/>
      <c r="Z183" s="596"/>
      <c r="AA183" s="596"/>
      <c r="AB183" s="596"/>
      <c r="AC183" s="596"/>
      <c r="AD183" s="596"/>
      <c r="AE183" s="596"/>
      <c r="AF183" s="596"/>
      <c r="AG183" s="596"/>
      <c r="AH183" s="596"/>
      <c r="AI183" s="596"/>
      <c r="AJ183" s="596"/>
      <c r="AK183" s="596"/>
      <c r="AL183" s="596"/>
      <c r="AM183" s="596"/>
      <c r="AN183" s="596"/>
      <c r="AO183" s="596"/>
      <c r="AP183" s="596"/>
      <c r="AQ183" s="596"/>
      <c r="AR183" s="596"/>
      <c r="AS183" s="596"/>
      <c r="AT183" s="596"/>
      <c r="AU183" s="596"/>
      <c r="AV183" s="596"/>
      <c r="AW183" s="596"/>
      <c r="AX183" s="596"/>
      <c r="AY183" s="596"/>
      <c r="AZ183" s="596"/>
      <c r="BA183" s="596"/>
      <c r="BB183" s="596"/>
      <c r="BC183" s="596"/>
      <c r="BD183" s="596"/>
      <c r="BE183" s="596"/>
      <c r="BF183" s="596"/>
      <c r="BG183" s="596"/>
      <c r="BH183" s="596"/>
      <c r="BI183" s="596"/>
      <c r="BJ183" s="596"/>
      <c r="BK183" s="596"/>
      <c r="BL183" s="596"/>
      <c r="BM183" s="596"/>
      <c r="BN183" s="596"/>
      <c r="BO183" s="596"/>
      <c r="BP183" s="596"/>
      <c r="BQ183" s="596"/>
      <c r="BR183" s="596"/>
      <c r="BS183" s="596"/>
      <c r="BT183" s="596"/>
      <c r="BU183" s="596"/>
      <c r="BV183" s="596"/>
      <c r="BW183" s="596"/>
      <c r="BX183" s="596"/>
      <c r="BY183" s="596"/>
      <c r="BZ183" s="596"/>
      <c r="CA183" s="596"/>
      <c r="CB183" s="596"/>
      <c r="CC183" s="596"/>
      <c r="CD183" s="596"/>
      <c r="CE183" s="596"/>
      <c r="CF183" s="596"/>
      <c r="CG183" s="596"/>
      <c r="CH183" s="596"/>
      <c r="CI183" s="596"/>
      <c r="CJ183" s="596"/>
      <c r="CK183" s="596"/>
      <c r="CL183" s="596"/>
      <c r="CM183" s="596"/>
      <c r="CN183" s="596"/>
      <c r="CO183" s="596"/>
      <c r="CP183" s="596"/>
      <c r="CQ183" s="596"/>
      <c r="CR183" s="596"/>
      <c r="CS183" s="596"/>
      <c r="CT183" s="596"/>
      <c r="CU183" s="596"/>
      <c r="CV183" s="596"/>
      <c r="CW183" s="596"/>
      <c r="CX183" s="596"/>
      <c r="CY183" s="596"/>
      <c r="CZ183" s="596"/>
      <c r="DA183" s="596"/>
      <c r="DB183" s="596"/>
      <c r="DC183" s="596"/>
      <c r="DD183" s="596"/>
      <c r="DE183" s="596"/>
      <c r="DF183" s="596"/>
      <c r="DG183" s="596"/>
      <c r="DH183" s="596"/>
      <c r="DI183" s="596"/>
      <c r="DJ183" s="596"/>
      <c r="DK183" s="596"/>
      <c r="DL183" s="596"/>
      <c r="DM183" s="596"/>
      <c r="DN183" s="596"/>
      <c r="DO183" s="596"/>
      <c r="DP183" s="596"/>
      <c r="DQ183" s="596"/>
      <c r="DR183" s="596"/>
      <c r="DS183" s="596"/>
      <c r="DT183" s="596"/>
      <c r="DU183" s="596"/>
      <c r="DV183" s="596"/>
      <c r="DW183" s="596"/>
      <c r="DX183" s="596"/>
      <c r="DY183" s="596"/>
      <c r="DZ183" s="596"/>
      <c r="EA183" s="596"/>
    </row>
    <row r="184" spans="1:131">
      <c r="A184" s="596"/>
      <c r="B184" s="596"/>
      <c r="C184" s="596"/>
      <c r="D184" s="596"/>
      <c r="E184" s="596"/>
      <c r="F184" s="596"/>
      <c r="G184" s="596"/>
      <c r="H184" s="596"/>
      <c r="I184" s="596"/>
      <c r="J184" s="596"/>
      <c r="K184" s="638"/>
      <c r="L184" s="638"/>
      <c r="M184" s="638"/>
      <c r="N184" s="638"/>
      <c r="O184" s="638"/>
      <c r="P184" s="596"/>
      <c r="Q184" s="596"/>
      <c r="R184" s="596"/>
      <c r="S184" s="596"/>
      <c r="T184" s="596"/>
      <c r="U184" s="596"/>
      <c r="V184" s="596"/>
      <c r="W184" s="596"/>
      <c r="X184" s="596"/>
      <c r="Y184" s="596"/>
      <c r="Z184" s="596"/>
      <c r="AA184" s="596"/>
      <c r="AB184" s="596"/>
      <c r="AC184" s="596"/>
      <c r="AD184" s="596"/>
      <c r="AE184" s="596"/>
      <c r="AF184" s="596"/>
      <c r="AG184" s="596"/>
      <c r="AH184" s="596"/>
      <c r="AI184" s="596"/>
      <c r="AJ184" s="596"/>
      <c r="AK184" s="596"/>
      <c r="AL184" s="596"/>
      <c r="AM184" s="596"/>
      <c r="AN184" s="596"/>
      <c r="AO184" s="596"/>
      <c r="AP184" s="596"/>
      <c r="AQ184" s="596"/>
      <c r="AR184" s="596"/>
      <c r="AS184" s="596"/>
      <c r="AT184" s="596"/>
      <c r="AU184" s="596"/>
      <c r="AV184" s="596"/>
      <c r="AW184" s="596"/>
      <c r="AX184" s="596"/>
      <c r="AY184" s="596"/>
      <c r="AZ184" s="596"/>
      <c r="BA184" s="596"/>
      <c r="BB184" s="596"/>
      <c r="BC184" s="596"/>
      <c r="BD184" s="596"/>
      <c r="BE184" s="596"/>
      <c r="BF184" s="596"/>
      <c r="BG184" s="596"/>
      <c r="BH184" s="596"/>
      <c r="BI184" s="596"/>
      <c r="BJ184" s="596"/>
      <c r="BK184" s="596"/>
      <c r="BL184" s="596"/>
      <c r="BM184" s="596"/>
      <c r="BN184" s="596"/>
      <c r="BO184" s="596"/>
      <c r="BP184" s="596"/>
      <c r="BQ184" s="596"/>
      <c r="BR184" s="596"/>
      <c r="BS184" s="596"/>
      <c r="BT184" s="596"/>
      <c r="BU184" s="596"/>
      <c r="BV184" s="596"/>
      <c r="BW184" s="596"/>
      <c r="BX184" s="596"/>
      <c r="BY184" s="596"/>
      <c r="BZ184" s="596"/>
      <c r="CA184" s="596"/>
      <c r="CB184" s="596"/>
      <c r="CC184" s="596"/>
      <c r="CD184" s="596"/>
      <c r="CE184" s="596"/>
      <c r="CF184" s="596"/>
      <c r="CG184" s="596"/>
      <c r="CH184" s="596"/>
      <c r="CI184" s="596"/>
      <c r="CJ184" s="596"/>
      <c r="CK184" s="596"/>
      <c r="CL184" s="596"/>
      <c r="CM184" s="596"/>
      <c r="CN184" s="596"/>
      <c r="CO184" s="596"/>
      <c r="CP184" s="596"/>
      <c r="CQ184" s="596"/>
      <c r="CR184" s="596"/>
      <c r="CS184" s="596"/>
      <c r="CT184" s="596"/>
      <c r="CU184" s="596"/>
      <c r="CV184" s="596"/>
      <c r="CW184" s="596"/>
      <c r="CX184" s="596"/>
      <c r="CY184" s="596"/>
      <c r="CZ184" s="596"/>
      <c r="DA184" s="596"/>
      <c r="DB184" s="596"/>
      <c r="DC184" s="596"/>
      <c r="DD184" s="596"/>
      <c r="DE184" s="596"/>
      <c r="DF184" s="596"/>
      <c r="DG184" s="596"/>
      <c r="DH184" s="596"/>
      <c r="DI184" s="596"/>
      <c r="DJ184" s="596"/>
      <c r="DK184" s="596"/>
      <c r="DL184" s="596"/>
      <c r="DM184" s="596"/>
      <c r="DN184" s="596"/>
      <c r="DO184" s="596"/>
      <c r="DP184" s="596"/>
      <c r="DQ184" s="596"/>
      <c r="DR184" s="596"/>
      <c r="DS184" s="596"/>
      <c r="DT184" s="596"/>
      <c r="DU184" s="596"/>
      <c r="DV184" s="596"/>
      <c r="DW184" s="596"/>
      <c r="DX184" s="596"/>
      <c r="DY184" s="596"/>
      <c r="DZ184" s="596"/>
      <c r="EA184" s="596"/>
    </row>
    <row r="185" spans="1:131">
      <c r="A185" s="596"/>
      <c r="B185" s="596"/>
      <c r="C185" s="596"/>
      <c r="D185" s="596"/>
      <c r="E185" s="596"/>
      <c r="F185" s="596"/>
      <c r="G185" s="596"/>
      <c r="H185" s="596"/>
      <c r="I185" s="596"/>
      <c r="J185" s="596"/>
      <c r="K185" s="638"/>
      <c r="L185" s="638"/>
      <c r="M185" s="638"/>
      <c r="N185" s="638"/>
      <c r="O185" s="638"/>
      <c r="P185" s="596"/>
      <c r="Q185" s="596"/>
      <c r="R185" s="596"/>
      <c r="S185" s="596"/>
      <c r="T185" s="596"/>
      <c r="U185" s="596"/>
      <c r="V185" s="596"/>
      <c r="W185" s="596"/>
      <c r="X185" s="596"/>
      <c r="Y185" s="596"/>
      <c r="Z185" s="596"/>
      <c r="AA185" s="596"/>
      <c r="AB185" s="596"/>
      <c r="AC185" s="596"/>
      <c r="AD185" s="596"/>
      <c r="AE185" s="596"/>
      <c r="AF185" s="596"/>
      <c r="AG185" s="596"/>
      <c r="AH185" s="596"/>
      <c r="AI185" s="596"/>
      <c r="AJ185" s="596"/>
      <c r="AK185" s="596"/>
      <c r="AL185" s="596"/>
      <c r="AM185" s="596"/>
      <c r="AN185" s="596"/>
      <c r="AO185" s="596"/>
      <c r="AP185" s="596"/>
      <c r="AQ185" s="596"/>
      <c r="AR185" s="596"/>
      <c r="AS185" s="596"/>
      <c r="AT185" s="596"/>
      <c r="AU185" s="596"/>
      <c r="AV185" s="596"/>
      <c r="AW185" s="596"/>
      <c r="AX185" s="596"/>
      <c r="AY185" s="596"/>
      <c r="AZ185" s="596"/>
      <c r="BA185" s="596"/>
      <c r="BB185" s="596"/>
      <c r="BC185" s="596"/>
      <c r="BD185" s="596"/>
      <c r="BE185" s="596"/>
      <c r="BF185" s="596"/>
      <c r="BG185" s="596"/>
      <c r="BH185" s="596"/>
      <c r="BI185" s="596"/>
      <c r="BJ185" s="596"/>
      <c r="BK185" s="596"/>
      <c r="BL185" s="596"/>
      <c r="BM185" s="596"/>
      <c r="BN185" s="596"/>
      <c r="BO185" s="596"/>
      <c r="BP185" s="596"/>
      <c r="BQ185" s="596"/>
      <c r="BR185" s="596"/>
      <c r="BS185" s="596"/>
      <c r="BT185" s="596"/>
      <c r="BU185" s="596"/>
      <c r="BV185" s="596"/>
      <c r="BW185" s="596"/>
      <c r="BX185" s="596"/>
      <c r="BY185" s="596"/>
      <c r="BZ185" s="596"/>
      <c r="CA185" s="596"/>
      <c r="CB185" s="596"/>
      <c r="CC185" s="596"/>
      <c r="CD185" s="596"/>
      <c r="CE185" s="596"/>
      <c r="CF185" s="596"/>
      <c r="CG185" s="596"/>
      <c r="CH185" s="596"/>
      <c r="CI185" s="596"/>
      <c r="CJ185" s="596"/>
      <c r="CK185" s="596"/>
      <c r="CL185" s="596"/>
      <c r="CM185" s="596"/>
      <c r="CN185" s="596"/>
      <c r="CO185" s="596"/>
      <c r="CP185" s="596"/>
      <c r="CQ185" s="596"/>
      <c r="CR185" s="596"/>
      <c r="CS185" s="596"/>
      <c r="CT185" s="596"/>
      <c r="CU185" s="596"/>
      <c r="CV185" s="596"/>
      <c r="CW185" s="596"/>
      <c r="CX185" s="596"/>
      <c r="CY185" s="596"/>
      <c r="CZ185" s="596"/>
      <c r="DA185" s="596"/>
      <c r="DB185" s="596"/>
      <c r="DC185" s="596"/>
      <c r="DD185" s="596"/>
      <c r="DE185" s="596"/>
      <c r="DF185" s="596"/>
      <c r="DG185" s="596"/>
      <c r="DH185" s="596"/>
      <c r="DI185" s="596"/>
      <c r="DJ185" s="596"/>
      <c r="DK185" s="596"/>
      <c r="DL185" s="596"/>
      <c r="DM185" s="596"/>
      <c r="DN185" s="596"/>
      <c r="DO185" s="596"/>
      <c r="DP185" s="596"/>
      <c r="DQ185" s="596"/>
      <c r="DR185" s="596"/>
      <c r="DS185" s="596"/>
      <c r="DT185" s="596"/>
      <c r="DU185" s="596"/>
      <c r="DV185" s="596"/>
      <c r="DW185" s="596"/>
      <c r="DX185" s="596"/>
      <c r="DY185" s="596"/>
      <c r="DZ185" s="596"/>
      <c r="EA185" s="596"/>
    </row>
    <row r="186" spans="1:131">
      <c r="A186" s="596"/>
      <c r="B186" s="596"/>
      <c r="C186" s="596"/>
      <c r="D186" s="596"/>
      <c r="E186" s="596"/>
      <c r="F186" s="596"/>
      <c r="G186" s="596"/>
      <c r="H186" s="596"/>
      <c r="I186" s="596"/>
      <c r="J186" s="596"/>
      <c r="K186" s="638"/>
      <c r="L186" s="638"/>
      <c r="M186" s="638"/>
      <c r="N186" s="638"/>
      <c r="O186" s="638"/>
      <c r="P186" s="596"/>
      <c r="Q186" s="596"/>
      <c r="R186" s="596"/>
      <c r="S186" s="596"/>
      <c r="T186" s="596"/>
      <c r="U186" s="596"/>
      <c r="V186" s="596"/>
      <c r="W186" s="596"/>
      <c r="X186" s="596"/>
      <c r="Y186" s="596"/>
      <c r="Z186" s="596"/>
      <c r="AA186" s="596"/>
      <c r="AB186" s="596"/>
      <c r="AC186" s="596"/>
      <c r="AD186" s="596"/>
      <c r="AE186" s="596"/>
      <c r="AF186" s="596"/>
      <c r="AG186" s="596"/>
      <c r="AH186" s="596"/>
      <c r="AI186" s="596"/>
      <c r="AJ186" s="596"/>
      <c r="AK186" s="596"/>
      <c r="AL186" s="596"/>
      <c r="AM186" s="596"/>
      <c r="AN186" s="596"/>
      <c r="AO186" s="596"/>
      <c r="AP186" s="596"/>
      <c r="AQ186" s="596"/>
      <c r="AR186" s="596"/>
      <c r="AS186" s="596"/>
      <c r="AT186" s="596"/>
      <c r="AU186" s="596"/>
      <c r="AV186" s="596"/>
      <c r="AW186" s="596"/>
      <c r="AX186" s="596"/>
      <c r="AY186" s="596"/>
      <c r="AZ186" s="596"/>
      <c r="BA186" s="596"/>
      <c r="BB186" s="596"/>
      <c r="BC186" s="596"/>
      <c r="BD186" s="596"/>
      <c r="BE186" s="596"/>
      <c r="BF186" s="596"/>
      <c r="BG186" s="596"/>
      <c r="BH186" s="596"/>
      <c r="BI186" s="596"/>
      <c r="BJ186" s="596"/>
      <c r="BK186" s="596"/>
      <c r="BL186" s="596"/>
      <c r="BM186" s="596"/>
      <c r="BN186" s="596"/>
      <c r="BO186" s="596"/>
      <c r="BP186" s="596"/>
      <c r="BQ186" s="596"/>
      <c r="BR186" s="596"/>
      <c r="BS186" s="596"/>
      <c r="BT186" s="596"/>
      <c r="BU186" s="596"/>
      <c r="BV186" s="596"/>
      <c r="BW186" s="596"/>
      <c r="BX186" s="596"/>
      <c r="BY186" s="596"/>
      <c r="BZ186" s="596"/>
      <c r="CA186" s="596"/>
      <c r="CB186" s="596"/>
      <c r="CC186" s="596"/>
      <c r="CD186" s="596"/>
      <c r="CE186" s="596"/>
      <c r="CF186" s="596"/>
      <c r="CG186" s="596"/>
      <c r="CH186" s="596"/>
      <c r="CI186" s="596"/>
      <c r="CJ186" s="596"/>
      <c r="CK186" s="596"/>
      <c r="CL186" s="596"/>
      <c r="CM186" s="596"/>
      <c r="CN186" s="596"/>
      <c r="CO186" s="596"/>
      <c r="CP186" s="596"/>
      <c r="CQ186" s="596"/>
      <c r="CR186" s="596"/>
      <c r="CS186" s="596"/>
      <c r="CT186" s="596"/>
      <c r="CU186" s="596"/>
      <c r="CV186" s="596"/>
      <c r="CW186" s="596"/>
      <c r="CX186" s="596"/>
      <c r="CY186" s="596"/>
      <c r="CZ186" s="596"/>
      <c r="DA186" s="596"/>
      <c r="DB186" s="596"/>
      <c r="DC186" s="596"/>
      <c r="DD186" s="596"/>
      <c r="DE186" s="596"/>
      <c r="DF186" s="596"/>
      <c r="DG186" s="596"/>
      <c r="DH186" s="596"/>
      <c r="DI186" s="596"/>
      <c r="DJ186" s="596"/>
      <c r="DK186" s="596"/>
      <c r="DL186" s="596"/>
      <c r="DM186" s="596"/>
      <c r="DN186" s="596"/>
      <c r="DO186" s="596"/>
      <c r="DP186" s="596"/>
      <c r="DQ186" s="596"/>
      <c r="DR186" s="596"/>
      <c r="DS186" s="596"/>
      <c r="DT186" s="596"/>
      <c r="DU186" s="596"/>
      <c r="DV186" s="596"/>
      <c r="DW186" s="596"/>
      <c r="DX186" s="596"/>
      <c r="DY186" s="596"/>
      <c r="DZ186" s="596"/>
      <c r="EA186" s="596"/>
    </row>
    <row r="187" spans="1:131">
      <c r="A187" s="596"/>
      <c r="B187" s="596"/>
      <c r="C187" s="596"/>
      <c r="D187" s="596"/>
      <c r="E187" s="596"/>
      <c r="F187" s="596"/>
      <c r="G187" s="596"/>
      <c r="H187" s="596"/>
      <c r="I187" s="596"/>
      <c r="J187" s="596"/>
      <c r="K187" s="638"/>
      <c r="L187" s="638"/>
      <c r="M187" s="638"/>
      <c r="N187" s="638"/>
      <c r="O187" s="638"/>
      <c r="P187" s="596"/>
      <c r="Q187" s="596"/>
      <c r="R187" s="596"/>
      <c r="S187" s="596"/>
      <c r="T187" s="596"/>
      <c r="U187" s="596"/>
      <c r="V187" s="596"/>
      <c r="W187" s="596"/>
      <c r="X187" s="596"/>
      <c r="Y187" s="596"/>
      <c r="Z187" s="596"/>
      <c r="AA187" s="596"/>
      <c r="AB187" s="596"/>
      <c r="AC187" s="596"/>
      <c r="AD187" s="596"/>
      <c r="AE187" s="596"/>
      <c r="AF187" s="596"/>
      <c r="AG187" s="596"/>
      <c r="AH187" s="596"/>
      <c r="AI187" s="596"/>
      <c r="AJ187" s="596"/>
      <c r="AK187" s="596"/>
      <c r="AL187" s="596"/>
      <c r="AM187" s="596"/>
      <c r="AN187" s="596"/>
      <c r="AO187" s="596"/>
      <c r="AP187" s="596"/>
      <c r="AQ187" s="596"/>
      <c r="AR187" s="596"/>
      <c r="AS187" s="596"/>
      <c r="AT187" s="596"/>
      <c r="AU187" s="596"/>
      <c r="AV187" s="596"/>
      <c r="AW187" s="596"/>
      <c r="AX187" s="596"/>
      <c r="AY187" s="596"/>
      <c r="AZ187" s="596"/>
      <c r="BA187" s="596"/>
      <c r="BB187" s="596"/>
      <c r="BC187" s="596"/>
      <c r="BD187" s="596"/>
      <c r="BE187" s="596"/>
      <c r="BF187" s="596"/>
      <c r="BG187" s="596"/>
      <c r="BH187" s="596"/>
      <c r="BI187" s="596"/>
      <c r="BJ187" s="596"/>
      <c r="BK187" s="596"/>
      <c r="BL187" s="596"/>
      <c r="BM187" s="596"/>
      <c r="BN187" s="596"/>
      <c r="BO187" s="596"/>
      <c r="BP187" s="596"/>
      <c r="BQ187" s="596"/>
      <c r="BR187" s="596"/>
      <c r="BS187" s="596"/>
      <c r="BT187" s="596"/>
      <c r="BU187" s="596"/>
      <c r="BV187" s="596"/>
      <c r="BW187" s="596"/>
      <c r="BX187" s="596"/>
      <c r="BY187" s="596"/>
      <c r="BZ187" s="596"/>
      <c r="CA187" s="596"/>
      <c r="CB187" s="596"/>
      <c r="CC187" s="596"/>
      <c r="CD187" s="596"/>
      <c r="CE187" s="596"/>
      <c r="CF187" s="596"/>
      <c r="CG187" s="596"/>
      <c r="CH187" s="596"/>
      <c r="CI187" s="596"/>
      <c r="CJ187" s="596"/>
      <c r="CK187" s="596"/>
      <c r="CL187" s="596"/>
      <c r="CM187" s="596"/>
      <c r="CN187" s="596"/>
      <c r="CO187" s="596"/>
      <c r="CP187" s="596"/>
      <c r="CQ187" s="596"/>
      <c r="CR187" s="596"/>
      <c r="CS187" s="596"/>
      <c r="CT187" s="596"/>
      <c r="CU187" s="596"/>
      <c r="CV187" s="596"/>
      <c r="CW187" s="596"/>
      <c r="CX187" s="596"/>
      <c r="CY187" s="596"/>
      <c r="CZ187" s="596"/>
      <c r="DA187" s="596"/>
      <c r="DB187" s="596"/>
      <c r="DC187" s="596"/>
      <c r="DD187" s="596"/>
      <c r="DE187" s="596"/>
      <c r="DF187" s="596"/>
      <c r="DG187" s="596"/>
      <c r="DH187" s="596"/>
      <c r="DI187" s="596"/>
      <c r="DJ187" s="596"/>
      <c r="DK187" s="596"/>
      <c r="DL187" s="596"/>
      <c r="DM187" s="596"/>
      <c r="DN187" s="596"/>
      <c r="DO187" s="596"/>
      <c r="DP187" s="596"/>
      <c r="DQ187" s="596"/>
      <c r="DR187" s="596"/>
      <c r="DS187" s="596"/>
      <c r="DT187" s="596"/>
      <c r="DU187" s="596"/>
      <c r="DV187" s="596"/>
      <c r="DW187" s="596"/>
      <c r="DX187" s="596"/>
      <c r="DY187" s="596"/>
      <c r="DZ187" s="596"/>
      <c r="EA187" s="596"/>
    </row>
    <row r="188" spans="1:131">
      <c r="A188" s="596"/>
      <c r="B188" s="596"/>
      <c r="C188" s="596"/>
      <c r="D188" s="596"/>
      <c r="E188" s="596"/>
      <c r="F188" s="596"/>
      <c r="G188" s="596"/>
      <c r="H188" s="596"/>
      <c r="I188" s="596"/>
      <c r="J188" s="596"/>
      <c r="K188" s="638"/>
      <c r="L188" s="638"/>
      <c r="M188" s="638"/>
      <c r="N188" s="638"/>
      <c r="O188" s="638"/>
      <c r="P188" s="596"/>
      <c r="Q188" s="596"/>
      <c r="R188" s="596"/>
      <c r="S188" s="596"/>
      <c r="T188" s="596"/>
      <c r="U188" s="596"/>
      <c r="V188" s="596"/>
      <c r="W188" s="596"/>
      <c r="X188" s="596"/>
      <c r="Y188" s="596"/>
      <c r="Z188" s="596"/>
      <c r="AA188" s="596"/>
      <c r="AB188" s="596"/>
      <c r="AC188" s="596"/>
      <c r="AD188" s="596"/>
      <c r="AE188" s="596"/>
      <c r="AF188" s="596"/>
      <c r="AG188" s="596"/>
      <c r="AH188" s="596"/>
      <c r="AI188" s="596"/>
      <c r="AJ188" s="596"/>
      <c r="AK188" s="596"/>
      <c r="AL188" s="596"/>
      <c r="AM188" s="596"/>
      <c r="AN188" s="596"/>
      <c r="AO188" s="596"/>
      <c r="AP188" s="596"/>
      <c r="AQ188" s="596"/>
      <c r="AR188" s="596"/>
      <c r="AS188" s="596"/>
      <c r="AT188" s="596"/>
      <c r="AU188" s="596"/>
      <c r="AV188" s="596"/>
      <c r="AW188" s="596"/>
      <c r="AX188" s="596"/>
      <c r="AY188" s="596"/>
      <c r="AZ188" s="596"/>
      <c r="BA188" s="596"/>
      <c r="BB188" s="596"/>
      <c r="BC188" s="596"/>
      <c r="BD188" s="596"/>
      <c r="BE188" s="596"/>
      <c r="BF188" s="596"/>
      <c r="BG188" s="596"/>
      <c r="BH188" s="596"/>
      <c r="BI188" s="596"/>
      <c r="BJ188" s="596"/>
      <c r="BK188" s="596"/>
      <c r="BL188" s="596"/>
      <c r="BM188" s="596"/>
      <c r="BN188" s="596"/>
      <c r="BO188" s="596"/>
      <c r="BP188" s="596"/>
      <c r="BQ188" s="596"/>
      <c r="BR188" s="596"/>
      <c r="BS188" s="596"/>
      <c r="BT188" s="596"/>
      <c r="BU188" s="596"/>
      <c r="BV188" s="596"/>
      <c r="BW188" s="596"/>
      <c r="BX188" s="596"/>
      <c r="BY188" s="596"/>
      <c r="BZ188" s="596"/>
      <c r="CA188" s="596"/>
      <c r="CB188" s="596"/>
      <c r="CC188" s="596"/>
      <c r="CD188" s="596"/>
      <c r="CE188" s="596"/>
      <c r="CF188" s="596"/>
      <c r="CG188" s="596"/>
      <c r="CH188" s="596"/>
      <c r="CI188" s="596"/>
      <c r="CJ188" s="596"/>
      <c r="CK188" s="596"/>
      <c r="CL188" s="596"/>
      <c r="CM188" s="596"/>
      <c r="CN188" s="596"/>
      <c r="CO188" s="596"/>
      <c r="CP188" s="596"/>
      <c r="CQ188" s="596"/>
      <c r="CR188" s="596"/>
      <c r="CS188" s="596"/>
      <c r="CT188" s="596"/>
      <c r="CU188" s="596"/>
      <c r="CV188" s="596"/>
      <c r="CW188" s="596"/>
      <c r="CX188" s="596"/>
      <c r="CY188" s="596"/>
      <c r="CZ188" s="596"/>
      <c r="DA188" s="596"/>
      <c r="DB188" s="596"/>
      <c r="DC188" s="596"/>
      <c r="DD188" s="596"/>
      <c r="DE188" s="596"/>
      <c r="DF188" s="596"/>
      <c r="DG188" s="596"/>
      <c r="DH188" s="596"/>
      <c r="DI188" s="596"/>
      <c r="DJ188" s="596"/>
      <c r="DK188" s="596"/>
      <c r="DL188" s="596"/>
      <c r="DM188" s="596"/>
      <c r="DN188" s="596"/>
      <c r="DO188" s="596"/>
      <c r="DP188" s="596"/>
      <c r="DQ188" s="596"/>
      <c r="DR188" s="596"/>
      <c r="DS188" s="596"/>
      <c r="DT188" s="596"/>
      <c r="DU188" s="596"/>
      <c r="DV188" s="596"/>
      <c r="DW188" s="596"/>
      <c r="DX188" s="596"/>
      <c r="DY188" s="596"/>
      <c r="DZ188" s="596"/>
      <c r="EA188" s="596"/>
    </row>
    <row r="189" spans="1:131">
      <c r="A189" s="596"/>
      <c r="B189" s="596"/>
      <c r="C189" s="596"/>
      <c r="D189" s="596"/>
      <c r="E189" s="596"/>
      <c r="F189" s="596"/>
      <c r="G189" s="596"/>
      <c r="H189" s="596"/>
      <c r="I189" s="596"/>
      <c r="J189" s="596"/>
      <c r="K189" s="638"/>
      <c r="L189" s="638"/>
      <c r="M189" s="638"/>
      <c r="N189" s="638"/>
      <c r="O189" s="638"/>
      <c r="P189" s="596"/>
      <c r="Q189" s="596"/>
      <c r="R189" s="596"/>
      <c r="S189" s="596"/>
      <c r="T189" s="596"/>
      <c r="U189" s="596"/>
      <c r="V189" s="596"/>
      <c r="W189" s="596"/>
      <c r="X189" s="596"/>
      <c r="Y189" s="596"/>
      <c r="Z189" s="596"/>
      <c r="AA189" s="596"/>
      <c r="AB189" s="596"/>
      <c r="AC189" s="596"/>
      <c r="AD189" s="596"/>
      <c r="AE189" s="596"/>
      <c r="AF189" s="596"/>
      <c r="AG189" s="596"/>
      <c r="AH189" s="596"/>
      <c r="AI189" s="596"/>
      <c r="AJ189" s="596"/>
      <c r="AK189" s="596"/>
      <c r="AL189" s="596"/>
      <c r="AM189" s="596"/>
      <c r="AN189" s="596"/>
      <c r="AO189" s="596"/>
      <c r="AP189" s="596"/>
      <c r="AQ189" s="596"/>
      <c r="AR189" s="596"/>
      <c r="AS189" s="596"/>
      <c r="AT189" s="596"/>
      <c r="AU189" s="596"/>
      <c r="AV189" s="596"/>
      <c r="AW189" s="596"/>
      <c r="AX189" s="596"/>
      <c r="AY189" s="596"/>
      <c r="AZ189" s="596"/>
      <c r="BA189" s="596"/>
      <c r="BB189" s="596"/>
      <c r="BC189" s="596"/>
      <c r="BD189" s="596"/>
      <c r="BE189" s="596"/>
      <c r="BF189" s="596"/>
      <c r="BG189" s="596"/>
      <c r="BH189" s="596"/>
      <c r="BI189" s="596"/>
      <c r="BJ189" s="596"/>
      <c r="BK189" s="596"/>
      <c r="BL189" s="596"/>
      <c r="BM189" s="596"/>
      <c r="BN189" s="596"/>
      <c r="BO189" s="596"/>
      <c r="BP189" s="596"/>
      <c r="BQ189" s="596"/>
      <c r="BR189" s="596"/>
      <c r="BS189" s="596"/>
      <c r="BT189" s="596"/>
      <c r="BU189" s="596"/>
      <c r="BV189" s="596"/>
      <c r="BW189" s="596"/>
      <c r="BX189" s="596"/>
      <c r="BY189" s="596"/>
      <c r="BZ189" s="596"/>
      <c r="CA189" s="596"/>
      <c r="CB189" s="596"/>
      <c r="CC189" s="596"/>
      <c r="CD189" s="596"/>
      <c r="CE189" s="596"/>
      <c r="CF189" s="596"/>
      <c r="CG189" s="596"/>
      <c r="CH189" s="596"/>
      <c r="CI189" s="596"/>
      <c r="CJ189" s="596"/>
      <c r="CK189" s="596"/>
      <c r="CL189" s="596"/>
      <c r="CM189" s="596"/>
      <c r="CN189" s="596"/>
      <c r="CO189" s="596"/>
      <c r="CP189" s="596"/>
      <c r="CQ189" s="596"/>
      <c r="CR189" s="596"/>
      <c r="CS189" s="596"/>
      <c r="CT189" s="596"/>
      <c r="CU189" s="596"/>
      <c r="CV189" s="596"/>
      <c r="CW189" s="596"/>
      <c r="CX189" s="596"/>
      <c r="CY189" s="596"/>
      <c r="CZ189" s="596"/>
      <c r="DA189" s="596"/>
      <c r="DB189" s="596"/>
      <c r="DC189" s="596"/>
      <c r="DD189" s="596"/>
      <c r="DE189" s="596"/>
      <c r="DF189" s="596"/>
      <c r="DG189" s="596"/>
      <c r="DH189" s="596"/>
      <c r="DI189" s="596"/>
      <c r="DJ189" s="596"/>
      <c r="DK189" s="596"/>
      <c r="DL189" s="596"/>
      <c r="DM189" s="596"/>
      <c r="DN189" s="596"/>
      <c r="DO189" s="596"/>
      <c r="DP189" s="596"/>
      <c r="DQ189" s="596"/>
      <c r="DR189" s="596"/>
      <c r="DS189" s="596"/>
      <c r="DT189" s="596"/>
      <c r="DU189" s="596"/>
      <c r="DV189" s="596"/>
      <c r="DW189" s="596"/>
      <c r="DX189" s="596"/>
      <c r="DY189" s="596"/>
      <c r="DZ189" s="596"/>
      <c r="EA189" s="596"/>
    </row>
    <row r="190" spans="1:131">
      <c r="A190" s="596"/>
      <c r="B190" s="596"/>
      <c r="C190" s="596"/>
      <c r="D190" s="596"/>
      <c r="E190" s="596"/>
      <c r="F190" s="596"/>
      <c r="G190" s="596"/>
      <c r="H190" s="596"/>
      <c r="I190" s="596"/>
      <c r="J190" s="596"/>
      <c r="K190" s="638"/>
      <c r="L190" s="638"/>
      <c r="M190" s="638"/>
      <c r="N190" s="638"/>
      <c r="O190" s="638"/>
      <c r="P190" s="596"/>
      <c r="Q190" s="596"/>
      <c r="R190" s="596"/>
      <c r="S190" s="596"/>
      <c r="T190" s="596"/>
      <c r="U190" s="596"/>
      <c r="V190" s="596"/>
      <c r="W190" s="596"/>
      <c r="X190" s="596"/>
      <c r="Y190" s="596"/>
      <c r="Z190" s="596"/>
      <c r="AA190" s="596"/>
      <c r="AB190" s="596"/>
      <c r="AC190" s="596"/>
      <c r="AD190" s="596"/>
      <c r="AE190" s="596"/>
      <c r="AF190" s="596"/>
      <c r="AG190" s="596"/>
      <c r="AH190" s="596"/>
      <c r="AI190" s="596"/>
      <c r="AJ190" s="596"/>
      <c r="AK190" s="596"/>
      <c r="AL190" s="596"/>
      <c r="AM190" s="596"/>
      <c r="AN190" s="596"/>
      <c r="AO190" s="596"/>
      <c r="AP190" s="596"/>
      <c r="AQ190" s="596"/>
      <c r="AR190" s="596"/>
      <c r="AS190" s="596"/>
      <c r="AT190" s="596"/>
      <c r="AU190" s="596"/>
      <c r="AV190" s="596"/>
      <c r="AW190" s="596"/>
      <c r="AX190" s="596"/>
      <c r="AY190" s="596"/>
      <c r="AZ190" s="596"/>
      <c r="BA190" s="596"/>
      <c r="BB190" s="596"/>
      <c r="BC190" s="596"/>
      <c r="BD190" s="596"/>
      <c r="BE190" s="596"/>
      <c r="BF190" s="596"/>
      <c r="BG190" s="596"/>
      <c r="BH190" s="596"/>
      <c r="BI190" s="596"/>
      <c r="BJ190" s="596"/>
      <c r="BK190" s="596"/>
      <c r="BL190" s="596"/>
      <c r="BM190" s="596"/>
      <c r="BN190" s="596"/>
      <c r="BO190" s="596"/>
      <c r="BP190" s="596"/>
      <c r="BQ190" s="596"/>
      <c r="BR190" s="596"/>
      <c r="BS190" s="596"/>
      <c r="BT190" s="596"/>
      <c r="BU190" s="596"/>
      <c r="BV190" s="596"/>
      <c r="BW190" s="596"/>
      <c r="BX190" s="596"/>
      <c r="BY190" s="596"/>
      <c r="BZ190" s="596"/>
      <c r="CA190" s="596"/>
      <c r="CB190" s="596"/>
      <c r="CC190" s="596"/>
      <c r="CD190" s="596"/>
      <c r="CE190" s="596"/>
      <c r="CF190" s="596"/>
      <c r="CG190" s="596"/>
      <c r="CH190" s="596"/>
      <c r="CI190" s="596"/>
      <c r="CJ190" s="596"/>
      <c r="CK190" s="596"/>
      <c r="CL190" s="596"/>
      <c r="CM190" s="596"/>
      <c r="CN190" s="596"/>
      <c r="CO190" s="596"/>
      <c r="CP190" s="596"/>
      <c r="CQ190" s="596"/>
      <c r="CR190" s="596"/>
      <c r="CS190" s="596"/>
      <c r="CT190" s="596"/>
      <c r="CU190" s="596"/>
      <c r="CV190" s="596"/>
      <c r="CW190" s="596"/>
      <c r="CX190" s="596"/>
      <c r="CY190" s="596"/>
      <c r="CZ190" s="596"/>
      <c r="DA190" s="596"/>
      <c r="DB190" s="596"/>
      <c r="DC190" s="596"/>
      <c r="DD190" s="596"/>
      <c r="DE190" s="596"/>
      <c r="DF190" s="596"/>
      <c r="DG190" s="596"/>
      <c r="DH190" s="596"/>
      <c r="DI190" s="596"/>
      <c r="DJ190" s="596"/>
      <c r="DK190" s="596"/>
      <c r="DL190" s="596"/>
      <c r="DM190" s="596"/>
      <c r="DN190" s="596"/>
      <c r="DO190" s="596"/>
      <c r="DP190" s="596"/>
      <c r="DQ190" s="596"/>
      <c r="DR190" s="596"/>
      <c r="DS190" s="596"/>
      <c r="DT190" s="596"/>
      <c r="DU190" s="596"/>
      <c r="DV190" s="596"/>
      <c r="DW190" s="596"/>
      <c r="DX190" s="596"/>
      <c r="DY190" s="596"/>
      <c r="DZ190" s="596"/>
      <c r="EA190" s="596"/>
    </row>
    <row r="191" spans="1:131">
      <c r="A191" s="596"/>
      <c r="B191" s="596"/>
      <c r="C191" s="596"/>
      <c r="D191" s="596"/>
      <c r="E191" s="596"/>
      <c r="F191" s="596"/>
      <c r="G191" s="596"/>
      <c r="H191" s="596"/>
      <c r="I191" s="596"/>
      <c r="J191" s="596"/>
      <c r="K191" s="638"/>
      <c r="L191" s="638"/>
      <c r="M191" s="638"/>
      <c r="N191" s="638"/>
      <c r="O191" s="638"/>
      <c r="P191" s="596"/>
      <c r="Q191" s="596"/>
      <c r="R191" s="596"/>
      <c r="S191" s="596"/>
      <c r="T191" s="596"/>
      <c r="U191" s="596"/>
      <c r="V191" s="596"/>
      <c r="W191" s="596"/>
      <c r="X191" s="596"/>
      <c r="Y191" s="596"/>
      <c r="Z191" s="596"/>
      <c r="AA191" s="596"/>
      <c r="AB191" s="596"/>
      <c r="AC191" s="596"/>
      <c r="AD191" s="596"/>
      <c r="AE191" s="596"/>
      <c r="AF191" s="596"/>
      <c r="AG191" s="596"/>
      <c r="AH191" s="596"/>
      <c r="AI191" s="596"/>
      <c r="AJ191" s="596"/>
      <c r="AK191" s="596"/>
      <c r="AL191" s="596"/>
      <c r="AM191" s="596"/>
      <c r="AN191" s="596"/>
      <c r="AO191" s="596"/>
      <c r="AP191" s="596"/>
      <c r="AQ191" s="596"/>
      <c r="AR191" s="596"/>
      <c r="AS191" s="596"/>
      <c r="AT191" s="596"/>
      <c r="AU191" s="596"/>
      <c r="AV191" s="596"/>
      <c r="AW191" s="596"/>
      <c r="AX191" s="596"/>
      <c r="AY191" s="596"/>
      <c r="AZ191" s="596"/>
      <c r="BA191" s="596"/>
      <c r="BB191" s="596"/>
      <c r="BC191" s="596"/>
      <c r="BD191" s="596"/>
      <c r="BE191" s="596"/>
      <c r="BF191" s="596"/>
      <c r="BG191" s="596"/>
      <c r="BH191" s="596"/>
      <c r="BI191" s="596"/>
      <c r="BJ191" s="596"/>
      <c r="BK191" s="596"/>
      <c r="BL191" s="596"/>
      <c r="BM191" s="596"/>
      <c r="BN191" s="596"/>
      <c r="BO191" s="596"/>
      <c r="BP191" s="596"/>
      <c r="BQ191" s="596"/>
      <c r="BR191" s="596"/>
      <c r="BS191" s="596"/>
      <c r="BT191" s="596"/>
      <c r="BU191" s="596"/>
      <c r="BV191" s="596"/>
      <c r="BW191" s="596"/>
      <c r="BX191" s="596"/>
      <c r="BY191" s="596"/>
      <c r="BZ191" s="596"/>
      <c r="CA191" s="596"/>
      <c r="CB191" s="596"/>
      <c r="CC191" s="596"/>
      <c r="CD191" s="596"/>
      <c r="CE191" s="596"/>
      <c r="CF191" s="596"/>
      <c r="CG191" s="596"/>
      <c r="CH191" s="596"/>
      <c r="CI191" s="596"/>
      <c r="CJ191" s="596"/>
      <c r="CK191" s="596"/>
      <c r="CL191" s="596"/>
      <c r="CM191" s="596"/>
      <c r="CN191" s="596"/>
      <c r="CO191" s="596"/>
      <c r="CP191" s="596"/>
      <c r="CQ191" s="596"/>
      <c r="CR191" s="596"/>
      <c r="CS191" s="596"/>
      <c r="CT191" s="596"/>
      <c r="CU191" s="596"/>
      <c r="CV191" s="596"/>
      <c r="CW191" s="596"/>
      <c r="CX191" s="596"/>
      <c r="CY191" s="596"/>
      <c r="CZ191" s="596"/>
      <c r="DA191" s="596"/>
      <c r="DB191" s="596"/>
      <c r="DC191" s="596"/>
      <c r="DD191" s="596"/>
      <c r="DE191" s="596"/>
      <c r="DF191" s="596"/>
      <c r="DG191" s="596"/>
      <c r="DH191" s="596"/>
      <c r="DI191" s="596"/>
      <c r="DJ191" s="596"/>
      <c r="DK191" s="596"/>
      <c r="DL191" s="596"/>
      <c r="DM191" s="596"/>
      <c r="DN191" s="596"/>
      <c r="DO191" s="596"/>
      <c r="DP191" s="596"/>
      <c r="DQ191" s="596"/>
      <c r="DR191" s="596"/>
      <c r="DS191" s="596"/>
      <c r="DT191" s="596"/>
      <c r="DU191" s="596"/>
      <c r="DV191" s="596"/>
      <c r="DW191" s="596"/>
      <c r="DX191" s="596"/>
      <c r="DY191" s="596"/>
      <c r="DZ191" s="596"/>
      <c r="EA191" s="596"/>
    </row>
    <row r="192" spans="1:131">
      <c r="A192" s="596"/>
      <c r="B192" s="596"/>
      <c r="C192" s="596"/>
      <c r="D192" s="596"/>
      <c r="E192" s="596"/>
      <c r="F192" s="596"/>
      <c r="G192" s="596"/>
      <c r="H192" s="596"/>
      <c r="I192" s="596"/>
      <c r="J192" s="596"/>
      <c r="K192" s="638"/>
      <c r="L192" s="638"/>
      <c r="M192" s="638"/>
      <c r="N192" s="638"/>
      <c r="O192" s="638"/>
      <c r="P192" s="596"/>
      <c r="Q192" s="596"/>
      <c r="R192" s="596"/>
      <c r="S192" s="596"/>
      <c r="T192" s="596"/>
      <c r="U192" s="596"/>
      <c r="V192" s="596"/>
      <c r="W192" s="596"/>
      <c r="X192" s="596"/>
      <c r="Y192" s="596"/>
      <c r="Z192" s="596"/>
      <c r="AA192" s="596"/>
      <c r="AB192" s="596"/>
      <c r="AC192" s="596"/>
      <c r="AD192" s="596"/>
      <c r="AE192" s="596"/>
      <c r="AF192" s="596"/>
      <c r="AG192" s="596"/>
      <c r="AH192" s="596"/>
      <c r="AI192" s="596"/>
      <c r="AJ192" s="596"/>
      <c r="AK192" s="596"/>
      <c r="AL192" s="596"/>
      <c r="AM192" s="596"/>
      <c r="AN192" s="596"/>
      <c r="AO192" s="596"/>
      <c r="AP192" s="596"/>
      <c r="AQ192" s="596"/>
      <c r="AR192" s="596"/>
      <c r="AS192" s="596"/>
      <c r="AT192" s="596"/>
      <c r="AU192" s="596"/>
      <c r="AV192" s="596"/>
      <c r="AW192" s="596"/>
      <c r="AX192" s="596"/>
      <c r="AY192" s="596"/>
      <c r="AZ192" s="596"/>
      <c r="BA192" s="596"/>
      <c r="BB192" s="596"/>
      <c r="BC192" s="596"/>
      <c r="BD192" s="596"/>
      <c r="BE192" s="596"/>
      <c r="BF192" s="596"/>
      <c r="BG192" s="596"/>
      <c r="BH192" s="596"/>
      <c r="BI192" s="596"/>
      <c r="BJ192" s="596"/>
      <c r="BK192" s="596"/>
      <c r="BL192" s="596"/>
      <c r="BM192" s="596"/>
      <c r="BN192" s="596"/>
      <c r="BO192" s="596"/>
      <c r="BP192" s="596"/>
      <c r="BQ192" s="596"/>
      <c r="BR192" s="596"/>
      <c r="BS192" s="596"/>
      <c r="BT192" s="596"/>
      <c r="BU192" s="596"/>
      <c r="BV192" s="596"/>
      <c r="BW192" s="596"/>
      <c r="BX192" s="596"/>
      <c r="BY192" s="596"/>
      <c r="BZ192" s="596"/>
      <c r="CA192" s="596"/>
      <c r="CB192" s="596"/>
      <c r="CC192" s="596"/>
      <c r="CD192" s="596"/>
      <c r="CE192" s="596"/>
      <c r="CF192" s="596"/>
      <c r="CG192" s="596"/>
      <c r="CH192" s="596"/>
      <c r="CI192" s="596"/>
      <c r="CJ192" s="596"/>
      <c r="CK192" s="596"/>
      <c r="CL192" s="596"/>
      <c r="CM192" s="596"/>
      <c r="CN192" s="596"/>
      <c r="CO192" s="596"/>
      <c r="CP192" s="596"/>
      <c r="CQ192" s="596"/>
      <c r="CR192" s="596"/>
      <c r="CS192" s="596"/>
      <c r="CT192" s="596"/>
      <c r="CU192" s="596"/>
      <c r="CV192" s="596"/>
      <c r="CW192" s="596"/>
      <c r="CX192" s="596"/>
      <c r="CY192" s="596"/>
      <c r="CZ192" s="596"/>
      <c r="DA192" s="596"/>
      <c r="DB192" s="596"/>
      <c r="DC192" s="596"/>
      <c r="DD192" s="596"/>
      <c r="DE192" s="596"/>
      <c r="DF192" s="596"/>
      <c r="DG192" s="596"/>
      <c r="DH192" s="596"/>
      <c r="DI192" s="596"/>
      <c r="DJ192" s="596"/>
      <c r="DK192" s="596"/>
      <c r="DL192" s="596"/>
      <c r="DM192" s="596"/>
      <c r="DN192" s="596"/>
      <c r="DO192" s="596"/>
      <c r="DP192" s="596"/>
      <c r="DQ192" s="596"/>
      <c r="DR192" s="596"/>
      <c r="DS192" s="596"/>
      <c r="DT192" s="596"/>
      <c r="DU192" s="596"/>
      <c r="DV192" s="596"/>
      <c r="DW192" s="596"/>
      <c r="DX192" s="596"/>
      <c r="DY192" s="596"/>
      <c r="DZ192" s="596"/>
      <c r="EA192" s="596"/>
    </row>
    <row r="193" spans="1:131">
      <c r="A193" s="596"/>
      <c r="B193" s="596"/>
      <c r="C193" s="596"/>
      <c r="D193" s="596"/>
      <c r="E193" s="596"/>
      <c r="F193" s="596"/>
      <c r="G193" s="596"/>
      <c r="H193" s="596"/>
      <c r="I193" s="596"/>
      <c r="J193" s="596"/>
      <c r="K193" s="638"/>
      <c r="L193" s="638"/>
      <c r="M193" s="638"/>
      <c r="N193" s="638"/>
      <c r="O193" s="638"/>
      <c r="P193" s="596"/>
      <c r="Q193" s="596"/>
      <c r="R193" s="596"/>
      <c r="S193" s="596"/>
      <c r="T193" s="596"/>
      <c r="U193" s="596"/>
      <c r="V193" s="596"/>
      <c r="W193" s="596"/>
      <c r="X193" s="596"/>
      <c r="Y193" s="596"/>
      <c r="Z193" s="596"/>
      <c r="AA193" s="596"/>
      <c r="AB193" s="596"/>
      <c r="AC193" s="596"/>
      <c r="AD193" s="596"/>
      <c r="AE193" s="596"/>
      <c r="AF193" s="596"/>
      <c r="AG193" s="596"/>
      <c r="AH193" s="596"/>
      <c r="AI193" s="596"/>
      <c r="AJ193" s="596"/>
      <c r="AK193" s="596"/>
      <c r="AL193" s="596"/>
      <c r="AM193" s="596"/>
      <c r="AN193" s="596"/>
      <c r="AO193" s="596"/>
      <c r="AP193" s="596"/>
      <c r="AQ193" s="596"/>
      <c r="AR193" s="596"/>
      <c r="AS193" s="596"/>
      <c r="AT193" s="596"/>
      <c r="AU193" s="596"/>
      <c r="AV193" s="596"/>
      <c r="AW193" s="596"/>
      <c r="AX193" s="596"/>
      <c r="AY193" s="596"/>
      <c r="AZ193" s="596"/>
      <c r="BA193" s="596"/>
      <c r="BB193" s="596"/>
      <c r="BC193" s="596"/>
      <c r="BD193" s="596"/>
      <c r="BE193" s="596"/>
      <c r="BF193" s="596"/>
      <c r="BG193" s="596"/>
      <c r="BH193" s="596"/>
      <c r="BI193" s="596"/>
      <c r="BJ193" s="596"/>
      <c r="BK193" s="596"/>
      <c r="BL193" s="596"/>
      <c r="BM193" s="596"/>
      <c r="BN193" s="596"/>
      <c r="BO193" s="596"/>
      <c r="BP193" s="596"/>
      <c r="BQ193" s="596"/>
      <c r="BR193" s="596"/>
      <c r="BS193" s="596"/>
      <c r="BT193" s="596"/>
      <c r="BU193" s="596"/>
      <c r="BV193" s="596"/>
      <c r="BW193" s="596"/>
      <c r="BX193" s="596"/>
      <c r="BY193" s="596"/>
      <c r="BZ193" s="596"/>
      <c r="CA193" s="596"/>
      <c r="CB193" s="596"/>
      <c r="CC193" s="596"/>
      <c r="CD193" s="596"/>
      <c r="CE193" s="596"/>
      <c r="CF193" s="596"/>
      <c r="CG193" s="596"/>
      <c r="CH193" s="596"/>
      <c r="CI193" s="596"/>
      <c r="CJ193" s="596"/>
      <c r="CK193" s="596"/>
      <c r="CL193" s="596"/>
      <c r="CM193" s="596"/>
      <c r="CN193" s="596"/>
      <c r="CO193" s="596"/>
      <c r="CP193" s="596"/>
      <c r="CQ193" s="596"/>
      <c r="CR193" s="596"/>
      <c r="CS193" s="596"/>
      <c r="CT193" s="596"/>
      <c r="CU193" s="596"/>
      <c r="CV193" s="596"/>
      <c r="CW193" s="596"/>
      <c r="CX193" s="596"/>
      <c r="CY193" s="596"/>
      <c r="CZ193" s="596"/>
      <c r="DA193" s="596"/>
      <c r="DB193" s="596"/>
      <c r="DC193" s="596"/>
      <c r="DD193" s="596"/>
      <c r="DE193" s="596"/>
      <c r="DF193" s="596"/>
      <c r="DG193" s="596"/>
      <c r="DH193" s="596"/>
      <c r="DI193" s="596"/>
      <c r="DJ193" s="596"/>
      <c r="DK193" s="596"/>
      <c r="DL193" s="596"/>
      <c r="DM193" s="596"/>
      <c r="DN193" s="596"/>
      <c r="DO193" s="596"/>
      <c r="DP193" s="596"/>
      <c r="DQ193" s="596"/>
      <c r="DR193" s="596"/>
      <c r="DS193" s="596"/>
      <c r="DT193" s="596"/>
      <c r="DU193" s="596"/>
      <c r="DV193" s="596"/>
      <c r="DW193" s="596"/>
      <c r="DX193" s="596"/>
      <c r="DY193" s="596"/>
      <c r="DZ193" s="596"/>
      <c r="EA193" s="596"/>
    </row>
    <row r="194" spans="1:131">
      <c r="A194" s="596"/>
      <c r="B194" s="596"/>
      <c r="C194" s="596"/>
      <c r="D194" s="596"/>
      <c r="E194" s="596"/>
      <c r="F194" s="596"/>
      <c r="G194" s="596"/>
      <c r="H194" s="596"/>
      <c r="I194" s="596"/>
      <c r="J194" s="596"/>
      <c r="K194" s="638"/>
      <c r="L194" s="638"/>
      <c r="M194" s="638"/>
      <c r="N194" s="638"/>
      <c r="O194" s="638"/>
      <c r="P194" s="596"/>
      <c r="Q194" s="596"/>
      <c r="R194" s="596"/>
      <c r="S194" s="596"/>
      <c r="T194" s="596"/>
      <c r="U194" s="596"/>
      <c r="V194" s="596"/>
      <c r="W194" s="596"/>
      <c r="X194" s="596"/>
      <c r="Y194" s="596"/>
      <c r="Z194" s="596"/>
      <c r="AA194" s="596"/>
      <c r="AB194" s="596"/>
      <c r="AC194" s="596"/>
      <c r="AD194" s="596"/>
      <c r="AE194" s="596"/>
      <c r="AF194" s="596"/>
      <c r="AG194" s="596"/>
      <c r="AH194" s="596"/>
      <c r="AI194" s="596"/>
      <c r="AJ194" s="596"/>
      <c r="AK194" s="596"/>
      <c r="AL194" s="596"/>
      <c r="AM194" s="596"/>
      <c r="AN194" s="596"/>
      <c r="AO194" s="596"/>
      <c r="AP194" s="596"/>
      <c r="AQ194" s="596"/>
      <c r="AR194" s="596"/>
      <c r="AS194" s="596"/>
      <c r="AT194" s="596"/>
      <c r="AU194" s="596"/>
      <c r="AV194" s="596"/>
      <c r="AW194" s="596"/>
      <c r="AX194" s="596"/>
      <c r="AY194" s="596"/>
      <c r="AZ194" s="596"/>
      <c r="BA194" s="596"/>
      <c r="BB194" s="596"/>
      <c r="BC194" s="596"/>
      <c r="BD194" s="596"/>
      <c r="BE194" s="596"/>
      <c r="BF194" s="596"/>
      <c r="BG194" s="596"/>
      <c r="BH194" s="596"/>
      <c r="BI194" s="596"/>
      <c r="BJ194" s="596"/>
      <c r="BK194" s="596"/>
      <c r="BL194" s="596"/>
      <c r="BM194" s="596"/>
      <c r="BN194" s="596"/>
      <c r="BO194" s="596"/>
      <c r="BP194" s="596"/>
      <c r="BQ194" s="596"/>
      <c r="BR194" s="596"/>
      <c r="BS194" s="596"/>
      <c r="BT194" s="596"/>
      <c r="BU194" s="596"/>
      <c r="BV194" s="596"/>
      <c r="BW194" s="596"/>
      <c r="BX194" s="596"/>
      <c r="BY194" s="596"/>
      <c r="BZ194" s="596"/>
      <c r="CA194" s="596"/>
      <c r="CB194" s="596"/>
      <c r="CC194" s="596"/>
      <c r="CD194" s="596"/>
      <c r="CE194" s="596"/>
      <c r="CF194" s="596"/>
      <c r="CG194" s="596"/>
      <c r="CH194" s="596"/>
      <c r="CI194" s="596"/>
      <c r="CJ194" s="596"/>
      <c r="CK194" s="596"/>
      <c r="CL194" s="596"/>
      <c r="CM194" s="596"/>
      <c r="CN194" s="596"/>
      <c r="CO194" s="596"/>
      <c r="CP194" s="596"/>
      <c r="CQ194" s="596"/>
      <c r="CR194" s="596"/>
      <c r="CS194" s="596"/>
      <c r="CT194" s="596"/>
      <c r="CU194" s="596"/>
      <c r="CV194" s="596"/>
      <c r="CW194" s="596"/>
      <c r="CX194" s="596"/>
      <c r="CY194" s="596"/>
      <c r="CZ194" s="596"/>
      <c r="DA194" s="596"/>
      <c r="DB194" s="596"/>
      <c r="DC194" s="596"/>
      <c r="DD194" s="596"/>
      <c r="DE194" s="596"/>
      <c r="DF194" s="596"/>
      <c r="DG194" s="596"/>
      <c r="DH194" s="596"/>
      <c r="DI194" s="596"/>
      <c r="DJ194" s="596"/>
      <c r="DK194" s="596"/>
      <c r="DL194" s="596"/>
      <c r="DM194" s="596"/>
      <c r="DN194" s="596"/>
      <c r="DO194" s="596"/>
      <c r="DP194" s="596"/>
      <c r="DQ194" s="596"/>
      <c r="DR194" s="596"/>
      <c r="DS194" s="596"/>
      <c r="DT194" s="596"/>
      <c r="DU194" s="596"/>
      <c r="DV194" s="596"/>
      <c r="DW194" s="596"/>
      <c r="DX194" s="596"/>
      <c r="DY194" s="596"/>
      <c r="DZ194" s="596"/>
      <c r="EA194" s="596"/>
    </row>
    <row r="195" spans="1:131">
      <c r="A195" s="596"/>
      <c r="B195" s="596"/>
      <c r="C195" s="596"/>
      <c r="D195" s="596"/>
      <c r="E195" s="596"/>
      <c r="F195" s="596"/>
      <c r="G195" s="596"/>
      <c r="H195" s="596"/>
      <c r="I195" s="596"/>
      <c r="J195" s="596"/>
      <c r="K195" s="638"/>
      <c r="L195" s="638"/>
      <c r="M195" s="638"/>
      <c r="N195" s="638"/>
      <c r="O195" s="638"/>
      <c r="P195" s="596"/>
      <c r="Q195" s="596"/>
      <c r="R195" s="596"/>
      <c r="S195" s="596"/>
      <c r="T195" s="596"/>
      <c r="U195" s="596"/>
      <c r="V195" s="596"/>
      <c r="W195" s="596"/>
      <c r="X195" s="596"/>
      <c r="Y195" s="596"/>
      <c r="Z195" s="596"/>
      <c r="AA195" s="596"/>
      <c r="AB195" s="596"/>
      <c r="AC195" s="596"/>
      <c r="AD195" s="596"/>
      <c r="AE195" s="596"/>
      <c r="AF195" s="596"/>
      <c r="AG195" s="596"/>
      <c r="AH195" s="596"/>
      <c r="AI195" s="596"/>
      <c r="AJ195" s="596"/>
      <c r="AK195" s="596"/>
      <c r="AL195" s="596"/>
      <c r="AM195" s="596"/>
      <c r="AN195" s="596"/>
      <c r="AO195" s="596"/>
      <c r="AP195" s="596"/>
      <c r="AQ195" s="596"/>
      <c r="AR195" s="596"/>
      <c r="AS195" s="596"/>
      <c r="AT195" s="596"/>
      <c r="AU195" s="596"/>
      <c r="AV195" s="596"/>
      <c r="AW195" s="596"/>
      <c r="AX195" s="596"/>
      <c r="AY195" s="596"/>
      <c r="AZ195" s="596"/>
      <c r="BA195" s="596"/>
      <c r="BB195" s="596"/>
      <c r="BC195" s="596"/>
      <c r="BD195" s="596"/>
      <c r="BE195" s="596"/>
      <c r="BF195" s="596"/>
      <c r="BG195" s="596"/>
      <c r="BH195" s="596"/>
      <c r="BI195" s="596"/>
      <c r="BJ195" s="596"/>
      <c r="BK195" s="596"/>
      <c r="BL195" s="596"/>
      <c r="BM195" s="596"/>
      <c r="BN195" s="596"/>
      <c r="BO195" s="596"/>
      <c r="BP195" s="596"/>
      <c r="BQ195" s="596"/>
      <c r="BR195" s="596"/>
      <c r="BS195" s="596"/>
      <c r="BT195" s="596"/>
      <c r="BU195" s="596"/>
      <c r="BV195" s="596"/>
      <c r="BW195" s="596"/>
      <c r="BX195" s="596"/>
      <c r="BY195" s="596"/>
      <c r="BZ195" s="596"/>
      <c r="CA195" s="596"/>
      <c r="CB195" s="596"/>
      <c r="CC195" s="596"/>
      <c r="CD195" s="596"/>
      <c r="CE195" s="596"/>
      <c r="CF195" s="596"/>
      <c r="CG195" s="596"/>
      <c r="CH195" s="596"/>
      <c r="CI195" s="596"/>
      <c r="CJ195" s="596"/>
      <c r="CK195" s="596"/>
      <c r="CL195" s="596"/>
      <c r="CM195" s="596"/>
      <c r="CN195" s="596"/>
      <c r="CO195" s="596"/>
      <c r="CP195" s="596"/>
      <c r="CQ195" s="596"/>
      <c r="CR195" s="596"/>
      <c r="CS195" s="596"/>
      <c r="CT195" s="596"/>
      <c r="CU195" s="596"/>
      <c r="CV195" s="596"/>
      <c r="CW195" s="596"/>
      <c r="CX195" s="596"/>
      <c r="CY195" s="596"/>
      <c r="CZ195" s="596"/>
      <c r="DA195" s="596"/>
      <c r="DB195" s="596"/>
      <c r="DC195" s="596"/>
      <c r="DD195" s="596"/>
      <c r="DE195" s="596"/>
      <c r="DF195" s="596"/>
      <c r="DG195" s="596"/>
      <c r="DH195" s="596"/>
      <c r="DI195" s="596"/>
      <c r="DJ195" s="596"/>
      <c r="DK195" s="596"/>
      <c r="DL195" s="596"/>
      <c r="DM195" s="596"/>
      <c r="DN195" s="596"/>
      <c r="DO195" s="596"/>
      <c r="DP195" s="596"/>
      <c r="DQ195" s="596"/>
      <c r="DR195" s="596"/>
      <c r="DS195" s="596"/>
      <c r="DT195" s="596"/>
      <c r="DU195" s="596"/>
      <c r="DV195" s="596"/>
      <c r="DW195" s="596"/>
      <c r="DX195" s="596"/>
      <c r="DY195" s="596"/>
      <c r="DZ195" s="596"/>
      <c r="EA195" s="596"/>
    </row>
    <row r="196" spans="1:131">
      <c r="A196" s="596"/>
      <c r="B196" s="596"/>
      <c r="C196" s="596"/>
      <c r="D196" s="596"/>
      <c r="E196" s="596"/>
      <c r="F196" s="596"/>
      <c r="G196" s="596"/>
      <c r="H196" s="596"/>
      <c r="I196" s="596"/>
      <c r="J196" s="596"/>
      <c r="K196" s="638"/>
      <c r="L196" s="638"/>
      <c r="M196" s="638"/>
      <c r="N196" s="638"/>
      <c r="O196" s="638"/>
      <c r="P196" s="596"/>
      <c r="Q196" s="596"/>
      <c r="R196" s="596"/>
      <c r="S196" s="596"/>
      <c r="T196" s="596"/>
      <c r="U196" s="596"/>
      <c r="V196" s="596"/>
      <c r="W196" s="596"/>
      <c r="X196" s="596"/>
      <c r="Y196" s="596"/>
      <c r="Z196" s="596"/>
      <c r="AA196" s="596"/>
      <c r="AB196" s="596"/>
      <c r="AC196" s="596"/>
      <c r="AD196" s="596"/>
      <c r="AE196" s="596"/>
      <c r="AF196" s="596"/>
      <c r="AG196" s="596"/>
      <c r="AH196" s="596"/>
      <c r="AI196" s="596"/>
      <c r="AJ196" s="596"/>
      <c r="AK196" s="596"/>
      <c r="AL196" s="596"/>
      <c r="AM196" s="596"/>
      <c r="AN196" s="596"/>
      <c r="AO196" s="596"/>
      <c r="AP196" s="596"/>
      <c r="AQ196" s="596"/>
      <c r="AR196" s="596"/>
      <c r="AS196" s="596"/>
      <c r="AT196" s="596"/>
      <c r="AU196" s="596"/>
      <c r="AV196" s="596"/>
      <c r="AW196" s="596"/>
      <c r="AX196" s="596"/>
      <c r="AY196" s="596"/>
      <c r="AZ196" s="596"/>
      <c r="BA196" s="596"/>
      <c r="BB196" s="596"/>
      <c r="BC196" s="596"/>
      <c r="BD196" s="596"/>
      <c r="BE196" s="596"/>
      <c r="BF196" s="596"/>
      <c r="BG196" s="596"/>
      <c r="BH196" s="596"/>
      <c r="BI196" s="596"/>
      <c r="BJ196" s="596"/>
      <c r="BK196" s="596"/>
      <c r="BL196" s="596"/>
      <c r="BM196" s="596"/>
      <c r="BN196" s="596"/>
      <c r="BO196" s="596"/>
      <c r="BP196" s="596"/>
      <c r="BQ196" s="596"/>
      <c r="BR196" s="596"/>
      <c r="BS196" s="596"/>
      <c r="BT196" s="596"/>
      <c r="BU196" s="596"/>
      <c r="BV196" s="596"/>
      <c r="BW196" s="596"/>
      <c r="BX196" s="596"/>
      <c r="BY196" s="596"/>
      <c r="BZ196" s="596"/>
      <c r="CA196" s="596"/>
      <c r="CB196" s="596"/>
      <c r="CC196" s="596"/>
      <c r="CD196" s="596"/>
      <c r="CE196" s="596"/>
      <c r="CF196" s="596"/>
      <c r="CG196" s="596"/>
      <c r="CH196" s="596"/>
      <c r="CI196" s="596"/>
      <c r="CJ196" s="596"/>
      <c r="CK196" s="596"/>
      <c r="CL196" s="596"/>
      <c r="CM196" s="596"/>
      <c r="CN196" s="596"/>
      <c r="CO196" s="596"/>
      <c r="CP196" s="596"/>
      <c r="CQ196" s="596"/>
      <c r="CR196" s="596"/>
      <c r="CS196" s="596"/>
      <c r="CT196" s="596"/>
      <c r="CU196" s="596"/>
      <c r="CV196" s="596"/>
      <c r="CW196" s="596"/>
      <c r="CX196" s="596"/>
      <c r="CY196" s="596"/>
      <c r="CZ196" s="596"/>
      <c r="DA196" s="596"/>
      <c r="DB196" s="596"/>
      <c r="DC196" s="596"/>
      <c r="DD196" s="596"/>
      <c r="DE196" s="596"/>
      <c r="DF196" s="596"/>
      <c r="DG196" s="596"/>
      <c r="DH196" s="596"/>
      <c r="DI196" s="596"/>
      <c r="DJ196" s="596"/>
      <c r="DK196" s="596"/>
      <c r="DL196" s="596"/>
      <c r="DM196" s="596"/>
      <c r="DN196" s="596"/>
      <c r="DO196" s="596"/>
      <c r="DP196" s="596"/>
      <c r="DQ196" s="596"/>
      <c r="DR196" s="596"/>
      <c r="DS196" s="596"/>
      <c r="DT196" s="596"/>
      <c r="DU196" s="596"/>
      <c r="DV196" s="596"/>
      <c r="DW196" s="596"/>
      <c r="DX196" s="596"/>
      <c r="DY196" s="596"/>
      <c r="DZ196" s="596"/>
      <c r="EA196" s="596"/>
    </row>
    <row r="197" spans="1:131">
      <c r="A197" s="596"/>
      <c r="B197" s="596"/>
      <c r="C197" s="596"/>
      <c r="D197" s="596"/>
      <c r="E197" s="596"/>
      <c r="F197" s="596"/>
      <c r="G197" s="596"/>
      <c r="H197" s="596"/>
      <c r="I197" s="596"/>
      <c r="J197" s="596"/>
      <c r="K197" s="638"/>
      <c r="L197" s="638"/>
      <c r="M197" s="638"/>
      <c r="N197" s="638"/>
      <c r="O197" s="638"/>
      <c r="P197" s="596"/>
      <c r="Q197" s="596"/>
      <c r="R197" s="596"/>
      <c r="S197" s="596"/>
      <c r="T197" s="596"/>
      <c r="U197" s="596"/>
      <c r="V197" s="596"/>
      <c r="W197" s="596"/>
      <c r="X197" s="596"/>
      <c r="Y197" s="596"/>
      <c r="Z197" s="596"/>
      <c r="AA197" s="596"/>
      <c r="AB197" s="596"/>
      <c r="AC197" s="596"/>
      <c r="AD197" s="596"/>
      <c r="AE197" s="596"/>
      <c r="AF197" s="596"/>
      <c r="AG197" s="596"/>
      <c r="AH197" s="596"/>
      <c r="AI197" s="596"/>
      <c r="AJ197" s="596"/>
      <c r="AK197" s="596"/>
      <c r="AL197" s="596"/>
      <c r="AM197" s="596"/>
      <c r="AN197" s="596"/>
      <c r="AO197" s="596"/>
      <c r="AP197" s="596"/>
      <c r="AQ197" s="596"/>
      <c r="AR197" s="596"/>
      <c r="AS197" s="596"/>
      <c r="AT197" s="596"/>
      <c r="AU197" s="596"/>
      <c r="AV197" s="596"/>
      <c r="AW197" s="596"/>
      <c r="AX197" s="596"/>
      <c r="AY197" s="596"/>
      <c r="AZ197" s="596"/>
      <c r="BA197" s="596"/>
      <c r="BB197" s="596"/>
      <c r="BC197" s="596"/>
      <c r="BD197" s="596"/>
      <c r="BE197" s="596"/>
      <c r="BF197" s="596"/>
      <c r="BG197" s="596"/>
      <c r="BH197" s="596"/>
      <c r="BI197" s="596"/>
      <c r="BJ197" s="596"/>
      <c r="BK197" s="596"/>
      <c r="BL197" s="596"/>
      <c r="BM197" s="596"/>
      <c r="BN197" s="596"/>
      <c r="BO197" s="596"/>
      <c r="BP197" s="596"/>
      <c r="BQ197" s="596"/>
      <c r="BR197" s="596"/>
      <c r="BS197" s="596"/>
      <c r="BT197" s="596"/>
      <c r="BU197" s="596"/>
      <c r="BV197" s="596"/>
      <c r="BW197" s="596"/>
      <c r="BX197" s="596"/>
      <c r="BY197" s="596"/>
      <c r="BZ197" s="596"/>
      <c r="CA197" s="596"/>
      <c r="CB197" s="596"/>
      <c r="CC197" s="596"/>
      <c r="CD197" s="596"/>
      <c r="CE197" s="596"/>
      <c r="CF197" s="596"/>
      <c r="CG197" s="596"/>
      <c r="CH197" s="596"/>
      <c r="CI197" s="596"/>
      <c r="CJ197" s="596"/>
      <c r="CK197" s="596"/>
      <c r="CL197" s="596"/>
      <c r="CM197" s="596"/>
      <c r="CN197" s="596"/>
      <c r="CO197" s="596"/>
      <c r="CP197" s="596"/>
      <c r="CQ197" s="596"/>
      <c r="CR197" s="596"/>
      <c r="CS197" s="596"/>
      <c r="CT197" s="596"/>
      <c r="CU197" s="596"/>
      <c r="CV197" s="596"/>
      <c r="CW197" s="596"/>
      <c r="CX197" s="596"/>
      <c r="CY197" s="596"/>
      <c r="CZ197" s="596"/>
      <c r="DA197" s="596"/>
      <c r="DB197" s="596"/>
      <c r="DC197" s="596"/>
      <c r="DD197" s="596"/>
      <c r="DE197" s="596"/>
      <c r="DF197" s="596"/>
      <c r="DG197" s="596"/>
      <c r="DH197" s="596"/>
      <c r="DI197" s="596"/>
      <c r="DJ197" s="596"/>
      <c r="DK197" s="596"/>
      <c r="DL197" s="596"/>
      <c r="DM197" s="596"/>
      <c r="DN197" s="596"/>
      <c r="DO197" s="596"/>
      <c r="DP197" s="596"/>
      <c r="DQ197" s="596"/>
      <c r="DR197" s="596"/>
      <c r="DS197" s="596"/>
      <c r="DT197" s="596"/>
      <c r="DU197" s="596"/>
      <c r="DV197" s="596"/>
      <c r="DW197" s="596"/>
      <c r="DX197" s="596"/>
      <c r="DY197" s="596"/>
      <c r="DZ197" s="596"/>
      <c r="EA197" s="596"/>
    </row>
    <row r="198" spans="1:131">
      <c r="A198" s="596"/>
      <c r="B198" s="596"/>
      <c r="C198" s="596"/>
      <c r="D198" s="596"/>
      <c r="E198" s="596"/>
      <c r="F198" s="596"/>
      <c r="G198" s="596"/>
      <c r="H198" s="596"/>
      <c r="I198" s="596"/>
      <c r="J198" s="596"/>
      <c r="K198" s="638"/>
      <c r="L198" s="638"/>
      <c r="M198" s="638"/>
      <c r="N198" s="638"/>
      <c r="O198" s="638"/>
      <c r="P198" s="596"/>
      <c r="Q198" s="596"/>
      <c r="R198" s="596"/>
      <c r="S198" s="596"/>
      <c r="T198" s="596"/>
      <c r="U198" s="596"/>
      <c r="V198" s="596"/>
      <c r="W198" s="596"/>
      <c r="X198" s="596"/>
      <c r="Y198" s="596"/>
      <c r="Z198" s="596"/>
      <c r="AA198" s="596"/>
      <c r="AB198" s="596"/>
      <c r="AC198" s="596"/>
      <c r="AD198" s="596"/>
      <c r="AE198" s="596"/>
      <c r="AF198" s="596"/>
      <c r="AG198" s="596"/>
      <c r="AH198" s="596"/>
      <c r="AI198" s="596"/>
      <c r="AJ198" s="596"/>
      <c r="AK198" s="596"/>
      <c r="AL198" s="596"/>
      <c r="AM198" s="596"/>
      <c r="AN198" s="596"/>
      <c r="AO198" s="596"/>
      <c r="AP198" s="596"/>
      <c r="AQ198" s="596"/>
      <c r="AR198" s="596"/>
      <c r="AS198" s="596"/>
      <c r="AT198" s="596"/>
      <c r="AU198" s="596"/>
      <c r="AV198" s="596"/>
      <c r="AW198" s="596"/>
      <c r="AX198" s="596"/>
      <c r="AY198" s="596"/>
      <c r="AZ198" s="596"/>
      <c r="BA198" s="596"/>
      <c r="BB198" s="596"/>
      <c r="BC198" s="596"/>
      <c r="BD198" s="596"/>
      <c r="BE198" s="596"/>
      <c r="BF198" s="596"/>
      <c r="BG198" s="596"/>
      <c r="BH198" s="596"/>
      <c r="BI198" s="596"/>
      <c r="BJ198" s="596"/>
      <c r="BK198" s="596"/>
      <c r="BL198" s="596"/>
      <c r="BM198" s="596"/>
      <c r="BN198" s="596"/>
      <c r="BO198" s="596"/>
      <c r="BP198" s="596"/>
      <c r="BQ198" s="596"/>
      <c r="BR198" s="596"/>
      <c r="BS198" s="596"/>
      <c r="BT198" s="596"/>
      <c r="BU198" s="596"/>
      <c r="BV198" s="596"/>
      <c r="BW198" s="596"/>
      <c r="BX198" s="596"/>
      <c r="BY198" s="596"/>
      <c r="BZ198" s="596"/>
      <c r="CA198" s="596"/>
      <c r="CB198" s="596"/>
      <c r="CC198" s="596"/>
      <c r="CD198" s="596"/>
      <c r="CE198" s="596"/>
      <c r="CF198" s="596"/>
      <c r="CG198" s="596"/>
      <c r="CH198" s="596"/>
      <c r="CI198" s="596"/>
      <c r="CJ198" s="596"/>
      <c r="CK198" s="596"/>
      <c r="CL198" s="596"/>
      <c r="CM198" s="596"/>
      <c r="CN198" s="596"/>
      <c r="CO198" s="596"/>
      <c r="CP198" s="596"/>
      <c r="CQ198" s="596"/>
      <c r="CR198" s="596"/>
      <c r="CS198" s="596"/>
      <c r="CT198" s="596"/>
      <c r="CU198" s="596"/>
      <c r="CV198" s="596"/>
      <c r="CW198" s="596"/>
      <c r="CX198" s="596"/>
      <c r="CY198" s="596"/>
      <c r="CZ198" s="596"/>
      <c r="DA198" s="596"/>
      <c r="DB198" s="596"/>
      <c r="DC198" s="596"/>
      <c r="DD198" s="596"/>
      <c r="DE198" s="596"/>
      <c r="DF198" s="596"/>
      <c r="DG198" s="596"/>
      <c r="DH198" s="596"/>
      <c r="DI198" s="596"/>
      <c r="DJ198" s="596"/>
      <c r="DK198" s="596"/>
      <c r="DL198" s="596"/>
      <c r="DM198" s="596"/>
      <c r="DN198" s="596"/>
      <c r="DO198" s="596"/>
      <c r="DP198" s="596"/>
      <c r="DQ198" s="596"/>
      <c r="DR198" s="596"/>
      <c r="DS198" s="596"/>
      <c r="DT198" s="596"/>
      <c r="DU198" s="596"/>
      <c r="DV198" s="596"/>
      <c r="DW198" s="596"/>
      <c r="DX198" s="596"/>
      <c r="DY198" s="596"/>
      <c r="DZ198" s="596"/>
      <c r="EA198" s="596"/>
    </row>
    <row r="199" spans="1:131">
      <c r="A199" s="596"/>
      <c r="B199" s="596"/>
      <c r="C199" s="596"/>
      <c r="D199" s="596"/>
      <c r="E199" s="596"/>
      <c r="F199" s="596"/>
      <c r="G199" s="596"/>
      <c r="H199" s="596"/>
      <c r="I199" s="596"/>
      <c r="J199" s="596"/>
      <c r="K199" s="638"/>
      <c r="L199" s="638"/>
      <c r="M199" s="638"/>
      <c r="N199" s="638"/>
      <c r="O199" s="638"/>
      <c r="P199" s="596"/>
      <c r="Q199" s="596"/>
      <c r="R199" s="596"/>
      <c r="S199" s="596"/>
      <c r="T199" s="596"/>
      <c r="U199" s="596"/>
      <c r="V199" s="596"/>
      <c r="W199" s="596"/>
      <c r="X199" s="596"/>
      <c r="Y199" s="596"/>
      <c r="Z199" s="596"/>
      <c r="AA199" s="596"/>
      <c r="AB199" s="596"/>
      <c r="AC199" s="596"/>
      <c r="AD199" s="596"/>
      <c r="AE199" s="596"/>
      <c r="AF199" s="596"/>
      <c r="AG199" s="596"/>
      <c r="AH199" s="596"/>
      <c r="AI199" s="596"/>
      <c r="AJ199" s="596"/>
      <c r="AK199" s="596"/>
      <c r="AL199" s="596"/>
      <c r="AM199" s="596"/>
      <c r="AN199" s="596"/>
      <c r="AO199" s="596"/>
      <c r="AP199" s="596"/>
      <c r="AQ199" s="596"/>
      <c r="AR199" s="596"/>
      <c r="AS199" s="596"/>
      <c r="AT199" s="596"/>
      <c r="AU199" s="596"/>
      <c r="AV199" s="596"/>
      <c r="AW199" s="596"/>
      <c r="AX199" s="596"/>
      <c r="AY199" s="596"/>
      <c r="AZ199" s="596"/>
      <c r="BA199" s="596"/>
      <c r="BB199" s="596"/>
      <c r="BC199" s="596"/>
      <c r="BD199" s="596"/>
      <c r="BE199" s="596"/>
      <c r="BF199" s="596"/>
      <c r="BG199" s="596"/>
      <c r="BH199" s="596"/>
      <c r="BI199" s="596"/>
      <c r="BJ199" s="596"/>
      <c r="BK199" s="596"/>
      <c r="BL199" s="596"/>
      <c r="BM199" s="596"/>
      <c r="BN199" s="596"/>
      <c r="BO199" s="596"/>
      <c r="BP199" s="596"/>
      <c r="BQ199" s="596"/>
      <c r="BR199" s="596"/>
      <c r="BS199" s="596"/>
      <c r="BT199" s="596"/>
      <c r="BU199" s="596"/>
      <c r="BV199" s="596"/>
      <c r="BW199" s="596"/>
      <c r="BX199" s="596"/>
      <c r="BY199" s="596"/>
      <c r="BZ199" s="596"/>
      <c r="CA199" s="596"/>
      <c r="CB199" s="596"/>
      <c r="CC199" s="596"/>
      <c r="CD199" s="596"/>
      <c r="CE199" s="596"/>
      <c r="CF199" s="596"/>
      <c r="CG199" s="596"/>
      <c r="CH199" s="596"/>
      <c r="CI199" s="596"/>
      <c r="CJ199" s="596"/>
      <c r="CK199" s="596"/>
      <c r="CL199" s="596"/>
      <c r="CM199" s="596"/>
      <c r="CN199" s="596"/>
      <c r="CO199" s="596"/>
      <c r="CP199" s="596"/>
      <c r="CQ199" s="596"/>
      <c r="CR199" s="596"/>
      <c r="CS199" s="596"/>
      <c r="CT199" s="596"/>
      <c r="CU199" s="596"/>
      <c r="CV199" s="596"/>
      <c r="CW199" s="596"/>
      <c r="CX199" s="596"/>
      <c r="CY199" s="596"/>
      <c r="CZ199" s="596"/>
      <c r="DA199" s="596"/>
      <c r="DB199" s="596"/>
      <c r="DC199" s="596"/>
      <c r="DD199" s="596"/>
      <c r="DE199" s="596"/>
      <c r="DF199" s="596"/>
      <c r="DG199" s="596"/>
      <c r="DH199" s="596"/>
      <c r="DI199" s="596"/>
      <c r="DJ199" s="596"/>
      <c r="DK199" s="596"/>
      <c r="DL199" s="596"/>
      <c r="DM199" s="596"/>
      <c r="DN199" s="596"/>
      <c r="DO199" s="596"/>
      <c r="DP199" s="596"/>
      <c r="DQ199" s="596"/>
      <c r="DR199" s="596"/>
      <c r="DS199" s="596"/>
      <c r="DT199" s="596"/>
      <c r="DU199" s="596"/>
      <c r="DV199" s="596"/>
      <c r="DW199" s="596"/>
      <c r="DX199" s="596"/>
      <c r="DY199" s="596"/>
      <c r="DZ199" s="596"/>
      <c r="EA199" s="596"/>
    </row>
    <row r="200" spans="1:131">
      <c r="A200" s="596"/>
      <c r="B200" s="596"/>
      <c r="C200" s="596"/>
      <c r="D200" s="596"/>
      <c r="E200" s="596"/>
      <c r="F200" s="596"/>
      <c r="G200" s="596"/>
      <c r="H200" s="596"/>
      <c r="I200" s="596"/>
      <c r="J200" s="596"/>
      <c r="K200" s="638"/>
      <c r="L200" s="638"/>
      <c r="M200" s="638"/>
      <c r="N200" s="638"/>
      <c r="O200" s="638"/>
      <c r="P200" s="596"/>
      <c r="Q200" s="596"/>
      <c r="R200" s="596"/>
      <c r="S200" s="596"/>
      <c r="T200" s="596"/>
      <c r="U200" s="596"/>
      <c r="V200" s="596"/>
      <c r="W200" s="596"/>
      <c r="X200" s="596"/>
      <c r="Y200" s="596"/>
      <c r="Z200" s="596"/>
      <c r="AA200" s="596"/>
      <c r="AB200" s="596"/>
      <c r="AC200" s="596"/>
      <c r="AD200" s="596"/>
      <c r="AE200" s="596"/>
      <c r="AF200" s="596"/>
      <c r="AG200" s="596"/>
      <c r="AH200" s="596"/>
      <c r="AI200" s="596"/>
      <c r="AJ200" s="596"/>
      <c r="AK200" s="596"/>
      <c r="AL200" s="596"/>
      <c r="AM200" s="596"/>
      <c r="AN200" s="596"/>
      <c r="AO200" s="596"/>
      <c r="AP200" s="596"/>
      <c r="AQ200" s="596"/>
      <c r="AR200" s="596"/>
      <c r="AS200" s="596"/>
      <c r="AT200" s="596"/>
      <c r="AU200" s="596"/>
      <c r="AV200" s="596"/>
      <c r="AW200" s="596"/>
      <c r="AX200" s="596"/>
      <c r="AY200" s="596"/>
      <c r="AZ200" s="596"/>
      <c r="BA200" s="596"/>
      <c r="BB200" s="596"/>
      <c r="BC200" s="596"/>
      <c r="BD200" s="596"/>
      <c r="BE200" s="596"/>
      <c r="BF200" s="596"/>
      <c r="BG200" s="596"/>
      <c r="BH200" s="596"/>
      <c r="BI200" s="596"/>
      <c r="BJ200" s="596"/>
      <c r="BK200" s="596"/>
      <c r="BL200" s="596"/>
      <c r="BM200" s="596"/>
      <c r="BN200" s="596"/>
      <c r="BO200" s="596"/>
      <c r="BP200" s="596"/>
      <c r="BQ200" s="596"/>
      <c r="BR200" s="596"/>
      <c r="BS200" s="596"/>
      <c r="BT200" s="596"/>
      <c r="BU200" s="596"/>
      <c r="BV200" s="596"/>
      <c r="BW200" s="596"/>
      <c r="BX200" s="596"/>
      <c r="BY200" s="596"/>
      <c r="BZ200" s="596"/>
      <c r="CA200" s="596"/>
      <c r="CB200" s="596"/>
      <c r="CC200" s="596"/>
      <c r="CD200" s="596"/>
      <c r="CE200" s="596"/>
      <c r="CF200" s="596"/>
      <c r="CG200" s="596"/>
      <c r="CH200" s="596"/>
      <c r="CI200" s="596"/>
      <c r="CJ200" s="596"/>
      <c r="CK200" s="596"/>
      <c r="CL200" s="596"/>
      <c r="CM200" s="596"/>
      <c r="CN200" s="596"/>
      <c r="CO200" s="596"/>
      <c r="CP200" s="596"/>
      <c r="CQ200" s="596"/>
      <c r="CR200" s="596"/>
      <c r="CS200" s="596"/>
      <c r="CT200" s="596"/>
      <c r="CU200" s="596"/>
      <c r="CV200" s="596"/>
      <c r="CW200" s="596"/>
      <c r="CX200" s="596"/>
      <c r="CY200" s="596"/>
      <c r="CZ200" s="596"/>
      <c r="DA200" s="596"/>
      <c r="DB200" s="596"/>
      <c r="DC200" s="596"/>
      <c r="DD200" s="596"/>
      <c r="DE200" s="596"/>
      <c r="DF200" s="596"/>
      <c r="DG200" s="596"/>
      <c r="DH200" s="596"/>
      <c r="DI200" s="596"/>
      <c r="DJ200" s="596"/>
      <c r="DK200" s="596"/>
      <c r="DL200" s="596"/>
      <c r="DM200" s="596"/>
      <c r="DN200" s="596"/>
      <c r="DO200" s="596"/>
      <c r="DP200" s="596"/>
      <c r="DQ200" s="596"/>
      <c r="DR200" s="596"/>
      <c r="DS200" s="596"/>
      <c r="DT200" s="596"/>
      <c r="DU200" s="596"/>
      <c r="DV200" s="596"/>
      <c r="DW200" s="596"/>
      <c r="DX200" s="596"/>
      <c r="DY200" s="596"/>
      <c r="DZ200" s="596"/>
      <c r="EA200" s="596"/>
    </row>
    <row r="201" spans="1:131">
      <c r="A201" s="596"/>
      <c r="B201" s="596"/>
      <c r="C201" s="596"/>
      <c r="D201" s="596"/>
      <c r="E201" s="596"/>
      <c r="F201" s="596"/>
      <c r="G201" s="596"/>
      <c r="H201" s="596"/>
      <c r="I201" s="596"/>
      <c r="J201" s="596"/>
      <c r="K201" s="638"/>
      <c r="L201" s="638"/>
      <c r="M201" s="638"/>
      <c r="N201" s="638"/>
      <c r="O201" s="638"/>
      <c r="P201" s="596"/>
      <c r="Q201" s="596"/>
      <c r="R201" s="596"/>
      <c r="S201" s="596"/>
      <c r="T201" s="596"/>
      <c r="U201" s="596"/>
      <c r="V201" s="596"/>
      <c r="W201" s="596"/>
      <c r="X201" s="596"/>
      <c r="Y201" s="596"/>
      <c r="Z201" s="596"/>
      <c r="AA201" s="596"/>
      <c r="AB201" s="596"/>
      <c r="AC201" s="596"/>
      <c r="AD201" s="596"/>
      <c r="AE201" s="596"/>
      <c r="AF201" s="596"/>
      <c r="AG201" s="596"/>
      <c r="AH201" s="596"/>
      <c r="AI201" s="596"/>
      <c r="AJ201" s="596"/>
      <c r="AK201" s="596"/>
      <c r="AL201" s="596"/>
      <c r="AM201" s="596"/>
      <c r="AN201" s="596"/>
      <c r="AO201" s="596"/>
      <c r="AP201" s="596"/>
      <c r="AQ201" s="596"/>
      <c r="AR201" s="596"/>
      <c r="AS201" s="596"/>
      <c r="AT201" s="596"/>
      <c r="AU201" s="596"/>
      <c r="AV201" s="596"/>
      <c r="AW201" s="596"/>
      <c r="AX201" s="596"/>
      <c r="AY201" s="596"/>
      <c r="AZ201" s="596"/>
      <c r="BA201" s="596"/>
      <c r="BB201" s="596"/>
      <c r="BC201" s="596"/>
      <c r="BD201" s="596"/>
      <c r="BE201" s="596"/>
      <c r="BF201" s="596"/>
      <c r="BG201" s="596"/>
      <c r="BH201" s="596"/>
      <c r="BI201" s="596"/>
      <c r="BJ201" s="596"/>
      <c r="BK201" s="596"/>
      <c r="BL201" s="596"/>
      <c r="BM201" s="596"/>
      <c r="BN201" s="596"/>
      <c r="BO201" s="596"/>
      <c r="BP201" s="596"/>
      <c r="BQ201" s="596"/>
      <c r="BR201" s="596"/>
      <c r="BS201" s="596"/>
      <c r="BT201" s="596"/>
      <c r="BU201" s="596"/>
      <c r="BV201" s="596"/>
      <c r="BW201" s="596"/>
      <c r="BX201" s="596"/>
      <c r="BY201" s="596"/>
      <c r="BZ201" s="596"/>
      <c r="CA201" s="596"/>
      <c r="CB201" s="596"/>
      <c r="CC201" s="596"/>
      <c r="CD201" s="596"/>
      <c r="CE201" s="596"/>
      <c r="CF201" s="596"/>
      <c r="CG201" s="596"/>
      <c r="CH201" s="596"/>
      <c r="CI201" s="596"/>
      <c r="CJ201" s="596"/>
      <c r="CK201" s="596"/>
      <c r="CL201" s="596"/>
      <c r="CM201" s="596"/>
      <c r="CN201" s="596"/>
      <c r="CO201" s="596"/>
      <c r="CP201" s="596"/>
      <c r="CQ201" s="596"/>
      <c r="CR201" s="596"/>
      <c r="CS201" s="596"/>
      <c r="CT201" s="596"/>
      <c r="CU201" s="596"/>
      <c r="CV201" s="596"/>
      <c r="CW201" s="596"/>
      <c r="CX201" s="596"/>
      <c r="CY201" s="596"/>
      <c r="CZ201" s="596"/>
      <c r="DA201" s="596"/>
      <c r="DB201" s="596"/>
      <c r="DC201" s="596"/>
      <c r="DD201" s="596"/>
      <c r="DE201" s="596"/>
      <c r="DF201" s="596"/>
      <c r="DG201" s="596"/>
      <c r="DH201" s="596"/>
      <c r="DI201" s="596"/>
      <c r="DJ201" s="596"/>
      <c r="DK201" s="596"/>
      <c r="DL201" s="596"/>
      <c r="DM201" s="596"/>
      <c r="DN201" s="596"/>
      <c r="DO201" s="596"/>
      <c r="DP201" s="596"/>
      <c r="DQ201" s="596"/>
      <c r="DR201" s="596"/>
      <c r="DS201" s="596"/>
      <c r="DT201" s="596"/>
      <c r="DU201" s="596"/>
      <c r="DV201" s="596"/>
      <c r="DW201" s="596"/>
      <c r="DX201" s="596"/>
      <c r="DY201" s="596"/>
      <c r="DZ201" s="596"/>
      <c r="EA201" s="596"/>
    </row>
    <row r="202" spans="1:131">
      <c r="A202" s="596"/>
      <c r="B202" s="596"/>
      <c r="C202" s="596"/>
      <c r="D202" s="596"/>
      <c r="E202" s="596"/>
      <c r="F202" s="596"/>
      <c r="G202" s="596"/>
      <c r="H202" s="596"/>
      <c r="I202" s="596"/>
      <c r="J202" s="596"/>
      <c r="K202" s="638"/>
      <c r="L202" s="638"/>
      <c r="M202" s="638"/>
      <c r="N202" s="638"/>
      <c r="O202" s="638"/>
      <c r="P202" s="596"/>
      <c r="Q202" s="596"/>
      <c r="R202" s="596"/>
      <c r="S202" s="596"/>
      <c r="T202" s="596"/>
      <c r="U202" s="596"/>
      <c r="V202" s="596"/>
      <c r="W202" s="596"/>
      <c r="X202" s="596"/>
      <c r="Y202" s="596"/>
      <c r="Z202" s="596"/>
      <c r="AA202" s="596"/>
      <c r="AB202" s="596"/>
      <c r="AC202" s="596"/>
      <c r="AD202" s="596"/>
      <c r="AE202" s="596"/>
      <c r="AF202" s="596"/>
      <c r="AG202" s="596"/>
      <c r="AH202" s="596"/>
      <c r="AI202" s="596"/>
      <c r="AJ202" s="596"/>
      <c r="AK202" s="596"/>
      <c r="AL202" s="596"/>
      <c r="AM202" s="596"/>
      <c r="AN202" s="596"/>
      <c r="AO202" s="596"/>
      <c r="AP202" s="596"/>
      <c r="AQ202" s="596"/>
      <c r="AR202" s="596"/>
      <c r="AS202" s="596"/>
      <c r="AT202" s="596"/>
      <c r="AU202" s="596"/>
      <c r="AV202" s="596"/>
      <c r="AW202" s="596"/>
      <c r="AX202" s="596"/>
      <c r="AY202" s="596"/>
      <c r="AZ202" s="596"/>
      <c r="BA202" s="596"/>
      <c r="BB202" s="596"/>
      <c r="BC202" s="596"/>
      <c r="BD202" s="596"/>
      <c r="BE202" s="596"/>
      <c r="BF202" s="596"/>
      <c r="BG202" s="596"/>
      <c r="BH202" s="596"/>
      <c r="BI202" s="596"/>
      <c r="BJ202" s="596"/>
      <c r="BK202" s="596"/>
      <c r="BL202" s="596"/>
      <c r="BM202" s="596"/>
      <c r="BN202" s="596"/>
      <c r="BO202" s="596"/>
      <c r="BP202" s="596"/>
      <c r="BQ202" s="596"/>
      <c r="BR202" s="596"/>
      <c r="BS202" s="596"/>
      <c r="BT202" s="596"/>
      <c r="BU202" s="596"/>
      <c r="BV202" s="596"/>
      <c r="BW202" s="596"/>
      <c r="BX202" s="596"/>
      <c r="BY202" s="596"/>
      <c r="BZ202" s="596"/>
      <c r="CA202" s="596"/>
      <c r="CB202" s="596"/>
      <c r="CC202" s="596"/>
      <c r="CD202" s="596"/>
      <c r="CE202" s="596"/>
      <c r="CF202" s="596"/>
      <c r="CG202" s="596"/>
      <c r="CH202" s="596"/>
      <c r="CI202" s="596"/>
      <c r="CJ202" s="596"/>
      <c r="CK202" s="596"/>
      <c r="CL202" s="596"/>
      <c r="CM202" s="596"/>
      <c r="CN202" s="596"/>
      <c r="CO202" s="596"/>
      <c r="CP202" s="596"/>
      <c r="CQ202" s="596"/>
      <c r="CR202" s="596"/>
      <c r="CS202" s="596"/>
      <c r="CT202" s="596"/>
      <c r="CU202" s="596"/>
      <c r="CV202" s="596"/>
      <c r="CW202" s="596"/>
      <c r="CX202" s="596"/>
      <c r="CY202" s="596"/>
      <c r="CZ202" s="596"/>
      <c r="DA202" s="596"/>
      <c r="DB202" s="596"/>
      <c r="DC202" s="596"/>
      <c r="DD202" s="596"/>
      <c r="DE202" s="596"/>
      <c r="DF202" s="596"/>
      <c r="DG202" s="596"/>
      <c r="DH202" s="596"/>
      <c r="DI202" s="596"/>
      <c r="DJ202" s="596"/>
      <c r="DK202" s="596"/>
      <c r="DL202" s="596"/>
      <c r="DM202" s="596"/>
      <c r="DN202" s="596"/>
      <c r="DO202" s="596"/>
      <c r="DP202" s="596"/>
      <c r="DQ202" s="596"/>
      <c r="DR202" s="596"/>
      <c r="DS202" s="596"/>
      <c r="DT202" s="596"/>
      <c r="DU202" s="596"/>
      <c r="DV202" s="596"/>
      <c r="DW202" s="596"/>
      <c r="DX202" s="596"/>
      <c r="DY202" s="596"/>
      <c r="DZ202" s="596"/>
      <c r="EA202" s="596"/>
    </row>
    <row r="203" spans="1:131">
      <c r="A203" s="596"/>
      <c r="B203" s="596"/>
      <c r="C203" s="596"/>
      <c r="D203" s="596"/>
      <c r="E203" s="596"/>
      <c r="F203" s="596"/>
      <c r="G203" s="596"/>
      <c r="H203" s="596"/>
      <c r="I203" s="596"/>
      <c r="J203" s="596"/>
      <c r="K203" s="638"/>
      <c r="L203" s="638"/>
      <c r="M203" s="638"/>
      <c r="N203" s="638"/>
      <c r="O203" s="638"/>
      <c r="P203" s="596"/>
      <c r="Q203" s="596"/>
      <c r="R203" s="596"/>
      <c r="S203" s="596"/>
      <c r="T203" s="596"/>
      <c r="U203" s="596"/>
      <c r="V203" s="596"/>
      <c r="W203" s="596"/>
      <c r="X203" s="596"/>
      <c r="Y203" s="596"/>
      <c r="Z203" s="596"/>
      <c r="AA203" s="596"/>
      <c r="AB203" s="596"/>
      <c r="AC203" s="596"/>
      <c r="AD203" s="596"/>
      <c r="AE203" s="596"/>
      <c r="AF203" s="596"/>
      <c r="AG203" s="596"/>
      <c r="AH203" s="596"/>
      <c r="AI203" s="596"/>
      <c r="AJ203" s="596"/>
      <c r="AK203" s="596"/>
      <c r="AL203" s="596"/>
      <c r="AM203" s="596"/>
      <c r="AN203" s="596"/>
      <c r="AO203" s="596"/>
      <c r="AP203" s="596"/>
      <c r="AQ203" s="596"/>
      <c r="AR203" s="596"/>
      <c r="AS203" s="596"/>
      <c r="AT203" s="596"/>
      <c r="AU203" s="596"/>
      <c r="AV203" s="596"/>
      <c r="AW203" s="596"/>
      <c r="AX203" s="596"/>
      <c r="AY203" s="596"/>
      <c r="AZ203" s="596"/>
      <c r="BA203" s="596"/>
      <c r="BB203" s="596"/>
      <c r="BC203" s="596"/>
      <c r="BD203" s="596"/>
      <c r="BE203" s="596"/>
      <c r="BF203" s="596"/>
      <c r="BG203" s="596"/>
      <c r="BH203" s="596"/>
      <c r="BI203" s="596"/>
      <c r="BJ203" s="596"/>
      <c r="BK203" s="596"/>
      <c r="BL203" s="596"/>
      <c r="BM203" s="596"/>
      <c r="BN203" s="596"/>
      <c r="BO203" s="596"/>
      <c r="BP203" s="596"/>
      <c r="BQ203" s="596"/>
      <c r="BR203" s="596"/>
      <c r="BS203" s="596"/>
      <c r="BT203" s="596"/>
      <c r="BU203" s="596"/>
      <c r="BV203" s="596"/>
      <c r="BW203" s="596"/>
      <c r="BX203" s="596"/>
      <c r="BY203" s="596"/>
      <c r="BZ203" s="596"/>
      <c r="CA203" s="596"/>
      <c r="CB203" s="596"/>
      <c r="CC203" s="596"/>
      <c r="CD203" s="596"/>
      <c r="CE203" s="596"/>
      <c r="CF203" s="596"/>
      <c r="CG203" s="596"/>
      <c r="CH203" s="596"/>
      <c r="CI203" s="596"/>
      <c r="CJ203" s="596"/>
      <c r="CK203" s="596"/>
      <c r="CL203" s="596"/>
      <c r="CM203" s="596"/>
      <c r="CN203" s="596"/>
      <c r="CO203" s="596"/>
      <c r="CP203" s="596"/>
      <c r="CQ203" s="596"/>
      <c r="CR203" s="596"/>
      <c r="CS203" s="596"/>
      <c r="CT203" s="596"/>
      <c r="CU203" s="596"/>
      <c r="CV203" s="596"/>
      <c r="CW203" s="596"/>
      <c r="CX203" s="596"/>
      <c r="CY203" s="596"/>
      <c r="CZ203" s="596"/>
      <c r="DA203" s="596"/>
      <c r="DB203" s="596"/>
      <c r="DC203" s="596"/>
      <c r="DD203" s="596"/>
      <c r="DE203" s="596"/>
      <c r="DF203" s="596"/>
      <c r="DG203" s="596"/>
      <c r="DH203" s="596"/>
      <c r="DI203" s="596"/>
      <c r="DJ203" s="596"/>
      <c r="DK203" s="596"/>
      <c r="DL203" s="596"/>
      <c r="DM203" s="596"/>
      <c r="DN203" s="596"/>
      <c r="DO203" s="596"/>
      <c r="DP203" s="596"/>
      <c r="DQ203" s="596"/>
      <c r="DR203" s="596"/>
      <c r="DS203" s="596"/>
      <c r="DT203" s="596"/>
      <c r="DU203" s="596"/>
      <c r="DV203" s="596"/>
      <c r="DW203" s="596"/>
      <c r="DX203" s="596"/>
      <c r="DY203" s="596"/>
      <c r="DZ203" s="596"/>
      <c r="EA203" s="596"/>
    </row>
    <row r="204" spans="1:131">
      <c r="A204" s="596"/>
      <c r="B204" s="596"/>
      <c r="C204" s="596"/>
      <c r="D204" s="596"/>
      <c r="E204" s="596"/>
      <c r="F204" s="596"/>
      <c r="G204" s="596"/>
      <c r="H204" s="596"/>
      <c r="I204" s="596"/>
      <c r="J204" s="596"/>
      <c r="K204" s="638"/>
      <c r="L204" s="638"/>
      <c r="M204" s="638"/>
      <c r="N204" s="638"/>
      <c r="O204" s="638"/>
      <c r="P204" s="596"/>
      <c r="Q204" s="596"/>
      <c r="R204" s="596"/>
      <c r="S204" s="596"/>
      <c r="T204" s="596"/>
      <c r="U204" s="596"/>
      <c r="V204" s="596"/>
      <c r="W204" s="596"/>
      <c r="X204" s="596"/>
      <c r="Y204" s="596"/>
      <c r="Z204" s="596"/>
      <c r="AA204" s="596"/>
      <c r="AB204" s="596"/>
      <c r="AC204" s="596"/>
      <c r="AD204" s="596"/>
      <c r="AE204" s="596"/>
      <c r="AF204" s="596"/>
      <c r="AG204" s="596"/>
      <c r="AH204" s="596"/>
      <c r="AI204" s="596"/>
      <c r="AJ204" s="596"/>
      <c r="AK204" s="596"/>
      <c r="AL204" s="596"/>
      <c r="AM204" s="596"/>
      <c r="AN204" s="596"/>
      <c r="AO204" s="596"/>
      <c r="AP204" s="596"/>
      <c r="AQ204" s="596"/>
      <c r="AR204" s="596"/>
      <c r="AS204" s="596"/>
      <c r="AT204" s="596"/>
      <c r="AU204" s="596"/>
      <c r="AV204" s="596"/>
      <c r="AW204" s="596"/>
      <c r="AX204" s="596"/>
      <c r="AY204" s="596"/>
      <c r="AZ204" s="596"/>
      <c r="BA204" s="596"/>
      <c r="BB204" s="596"/>
      <c r="BC204" s="596"/>
      <c r="BD204" s="596"/>
      <c r="BE204" s="596"/>
      <c r="BF204" s="596"/>
      <c r="BG204" s="596"/>
      <c r="BH204" s="596"/>
      <c r="BI204" s="596"/>
      <c r="BJ204" s="596"/>
      <c r="BK204" s="596"/>
      <c r="BL204" s="596"/>
      <c r="BM204" s="596"/>
      <c r="BN204" s="596"/>
      <c r="BO204" s="596"/>
      <c r="BP204" s="596"/>
      <c r="BQ204" s="596"/>
      <c r="BR204" s="596"/>
      <c r="BS204" s="596"/>
      <c r="BT204" s="596"/>
      <c r="BU204" s="596"/>
      <c r="BV204" s="596"/>
      <c r="BW204" s="596"/>
      <c r="BX204" s="596"/>
      <c r="BY204" s="596"/>
      <c r="BZ204" s="596"/>
      <c r="CA204" s="596"/>
      <c r="CB204" s="596"/>
      <c r="CC204" s="596"/>
      <c r="CD204" s="596"/>
      <c r="CE204" s="596"/>
      <c r="CF204" s="596"/>
      <c r="CG204" s="596"/>
      <c r="CH204" s="596"/>
      <c r="CI204" s="596"/>
      <c r="CJ204" s="596"/>
      <c r="CK204" s="596"/>
      <c r="CL204" s="596"/>
      <c r="CM204" s="596"/>
      <c r="CN204" s="596"/>
      <c r="CO204" s="596"/>
      <c r="CP204" s="596"/>
      <c r="CQ204" s="596"/>
      <c r="CR204" s="596"/>
      <c r="CS204" s="596"/>
      <c r="CT204" s="596"/>
      <c r="CU204" s="596"/>
      <c r="CV204" s="596"/>
      <c r="CW204" s="596"/>
      <c r="CX204" s="596"/>
      <c r="CY204" s="596"/>
      <c r="CZ204" s="596"/>
      <c r="DA204" s="596"/>
      <c r="DB204" s="596"/>
      <c r="DC204" s="596"/>
      <c r="DD204" s="596"/>
      <c r="DE204" s="596"/>
      <c r="DF204" s="596"/>
      <c r="DG204" s="596"/>
      <c r="DH204" s="596"/>
      <c r="DI204" s="596"/>
      <c r="DJ204" s="596"/>
      <c r="DK204" s="596"/>
      <c r="DL204" s="596"/>
      <c r="DM204" s="596"/>
      <c r="DN204" s="596"/>
      <c r="DO204" s="596"/>
      <c r="DP204" s="596"/>
      <c r="DQ204" s="596"/>
      <c r="DR204" s="596"/>
      <c r="DS204" s="596"/>
      <c r="DT204" s="596"/>
      <c r="DU204" s="596"/>
      <c r="DV204" s="596"/>
      <c r="DW204" s="596"/>
      <c r="DX204" s="596"/>
      <c r="DY204" s="596"/>
      <c r="DZ204" s="596"/>
      <c r="EA204" s="596"/>
    </row>
    <row r="205" spans="1:131">
      <c r="A205" s="596"/>
      <c r="B205" s="596"/>
      <c r="C205" s="596"/>
      <c r="D205" s="596"/>
      <c r="E205" s="596"/>
      <c r="F205" s="596"/>
      <c r="G205" s="596"/>
      <c r="H205" s="596"/>
      <c r="I205" s="596"/>
      <c r="J205" s="596"/>
      <c r="K205" s="638"/>
      <c r="L205" s="638"/>
      <c r="M205" s="638"/>
      <c r="N205" s="638"/>
      <c r="O205" s="638"/>
      <c r="P205" s="596"/>
      <c r="Q205" s="596"/>
      <c r="R205" s="596"/>
      <c r="S205" s="596"/>
      <c r="T205" s="596"/>
      <c r="U205" s="596"/>
      <c r="V205" s="596"/>
      <c r="W205" s="596"/>
      <c r="X205" s="596"/>
      <c r="Y205" s="596"/>
      <c r="Z205" s="596"/>
      <c r="AA205" s="596"/>
      <c r="AB205" s="596"/>
      <c r="AC205" s="596"/>
      <c r="AD205" s="596"/>
      <c r="AE205" s="596"/>
      <c r="AF205" s="596"/>
      <c r="AG205" s="596"/>
      <c r="AH205" s="596"/>
      <c r="AI205" s="596"/>
      <c r="AJ205" s="596"/>
      <c r="AK205" s="596"/>
      <c r="AL205" s="596"/>
      <c r="AM205" s="596"/>
      <c r="AN205" s="596"/>
      <c r="AO205" s="596"/>
      <c r="AP205" s="596"/>
      <c r="AQ205" s="596"/>
      <c r="AR205" s="596"/>
      <c r="AS205" s="596"/>
      <c r="AT205" s="596"/>
      <c r="AU205" s="596"/>
      <c r="AV205" s="596"/>
      <c r="AW205" s="596"/>
      <c r="AX205" s="596"/>
      <c r="AY205" s="596"/>
      <c r="AZ205" s="596"/>
      <c r="BA205" s="596"/>
      <c r="BB205" s="596"/>
      <c r="BC205" s="596"/>
      <c r="BD205" s="596"/>
      <c r="BE205" s="596"/>
      <c r="BF205" s="596"/>
      <c r="BG205" s="596"/>
      <c r="BH205" s="596"/>
      <c r="BI205" s="596"/>
      <c r="BJ205" s="596"/>
      <c r="BK205" s="596"/>
      <c r="BL205" s="596"/>
      <c r="BM205" s="596"/>
      <c r="BN205" s="596"/>
      <c r="BO205" s="596"/>
      <c r="BP205" s="596"/>
      <c r="BQ205" s="596"/>
      <c r="BR205" s="596"/>
      <c r="BS205" s="596"/>
      <c r="BT205" s="596"/>
      <c r="BU205" s="596"/>
      <c r="BV205" s="596"/>
      <c r="BW205" s="596"/>
      <c r="BX205" s="596"/>
      <c r="BY205" s="596"/>
      <c r="BZ205" s="596"/>
      <c r="CA205" s="596"/>
      <c r="CB205" s="596"/>
      <c r="CC205" s="596"/>
      <c r="CD205" s="596"/>
      <c r="CE205" s="596"/>
      <c r="CF205" s="596"/>
      <c r="CG205" s="596"/>
      <c r="CH205" s="596"/>
      <c r="CI205" s="596"/>
      <c r="CJ205" s="596"/>
      <c r="CK205" s="596"/>
      <c r="CL205" s="596"/>
      <c r="CM205" s="596"/>
      <c r="CN205" s="596"/>
      <c r="CO205" s="596"/>
      <c r="CP205" s="596"/>
      <c r="CQ205" s="596"/>
      <c r="CR205" s="596"/>
      <c r="CS205" s="596"/>
      <c r="CT205" s="596"/>
      <c r="CU205" s="596"/>
      <c r="CV205" s="596"/>
      <c r="CW205" s="596"/>
      <c r="CX205" s="596"/>
      <c r="CY205" s="596"/>
      <c r="CZ205" s="596"/>
      <c r="DA205" s="596"/>
      <c r="DB205" s="596"/>
      <c r="DC205" s="596"/>
      <c r="DD205" s="596"/>
      <c r="DE205" s="596"/>
      <c r="DF205" s="596"/>
      <c r="DG205" s="596"/>
      <c r="DH205" s="596"/>
      <c r="DI205" s="596"/>
      <c r="DJ205" s="596"/>
      <c r="DK205" s="596"/>
      <c r="DL205" s="596"/>
      <c r="DM205" s="596"/>
      <c r="DN205" s="596"/>
      <c r="DO205" s="596"/>
      <c r="DP205" s="596"/>
      <c r="DQ205" s="596"/>
      <c r="DR205" s="596"/>
      <c r="DS205" s="596"/>
      <c r="DT205" s="596"/>
      <c r="DU205" s="596"/>
      <c r="DV205" s="596"/>
      <c r="DW205" s="596"/>
      <c r="DX205" s="596"/>
      <c r="DY205" s="596"/>
      <c r="DZ205" s="596"/>
      <c r="EA205" s="596"/>
    </row>
    <row r="206" spans="1:131">
      <c r="A206" s="596"/>
      <c r="B206" s="596"/>
      <c r="C206" s="596"/>
      <c r="D206" s="596"/>
      <c r="E206" s="596"/>
      <c r="F206" s="596"/>
      <c r="G206" s="596"/>
      <c r="H206" s="596"/>
      <c r="I206" s="596"/>
      <c r="J206" s="596"/>
      <c r="K206" s="638"/>
      <c r="L206" s="638"/>
      <c r="M206" s="638"/>
      <c r="N206" s="638"/>
      <c r="O206" s="638"/>
      <c r="P206" s="596"/>
      <c r="Q206" s="596"/>
      <c r="R206" s="596"/>
      <c r="S206" s="596"/>
      <c r="T206" s="596"/>
      <c r="U206" s="596"/>
      <c r="V206" s="596"/>
      <c r="W206" s="596"/>
      <c r="X206" s="596"/>
      <c r="Y206" s="596"/>
      <c r="Z206" s="596"/>
      <c r="AA206" s="596"/>
      <c r="AB206" s="596"/>
      <c r="AC206" s="596"/>
      <c r="AD206" s="596"/>
      <c r="AE206" s="596"/>
      <c r="AF206" s="596"/>
      <c r="AG206" s="596"/>
      <c r="AH206" s="596"/>
      <c r="AI206" s="596"/>
      <c r="AJ206" s="596"/>
      <c r="AK206" s="596"/>
      <c r="AL206" s="596"/>
      <c r="AM206" s="596"/>
      <c r="AN206" s="596"/>
      <c r="AO206" s="596"/>
      <c r="AP206" s="596"/>
      <c r="AQ206" s="596"/>
      <c r="AR206" s="596"/>
      <c r="AS206" s="596"/>
      <c r="AT206" s="596"/>
      <c r="AU206" s="596"/>
      <c r="AV206" s="596"/>
      <c r="AW206" s="596"/>
      <c r="AX206" s="596"/>
      <c r="AY206" s="596"/>
      <c r="AZ206" s="596"/>
      <c r="BA206" s="596"/>
      <c r="BB206" s="596"/>
      <c r="BC206" s="596"/>
      <c r="BD206" s="596"/>
      <c r="BE206" s="596"/>
      <c r="BF206" s="596"/>
      <c r="BG206" s="596"/>
      <c r="BH206" s="596"/>
      <c r="BI206" s="596"/>
      <c r="BJ206" s="596"/>
      <c r="BK206" s="596"/>
      <c r="BL206" s="596"/>
      <c r="BM206" s="596"/>
      <c r="BN206" s="596"/>
      <c r="BO206" s="596"/>
      <c r="BP206" s="596"/>
      <c r="BQ206" s="596"/>
      <c r="BR206" s="596"/>
      <c r="BS206" s="596"/>
      <c r="BT206" s="596"/>
      <c r="BU206" s="596"/>
      <c r="BV206" s="596"/>
      <c r="BW206" s="596"/>
      <c r="BX206" s="596"/>
      <c r="BY206" s="596"/>
      <c r="BZ206" s="596"/>
      <c r="CA206" s="596"/>
      <c r="CB206" s="596"/>
      <c r="CC206" s="596"/>
      <c r="CD206" s="596"/>
      <c r="CE206" s="596"/>
      <c r="CF206" s="596"/>
      <c r="CG206" s="596"/>
      <c r="CH206" s="596"/>
      <c r="CI206" s="596"/>
      <c r="CJ206" s="596"/>
      <c r="CK206" s="596"/>
      <c r="CL206" s="596"/>
      <c r="CM206" s="596"/>
      <c r="CN206" s="596"/>
      <c r="CO206" s="596"/>
      <c r="CP206" s="596"/>
      <c r="CQ206" s="596"/>
      <c r="CR206" s="596"/>
      <c r="CS206" s="596"/>
      <c r="CT206" s="596"/>
      <c r="CU206" s="596"/>
      <c r="CV206" s="596"/>
      <c r="CW206" s="596"/>
      <c r="CX206" s="596"/>
      <c r="CY206" s="596"/>
      <c r="CZ206" s="596"/>
      <c r="DA206" s="596"/>
      <c r="DB206" s="596"/>
      <c r="DC206" s="596"/>
      <c r="DD206" s="596"/>
      <c r="DE206" s="596"/>
      <c r="DF206" s="596"/>
      <c r="DG206" s="596"/>
      <c r="DH206" s="596"/>
      <c r="DI206" s="596"/>
      <c r="DJ206" s="596"/>
      <c r="DK206" s="596"/>
      <c r="DL206" s="596"/>
      <c r="DM206" s="596"/>
      <c r="DN206" s="596"/>
      <c r="DO206" s="596"/>
      <c r="DP206" s="596"/>
      <c r="DQ206" s="596"/>
      <c r="DR206" s="596"/>
      <c r="DS206" s="596"/>
      <c r="DT206" s="596"/>
      <c r="DU206" s="596"/>
      <c r="DV206" s="596"/>
      <c r="DW206" s="596"/>
      <c r="DX206" s="596"/>
      <c r="DY206" s="596"/>
      <c r="DZ206" s="596"/>
      <c r="EA206" s="596"/>
    </row>
    <row r="207" spans="1:131">
      <c r="A207" s="596"/>
      <c r="B207" s="596"/>
      <c r="C207" s="596"/>
      <c r="D207" s="596"/>
      <c r="E207" s="596"/>
      <c r="F207" s="596"/>
      <c r="G207" s="596"/>
      <c r="H207" s="596"/>
      <c r="I207" s="596"/>
      <c r="J207" s="596"/>
      <c r="K207" s="638"/>
      <c r="L207" s="638"/>
      <c r="M207" s="638"/>
      <c r="N207" s="638"/>
      <c r="O207" s="638"/>
      <c r="P207" s="596"/>
      <c r="Q207" s="596"/>
      <c r="R207" s="596"/>
      <c r="S207" s="596"/>
      <c r="T207" s="596"/>
      <c r="U207" s="596"/>
      <c r="V207" s="596"/>
      <c r="W207" s="596"/>
      <c r="X207" s="596"/>
      <c r="Y207" s="596"/>
      <c r="Z207" s="596"/>
      <c r="AA207" s="596"/>
      <c r="AB207" s="596"/>
      <c r="AC207" s="596"/>
      <c r="AD207" s="596"/>
      <c r="AE207" s="596"/>
      <c r="AF207" s="596"/>
      <c r="AG207" s="596"/>
      <c r="AH207" s="596"/>
      <c r="AI207" s="596"/>
      <c r="AJ207" s="596"/>
      <c r="AK207" s="596"/>
      <c r="AL207" s="596"/>
      <c r="AM207" s="596"/>
      <c r="AN207" s="596"/>
      <c r="AO207" s="596"/>
      <c r="AP207" s="596"/>
      <c r="AQ207" s="596"/>
      <c r="AR207" s="596"/>
      <c r="AS207" s="596"/>
      <c r="AT207" s="596"/>
      <c r="AU207" s="596"/>
      <c r="AV207" s="596"/>
      <c r="AW207" s="596"/>
      <c r="AX207" s="596"/>
      <c r="AY207" s="596"/>
      <c r="AZ207" s="596"/>
      <c r="BA207" s="596"/>
      <c r="BB207" s="596"/>
      <c r="BC207" s="596"/>
      <c r="BD207" s="596"/>
      <c r="BE207" s="596"/>
      <c r="BF207" s="596"/>
      <c r="BG207" s="596"/>
      <c r="BH207" s="596"/>
      <c r="BI207" s="596"/>
      <c r="BJ207" s="596"/>
      <c r="BK207" s="596"/>
      <c r="BL207" s="596"/>
      <c r="BM207" s="596"/>
      <c r="BN207" s="596"/>
      <c r="BO207" s="596"/>
      <c r="BP207" s="596"/>
      <c r="BQ207" s="596"/>
      <c r="BR207" s="596"/>
      <c r="BS207" s="596"/>
      <c r="BT207" s="596"/>
      <c r="BU207" s="596"/>
      <c r="BV207" s="596"/>
      <c r="BW207" s="596"/>
      <c r="BX207" s="596"/>
      <c r="BY207" s="596"/>
      <c r="BZ207" s="596"/>
      <c r="CA207" s="596"/>
      <c r="CB207" s="596"/>
      <c r="CC207" s="596"/>
      <c r="CD207" s="596"/>
      <c r="CE207" s="596"/>
      <c r="CF207" s="596"/>
      <c r="CG207" s="596"/>
      <c r="CH207" s="596"/>
      <c r="CI207" s="596"/>
      <c r="CJ207" s="596"/>
      <c r="CK207" s="596"/>
      <c r="CL207" s="596"/>
      <c r="CM207" s="596"/>
      <c r="CN207" s="596"/>
      <c r="CO207" s="596"/>
      <c r="CP207" s="596"/>
      <c r="CQ207" s="596"/>
      <c r="CR207" s="596"/>
      <c r="CS207" s="596"/>
      <c r="CT207" s="596"/>
      <c r="CU207" s="596"/>
      <c r="CV207" s="596"/>
      <c r="CW207" s="596"/>
      <c r="CX207" s="596"/>
      <c r="CY207" s="596"/>
      <c r="CZ207" s="596"/>
      <c r="DA207" s="596"/>
      <c r="DB207" s="596"/>
      <c r="DC207" s="596"/>
      <c r="DD207" s="596"/>
      <c r="DE207" s="596"/>
      <c r="DF207" s="596"/>
      <c r="DG207" s="596"/>
      <c r="DH207" s="596"/>
      <c r="DI207" s="596"/>
      <c r="DJ207" s="596"/>
      <c r="DK207" s="596"/>
      <c r="DL207" s="596"/>
      <c r="DM207" s="596"/>
      <c r="DN207" s="596"/>
      <c r="DO207" s="596"/>
      <c r="DP207" s="596"/>
      <c r="DQ207" s="596"/>
      <c r="DR207" s="596"/>
      <c r="DS207" s="596"/>
      <c r="DT207" s="596"/>
      <c r="DU207" s="596"/>
      <c r="DV207" s="596"/>
      <c r="DW207" s="596"/>
      <c r="DX207" s="596"/>
      <c r="DY207" s="596"/>
      <c r="DZ207" s="596"/>
      <c r="EA207" s="596"/>
    </row>
    <row r="208" spans="1:131">
      <c r="A208" s="596"/>
      <c r="B208" s="596"/>
      <c r="C208" s="596"/>
      <c r="D208" s="596"/>
      <c r="E208" s="596"/>
      <c r="F208" s="596"/>
      <c r="G208" s="596"/>
      <c r="H208" s="596"/>
      <c r="I208" s="596"/>
      <c r="J208" s="596"/>
      <c r="K208" s="638"/>
      <c r="L208" s="638"/>
      <c r="M208" s="638"/>
      <c r="N208" s="638"/>
      <c r="O208" s="638"/>
      <c r="P208" s="596"/>
      <c r="Q208" s="596"/>
      <c r="R208" s="596"/>
      <c r="S208" s="596"/>
      <c r="T208" s="596"/>
      <c r="U208" s="596"/>
      <c r="V208" s="596"/>
      <c r="W208" s="596"/>
      <c r="X208" s="596"/>
      <c r="Y208" s="596"/>
      <c r="Z208" s="596"/>
      <c r="AA208" s="596"/>
      <c r="AB208" s="596"/>
      <c r="AC208" s="596"/>
      <c r="AD208" s="596"/>
      <c r="AE208" s="596"/>
      <c r="AF208" s="596"/>
      <c r="AG208" s="596"/>
      <c r="AH208" s="596"/>
      <c r="AI208" s="596"/>
      <c r="AJ208" s="596"/>
      <c r="AK208" s="596"/>
      <c r="AL208" s="596"/>
      <c r="AM208" s="596"/>
      <c r="AN208" s="596"/>
      <c r="AO208" s="596"/>
      <c r="AP208" s="596"/>
      <c r="AQ208" s="596"/>
      <c r="AR208" s="596"/>
      <c r="AS208" s="596"/>
      <c r="AT208" s="596"/>
      <c r="AU208" s="596"/>
      <c r="AV208" s="596"/>
      <c r="AW208" s="596"/>
      <c r="AX208" s="596"/>
      <c r="AY208" s="596"/>
      <c r="AZ208" s="596"/>
      <c r="BA208" s="596"/>
      <c r="BB208" s="596"/>
      <c r="BC208" s="596"/>
      <c r="BD208" s="596"/>
      <c r="BE208" s="596"/>
      <c r="BF208" s="596"/>
      <c r="BG208" s="596"/>
      <c r="BH208" s="596"/>
      <c r="BI208" s="596"/>
      <c r="BJ208" s="596"/>
      <c r="BK208" s="596"/>
      <c r="BL208" s="596"/>
      <c r="BM208" s="596"/>
      <c r="BN208" s="596"/>
      <c r="BO208" s="596"/>
      <c r="BP208" s="596"/>
      <c r="BQ208" s="596"/>
      <c r="BR208" s="596"/>
      <c r="BS208" s="596"/>
      <c r="BT208" s="596"/>
      <c r="BU208" s="596"/>
      <c r="BV208" s="596"/>
      <c r="BW208" s="596"/>
      <c r="BX208" s="596"/>
      <c r="BY208" s="596"/>
      <c r="BZ208" s="596"/>
      <c r="CA208" s="596"/>
      <c r="CB208" s="596"/>
      <c r="CC208" s="596"/>
      <c r="CD208" s="596"/>
      <c r="CE208" s="596"/>
      <c r="CF208" s="596"/>
      <c r="CG208" s="596"/>
      <c r="CH208" s="596"/>
      <c r="CI208" s="596"/>
      <c r="CJ208" s="596"/>
      <c r="CK208" s="596"/>
      <c r="CL208" s="596"/>
      <c r="CM208" s="596"/>
      <c r="CN208" s="596"/>
      <c r="CO208" s="596"/>
      <c r="CP208" s="596"/>
      <c r="CQ208" s="596"/>
      <c r="CR208" s="596"/>
      <c r="CS208" s="596"/>
      <c r="CT208" s="596"/>
      <c r="CU208" s="596"/>
      <c r="CV208" s="596"/>
      <c r="CW208" s="596"/>
      <c r="CX208" s="596"/>
      <c r="CY208" s="596"/>
      <c r="CZ208" s="596"/>
      <c r="DA208" s="596"/>
      <c r="DB208" s="596"/>
      <c r="DC208" s="596"/>
      <c r="DD208" s="596"/>
      <c r="DE208" s="596"/>
      <c r="DF208" s="596"/>
      <c r="DG208" s="596"/>
      <c r="DH208" s="596"/>
      <c r="DI208" s="596"/>
      <c r="DJ208" s="596"/>
      <c r="DK208" s="596"/>
      <c r="DL208" s="596"/>
      <c r="DM208" s="596"/>
      <c r="DN208" s="596"/>
      <c r="DO208" s="596"/>
      <c r="DP208" s="596"/>
      <c r="DQ208" s="596"/>
      <c r="DR208" s="596"/>
      <c r="DS208" s="596"/>
      <c r="DT208" s="596"/>
      <c r="DU208" s="596"/>
      <c r="DV208" s="596"/>
      <c r="DW208" s="596"/>
      <c r="DX208" s="596"/>
      <c r="DY208" s="596"/>
      <c r="DZ208" s="596"/>
      <c r="EA208" s="596"/>
    </row>
    <row r="209" spans="1:131">
      <c r="A209" s="596"/>
      <c r="B209" s="596"/>
      <c r="C209" s="596"/>
      <c r="D209" s="596"/>
      <c r="E209" s="596"/>
      <c r="F209" s="596"/>
      <c r="G209" s="596"/>
      <c r="H209" s="596"/>
      <c r="I209" s="596"/>
      <c r="J209" s="596"/>
      <c r="K209" s="638"/>
      <c r="L209" s="638"/>
      <c r="M209" s="638"/>
      <c r="N209" s="638"/>
      <c r="O209" s="638"/>
      <c r="P209" s="596"/>
      <c r="Q209" s="596"/>
      <c r="R209" s="596"/>
      <c r="S209" s="596"/>
      <c r="T209" s="596"/>
      <c r="U209" s="596"/>
      <c r="V209" s="596"/>
      <c r="W209" s="596"/>
      <c r="X209" s="596"/>
      <c r="Y209" s="596"/>
      <c r="Z209" s="596"/>
      <c r="AA209" s="596"/>
      <c r="AB209" s="596"/>
      <c r="AC209" s="596"/>
      <c r="AD209" s="596"/>
      <c r="AE209" s="596"/>
      <c r="AF209" s="596"/>
      <c r="AG209" s="596"/>
      <c r="AH209" s="596"/>
      <c r="AI209" s="596"/>
      <c r="AJ209" s="596"/>
      <c r="AK209" s="596"/>
      <c r="AL209" s="596"/>
      <c r="AM209" s="596"/>
      <c r="AN209" s="596"/>
      <c r="AO209" s="596"/>
      <c r="AP209" s="596"/>
      <c r="AQ209" s="596"/>
      <c r="AR209" s="596"/>
      <c r="AS209" s="596"/>
      <c r="AT209" s="596"/>
      <c r="AU209" s="596"/>
      <c r="AV209" s="596"/>
      <c r="AW209" s="596"/>
      <c r="AX209" s="596"/>
      <c r="AY209" s="596"/>
      <c r="AZ209" s="596"/>
      <c r="BA209" s="596"/>
      <c r="BB209" s="596"/>
      <c r="BC209" s="596"/>
      <c r="BD209" s="596"/>
      <c r="BE209" s="596"/>
      <c r="BF209" s="596"/>
      <c r="BG209" s="596"/>
      <c r="BH209" s="596"/>
      <c r="BI209" s="596"/>
      <c r="BJ209" s="596"/>
      <c r="BK209" s="596"/>
      <c r="BL209" s="596"/>
      <c r="BM209" s="596"/>
      <c r="BN209" s="596"/>
      <c r="BO209" s="596"/>
      <c r="BP209" s="596"/>
      <c r="BQ209" s="596"/>
      <c r="BR209" s="596"/>
      <c r="BS209" s="596"/>
      <c r="BT209" s="596"/>
      <c r="BU209" s="596"/>
      <c r="BV209" s="596"/>
      <c r="BW209" s="596"/>
      <c r="BX209" s="596"/>
      <c r="BY209" s="596"/>
      <c r="BZ209" s="596"/>
      <c r="CA209" s="596"/>
      <c r="CB209" s="596"/>
      <c r="CC209" s="596"/>
      <c r="CD209" s="596"/>
      <c r="CE209" s="596"/>
      <c r="CF209" s="596"/>
      <c r="CG209" s="596"/>
      <c r="CH209" s="596"/>
      <c r="CI209" s="596"/>
      <c r="CJ209" s="596"/>
      <c r="CK209" s="596"/>
      <c r="CL209" s="596"/>
      <c r="CM209" s="596"/>
      <c r="CN209" s="596"/>
      <c r="CO209" s="596"/>
      <c r="CP209" s="596"/>
      <c r="CQ209" s="596"/>
      <c r="CR209" s="596"/>
      <c r="CS209" s="596"/>
      <c r="CT209" s="596"/>
      <c r="CU209" s="596"/>
      <c r="CV209" s="596"/>
      <c r="CW209" s="596"/>
      <c r="CX209" s="596"/>
      <c r="CY209" s="596"/>
      <c r="CZ209" s="596"/>
      <c r="DA209" s="596"/>
      <c r="DB209" s="596"/>
      <c r="DC209" s="596"/>
      <c r="DD209" s="596"/>
      <c r="DE209" s="596"/>
      <c r="DF209" s="596"/>
      <c r="DG209" s="596"/>
      <c r="DH209" s="596"/>
      <c r="DI209" s="596"/>
      <c r="DJ209" s="596"/>
      <c r="DK209" s="596"/>
      <c r="DL209" s="596"/>
      <c r="DM209" s="596"/>
      <c r="DN209" s="596"/>
      <c r="DO209" s="596"/>
      <c r="DP209" s="596"/>
      <c r="DQ209" s="596"/>
      <c r="DR209" s="596"/>
      <c r="DS209" s="596"/>
      <c r="DT209" s="596"/>
      <c r="DU209" s="596"/>
      <c r="DV209" s="596"/>
      <c r="DW209" s="596"/>
      <c r="DX209" s="596"/>
      <c r="DY209" s="596"/>
      <c r="DZ209" s="596"/>
      <c r="EA209" s="596"/>
    </row>
    <row r="210" spans="1:131">
      <c r="A210" s="596"/>
      <c r="B210" s="596"/>
      <c r="C210" s="596"/>
      <c r="D210" s="596"/>
      <c r="E210" s="596"/>
      <c r="F210" s="596"/>
      <c r="G210" s="596"/>
      <c r="H210" s="596"/>
      <c r="I210" s="596"/>
      <c r="J210" s="596"/>
      <c r="K210" s="638"/>
      <c r="L210" s="638"/>
      <c r="M210" s="638"/>
      <c r="N210" s="638"/>
      <c r="O210" s="638"/>
      <c r="P210" s="596"/>
      <c r="Q210" s="596"/>
      <c r="R210" s="596"/>
      <c r="S210" s="596"/>
      <c r="T210" s="596"/>
      <c r="U210" s="596"/>
      <c r="V210" s="596"/>
      <c r="W210" s="596"/>
      <c r="X210" s="596"/>
      <c r="Y210" s="596"/>
      <c r="Z210" s="596"/>
      <c r="AA210" s="596"/>
      <c r="AB210" s="596"/>
      <c r="AC210" s="596"/>
      <c r="AD210" s="596"/>
      <c r="AE210" s="596"/>
      <c r="AF210" s="596"/>
      <c r="AG210" s="596"/>
      <c r="AH210" s="596"/>
      <c r="AI210" s="596"/>
      <c r="AJ210" s="596"/>
      <c r="AK210" s="596"/>
      <c r="AL210" s="596"/>
      <c r="AM210" s="596"/>
      <c r="AN210" s="596"/>
      <c r="AO210" s="596"/>
      <c r="AP210" s="596"/>
      <c r="AQ210" s="596"/>
      <c r="AR210" s="596"/>
      <c r="AS210" s="596"/>
      <c r="AT210" s="596"/>
      <c r="AU210" s="596"/>
      <c r="AV210" s="596"/>
      <c r="AW210" s="596"/>
      <c r="AX210" s="596"/>
      <c r="AY210" s="596"/>
      <c r="AZ210" s="596"/>
      <c r="BA210" s="596"/>
      <c r="BB210" s="596"/>
      <c r="BC210" s="596"/>
      <c r="BD210" s="596"/>
      <c r="BE210" s="596"/>
      <c r="BF210" s="596"/>
      <c r="BG210" s="596"/>
      <c r="BH210" s="596"/>
      <c r="BI210" s="596"/>
      <c r="BJ210" s="596"/>
      <c r="BK210" s="596"/>
      <c r="BL210" s="596"/>
      <c r="BM210" s="596"/>
      <c r="BN210" s="596"/>
      <c r="BO210" s="596"/>
      <c r="BP210" s="596"/>
      <c r="BQ210" s="596"/>
      <c r="BR210" s="596"/>
      <c r="BS210" s="596"/>
      <c r="BT210" s="596"/>
      <c r="BU210" s="596"/>
      <c r="BV210" s="596"/>
      <c r="BW210" s="596"/>
      <c r="BX210" s="596"/>
      <c r="BY210" s="596"/>
      <c r="BZ210" s="596"/>
      <c r="CA210" s="596"/>
      <c r="CB210" s="596"/>
      <c r="CC210" s="596"/>
      <c r="CD210" s="596"/>
      <c r="CE210" s="596"/>
      <c r="CF210" s="596"/>
      <c r="CG210" s="596"/>
      <c r="CH210" s="596"/>
      <c r="CI210" s="596"/>
      <c r="CJ210" s="596"/>
      <c r="CK210" s="596"/>
      <c r="CL210" s="596"/>
      <c r="CM210" s="596"/>
      <c r="CN210" s="596"/>
      <c r="CO210" s="596"/>
      <c r="CP210" s="596"/>
      <c r="CQ210" s="596"/>
      <c r="CR210" s="596"/>
      <c r="CS210" s="596"/>
      <c r="CT210" s="596"/>
      <c r="CU210" s="596"/>
      <c r="CV210" s="596"/>
      <c r="CW210" s="596"/>
      <c r="CX210" s="596"/>
      <c r="CY210" s="596"/>
      <c r="CZ210" s="596"/>
      <c r="DA210" s="596"/>
      <c r="DB210" s="596"/>
      <c r="DC210" s="596"/>
      <c r="DD210" s="596"/>
      <c r="DE210" s="596"/>
      <c r="DF210" s="596"/>
      <c r="DG210" s="596"/>
      <c r="DH210" s="596"/>
      <c r="DI210" s="596"/>
      <c r="DJ210" s="596"/>
      <c r="DK210" s="596"/>
      <c r="DL210" s="596"/>
      <c r="DM210" s="596"/>
      <c r="DN210" s="596"/>
      <c r="DO210" s="596"/>
      <c r="DP210" s="596"/>
      <c r="DQ210" s="596"/>
      <c r="DR210" s="596"/>
      <c r="DS210" s="596"/>
      <c r="DT210" s="596"/>
      <c r="DU210" s="596"/>
      <c r="DV210" s="596"/>
      <c r="DW210" s="596"/>
      <c r="DX210" s="596"/>
      <c r="DY210" s="596"/>
      <c r="DZ210" s="596"/>
      <c r="EA210" s="596"/>
    </row>
    <row r="211" spans="1:131">
      <c r="A211" s="596"/>
      <c r="B211" s="596"/>
      <c r="C211" s="596"/>
      <c r="D211" s="596"/>
      <c r="E211" s="596"/>
      <c r="F211" s="596"/>
      <c r="G211" s="596"/>
      <c r="H211" s="596"/>
      <c r="I211" s="596"/>
      <c r="J211" s="596"/>
      <c r="K211" s="638"/>
      <c r="L211" s="638"/>
      <c r="M211" s="638"/>
      <c r="N211" s="638"/>
      <c r="O211" s="638"/>
      <c r="P211" s="596"/>
      <c r="Q211" s="596"/>
      <c r="R211" s="596"/>
      <c r="S211" s="596"/>
      <c r="T211" s="596"/>
      <c r="U211" s="596"/>
      <c r="V211" s="596"/>
      <c r="W211" s="596"/>
      <c r="X211" s="596"/>
      <c r="Y211" s="596"/>
      <c r="Z211" s="596"/>
      <c r="AA211" s="596"/>
      <c r="AB211" s="596"/>
      <c r="AC211" s="596"/>
      <c r="AD211" s="596"/>
      <c r="AE211" s="596"/>
      <c r="AF211" s="596"/>
      <c r="AG211" s="596"/>
      <c r="AH211" s="596"/>
      <c r="AI211" s="596"/>
      <c r="AJ211" s="596"/>
      <c r="AK211" s="596"/>
      <c r="AL211" s="596"/>
      <c r="AM211" s="596"/>
      <c r="AN211" s="596"/>
      <c r="AO211" s="596"/>
      <c r="AP211" s="596"/>
      <c r="AQ211" s="596"/>
      <c r="AR211" s="596"/>
      <c r="AS211" s="596"/>
      <c r="AT211" s="596"/>
      <c r="AU211" s="596"/>
      <c r="AV211" s="596"/>
      <c r="AW211" s="596"/>
      <c r="AX211" s="596"/>
      <c r="AY211" s="596"/>
      <c r="AZ211" s="596"/>
      <c r="BA211" s="596"/>
      <c r="BB211" s="596"/>
      <c r="BC211" s="596"/>
      <c r="BD211" s="596"/>
      <c r="BE211" s="596"/>
      <c r="BF211" s="596"/>
      <c r="BG211" s="596"/>
      <c r="BH211" s="596"/>
      <c r="BI211" s="596"/>
      <c r="BJ211" s="596"/>
      <c r="BK211" s="596"/>
      <c r="BL211" s="596"/>
      <c r="BM211" s="596"/>
      <c r="BN211" s="596"/>
      <c r="BO211" s="596"/>
      <c r="BP211" s="596"/>
      <c r="BQ211" s="596"/>
      <c r="BR211" s="596"/>
      <c r="BS211" s="596"/>
      <c r="BT211" s="596"/>
      <c r="BU211" s="596"/>
      <c r="BV211" s="596"/>
      <c r="BW211" s="596"/>
      <c r="BX211" s="596"/>
      <c r="BY211" s="596"/>
      <c r="BZ211" s="596"/>
      <c r="CA211" s="596"/>
      <c r="CB211" s="596"/>
      <c r="CC211" s="596"/>
      <c r="CD211" s="596"/>
      <c r="CE211" s="596"/>
      <c r="CF211" s="596"/>
      <c r="CG211" s="596"/>
      <c r="CH211" s="596"/>
      <c r="CI211" s="596"/>
      <c r="CJ211" s="596"/>
      <c r="CK211" s="596"/>
      <c r="CL211" s="596"/>
      <c r="CM211" s="596"/>
      <c r="CN211" s="596"/>
      <c r="CO211" s="596"/>
      <c r="CP211" s="596"/>
      <c r="CQ211" s="596"/>
      <c r="CR211" s="596"/>
      <c r="CS211" s="596"/>
      <c r="CT211" s="596"/>
      <c r="CU211" s="596"/>
      <c r="CV211" s="596"/>
      <c r="CW211" s="596"/>
      <c r="CX211" s="596"/>
      <c r="CY211" s="596"/>
      <c r="CZ211" s="596"/>
      <c r="DA211" s="596"/>
      <c r="DB211" s="596"/>
      <c r="DC211" s="596"/>
      <c r="DD211" s="596"/>
      <c r="DE211" s="596"/>
      <c r="DF211" s="596"/>
      <c r="DG211" s="596"/>
      <c r="DH211" s="596"/>
      <c r="DI211" s="596"/>
      <c r="DJ211" s="596"/>
      <c r="DK211" s="596"/>
      <c r="DL211" s="596"/>
      <c r="DM211" s="596"/>
      <c r="DN211" s="596"/>
      <c r="DO211" s="596"/>
      <c r="DP211" s="596"/>
      <c r="DQ211" s="596"/>
      <c r="DR211" s="596"/>
      <c r="DS211" s="596"/>
      <c r="DT211" s="596"/>
      <c r="DU211" s="596"/>
      <c r="DV211" s="596"/>
      <c r="DW211" s="596"/>
      <c r="DX211" s="596"/>
      <c r="DY211" s="596"/>
      <c r="DZ211" s="596"/>
      <c r="EA211" s="596"/>
    </row>
    <row r="212" spans="1:131">
      <c r="A212" s="596"/>
      <c r="B212" s="596"/>
      <c r="C212" s="596"/>
      <c r="D212" s="596"/>
      <c r="E212" s="596"/>
      <c r="F212" s="596"/>
      <c r="G212" s="596"/>
      <c r="H212" s="596"/>
      <c r="I212" s="596"/>
      <c r="J212" s="596"/>
      <c r="K212" s="638"/>
      <c r="L212" s="638"/>
      <c r="M212" s="638"/>
      <c r="N212" s="638"/>
      <c r="O212" s="638"/>
      <c r="P212" s="596"/>
      <c r="Q212" s="596"/>
      <c r="R212" s="596"/>
      <c r="S212" s="596"/>
      <c r="T212" s="596"/>
      <c r="U212" s="596"/>
      <c r="V212" s="596"/>
      <c r="W212" s="596"/>
      <c r="X212" s="596"/>
      <c r="Y212" s="596"/>
      <c r="Z212" s="596"/>
      <c r="AA212" s="596"/>
      <c r="AB212" s="596"/>
      <c r="AC212" s="596"/>
      <c r="AD212" s="596"/>
      <c r="AE212" s="596"/>
      <c r="AF212" s="596"/>
      <c r="AG212" s="596"/>
      <c r="AH212" s="596"/>
      <c r="AI212" s="596"/>
      <c r="AJ212" s="596"/>
      <c r="AK212" s="596"/>
      <c r="AL212" s="596"/>
      <c r="AM212" s="596"/>
      <c r="AN212" s="596"/>
      <c r="AO212" s="596"/>
      <c r="AP212" s="596"/>
      <c r="AQ212" s="596"/>
      <c r="AR212" s="596"/>
      <c r="AS212" s="596"/>
      <c r="AT212" s="596"/>
      <c r="AU212" s="596"/>
      <c r="AV212" s="596"/>
      <c r="AW212" s="596"/>
      <c r="AX212" s="596"/>
      <c r="AY212" s="596"/>
      <c r="AZ212" s="596"/>
      <c r="BA212" s="596"/>
      <c r="BB212" s="596"/>
      <c r="BC212" s="596"/>
      <c r="BD212" s="596"/>
      <c r="BE212" s="596"/>
      <c r="BF212" s="596"/>
      <c r="BG212" s="596"/>
      <c r="BH212" s="596"/>
      <c r="BI212" s="596"/>
      <c r="BJ212" s="596"/>
      <c r="BK212" s="596"/>
      <c r="BL212" s="596"/>
      <c r="BM212" s="596"/>
      <c r="BN212" s="596"/>
      <c r="BO212" s="596"/>
      <c r="BP212" s="596"/>
      <c r="BQ212" s="596"/>
      <c r="BR212" s="596"/>
      <c r="BS212" s="596"/>
      <c r="BT212" s="596"/>
      <c r="BU212" s="596"/>
      <c r="BV212" s="596"/>
      <c r="BW212" s="596"/>
      <c r="BX212" s="596"/>
      <c r="BY212" s="596"/>
      <c r="BZ212" s="596"/>
      <c r="CA212" s="596"/>
      <c r="CB212" s="596"/>
      <c r="CC212" s="596"/>
      <c r="CD212" s="596"/>
      <c r="CE212" s="596"/>
      <c r="CF212" s="596"/>
      <c r="CG212" s="596"/>
      <c r="CH212" s="596"/>
      <c r="CI212" s="596"/>
      <c r="CJ212" s="596"/>
      <c r="CK212" s="596"/>
      <c r="CL212" s="596"/>
      <c r="CM212" s="596"/>
      <c r="CN212" s="596"/>
      <c r="CO212" s="596"/>
      <c r="CP212" s="596"/>
      <c r="CQ212" s="596"/>
      <c r="CR212" s="596"/>
      <c r="CS212" s="596"/>
      <c r="CT212" s="596"/>
      <c r="CU212" s="596"/>
      <c r="CV212" s="596"/>
      <c r="CW212" s="596"/>
      <c r="CX212" s="596"/>
      <c r="CY212" s="596"/>
      <c r="CZ212" s="596"/>
      <c r="DA212" s="596"/>
      <c r="DB212" s="596"/>
      <c r="DC212" s="596"/>
      <c r="DD212" s="596"/>
      <c r="DE212" s="596"/>
      <c r="DF212" s="596"/>
      <c r="DG212" s="596"/>
      <c r="DH212" s="596"/>
      <c r="DI212" s="596"/>
      <c r="DJ212" s="596"/>
      <c r="DK212" s="596"/>
      <c r="DL212" s="596"/>
      <c r="DM212" s="596"/>
      <c r="DN212" s="596"/>
      <c r="DO212" s="596"/>
      <c r="DP212" s="596"/>
      <c r="DQ212" s="596"/>
      <c r="DR212" s="596"/>
      <c r="DS212" s="596"/>
      <c r="DT212" s="596"/>
      <c r="DU212" s="596"/>
      <c r="DV212" s="596"/>
      <c r="DW212" s="596"/>
      <c r="DX212" s="596"/>
      <c r="DY212" s="596"/>
      <c r="DZ212" s="596"/>
      <c r="EA212" s="596"/>
    </row>
    <row r="213" spans="1:131">
      <c r="A213" s="596"/>
      <c r="B213" s="596"/>
      <c r="C213" s="596"/>
      <c r="D213" s="596"/>
      <c r="E213" s="596"/>
      <c r="F213" s="596"/>
      <c r="G213" s="596"/>
      <c r="H213" s="596"/>
      <c r="I213" s="596"/>
      <c r="J213" s="596"/>
      <c r="K213" s="638"/>
      <c r="L213" s="638"/>
      <c r="M213" s="638"/>
      <c r="N213" s="638"/>
      <c r="O213" s="638"/>
      <c r="P213" s="596"/>
      <c r="Q213" s="596"/>
      <c r="R213" s="596"/>
      <c r="S213" s="596"/>
      <c r="T213" s="596"/>
      <c r="U213" s="596"/>
      <c r="V213" s="596"/>
      <c r="W213" s="596"/>
      <c r="X213" s="596"/>
      <c r="Y213" s="596"/>
      <c r="Z213" s="596"/>
      <c r="AA213" s="596"/>
      <c r="AB213" s="596"/>
      <c r="AC213" s="596"/>
      <c r="AD213" s="596"/>
      <c r="AE213" s="596"/>
      <c r="AF213" s="596"/>
      <c r="AG213" s="596"/>
      <c r="AH213" s="596"/>
      <c r="AI213" s="596"/>
      <c r="AJ213" s="596"/>
      <c r="AK213" s="596"/>
      <c r="AL213" s="596"/>
      <c r="AM213" s="596"/>
      <c r="AN213" s="596"/>
      <c r="AO213" s="596"/>
      <c r="AP213" s="596"/>
      <c r="AQ213" s="596"/>
      <c r="AR213" s="596"/>
      <c r="AS213" s="596"/>
      <c r="AT213" s="596"/>
      <c r="AU213" s="596"/>
      <c r="AV213" s="596"/>
      <c r="AW213" s="596"/>
      <c r="AX213" s="596"/>
      <c r="AY213" s="596"/>
      <c r="AZ213" s="596"/>
      <c r="BA213" s="596"/>
      <c r="BB213" s="596"/>
      <c r="BC213" s="596"/>
      <c r="BD213" s="596"/>
      <c r="BE213" s="596"/>
      <c r="BF213" s="596"/>
      <c r="BG213" s="596"/>
      <c r="BH213" s="596"/>
      <c r="BI213" s="596"/>
      <c r="BJ213" s="596"/>
      <c r="BK213" s="596"/>
      <c r="BL213" s="596"/>
      <c r="BM213" s="596"/>
      <c r="BN213" s="596"/>
      <c r="BO213" s="596"/>
      <c r="BP213" s="596"/>
      <c r="BQ213" s="596"/>
      <c r="BR213" s="596"/>
      <c r="BS213" s="596"/>
      <c r="BT213" s="596"/>
      <c r="BU213" s="596"/>
      <c r="BV213" s="596"/>
      <c r="BW213" s="596"/>
      <c r="BX213" s="596"/>
      <c r="BY213" s="596"/>
      <c r="BZ213" s="596"/>
      <c r="CA213" s="596"/>
      <c r="CB213" s="596"/>
      <c r="CC213" s="596"/>
      <c r="CD213" s="596"/>
      <c r="CE213" s="596"/>
      <c r="CF213" s="596"/>
      <c r="CG213" s="596"/>
      <c r="CH213" s="596"/>
      <c r="CI213" s="596"/>
      <c r="CJ213" s="596"/>
      <c r="CK213" s="596"/>
      <c r="CL213" s="596"/>
      <c r="CM213" s="596"/>
      <c r="CN213" s="596"/>
      <c r="CO213" s="596"/>
      <c r="CP213" s="596"/>
      <c r="CQ213" s="596"/>
      <c r="CR213" s="596"/>
      <c r="CS213" s="596"/>
      <c r="CT213" s="596"/>
      <c r="CU213" s="596"/>
      <c r="CV213" s="596"/>
      <c r="CW213" s="596"/>
      <c r="CX213" s="596"/>
      <c r="CY213" s="596"/>
      <c r="CZ213" s="596"/>
      <c r="DA213" s="596"/>
      <c r="DB213" s="596"/>
      <c r="DC213" s="596"/>
      <c r="DD213" s="596"/>
      <c r="DE213" s="596"/>
      <c r="DF213" s="596"/>
      <c r="DG213" s="596"/>
      <c r="DH213" s="596"/>
      <c r="DI213" s="596"/>
      <c r="DJ213" s="596"/>
      <c r="DK213" s="596"/>
      <c r="DL213" s="596"/>
      <c r="DM213" s="596"/>
      <c r="DN213" s="596"/>
      <c r="DO213" s="596"/>
      <c r="DP213" s="596"/>
      <c r="DQ213" s="596"/>
      <c r="DR213" s="596"/>
      <c r="DS213" s="596"/>
      <c r="DT213" s="596"/>
      <c r="DU213" s="596"/>
      <c r="DV213" s="596"/>
      <c r="DW213" s="596"/>
      <c r="DX213" s="596"/>
      <c r="DY213" s="596"/>
      <c r="DZ213" s="596"/>
      <c r="EA213" s="596"/>
    </row>
    <row r="214" spans="1:131">
      <c r="A214" s="596"/>
      <c r="B214" s="596"/>
      <c r="C214" s="596"/>
      <c r="D214" s="596"/>
      <c r="E214" s="596"/>
      <c r="F214" s="596"/>
      <c r="G214" s="596"/>
      <c r="H214" s="596"/>
      <c r="I214" s="596"/>
      <c r="J214" s="596"/>
      <c r="K214" s="638"/>
      <c r="L214" s="638"/>
      <c r="M214" s="638"/>
      <c r="N214" s="638"/>
      <c r="O214" s="638"/>
      <c r="P214" s="596"/>
      <c r="Q214" s="596"/>
      <c r="R214" s="596"/>
      <c r="S214" s="596"/>
      <c r="T214" s="596"/>
      <c r="U214" s="596"/>
      <c r="V214" s="596"/>
      <c r="W214" s="596"/>
      <c r="X214" s="596"/>
      <c r="Y214" s="596"/>
      <c r="Z214" s="596"/>
      <c r="AA214" s="596"/>
      <c r="AB214" s="596"/>
      <c r="AC214" s="596"/>
      <c r="AD214" s="596"/>
      <c r="AE214" s="596"/>
      <c r="AF214" s="596"/>
      <c r="AG214" s="596"/>
      <c r="AH214" s="596"/>
      <c r="AI214" s="596"/>
      <c r="AJ214" s="596"/>
      <c r="AK214" s="596"/>
      <c r="AL214" s="596"/>
      <c r="AM214" s="596"/>
      <c r="AN214" s="596"/>
      <c r="AO214" s="596"/>
      <c r="AP214" s="596"/>
      <c r="AQ214" s="596"/>
      <c r="AR214" s="596"/>
      <c r="AS214" s="596"/>
      <c r="AT214" s="596"/>
      <c r="AU214" s="596"/>
      <c r="AV214" s="596"/>
      <c r="AW214" s="596"/>
      <c r="AX214" s="596"/>
      <c r="AY214" s="596"/>
      <c r="AZ214" s="596"/>
      <c r="BA214" s="596"/>
      <c r="BB214" s="596"/>
      <c r="BC214" s="596"/>
      <c r="BD214" s="596"/>
      <c r="BE214" s="596"/>
      <c r="BF214" s="596"/>
      <c r="BG214" s="596"/>
      <c r="BH214" s="596"/>
      <c r="BI214" s="596"/>
      <c r="BJ214" s="596"/>
      <c r="BK214" s="596"/>
      <c r="BL214" s="596"/>
      <c r="BM214" s="596"/>
      <c r="BN214" s="596"/>
      <c r="BO214" s="596"/>
      <c r="BP214" s="596"/>
      <c r="BQ214" s="596"/>
      <c r="BR214" s="596"/>
      <c r="BS214" s="596"/>
      <c r="BT214" s="596"/>
      <c r="BU214" s="596"/>
      <c r="BV214" s="596"/>
      <c r="BW214" s="596"/>
      <c r="BX214" s="596"/>
      <c r="BY214" s="596"/>
      <c r="BZ214" s="596"/>
      <c r="CA214" s="596"/>
      <c r="CB214" s="596"/>
      <c r="CC214" s="596"/>
      <c r="CD214" s="596"/>
      <c r="CE214" s="596"/>
      <c r="CF214" s="596"/>
      <c r="CG214" s="596"/>
      <c r="CH214" s="596"/>
      <c r="CI214" s="596"/>
      <c r="CJ214" s="596"/>
      <c r="CK214" s="596"/>
      <c r="CL214" s="596"/>
      <c r="CM214" s="596"/>
      <c r="CN214" s="596"/>
      <c r="CO214" s="596"/>
      <c r="CP214" s="596"/>
      <c r="CQ214" s="596"/>
      <c r="CR214" s="596"/>
      <c r="CS214" s="596"/>
      <c r="CT214" s="596"/>
      <c r="CU214" s="596"/>
      <c r="CV214" s="596"/>
      <c r="CW214" s="596"/>
      <c r="CX214" s="596"/>
      <c r="CY214" s="596"/>
      <c r="CZ214" s="596"/>
      <c r="DA214" s="596"/>
      <c r="DB214" s="596"/>
      <c r="DC214" s="596"/>
      <c r="DD214" s="596"/>
      <c r="DE214" s="596"/>
      <c r="DF214" s="596"/>
      <c r="DG214" s="596"/>
      <c r="DH214" s="596"/>
      <c r="DI214" s="596"/>
      <c r="DJ214" s="596"/>
      <c r="DK214" s="596"/>
      <c r="DL214" s="596"/>
      <c r="DM214" s="596"/>
      <c r="DN214" s="596"/>
      <c r="DO214" s="596"/>
      <c r="DP214" s="596"/>
      <c r="DQ214" s="596"/>
      <c r="DR214" s="596"/>
      <c r="DS214" s="596"/>
      <c r="DT214" s="596"/>
      <c r="DU214" s="596"/>
      <c r="DV214" s="596"/>
      <c r="DW214" s="596"/>
      <c r="DX214" s="596"/>
      <c r="DY214" s="596"/>
      <c r="DZ214" s="596"/>
      <c r="EA214" s="596"/>
    </row>
    <row r="215" spans="1:131">
      <c r="A215" s="596"/>
      <c r="B215" s="596"/>
      <c r="C215" s="596"/>
      <c r="D215" s="596"/>
      <c r="E215" s="596"/>
      <c r="F215" s="596"/>
      <c r="G215" s="596"/>
      <c r="H215" s="596"/>
      <c r="I215" s="596"/>
      <c r="J215" s="596"/>
      <c r="K215" s="638"/>
      <c r="L215" s="638"/>
      <c r="M215" s="638"/>
      <c r="N215" s="638"/>
      <c r="O215" s="638"/>
      <c r="P215" s="596"/>
      <c r="Q215" s="596"/>
      <c r="R215" s="596"/>
      <c r="S215" s="596"/>
      <c r="T215" s="596"/>
      <c r="U215" s="596"/>
      <c r="V215" s="596"/>
      <c r="W215" s="596"/>
      <c r="X215" s="596"/>
      <c r="Y215" s="596"/>
      <c r="Z215" s="596"/>
      <c r="AA215" s="596"/>
      <c r="AB215" s="596"/>
      <c r="AC215" s="596"/>
      <c r="AD215" s="596"/>
      <c r="AE215" s="596"/>
      <c r="AF215" s="596"/>
      <c r="AG215" s="596"/>
      <c r="AH215" s="596"/>
      <c r="AI215" s="596"/>
      <c r="AJ215" s="596"/>
      <c r="AK215" s="596"/>
      <c r="AL215" s="596"/>
      <c r="AM215" s="596"/>
      <c r="AN215" s="596"/>
      <c r="AO215" s="596"/>
      <c r="AP215" s="596"/>
      <c r="AQ215" s="596"/>
      <c r="AR215" s="596"/>
      <c r="AS215" s="596"/>
      <c r="AT215" s="596"/>
      <c r="AU215" s="596"/>
      <c r="AV215" s="596"/>
      <c r="AW215" s="596"/>
      <c r="AX215" s="596"/>
      <c r="AY215" s="596"/>
      <c r="AZ215" s="596"/>
      <c r="BA215" s="596"/>
      <c r="BB215" s="596"/>
      <c r="BC215" s="596"/>
      <c r="BD215" s="596"/>
      <c r="BE215" s="596"/>
      <c r="BF215" s="596"/>
      <c r="BG215" s="596"/>
      <c r="BH215" s="596"/>
      <c r="BI215" s="596"/>
      <c r="BJ215" s="596"/>
      <c r="BK215" s="596"/>
      <c r="BL215" s="596"/>
      <c r="BM215" s="596"/>
      <c r="BN215" s="596"/>
      <c r="BO215" s="596"/>
      <c r="BP215" s="596"/>
      <c r="BQ215" s="596"/>
      <c r="BR215" s="596"/>
      <c r="BS215" s="596"/>
      <c r="BT215" s="596"/>
      <c r="BU215" s="596"/>
      <c r="BV215" s="596"/>
      <c r="BW215" s="596"/>
      <c r="BX215" s="596"/>
      <c r="BY215" s="596"/>
      <c r="BZ215" s="596"/>
      <c r="CA215" s="596"/>
      <c r="CB215" s="596"/>
      <c r="CC215" s="596"/>
      <c r="CD215" s="596"/>
      <c r="CE215" s="596"/>
      <c r="CF215" s="596"/>
      <c r="CG215" s="596"/>
      <c r="CH215" s="596"/>
      <c r="CI215" s="596"/>
      <c r="CJ215" s="596"/>
      <c r="CK215" s="596"/>
      <c r="CL215" s="596"/>
      <c r="CM215" s="596"/>
      <c r="CN215" s="596"/>
      <c r="CO215" s="596"/>
      <c r="CP215" s="596"/>
      <c r="CQ215" s="596"/>
      <c r="CR215" s="596"/>
      <c r="CS215" s="596"/>
      <c r="CT215" s="596"/>
      <c r="CU215" s="596"/>
      <c r="CV215" s="596"/>
      <c r="CW215" s="596"/>
      <c r="CX215" s="596"/>
      <c r="CY215" s="596"/>
      <c r="CZ215" s="596"/>
      <c r="DA215" s="596"/>
      <c r="DB215" s="596"/>
      <c r="DC215" s="596"/>
      <c r="DD215" s="596"/>
      <c r="DE215" s="596"/>
      <c r="DF215" s="596"/>
      <c r="DG215" s="596"/>
      <c r="DH215" s="596"/>
      <c r="DI215" s="596"/>
      <c r="DJ215" s="596"/>
      <c r="DK215" s="596"/>
      <c r="DL215" s="596"/>
      <c r="DM215" s="596"/>
      <c r="DN215" s="596"/>
      <c r="DO215" s="596"/>
      <c r="DP215" s="596"/>
      <c r="DQ215" s="596"/>
      <c r="DR215" s="596"/>
      <c r="DS215" s="596"/>
      <c r="DT215" s="596"/>
      <c r="DU215" s="596"/>
      <c r="DV215" s="596"/>
      <c r="DW215" s="596"/>
      <c r="DX215" s="596"/>
      <c r="DY215" s="596"/>
      <c r="DZ215" s="596"/>
      <c r="EA215" s="596"/>
    </row>
    <row r="216" spans="1:131">
      <c r="A216" s="596"/>
      <c r="B216" s="596"/>
      <c r="C216" s="596"/>
      <c r="D216" s="596"/>
      <c r="E216" s="596"/>
      <c r="F216" s="596"/>
      <c r="G216" s="596"/>
      <c r="H216" s="596"/>
      <c r="I216" s="596"/>
      <c r="J216" s="596"/>
      <c r="K216" s="638"/>
      <c r="L216" s="638"/>
      <c r="M216" s="638"/>
      <c r="N216" s="638"/>
      <c r="O216" s="638"/>
      <c r="P216" s="596"/>
      <c r="Q216" s="596"/>
      <c r="R216" s="596"/>
      <c r="S216" s="596"/>
      <c r="T216" s="596"/>
      <c r="U216" s="596"/>
      <c r="V216" s="596"/>
      <c r="W216" s="596"/>
      <c r="X216" s="596"/>
      <c r="Y216" s="596"/>
      <c r="Z216" s="596"/>
      <c r="AA216" s="596"/>
      <c r="AB216" s="596"/>
      <c r="AC216" s="596"/>
      <c r="AD216" s="596"/>
      <c r="AE216" s="596"/>
      <c r="AF216" s="596"/>
      <c r="AG216" s="596"/>
      <c r="AH216" s="596"/>
      <c r="AI216" s="596"/>
      <c r="AJ216" s="596"/>
      <c r="AK216" s="596"/>
      <c r="AL216" s="596"/>
      <c r="AM216" s="596"/>
      <c r="AN216" s="596"/>
      <c r="AO216" s="596"/>
      <c r="AP216" s="596"/>
      <c r="AQ216" s="596"/>
      <c r="AR216" s="596"/>
      <c r="AS216" s="596"/>
      <c r="AT216" s="596"/>
      <c r="AU216" s="596"/>
      <c r="AV216" s="596"/>
      <c r="AW216" s="596"/>
      <c r="AX216" s="596"/>
      <c r="AY216" s="596"/>
      <c r="AZ216" s="596"/>
      <c r="BA216" s="596"/>
      <c r="BB216" s="596"/>
      <c r="BC216" s="596"/>
      <c r="BD216" s="596"/>
      <c r="BE216" s="596"/>
      <c r="BF216" s="596"/>
      <c r="BG216" s="596"/>
      <c r="BH216" s="596"/>
      <c r="BI216" s="596"/>
      <c r="BJ216" s="596"/>
      <c r="BK216" s="596"/>
      <c r="BL216" s="596"/>
      <c r="BM216" s="596"/>
      <c r="BN216" s="596"/>
      <c r="BO216" s="596"/>
      <c r="BP216" s="596"/>
      <c r="BQ216" s="596"/>
      <c r="BR216" s="596"/>
      <c r="BS216" s="596"/>
      <c r="BT216" s="596"/>
      <c r="BU216" s="596"/>
      <c r="BV216" s="596"/>
      <c r="BW216" s="596"/>
      <c r="BX216" s="596"/>
      <c r="BY216" s="596"/>
      <c r="BZ216" s="596"/>
      <c r="CA216" s="596"/>
      <c r="CB216" s="596"/>
      <c r="CC216" s="596"/>
      <c r="CD216" s="596"/>
      <c r="CE216" s="596"/>
      <c r="CF216" s="596"/>
      <c r="CG216" s="596"/>
      <c r="CH216" s="596"/>
      <c r="CI216" s="596"/>
      <c r="CJ216" s="596"/>
      <c r="CK216" s="596"/>
      <c r="CL216" s="596"/>
      <c r="CM216" s="596"/>
      <c r="CN216" s="596"/>
      <c r="CO216" s="596"/>
      <c r="CP216" s="596"/>
      <c r="CQ216" s="596"/>
      <c r="CR216" s="596"/>
      <c r="CS216" s="596"/>
      <c r="CT216" s="596"/>
      <c r="CU216" s="596"/>
      <c r="CV216" s="596"/>
      <c r="CW216" s="596"/>
      <c r="CX216" s="596"/>
      <c r="CY216" s="596"/>
      <c r="CZ216" s="596"/>
      <c r="DA216" s="596"/>
      <c r="DB216" s="596"/>
      <c r="DC216" s="596"/>
      <c r="DD216" s="596"/>
      <c r="DE216" s="596"/>
      <c r="DF216" s="596"/>
      <c r="DG216" s="596"/>
      <c r="DH216" s="596"/>
      <c r="DI216" s="596"/>
      <c r="DJ216" s="596"/>
      <c r="DK216" s="596"/>
      <c r="DL216" s="596"/>
      <c r="DM216" s="596"/>
      <c r="DN216" s="596"/>
      <c r="DO216" s="596"/>
      <c r="DP216" s="596"/>
      <c r="DQ216" s="596"/>
      <c r="DR216" s="596"/>
      <c r="DS216" s="596"/>
      <c r="DT216" s="596"/>
      <c r="DU216" s="596"/>
      <c r="DV216" s="596"/>
      <c r="DW216" s="596"/>
      <c r="DX216" s="596"/>
      <c r="DY216" s="596"/>
      <c r="DZ216" s="596"/>
      <c r="EA216" s="596"/>
    </row>
    <row r="217" spans="1:131">
      <c r="A217" s="596"/>
      <c r="B217" s="596"/>
      <c r="C217" s="596"/>
      <c r="D217" s="596"/>
      <c r="E217" s="596"/>
      <c r="F217" s="596"/>
      <c r="G217" s="596"/>
      <c r="H217" s="596"/>
      <c r="I217" s="596"/>
      <c r="J217" s="596"/>
      <c r="K217" s="638"/>
      <c r="L217" s="638"/>
      <c r="M217" s="638"/>
      <c r="N217" s="638"/>
      <c r="O217" s="638"/>
      <c r="P217" s="596"/>
      <c r="Q217" s="596"/>
      <c r="R217" s="596"/>
      <c r="S217" s="596"/>
      <c r="T217" s="596"/>
      <c r="U217" s="596"/>
      <c r="V217" s="596"/>
      <c r="W217" s="596"/>
      <c r="X217" s="596"/>
      <c r="Y217" s="596"/>
      <c r="Z217" s="596"/>
      <c r="AA217" s="596"/>
      <c r="AB217" s="596"/>
      <c r="AC217" s="596"/>
      <c r="AD217" s="596"/>
      <c r="AE217" s="596"/>
      <c r="AF217" s="596"/>
      <c r="AG217" s="596"/>
      <c r="AH217" s="596"/>
      <c r="AI217" s="596"/>
      <c r="AJ217" s="596"/>
      <c r="AK217" s="596"/>
      <c r="AL217" s="596"/>
      <c r="AM217" s="596"/>
      <c r="AN217" s="596"/>
      <c r="AO217" s="596"/>
      <c r="AP217" s="596"/>
      <c r="AQ217" s="596"/>
      <c r="AR217" s="596"/>
      <c r="AS217" s="596"/>
      <c r="AT217" s="596"/>
      <c r="AU217" s="596"/>
      <c r="AV217" s="596"/>
      <c r="AW217" s="596"/>
      <c r="AX217" s="596"/>
      <c r="AY217" s="596"/>
      <c r="AZ217" s="596"/>
      <c r="BA217" s="596"/>
      <c r="BB217" s="596"/>
      <c r="BC217" s="596"/>
      <c r="BD217" s="596"/>
      <c r="BE217" s="596"/>
      <c r="BF217" s="596"/>
      <c r="BG217" s="596"/>
      <c r="BH217" s="596"/>
      <c r="BI217" s="596"/>
      <c r="BJ217" s="596"/>
      <c r="BK217" s="596"/>
      <c r="BL217" s="596"/>
      <c r="BM217" s="596"/>
      <c r="BN217" s="596"/>
      <c r="BO217" s="596"/>
      <c r="BP217" s="596"/>
      <c r="BQ217" s="596"/>
      <c r="BR217" s="596"/>
      <c r="BS217" s="596"/>
      <c r="BT217" s="596"/>
      <c r="BU217" s="596"/>
      <c r="BV217" s="596"/>
      <c r="BW217" s="596"/>
      <c r="BX217" s="596"/>
      <c r="BY217" s="596"/>
      <c r="BZ217" s="596"/>
      <c r="CA217" s="596"/>
      <c r="CB217" s="596"/>
      <c r="CC217" s="596"/>
      <c r="CD217" s="596"/>
      <c r="CE217" s="596"/>
      <c r="CF217" s="596"/>
      <c r="CG217" s="596"/>
      <c r="CH217" s="596"/>
      <c r="CI217" s="596"/>
      <c r="CJ217" s="596"/>
      <c r="CK217" s="596"/>
      <c r="CL217" s="596"/>
      <c r="CM217" s="596"/>
      <c r="CN217" s="596"/>
      <c r="CO217" s="596"/>
      <c r="CP217" s="596"/>
      <c r="CQ217" s="596"/>
      <c r="CR217" s="596"/>
      <c r="CS217" s="596"/>
      <c r="CT217" s="596"/>
      <c r="CU217" s="596"/>
      <c r="CV217" s="596"/>
      <c r="CW217" s="596"/>
      <c r="CX217" s="596"/>
      <c r="CY217" s="596"/>
      <c r="CZ217" s="596"/>
      <c r="DA217" s="596"/>
      <c r="DB217" s="596"/>
      <c r="DC217" s="596"/>
      <c r="DD217" s="596"/>
      <c r="DE217" s="596"/>
      <c r="DF217" s="596"/>
      <c r="DG217" s="596"/>
      <c r="DH217" s="596"/>
      <c r="DI217" s="596"/>
      <c r="DJ217" s="596"/>
      <c r="DK217" s="596"/>
      <c r="DL217" s="596"/>
      <c r="DM217" s="596"/>
      <c r="DN217" s="596"/>
      <c r="DO217" s="596"/>
      <c r="DP217" s="596"/>
      <c r="DQ217" s="596"/>
      <c r="DR217" s="596"/>
      <c r="DS217" s="596"/>
      <c r="DT217" s="596"/>
      <c r="DU217" s="596"/>
      <c r="DV217" s="596"/>
      <c r="DW217" s="596"/>
      <c r="DX217" s="596"/>
      <c r="DY217" s="596"/>
      <c r="DZ217" s="596"/>
      <c r="EA217" s="596"/>
    </row>
    <row r="218" spans="1:131">
      <c r="A218" s="596"/>
      <c r="B218" s="596"/>
      <c r="C218" s="596"/>
      <c r="D218" s="596"/>
      <c r="E218" s="596"/>
      <c r="F218" s="596"/>
      <c r="G218" s="596"/>
      <c r="H218" s="596"/>
      <c r="I218" s="596"/>
      <c r="J218" s="596"/>
      <c r="K218" s="638"/>
      <c r="L218" s="638"/>
      <c r="M218" s="638"/>
      <c r="N218" s="638"/>
      <c r="O218" s="638"/>
      <c r="P218" s="596"/>
      <c r="Q218" s="596"/>
      <c r="R218" s="596"/>
      <c r="S218" s="596"/>
      <c r="T218" s="596"/>
      <c r="U218" s="596"/>
      <c r="V218" s="596"/>
      <c r="W218" s="596"/>
      <c r="X218" s="596"/>
      <c r="Y218" s="596"/>
      <c r="Z218" s="596"/>
      <c r="AA218" s="596"/>
      <c r="AB218" s="596"/>
      <c r="AC218" s="596"/>
      <c r="AD218" s="596"/>
      <c r="AE218" s="596"/>
      <c r="AF218" s="596"/>
      <c r="AG218" s="596"/>
      <c r="AH218" s="596"/>
      <c r="AI218" s="596"/>
      <c r="AJ218" s="596"/>
      <c r="AK218" s="596"/>
      <c r="AL218" s="596"/>
      <c r="AM218" s="596"/>
      <c r="AN218" s="596"/>
      <c r="AO218" s="596"/>
      <c r="AP218" s="596"/>
      <c r="AQ218" s="596"/>
      <c r="AR218" s="596"/>
      <c r="AS218" s="596"/>
      <c r="AT218" s="596"/>
      <c r="AU218" s="596"/>
      <c r="AV218" s="596"/>
      <c r="AW218" s="596"/>
      <c r="AX218" s="596"/>
      <c r="AY218" s="596"/>
      <c r="AZ218" s="596"/>
      <c r="BA218" s="596"/>
      <c r="BB218" s="596"/>
      <c r="BC218" s="596"/>
      <c r="BD218" s="596"/>
      <c r="BE218" s="596"/>
      <c r="BF218" s="596"/>
      <c r="BG218" s="596"/>
      <c r="BH218" s="596"/>
      <c r="BI218" s="596"/>
      <c r="BJ218" s="596"/>
      <c r="BK218" s="596"/>
      <c r="BL218" s="596"/>
      <c r="BM218" s="596"/>
      <c r="BN218" s="596"/>
      <c r="BO218" s="596"/>
      <c r="BP218" s="596"/>
      <c r="BQ218" s="596"/>
      <c r="BR218" s="596"/>
      <c r="BS218" s="596"/>
      <c r="BT218" s="596"/>
      <c r="BU218" s="596"/>
      <c r="BV218" s="596"/>
      <c r="BW218" s="596"/>
      <c r="BX218" s="596"/>
      <c r="BY218" s="596"/>
      <c r="BZ218" s="596"/>
      <c r="CA218" s="596"/>
      <c r="CB218" s="596"/>
      <c r="CC218" s="596"/>
      <c r="CD218" s="596"/>
      <c r="CE218" s="596"/>
      <c r="CF218" s="596"/>
      <c r="CG218" s="596"/>
      <c r="CH218" s="596"/>
      <c r="CI218" s="596"/>
      <c r="CJ218" s="596"/>
      <c r="CK218" s="596"/>
      <c r="CL218" s="596"/>
      <c r="CM218" s="596"/>
      <c r="CN218" s="596"/>
      <c r="CO218" s="596"/>
      <c r="CP218" s="596"/>
      <c r="CQ218" s="596"/>
      <c r="CR218" s="596"/>
      <c r="CS218" s="596"/>
      <c r="CT218" s="596"/>
      <c r="CU218" s="596"/>
      <c r="CV218" s="596"/>
      <c r="CW218" s="596"/>
      <c r="CX218" s="596"/>
      <c r="CY218" s="596"/>
      <c r="CZ218" s="596"/>
      <c r="DA218" s="596"/>
      <c r="DB218" s="596"/>
      <c r="DC218" s="596"/>
      <c r="DD218" s="596"/>
      <c r="DE218" s="596"/>
      <c r="DF218" s="596"/>
      <c r="DG218" s="596"/>
      <c r="DH218" s="596"/>
      <c r="DI218" s="596"/>
      <c r="DJ218" s="596"/>
      <c r="DK218" s="596"/>
      <c r="DL218" s="596"/>
      <c r="DM218" s="596"/>
      <c r="DN218" s="596"/>
      <c r="DO218" s="596"/>
      <c r="DP218" s="596"/>
      <c r="DQ218" s="596"/>
      <c r="DR218" s="596"/>
      <c r="DS218" s="596"/>
      <c r="DT218" s="596"/>
      <c r="DU218" s="596"/>
      <c r="DV218" s="596"/>
      <c r="DW218" s="596"/>
      <c r="DX218" s="596"/>
      <c r="DY218" s="596"/>
      <c r="DZ218" s="596"/>
      <c r="EA218" s="596"/>
    </row>
    <row r="219" spans="1:131">
      <c r="A219" s="596"/>
      <c r="B219" s="596"/>
      <c r="C219" s="596"/>
      <c r="D219" s="596"/>
      <c r="E219" s="596"/>
      <c r="F219" s="596"/>
      <c r="G219" s="596"/>
      <c r="H219" s="596"/>
      <c r="I219" s="596"/>
      <c r="J219" s="596"/>
      <c r="K219" s="638"/>
      <c r="L219" s="638"/>
      <c r="M219" s="638"/>
      <c r="N219" s="638"/>
      <c r="O219" s="638"/>
      <c r="P219" s="596"/>
      <c r="Q219" s="596"/>
      <c r="R219" s="596"/>
      <c r="S219" s="596"/>
      <c r="T219" s="596"/>
      <c r="U219" s="596"/>
      <c r="V219" s="596"/>
      <c r="W219" s="596"/>
      <c r="X219" s="596"/>
      <c r="Y219" s="596"/>
      <c r="Z219" s="596"/>
      <c r="AA219" s="596"/>
      <c r="AB219" s="596"/>
      <c r="AC219" s="596"/>
      <c r="AD219" s="596"/>
      <c r="AE219" s="596"/>
      <c r="AF219" s="596"/>
      <c r="AG219" s="596"/>
      <c r="AH219" s="596"/>
      <c r="AI219" s="596"/>
      <c r="AJ219" s="596"/>
      <c r="AK219" s="596"/>
      <c r="AL219" s="596"/>
      <c r="AM219" s="596"/>
      <c r="AN219" s="596"/>
      <c r="AO219" s="596"/>
      <c r="AP219" s="596"/>
      <c r="AQ219" s="596"/>
      <c r="AR219" s="596"/>
      <c r="AS219" s="596"/>
      <c r="AT219" s="596"/>
      <c r="AU219" s="596"/>
      <c r="AV219" s="596"/>
      <c r="AW219" s="596"/>
      <c r="AX219" s="596"/>
      <c r="AY219" s="596"/>
      <c r="AZ219" s="596"/>
      <c r="BA219" s="596"/>
      <c r="BB219" s="596"/>
      <c r="BC219" s="596"/>
      <c r="BD219" s="596"/>
      <c r="BE219" s="596"/>
      <c r="BF219" s="596"/>
      <c r="BG219" s="596"/>
      <c r="BH219" s="596"/>
      <c r="BI219" s="596"/>
      <c r="BJ219" s="596"/>
      <c r="BK219" s="596"/>
      <c r="BL219" s="596"/>
      <c r="BM219" s="596"/>
      <c r="BN219" s="596"/>
      <c r="BO219" s="596"/>
      <c r="BP219" s="596"/>
      <c r="BQ219" s="596"/>
      <c r="BR219" s="596"/>
      <c r="BS219" s="596"/>
      <c r="BT219" s="596"/>
      <c r="BU219" s="596"/>
      <c r="BV219" s="596"/>
      <c r="BW219" s="596"/>
      <c r="BX219" s="596"/>
      <c r="BY219" s="596"/>
      <c r="BZ219" s="596"/>
      <c r="CA219" s="596"/>
      <c r="CB219" s="596"/>
      <c r="CC219" s="596"/>
      <c r="CD219" s="596"/>
      <c r="CE219" s="596"/>
      <c r="CF219" s="596"/>
      <c r="CG219" s="596"/>
      <c r="CH219" s="596"/>
      <c r="CI219" s="596"/>
      <c r="CJ219" s="596"/>
      <c r="CK219" s="596"/>
      <c r="CL219" s="596"/>
      <c r="CM219" s="596"/>
      <c r="CN219" s="596"/>
      <c r="CO219" s="596"/>
      <c r="CP219" s="596"/>
      <c r="CQ219" s="596"/>
      <c r="CR219" s="596"/>
      <c r="CS219" s="596"/>
      <c r="CT219" s="596"/>
      <c r="CU219" s="596"/>
      <c r="CV219" s="596"/>
      <c r="CW219" s="596"/>
      <c r="CX219" s="596"/>
      <c r="CY219" s="596"/>
      <c r="CZ219" s="596"/>
      <c r="DA219" s="596"/>
      <c r="DB219" s="596"/>
      <c r="DC219" s="596"/>
      <c r="DD219" s="596"/>
      <c r="DE219" s="596"/>
      <c r="DF219" s="596"/>
      <c r="DG219" s="596"/>
      <c r="DH219" s="596"/>
      <c r="DI219" s="596"/>
      <c r="DJ219" s="596"/>
      <c r="DK219" s="596"/>
      <c r="DL219" s="596"/>
      <c r="DM219" s="596"/>
      <c r="DN219" s="596"/>
      <c r="DO219" s="596"/>
      <c r="DP219" s="596"/>
      <c r="DQ219" s="596"/>
      <c r="DR219" s="596"/>
      <c r="DS219" s="596"/>
      <c r="DT219" s="596"/>
      <c r="DU219" s="596"/>
      <c r="DV219" s="596"/>
      <c r="DW219" s="596"/>
      <c r="DX219" s="596"/>
      <c r="DY219" s="596"/>
      <c r="DZ219" s="596"/>
      <c r="EA219" s="596"/>
    </row>
    <row r="220" spans="1:131">
      <c r="A220" s="596"/>
      <c r="B220" s="596"/>
      <c r="C220" s="596"/>
      <c r="D220" s="596"/>
      <c r="E220" s="596"/>
      <c r="F220" s="596"/>
      <c r="G220" s="596"/>
      <c r="H220" s="596"/>
      <c r="I220" s="596"/>
      <c r="J220" s="596"/>
      <c r="K220" s="638"/>
      <c r="L220" s="638"/>
      <c r="M220" s="638"/>
      <c r="N220" s="638"/>
      <c r="O220" s="638"/>
      <c r="P220" s="596"/>
      <c r="Q220" s="596"/>
      <c r="R220" s="596"/>
      <c r="S220" s="596"/>
      <c r="T220" s="596"/>
      <c r="U220" s="596"/>
      <c r="V220" s="596"/>
      <c r="W220" s="596"/>
      <c r="X220" s="596"/>
      <c r="Y220" s="596"/>
      <c r="Z220" s="596"/>
      <c r="AA220" s="596"/>
      <c r="AB220" s="596"/>
      <c r="AC220" s="596"/>
      <c r="AD220" s="596"/>
      <c r="AE220" s="596"/>
      <c r="AF220" s="596"/>
      <c r="AG220" s="596"/>
      <c r="AH220" s="596"/>
      <c r="AI220" s="596"/>
      <c r="AJ220" s="596"/>
      <c r="AK220" s="596"/>
      <c r="AL220" s="596"/>
      <c r="AM220" s="596"/>
      <c r="AN220" s="596"/>
      <c r="AO220" s="596"/>
      <c r="AP220" s="596"/>
      <c r="AQ220" s="596"/>
      <c r="AR220" s="596"/>
      <c r="AS220" s="596"/>
      <c r="AT220" s="596"/>
      <c r="AU220" s="596"/>
      <c r="AV220" s="596"/>
      <c r="AW220" s="596"/>
      <c r="AX220" s="596"/>
      <c r="AY220" s="596"/>
      <c r="AZ220" s="596"/>
      <c r="BA220" s="596"/>
      <c r="BB220" s="596"/>
      <c r="BC220" s="596"/>
      <c r="BD220" s="596"/>
      <c r="BE220" s="596"/>
      <c r="BF220" s="596"/>
      <c r="BG220" s="596"/>
      <c r="BH220" s="596"/>
      <c r="BI220" s="596"/>
      <c r="BJ220" s="596"/>
      <c r="BK220" s="596"/>
      <c r="BL220" s="596"/>
      <c r="BM220" s="596"/>
      <c r="BN220" s="596"/>
      <c r="BO220" s="596"/>
      <c r="BP220" s="596"/>
      <c r="BQ220" s="596"/>
      <c r="BR220" s="596"/>
      <c r="BS220" s="596"/>
      <c r="BT220" s="596"/>
      <c r="BU220" s="596"/>
      <c r="BV220" s="596"/>
      <c r="BW220" s="596"/>
      <c r="BX220" s="596"/>
      <c r="BY220" s="596"/>
      <c r="BZ220" s="596"/>
      <c r="CA220" s="596"/>
      <c r="CB220" s="596"/>
      <c r="CC220" s="596"/>
      <c r="CD220" s="596"/>
      <c r="CE220" s="596"/>
      <c r="CF220" s="596"/>
      <c r="CG220" s="596"/>
      <c r="CH220" s="596"/>
      <c r="CI220" s="596"/>
      <c r="CJ220" s="596"/>
      <c r="CK220" s="596"/>
      <c r="CL220" s="596"/>
      <c r="CM220" s="596"/>
      <c r="CN220" s="596"/>
      <c r="CO220" s="596"/>
      <c r="CP220" s="596"/>
      <c r="CQ220" s="596"/>
      <c r="CR220" s="596"/>
      <c r="CS220" s="596"/>
      <c r="CT220" s="596"/>
      <c r="CU220" s="596"/>
      <c r="CV220" s="596"/>
      <c r="CW220" s="596"/>
      <c r="CX220" s="596"/>
      <c r="CY220" s="596"/>
      <c r="CZ220" s="596"/>
      <c r="DA220" s="596"/>
      <c r="DB220" s="596"/>
      <c r="DC220" s="596"/>
      <c r="DD220" s="596"/>
      <c r="DE220" s="596"/>
      <c r="DF220" s="596"/>
      <c r="DG220" s="596"/>
      <c r="DH220" s="596"/>
      <c r="DI220" s="596"/>
      <c r="DJ220" s="596"/>
      <c r="DK220" s="596"/>
      <c r="DL220" s="596"/>
      <c r="DM220" s="596"/>
      <c r="DN220" s="596"/>
      <c r="DO220" s="596"/>
      <c r="DP220" s="596"/>
      <c r="DQ220" s="596"/>
      <c r="DR220" s="596"/>
      <c r="DS220" s="596"/>
      <c r="DT220" s="596"/>
      <c r="DU220" s="596"/>
      <c r="DV220" s="596"/>
      <c r="DW220" s="596"/>
      <c r="DX220" s="596"/>
      <c r="DY220" s="596"/>
      <c r="DZ220" s="596"/>
      <c r="EA220" s="596"/>
    </row>
    <row r="221" spans="1:131">
      <c r="A221" s="596"/>
      <c r="B221" s="596"/>
      <c r="C221" s="596"/>
      <c r="D221" s="596"/>
      <c r="E221" s="596"/>
      <c r="F221" s="596"/>
      <c r="G221" s="596"/>
      <c r="H221" s="596"/>
      <c r="I221" s="596"/>
      <c r="J221" s="596"/>
      <c r="K221" s="638"/>
      <c r="L221" s="638"/>
      <c r="M221" s="638"/>
      <c r="N221" s="638"/>
      <c r="O221" s="638"/>
      <c r="P221" s="596"/>
      <c r="Q221" s="596"/>
      <c r="R221" s="596"/>
      <c r="S221" s="596"/>
      <c r="T221" s="596"/>
      <c r="U221" s="596"/>
      <c r="V221" s="596"/>
      <c r="W221" s="596"/>
      <c r="X221" s="596"/>
      <c r="Y221" s="596"/>
      <c r="Z221" s="596"/>
      <c r="AA221" s="596"/>
      <c r="AB221" s="596"/>
      <c r="AC221" s="596"/>
      <c r="AD221" s="596"/>
      <c r="AE221" s="596"/>
      <c r="AF221" s="596"/>
      <c r="AG221" s="596"/>
      <c r="AH221" s="596"/>
      <c r="AI221" s="596"/>
      <c r="AJ221" s="596"/>
      <c r="AK221" s="596"/>
      <c r="AL221" s="596"/>
      <c r="AM221" s="596"/>
      <c r="AN221" s="596"/>
      <c r="AO221" s="596"/>
      <c r="AP221" s="596"/>
      <c r="AQ221" s="596"/>
      <c r="AR221" s="596"/>
      <c r="AS221" s="596"/>
      <c r="AT221" s="596"/>
      <c r="AU221" s="596"/>
      <c r="AV221" s="596"/>
      <c r="AW221" s="596"/>
      <c r="AX221" s="596"/>
      <c r="AY221" s="596"/>
      <c r="AZ221" s="596"/>
      <c r="BA221" s="596"/>
      <c r="BB221" s="596"/>
      <c r="BC221" s="596"/>
      <c r="BD221" s="596"/>
      <c r="BE221" s="596"/>
      <c r="BF221" s="596"/>
      <c r="BG221" s="596"/>
      <c r="BH221" s="596"/>
      <c r="BI221" s="596"/>
      <c r="BJ221" s="596"/>
      <c r="BK221" s="596"/>
      <c r="BL221" s="596"/>
      <c r="BM221" s="596"/>
      <c r="BN221" s="596"/>
      <c r="BO221" s="596"/>
      <c r="BP221" s="596"/>
      <c r="BQ221" s="596"/>
      <c r="BR221" s="596"/>
      <c r="BS221" s="596"/>
      <c r="BT221" s="596"/>
      <c r="BU221" s="596"/>
      <c r="BV221" s="596"/>
      <c r="BW221" s="596"/>
      <c r="BX221" s="596"/>
      <c r="BY221" s="596"/>
      <c r="BZ221" s="596"/>
      <c r="CA221" s="596"/>
      <c r="CB221" s="596"/>
      <c r="CC221" s="596"/>
      <c r="CD221" s="596"/>
      <c r="CE221" s="596"/>
      <c r="CF221" s="596"/>
      <c r="CG221" s="596"/>
      <c r="CH221" s="596"/>
      <c r="CI221" s="596"/>
      <c r="CJ221" s="596"/>
      <c r="CK221" s="596"/>
      <c r="CL221" s="596"/>
      <c r="CM221" s="596"/>
      <c r="CN221" s="596"/>
      <c r="CO221" s="596"/>
      <c r="CP221" s="596"/>
      <c r="CQ221" s="596"/>
      <c r="CR221" s="596"/>
      <c r="CS221" s="596"/>
      <c r="CT221" s="596"/>
      <c r="CU221" s="596"/>
      <c r="CV221" s="596"/>
      <c r="CW221" s="596"/>
      <c r="CX221" s="596"/>
      <c r="CY221" s="596"/>
      <c r="CZ221" s="596"/>
      <c r="DA221" s="596"/>
      <c r="DB221" s="596"/>
      <c r="DC221" s="596"/>
      <c r="DD221" s="596"/>
      <c r="DE221" s="596"/>
      <c r="DF221" s="596"/>
      <c r="DG221" s="596"/>
      <c r="DH221" s="596"/>
      <c r="DI221" s="596"/>
      <c r="DJ221" s="596"/>
      <c r="DK221" s="596"/>
      <c r="DL221" s="596"/>
      <c r="DM221" s="596"/>
      <c r="DN221" s="596"/>
      <c r="DO221" s="596"/>
      <c r="DP221" s="596"/>
      <c r="DQ221" s="596"/>
      <c r="DR221" s="596"/>
      <c r="DS221" s="596"/>
      <c r="DT221" s="596"/>
      <c r="DU221" s="596"/>
      <c r="DV221" s="596"/>
      <c r="DW221" s="596"/>
      <c r="DX221" s="596"/>
      <c r="DY221" s="596"/>
      <c r="DZ221" s="596"/>
      <c r="EA221" s="596"/>
    </row>
    <row r="222" spans="1:131">
      <c r="A222" s="596"/>
      <c r="B222" s="596"/>
      <c r="C222" s="596"/>
      <c r="D222" s="596"/>
      <c r="E222" s="596"/>
      <c r="F222" s="596"/>
      <c r="G222" s="596"/>
      <c r="H222" s="596"/>
      <c r="I222" s="596"/>
      <c r="J222" s="596"/>
      <c r="K222" s="638"/>
      <c r="L222" s="638"/>
      <c r="M222" s="638"/>
      <c r="N222" s="638"/>
      <c r="O222" s="638"/>
      <c r="P222" s="596"/>
      <c r="Q222" s="596"/>
      <c r="R222" s="596"/>
      <c r="S222" s="596"/>
      <c r="T222" s="596"/>
      <c r="U222" s="596"/>
      <c r="V222" s="596"/>
      <c r="W222" s="596"/>
      <c r="X222" s="596"/>
      <c r="Y222" s="596"/>
      <c r="Z222" s="596"/>
      <c r="AA222" s="596"/>
      <c r="AB222" s="596"/>
      <c r="AC222" s="596"/>
      <c r="AD222" s="596"/>
      <c r="AE222" s="596"/>
      <c r="AF222" s="596"/>
      <c r="AG222" s="596"/>
      <c r="AH222" s="596"/>
      <c r="AI222" s="596"/>
      <c r="AJ222" s="596"/>
      <c r="AK222" s="596"/>
      <c r="AL222" s="596"/>
      <c r="AM222" s="596"/>
      <c r="AN222" s="596"/>
      <c r="AO222" s="596"/>
      <c r="AP222" s="596"/>
      <c r="AQ222" s="596"/>
      <c r="AR222" s="596"/>
      <c r="AS222" s="596"/>
      <c r="AT222" s="596"/>
      <c r="AU222" s="596"/>
      <c r="AV222" s="596"/>
      <c r="AW222" s="596"/>
      <c r="AX222" s="596"/>
      <c r="AY222" s="596"/>
      <c r="AZ222" s="596"/>
      <c r="BA222" s="596"/>
      <c r="BB222" s="596"/>
      <c r="BC222" s="596"/>
      <c r="BD222" s="596"/>
      <c r="BE222" s="596"/>
      <c r="BF222" s="596"/>
      <c r="BG222" s="596"/>
      <c r="BH222" s="596"/>
      <c r="BI222" s="596"/>
      <c r="BJ222" s="596"/>
      <c r="BK222" s="596"/>
      <c r="BL222" s="596"/>
      <c r="BM222" s="596"/>
      <c r="BN222" s="596"/>
      <c r="BO222" s="596"/>
      <c r="BP222" s="596"/>
      <c r="BQ222" s="596"/>
      <c r="BR222" s="596"/>
      <c r="BS222" s="596"/>
      <c r="BT222" s="596"/>
      <c r="BU222" s="596"/>
      <c r="BV222" s="596"/>
      <c r="BW222" s="596"/>
      <c r="BX222" s="596"/>
      <c r="BY222" s="596"/>
      <c r="BZ222" s="596"/>
      <c r="CA222" s="596"/>
      <c r="CB222" s="596"/>
      <c r="CC222" s="596"/>
      <c r="CD222" s="596"/>
      <c r="CE222" s="596"/>
      <c r="CF222" s="596"/>
      <c r="CG222" s="596"/>
      <c r="CH222" s="596"/>
      <c r="CI222" s="596"/>
      <c r="CJ222" s="596"/>
      <c r="CK222" s="596"/>
      <c r="CL222" s="596"/>
      <c r="CM222" s="596"/>
      <c r="CN222" s="596"/>
      <c r="CO222" s="596"/>
      <c r="CP222" s="596"/>
      <c r="CQ222" s="596"/>
      <c r="CR222" s="596"/>
      <c r="CS222" s="596"/>
      <c r="CT222" s="596"/>
      <c r="CU222" s="596"/>
      <c r="CV222" s="596"/>
      <c r="CW222" s="596"/>
      <c r="CX222" s="596"/>
      <c r="CY222" s="596"/>
      <c r="CZ222" s="596"/>
      <c r="DA222" s="596"/>
      <c r="DB222" s="596"/>
      <c r="DC222" s="596"/>
      <c r="DD222" s="596"/>
      <c r="DE222" s="596"/>
      <c r="DF222" s="596"/>
      <c r="DG222" s="596"/>
      <c r="DH222" s="596"/>
      <c r="DI222" s="596"/>
      <c r="DJ222" s="596"/>
      <c r="DK222" s="596"/>
      <c r="DL222" s="596"/>
      <c r="DM222" s="596"/>
      <c r="DN222" s="596"/>
      <c r="DO222" s="596"/>
      <c r="DP222" s="596"/>
      <c r="DQ222" s="596"/>
      <c r="DR222" s="596"/>
      <c r="DS222" s="596"/>
      <c r="DT222" s="596"/>
      <c r="DU222" s="596"/>
      <c r="DV222" s="596"/>
      <c r="DW222" s="596"/>
      <c r="DX222" s="596"/>
      <c r="DY222" s="596"/>
      <c r="DZ222" s="596"/>
      <c r="EA222" s="596"/>
    </row>
    <row r="223" spans="1:131">
      <c r="A223" s="596"/>
      <c r="B223" s="596"/>
      <c r="C223" s="596"/>
      <c r="D223" s="596"/>
      <c r="E223" s="596"/>
      <c r="F223" s="596"/>
      <c r="G223" s="596"/>
      <c r="H223" s="596"/>
      <c r="I223" s="596"/>
      <c r="J223" s="596"/>
      <c r="K223" s="638"/>
      <c r="L223" s="638"/>
      <c r="M223" s="638"/>
      <c r="N223" s="638"/>
      <c r="O223" s="638"/>
      <c r="P223" s="596"/>
      <c r="Q223" s="596"/>
      <c r="R223" s="596"/>
      <c r="S223" s="596"/>
      <c r="T223" s="596"/>
      <c r="U223" s="596"/>
      <c r="V223" s="596"/>
      <c r="W223" s="596"/>
      <c r="X223" s="596"/>
      <c r="Y223" s="596"/>
      <c r="Z223" s="596"/>
      <c r="AA223" s="596"/>
      <c r="AB223" s="596"/>
      <c r="AC223" s="596"/>
      <c r="AD223" s="596"/>
      <c r="AE223" s="596"/>
      <c r="AF223" s="596"/>
      <c r="AG223" s="596"/>
      <c r="AH223" s="596"/>
      <c r="AI223" s="596"/>
      <c r="AJ223" s="596"/>
      <c r="AK223" s="596"/>
      <c r="AL223" s="596"/>
      <c r="AM223" s="596"/>
      <c r="AN223" s="596"/>
      <c r="AO223" s="596"/>
      <c r="AP223" s="596"/>
      <c r="AQ223" s="596"/>
      <c r="AR223" s="596"/>
      <c r="AS223" s="596"/>
      <c r="AT223" s="596"/>
      <c r="AU223" s="596"/>
      <c r="AV223" s="596"/>
      <c r="AW223" s="596"/>
      <c r="AX223" s="596"/>
      <c r="AY223" s="596"/>
      <c r="AZ223" s="596"/>
      <c r="BA223" s="596"/>
      <c r="BB223" s="596"/>
      <c r="BC223" s="596"/>
      <c r="BD223" s="596"/>
      <c r="BE223" s="596"/>
      <c r="BF223" s="596"/>
      <c r="BG223" s="596"/>
      <c r="BH223" s="596"/>
      <c r="BI223" s="596"/>
      <c r="BJ223" s="596"/>
      <c r="BK223" s="596"/>
      <c r="BL223" s="596"/>
      <c r="BM223" s="596"/>
      <c r="BN223" s="596"/>
      <c r="BO223" s="596"/>
      <c r="BP223" s="596"/>
      <c r="BQ223" s="596"/>
      <c r="BR223" s="596"/>
      <c r="BS223" s="596"/>
      <c r="BT223" s="596"/>
      <c r="BU223" s="596"/>
      <c r="BV223" s="596"/>
      <c r="BW223" s="596"/>
      <c r="BX223" s="596"/>
      <c r="BY223" s="596"/>
      <c r="BZ223" s="596"/>
      <c r="CA223" s="596"/>
      <c r="CB223" s="596"/>
      <c r="CC223" s="596"/>
      <c r="CD223" s="596"/>
      <c r="CE223" s="596"/>
      <c r="CF223" s="596"/>
      <c r="CG223" s="596"/>
      <c r="CH223" s="596"/>
      <c r="CI223" s="596"/>
      <c r="CJ223" s="596"/>
      <c r="CK223" s="596"/>
      <c r="CL223" s="596"/>
      <c r="CM223" s="596"/>
      <c r="CN223" s="596"/>
      <c r="CO223" s="596"/>
      <c r="CP223" s="596"/>
      <c r="CQ223" s="596"/>
      <c r="CR223" s="596"/>
      <c r="CS223" s="596"/>
      <c r="CT223" s="596"/>
      <c r="CU223" s="596"/>
      <c r="CV223" s="596"/>
      <c r="CW223" s="596"/>
      <c r="CX223" s="596"/>
      <c r="CY223" s="596"/>
      <c r="CZ223" s="596"/>
      <c r="DA223" s="596"/>
      <c r="DB223" s="596"/>
      <c r="DC223" s="596"/>
      <c r="DD223" s="596"/>
      <c r="DE223" s="596"/>
      <c r="DF223" s="596"/>
      <c r="DG223" s="596"/>
      <c r="DH223" s="596"/>
      <c r="DI223" s="596"/>
      <c r="DJ223" s="596"/>
      <c r="DK223" s="596"/>
      <c r="DL223" s="596"/>
      <c r="DM223" s="596"/>
      <c r="DN223" s="596"/>
      <c r="DO223" s="596"/>
      <c r="DP223" s="596"/>
      <c r="DQ223" s="596"/>
      <c r="DR223" s="596"/>
      <c r="DS223" s="596"/>
      <c r="DT223" s="596"/>
      <c r="DU223" s="596"/>
      <c r="DV223" s="596"/>
      <c r="DW223" s="596"/>
      <c r="DX223" s="596"/>
      <c r="DY223" s="596"/>
      <c r="DZ223" s="596"/>
      <c r="EA223" s="596"/>
    </row>
    <row r="224" spans="1:131">
      <c r="A224" s="596"/>
      <c r="B224" s="596"/>
      <c r="C224" s="596"/>
      <c r="D224" s="596"/>
      <c r="E224" s="596"/>
      <c r="F224" s="596"/>
      <c r="G224" s="596"/>
      <c r="H224" s="596"/>
      <c r="I224" s="596"/>
      <c r="J224" s="596"/>
      <c r="K224" s="638"/>
      <c r="L224" s="638"/>
      <c r="M224" s="638"/>
      <c r="N224" s="638"/>
      <c r="O224" s="638"/>
      <c r="P224" s="596"/>
      <c r="Q224" s="596"/>
      <c r="R224" s="596"/>
      <c r="S224" s="596"/>
      <c r="T224" s="596"/>
      <c r="U224" s="596"/>
      <c r="V224" s="596"/>
      <c r="W224" s="596"/>
      <c r="X224" s="596"/>
      <c r="Y224" s="596"/>
      <c r="Z224" s="596"/>
      <c r="AA224" s="596"/>
      <c r="AB224" s="596"/>
      <c r="AC224" s="596"/>
      <c r="AD224" s="596"/>
      <c r="AE224" s="596"/>
      <c r="AF224" s="596"/>
      <c r="AG224" s="596"/>
      <c r="AH224" s="596"/>
      <c r="AI224" s="596"/>
      <c r="AJ224" s="596"/>
      <c r="AK224" s="596"/>
      <c r="AL224" s="596"/>
      <c r="AM224" s="596"/>
      <c r="AN224" s="596"/>
      <c r="AO224" s="596"/>
      <c r="AP224" s="596"/>
      <c r="AQ224" s="596"/>
      <c r="AR224" s="596"/>
      <c r="AS224" s="596"/>
      <c r="AT224" s="596"/>
      <c r="AU224" s="596"/>
      <c r="AV224" s="596"/>
      <c r="AW224" s="596"/>
      <c r="AX224" s="596"/>
      <c r="AY224" s="596"/>
      <c r="AZ224" s="596"/>
      <c r="BA224" s="596"/>
      <c r="BB224" s="596"/>
      <c r="BC224" s="596"/>
      <c r="BD224" s="596"/>
      <c r="BE224" s="596"/>
      <c r="BF224" s="596"/>
      <c r="BG224" s="596"/>
      <c r="BH224" s="596"/>
      <c r="BI224" s="596"/>
      <c r="BJ224" s="596"/>
      <c r="BK224" s="596"/>
      <c r="BL224" s="596"/>
      <c r="BM224" s="596"/>
      <c r="BN224" s="596"/>
      <c r="BO224" s="596"/>
      <c r="BP224" s="596"/>
      <c r="BQ224" s="596"/>
      <c r="BR224" s="596"/>
      <c r="BS224" s="596"/>
      <c r="BT224" s="596"/>
      <c r="BU224" s="596"/>
      <c r="BV224" s="596"/>
      <c r="BW224" s="596"/>
      <c r="BX224" s="596"/>
      <c r="BY224" s="596"/>
      <c r="BZ224" s="596"/>
      <c r="CA224" s="596"/>
      <c r="CB224" s="596"/>
      <c r="CC224" s="596"/>
      <c r="CD224" s="596"/>
      <c r="CE224" s="596"/>
      <c r="CF224" s="596"/>
      <c r="CG224" s="596"/>
      <c r="CH224" s="596"/>
      <c r="CI224" s="596"/>
      <c r="CJ224" s="596"/>
      <c r="CK224" s="596"/>
      <c r="CL224" s="596"/>
      <c r="CM224" s="596"/>
      <c r="CN224" s="596"/>
      <c r="CO224" s="596"/>
      <c r="CP224" s="596"/>
      <c r="CQ224" s="596"/>
      <c r="CR224" s="596"/>
      <c r="CS224" s="596"/>
      <c r="CT224" s="596"/>
      <c r="CU224" s="596"/>
      <c r="CV224" s="596"/>
      <c r="CW224" s="596"/>
      <c r="CX224" s="596"/>
      <c r="CY224" s="596"/>
      <c r="CZ224" s="596"/>
      <c r="DA224" s="596"/>
      <c r="DB224" s="596"/>
      <c r="DC224" s="596"/>
      <c r="DD224" s="596"/>
      <c r="DE224" s="596"/>
      <c r="DF224" s="596"/>
      <c r="DG224" s="596"/>
      <c r="DH224" s="596"/>
      <c r="DI224" s="596"/>
      <c r="DJ224" s="596"/>
      <c r="DK224" s="596"/>
      <c r="DL224" s="596"/>
      <c r="DM224" s="596"/>
      <c r="DN224" s="596"/>
      <c r="DO224" s="596"/>
      <c r="DP224" s="596"/>
      <c r="DQ224" s="596"/>
      <c r="DR224" s="596"/>
      <c r="DS224" s="596"/>
      <c r="DT224" s="596"/>
      <c r="DU224" s="596"/>
      <c r="DV224" s="596"/>
      <c r="DW224" s="596"/>
      <c r="DX224" s="596"/>
      <c r="DY224" s="596"/>
      <c r="DZ224" s="596"/>
      <c r="EA224" s="596"/>
    </row>
    <row r="225" spans="1:131">
      <c r="A225" s="596"/>
      <c r="B225" s="596"/>
      <c r="C225" s="596"/>
      <c r="D225" s="596"/>
      <c r="E225" s="596"/>
      <c r="F225" s="596"/>
      <c r="G225" s="596"/>
      <c r="H225" s="596"/>
      <c r="I225" s="596"/>
      <c r="J225" s="596"/>
      <c r="K225" s="638"/>
      <c r="L225" s="638"/>
      <c r="M225" s="638"/>
      <c r="N225" s="638"/>
      <c r="O225" s="638"/>
      <c r="P225" s="596"/>
      <c r="Q225" s="596"/>
      <c r="R225" s="596"/>
      <c r="S225" s="596"/>
      <c r="T225" s="596"/>
      <c r="U225" s="596"/>
      <c r="V225" s="596"/>
      <c r="W225" s="596"/>
      <c r="X225" s="596"/>
      <c r="Y225" s="596"/>
      <c r="Z225" s="596"/>
      <c r="AA225" s="596"/>
      <c r="AB225" s="596"/>
      <c r="AC225" s="596"/>
      <c r="AD225" s="596"/>
      <c r="AE225" s="596"/>
      <c r="AF225" s="596"/>
      <c r="AG225" s="596"/>
      <c r="AH225" s="596"/>
      <c r="AI225" s="596"/>
      <c r="AJ225" s="596"/>
      <c r="AK225" s="596"/>
      <c r="AL225" s="596"/>
      <c r="AM225" s="596"/>
      <c r="AN225" s="596"/>
      <c r="AO225" s="596"/>
      <c r="AP225" s="596"/>
      <c r="AQ225" s="596"/>
      <c r="AR225" s="596"/>
      <c r="AS225" s="596"/>
      <c r="AT225" s="596"/>
      <c r="AU225" s="596"/>
      <c r="AV225" s="596"/>
      <c r="AW225" s="596"/>
      <c r="AX225" s="596"/>
      <c r="AY225" s="596"/>
      <c r="AZ225" s="596"/>
      <c r="BA225" s="596"/>
      <c r="BB225" s="596"/>
      <c r="BC225" s="596"/>
      <c r="BD225" s="596"/>
      <c r="BE225" s="596"/>
      <c r="BF225" s="596"/>
      <c r="BG225" s="596"/>
      <c r="BH225" s="596"/>
      <c r="BI225" s="596"/>
      <c r="BJ225" s="596"/>
      <c r="BK225" s="596"/>
      <c r="BL225" s="596"/>
      <c r="BM225" s="596"/>
      <c r="BN225" s="596"/>
      <c r="BO225" s="596"/>
      <c r="BP225" s="596"/>
      <c r="BQ225" s="596"/>
      <c r="BR225" s="596"/>
      <c r="BS225" s="596"/>
      <c r="BT225" s="596"/>
      <c r="BU225" s="596"/>
      <c r="BV225" s="596"/>
      <c r="BW225" s="596"/>
      <c r="BX225" s="596"/>
      <c r="BY225" s="596"/>
      <c r="BZ225" s="596"/>
      <c r="CA225" s="596"/>
      <c r="CB225" s="596"/>
      <c r="CC225" s="596"/>
      <c r="CD225" s="596"/>
      <c r="CE225" s="596"/>
      <c r="CF225" s="596"/>
      <c r="CG225" s="596"/>
      <c r="CH225" s="596"/>
      <c r="CI225" s="596"/>
      <c r="CJ225" s="596"/>
      <c r="CK225" s="596"/>
      <c r="CL225" s="596"/>
      <c r="CM225" s="596"/>
      <c r="CN225" s="596"/>
      <c r="CO225" s="596"/>
      <c r="CP225" s="596"/>
      <c r="CQ225" s="596"/>
      <c r="CR225" s="596"/>
      <c r="CS225" s="596"/>
      <c r="CT225" s="596"/>
      <c r="CU225" s="596"/>
      <c r="CV225" s="596"/>
      <c r="CW225" s="596"/>
      <c r="CX225" s="596"/>
      <c r="CY225" s="596"/>
      <c r="CZ225" s="596"/>
      <c r="DA225" s="596"/>
      <c r="DB225" s="596"/>
      <c r="DC225" s="596"/>
      <c r="DD225" s="596"/>
      <c r="DE225" s="596"/>
      <c r="DF225" s="596"/>
      <c r="DG225" s="596"/>
      <c r="DH225" s="596"/>
      <c r="DI225" s="596"/>
      <c r="DJ225" s="596"/>
      <c r="DK225" s="596"/>
      <c r="DL225" s="596"/>
      <c r="DM225" s="596"/>
      <c r="DN225" s="596"/>
      <c r="DO225" s="596"/>
      <c r="DP225" s="596"/>
      <c r="DQ225" s="596"/>
      <c r="DR225" s="596"/>
      <c r="DS225" s="596"/>
      <c r="DT225" s="596"/>
      <c r="DU225" s="596"/>
      <c r="DV225" s="596"/>
      <c r="DW225" s="596"/>
      <c r="DX225" s="596"/>
      <c r="DY225" s="596"/>
      <c r="DZ225" s="596"/>
      <c r="EA225" s="596"/>
    </row>
    <row r="226" spans="1:131">
      <c r="A226" s="596"/>
      <c r="B226" s="596"/>
      <c r="C226" s="596"/>
      <c r="D226" s="596"/>
      <c r="E226" s="596"/>
      <c r="F226" s="596"/>
      <c r="G226" s="596"/>
      <c r="H226" s="596"/>
      <c r="I226" s="596"/>
      <c r="J226" s="596"/>
      <c r="K226" s="638"/>
      <c r="L226" s="638"/>
      <c r="M226" s="638"/>
      <c r="N226" s="638"/>
      <c r="O226" s="638"/>
      <c r="P226" s="596"/>
      <c r="Q226" s="596"/>
      <c r="R226" s="596"/>
      <c r="S226" s="596"/>
      <c r="T226" s="596"/>
      <c r="U226" s="596"/>
      <c r="V226" s="596"/>
      <c r="W226" s="596"/>
      <c r="X226" s="596"/>
      <c r="Y226" s="596"/>
      <c r="Z226" s="596"/>
      <c r="AA226" s="596"/>
      <c r="AB226" s="596"/>
      <c r="AC226" s="596"/>
      <c r="AD226" s="596"/>
      <c r="AE226" s="596"/>
      <c r="AF226" s="596"/>
      <c r="AG226" s="596"/>
      <c r="AH226" s="596"/>
      <c r="AI226" s="596"/>
      <c r="AJ226" s="596"/>
      <c r="AK226" s="596"/>
      <c r="AL226" s="596"/>
      <c r="AM226" s="596"/>
      <c r="AN226" s="596"/>
      <c r="AO226" s="596"/>
      <c r="AP226" s="596"/>
      <c r="AQ226" s="596"/>
      <c r="AR226" s="596"/>
      <c r="AS226" s="596"/>
      <c r="AT226" s="596"/>
      <c r="AU226" s="596"/>
      <c r="AV226" s="596"/>
      <c r="AW226" s="596"/>
      <c r="AX226" s="596"/>
      <c r="AY226" s="596"/>
      <c r="AZ226" s="596"/>
      <c r="BA226" s="596"/>
      <c r="BB226" s="596"/>
      <c r="BC226" s="596"/>
      <c r="BD226" s="596"/>
      <c r="BE226" s="596"/>
      <c r="BF226" s="596"/>
      <c r="BG226" s="596"/>
      <c r="BH226" s="596"/>
      <c r="BI226" s="596"/>
      <c r="BJ226" s="596"/>
      <c r="BK226" s="596"/>
      <c r="BL226" s="596"/>
      <c r="BM226" s="596"/>
      <c r="BN226" s="596"/>
      <c r="BO226" s="596"/>
      <c r="BP226" s="596"/>
      <c r="BQ226" s="596"/>
      <c r="BR226" s="596"/>
      <c r="BS226" s="596"/>
      <c r="BT226" s="596"/>
      <c r="BU226" s="596"/>
      <c r="BV226" s="596"/>
      <c r="BW226" s="596"/>
      <c r="BX226" s="596"/>
      <c r="BY226" s="596"/>
      <c r="BZ226" s="596"/>
      <c r="CA226" s="596"/>
      <c r="CB226" s="596"/>
      <c r="CC226" s="596"/>
      <c r="CD226" s="596"/>
      <c r="CE226" s="596"/>
      <c r="CF226" s="596"/>
      <c r="CG226" s="596"/>
      <c r="CH226" s="596"/>
      <c r="CI226" s="596"/>
      <c r="CJ226" s="596"/>
      <c r="CK226" s="596"/>
      <c r="CL226" s="596"/>
      <c r="CM226" s="596"/>
      <c r="CN226" s="596"/>
      <c r="CO226" s="596"/>
      <c r="CP226" s="596"/>
      <c r="CQ226" s="596"/>
      <c r="CR226" s="596"/>
      <c r="CS226" s="596"/>
      <c r="CT226" s="596"/>
      <c r="CU226" s="596"/>
      <c r="CV226" s="596"/>
      <c r="CW226" s="596"/>
      <c r="CX226" s="596"/>
      <c r="CY226" s="596"/>
      <c r="CZ226" s="596"/>
      <c r="DA226" s="596"/>
      <c r="DB226" s="596"/>
      <c r="DC226" s="596"/>
      <c r="DD226" s="596"/>
      <c r="DE226" s="596"/>
      <c r="DF226" s="596"/>
      <c r="DG226" s="596"/>
      <c r="DH226" s="596"/>
      <c r="DI226" s="596"/>
      <c r="DJ226" s="596"/>
      <c r="DK226" s="596"/>
      <c r="DL226" s="596"/>
      <c r="DM226" s="596"/>
      <c r="DN226" s="596"/>
      <c r="DO226" s="596"/>
      <c r="DP226" s="596"/>
      <c r="DQ226" s="596"/>
      <c r="DR226" s="596"/>
      <c r="DS226" s="596"/>
      <c r="DT226" s="596"/>
      <c r="DU226" s="596"/>
      <c r="DV226" s="596"/>
      <c r="DW226" s="596"/>
      <c r="DX226" s="596"/>
      <c r="DY226" s="596"/>
      <c r="DZ226" s="596"/>
      <c r="EA226" s="596"/>
    </row>
  </sheetData>
  <mergeCells count="6">
    <mergeCell ref="R13:R14"/>
    <mergeCell ref="N1:O1"/>
    <mergeCell ref="B6:O6"/>
    <mergeCell ref="B7:O7"/>
    <mergeCell ref="B8:O8"/>
    <mergeCell ref="B9:O9"/>
  </mergeCells>
  <printOptions horizontalCentered="1"/>
  <pageMargins left="0.11811023622047245" right="0.11811023622047245" top="0.27559055118110237" bottom="0.19685039370078741" header="0.27559055118110237" footer="0.11811023622047245"/>
  <pageSetup scale="43"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ACE8-732C-4613-8446-30839B9EE334}">
  <dimension ref="A1:J64"/>
  <sheetViews>
    <sheetView topLeftCell="A37" workbookViewId="0">
      <selection activeCell="L68" sqref="L68"/>
    </sheetView>
  </sheetViews>
  <sheetFormatPr defaultRowHeight="14.5"/>
  <cols>
    <col min="1" max="1" width="25.7265625" customWidth="1"/>
    <col min="2" max="2" width="16.36328125" customWidth="1"/>
    <col min="3" max="3" width="16.26953125" customWidth="1"/>
    <col min="4" max="4" width="16.36328125" customWidth="1"/>
    <col min="5" max="5" width="16.7265625" customWidth="1"/>
    <col min="6" max="6" width="16.26953125" customWidth="1"/>
    <col min="7" max="8" width="17.54296875" hidden="1" customWidth="1"/>
    <col min="10" max="10" width="13.26953125" bestFit="1" customWidth="1"/>
  </cols>
  <sheetData>
    <row r="1" spans="1:6" ht="18">
      <c r="A1" s="793"/>
      <c r="B1" s="793"/>
      <c r="C1" s="1"/>
      <c r="D1" s="1"/>
      <c r="E1" s="15"/>
      <c r="F1" s="16" t="str">
        <f>[1]Status!C1</f>
        <v>UNEP/OzL.Pro/ExCom/94/3</v>
      </c>
    </row>
    <row r="2" spans="1:6" ht="18">
      <c r="A2" s="35"/>
      <c r="B2" s="1"/>
      <c r="C2" s="1"/>
      <c r="D2" s="1"/>
      <c r="E2" s="15"/>
      <c r="F2" s="16" t="s">
        <v>0</v>
      </c>
    </row>
    <row r="3" spans="1:6" ht="18">
      <c r="A3" s="8"/>
      <c r="B3" s="1"/>
      <c r="C3" s="1"/>
      <c r="D3" s="1"/>
      <c r="E3" s="16"/>
      <c r="F3" s="16" t="s">
        <v>150</v>
      </c>
    </row>
    <row r="4" spans="1:6" ht="15.5">
      <c r="A4" s="1"/>
      <c r="B4" s="1"/>
      <c r="C4" s="1"/>
      <c r="D4" s="1"/>
      <c r="E4" s="1"/>
      <c r="F4" s="1"/>
    </row>
    <row r="5" spans="1:6" ht="16">
      <c r="A5" s="794" t="s">
        <v>2</v>
      </c>
      <c r="B5" s="794"/>
      <c r="C5" s="794"/>
      <c r="D5" s="794"/>
      <c r="E5" s="794"/>
      <c r="F5" s="794"/>
    </row>
    <row r="6" spans="1:6" ht="15.5">
      <c r="A6" s="795" t="s">
        <v>147</v>
      </c>
      <c r="B6" s="795"/>
      <c r="C6" s="795"/>
      <c r="D6" s="795"/>
      <c r="E6" s="795"/>
      <c r="F6" s="795"/>
    </row>
    <row r="7" spans="1:6" ht="16.5" thickBot="1">
      <c r="A7" s="798" t="str">
        <f>[1]Status!A6</f>
        <v>As at 24/05/2024</v>
      </c>
      <c r="B7" s="798"/>
      <c r="C7" s="798"/>
      <c r="D7" s="798"/>
      <c r="E7" s="798"/>
      <c r="F7" s="798"/>
    </row>
    <row r="8" spans="1:6" ht="33" customHeight="1" thickBot="1">
      <c r="A8" s="19" t="s">
        <v>59</v>
      </c>
      <c r="B8" s="94" t="s">
        <v>60</v>
      </c>
      <c r="C8" s="94" t="s">
        <v>61</v>
      </c>
      <c r="D8" s="94" t="s">
        <v>62</v>
      </c>
      <c r="E8" s="94" t="s">
        <v>63</v>
      </c>
      <c r="F8" s="95" t="s">
        <v>64</v>
      </c>
    </row>
    <row r="9" spans="1:6">
      <c r="A9" s="68" t="s">
        <v>65</v>
      </c>
      <c r="B9" s="69">
        <v>11906.51</v>
      </c>
      <c r="C9" s="69">
        <v>11906.51</v>
      </c>
      <c r="D9" s="96"/>
      <c r="E9" s="96"/>
      <c r="F9" s="97">
        <f t="shared" ref="F9:F57" si="0">B9-C9-D9-E9</f>
        <v>0</v>
      </c>
    </row>
    <row r="10" spans="1:6">
      <c r="A10" s="23" t="s">
        <v>124</v>
      </c>
      <c r="B10" s="71">
        <v>3287898.86</v>
      </c>
      <c r="C10" s="71">
        <v>3287898.86</v>
      </c>
      <c r="D10" s="98"/>
      <c r="E10" s="98"/>
      <c r="F10" s="97">
        <f t="shared" si="0"/>
        <v>0</v>
      </c>
    </row>
    <row r="11" spans="1:6">
      <c r="A11" s="25" t="s">
        <v>67</v>
      </c>
      <c r="B11" s="74">
        <v>1447491.95</v>
      </c>
      <c r="C11" s="74">
        <v>1447491.95</v>
      </c>
      <c r="D11" s="99"/>
      <c r="E11" s="99"/>
      <c r="F11" s="97">
        <f t="shared" si="0"/>
        <v>0</v>
      </c>
    </row>
    <row r="12" spans="1:6">
      <c r="A12" s="36" t="s">
        <v>68</v>
      </c>
      <c r="B12" s="74">
        <v>25513.96</v>
      </c>
      <c r="C12" s="99"/>
      <c r="D12" s="99"/>
      <c r="E12" s="99"/>
      <c r="F12" s="97">
        <f t="shared" si="0"/>
        <v>25513.96</v>
      </c>
    </row>
    <row r="13" spans="1:6">
      <c r="A13" s="25" t="s">
        <v>69</v>
      </c>
      <c r="B13" s="74">
        <v>71439.09</v>
      </c>
      <c r="C13" s="99"/>
      <c r="D13" s="99"/>
      <c r="E13" s="99"/>
      <c r="F13" s="97">
        <f t="shared" si="0"/>
        <v>71439.09</v>
      </c>
    </row>
    <row r="14" spans="1:6">
      <c r="A14" s="25" t="s">
        <v>70</v>
      </c>
      <c r="B14" s="74">
        <v>1828500.4</v>
      </c>
      <c r="C14" s="74">
        <v>1828500.4</v>
      </c>
      <c r="D14" s="99"/>
      <c r="E14" s="99"/>
      <c r="F14" s="97">
        <f t="shared" si="0"/>
        <v>0</v>
      </c>
    </row>
    <row r="15" spans="1:6">
      <c r="A15" s="25" t="s">
        <v>71</v>
      </c>
      <c r="B15" s="74">
        <v>64635.360000000001</v>
      </c>
      <c r="C15" s="74">
        <v>64635.360000000001</v>
      </c>
      <c r="D15" s="99"/>
      <c r="E15" s="99"/>
      <c r="F15" s="97">
        <f t="shared" si="0"/>
        <v>0</v>
      </c>
    </row>
    <row r="16" spans="1:6">
      <c r="A16" s="25" t="s">
        <v>125</v>
      </c>
      <c r="B16" s="74">
        <v>5454884.4500000002</v>
      </c>
      <c r="C16" s="99">
        <f>18878.29-1174+4363907.56-5650+1068799.53+10123.07</f>
        <v>5454884.4500000002</v>
      </c>
      <c r="D16" s="99"/>
      <c r="E16" s="99"/>
      <c r="F16" s="97">
        <f t="shared" si="0"/>
        <v>0</v>
      </c>
    </row>
    <row r="17" spans="1:10">
      <c r="A17" s="25" t="s">
        <v>73</v>
      </c>
      <c r="B17" s="74">
        <v>0</v>
      </c>
      <c r="C17" s="101"/>
      <c r="D17" s="99"/>
      <c r="E17" s="99"/>
      <c r="F17" s="97"/>
    </row>
    <row r="18" spans="1:10">
      <c r="A18" s="25" t="s">
        <v>74</v>
      </c>
      <c r="B18" s="74">
        <v>78242.81</v>
      </c>
      <c r="C18" s="74">
        <v>78242.81</v>
      </c>
      <c r="D18" s="99"/>
      <c r="E18" s="99"/>
      <c r="F18" s="97">
        <f t="shared" si="0"/>
        <v>0</v>
      </c>
    </row>
    <row r="19" spans="1:10">
      <c r="A19" s="25" t="s">
        <v>75</v>
      </c>
      <c r="B19" s="74">
        <v>593624.78</v>
      </c>
      <c r="C19" s="74">
        <v>593624.78</v>
      </c>
      <c r="D19" s="99"/>
      <c r="E19" s="99"/>
      <c r="F19" s="97">
        <f t="shared" si="0"/>
        <v>0</v>
      </c>
    </row>
    <row r="20" spans="1:10">
      <c r="A20" s="25" t="s">
        <v>76</v>
      </c>
      <c r="B20" s="74">
        <v>1251884.93</v>
      </c>
      <c r="C20" s="74">
        <v>1251884.93</v>
      </c>
      <c r="D20" s="99"/>
      <c r="E20" s="99"/>
      <c r="F20" s="97">
        <f t="shared" si="0"/>
        <v>0</v>
      </c>
    </row>
    <row r="21" spans="1:10">
      <c r="A21" s="25" t="s">
        <v>77</v>
      </c>
      <c r="B21" s="74">
        <v>68037.22</v>
      </c>
      <c r="C21" s="74">
        <v>68037.22</v>
      </c>
      <c r="D21" s="99"/>
      <c r="E21" s="99"/>
      <c r="F21" s="97">
        <f t="shared" si="0"/>
        <v>0</v>
      </c>
    </row>
    <row r="22" spans="1:10">
      <c r="A22" s="25" t="s">
        <v>78</v>
      </c>
      <c r="B22" s="74">
        <v>962726.72</v>
      </c>
      <c r="C22" s="74">
        <v>962726.72</v>
      </c>
      <c r="D22" s="99"/>
      <c r="E22" s="99"/>
      <c r="F22" s="97">
        <f t="shared" si="0"/>
        <v>0</v>
      </c>
    </row>
    <row r="23" spans="1:10">
      <c r="A23" s="25" t="s">
        <v>126</v>
      </c>
      <c r="B23" s="74">
        <v>10414798.1</v>
      </c>
      <c r="C23" s="99">
        <v>10324398</v>
      </c>
      <c r="D23" s="99">
        <v>90400</v>
      </c>
      <c r="E23" s="99"/>
      <c r="F23" s="97">
        <f t="shared" si="0"/>
        <v>9.999999962747097E-2</v>
      </c>
    </row>
    <row r="24" spans="1:10">
      <c r="A24" s="25" t="s">
        <v>127</v>
      </c>
      <c r="B24" s="74">
        <v>13638061.59</v>
      </c>
      <c r="C24" s="99">
        <f>2273010.27+2273010.27+2273010.27+2273010.27+2273010.27+2273010.26+220792</f>
        <v>13858853.609999999</v>
      </c>
      <c r="D24" s="99">
        <f>2328695+438036-220792</f>
        <v>2545939</v>
      </c>
      <c r="E24" s="73"/>
      <c r="F24" s="97">
        <f t="shared" si="0"/>
        <v>-2766731.0199999996</v>
      </c>
      <c r="G24" s="52">
        <f>F24*0.7203</f>
        <v>-1992876.3537059999</v>
      </c>
      <c r="J24" s="118"/>
    </row>
    <row r="25" spans="1:10">
      <c r="A25" s="25" t="s">
        <v>81</v>
      </c>
      <c r="B25" s="74">
        <v>1175343.05</v>
      </c>
      <c r="C25" s="99">
        <v>1175343</v>
      </c>
      <c r="D25" s="99"/>
      <c r="E25" s="99"/>
      <c r="F25" s="97">
        <f t="shared" si="0"/>
        <v>5.0000000046566129E-2</v>
      </c>
    </row>
    <row r="26" spans="1:10">
      <c r="A26" s="25" t="s">
        <v>82</v>
      </c>
      <c r="B26" s="74">
        <v>1700.93</v>
      </c>
      <c r="C26" s="74">
        <v>1700.93</v>
      </c>
      <c r="D26" s="99"/>
      <c r="E26" s="99"/>
      <c r="F26" s="97">
        <f t="shared" si="0"/>
        <v>0</v>
      </c>
    </row>
    <row r="27" spans="1:10">
      <c r="A27" s="25" t="s">
        <v>83</v>
      </c>
      <c r="B27" s="74">
        <v>494970.81</v>
      </c>
      <c r="C27" s="74">
        <v>494970.81</v>
      </c>
      <c r="D27" s="99"/>
      <c r="E27" s="99"/>
      <c r="F27" s="97">
        <f t="shared" si="0"/>
        <v>0</v>
      </c>
    </row>
    <row r="28" spans="1:10">
      <c r="A28" s="25" t="s">
        <v>84</v>
      </c>
      <c r="B28" s="74">
        <v>71439.09</v>
      </c>
      <c r="C28" s="74">
        <v>71439.09</v>
      </c>
      <c r="D28" s="99"/>
      <c r="E28" s="99"/>
      <c r="F28" s="97">
        <f t="shared" si="0"/>
        <v>0</v>
      </c>
    </row>
    <row r="29" spans="1:10">
      <c r="A29" s="25" t="s">
        <v>128</v>
      </c>
      <c r="B29" s="74">
        <v>847063.44</v>
      </c>
      <c r="C29" s="74">
        <v>847063.44</v>
      </c>
      <c r="D29" s="99"/>
      <c r="E29" s="99"/>
      <c r="F29" s="97">
        <f t="shared" si="0"/>
        <v>0</v>
      </c>
    </row>
    <row r="30" spans="1:10">
      <c r="A30" s="25" t="s">
        <v>86</v>
      </c>
      <c r="B30" s="74">
        <v>653157.35</v>
      </c>
      <c r="C30" s="99"/>
      <c r="D30" s="99"/>
      <c r="E30" s="99"/>
      <c r="F30" s="97">
        <f t="shared" si="0"/>
        <v>653157.35</v>
      </c>
    </row>
    <row r="31" spans="1:10">
      <c r="A31" s="25" t="s">
        <v>87</v>
      </c>
      <c r="B31" s="74">
        <v>8502952.0999999996</v>
      </c>
      <c r="C31" s="99">
        <f>3260612.78+3105975.89+2136363</f>
        <v>8502951.6699999999</v>
      </c>
      <c r="D31" s="99"/>
      <c r="E31" s="99"/>
      <c r="F31" s="97">
        <f t="shared" si="0"/>
        <v>0.42999999970197678</v>
      </c>
    </row>
    <row r="32" spans="1:10">
      <c r="A32" s="25" t="s">
        <v>129</v>
      </c>
      <c r="B32" s="74">
        <v>21312660.48</v>
      </c>
      <c r="C32" s="74">
        <f>14264339.52+7048320.96</f>
        <v>21312660.48</v>
      </c>
      <c r="D32" s="99"/>
      <c r="E32" s="99"/>
      <c r="F32" s="97">
        <f t="shared" si="0"/>
        <v>0</v>
      </c>
    </row>
    <row r="33" spans="1:10">
      <c r="A33" s="25" t="s">
        <v>89</v>
      </c>
      <c r="B33" s="119">
        <v>0</v>
      </c>
      <c r="C33" s="24">
        <v>0</v>
      </c>
      <c r="D33" s="99"/>
      <c r="E33" s="99"/>
      <c r="F33" s="97">
        <f t="shared" si="0"/>
        <v>0</v>
      </c>
      <c r="H33" s="52"/>
      <c r="I33" s="52"/>
    </row>
    <row r="34" spans="1:10">
      <c r="A34" s="25" t="s">
        <v>91</v>
      </c>
      <c r="B34" s="74">
        <v>64635.360000000001</v>
      </c>
      <c r="C34" s="74">
        <v>64635.360000000001</v>
      </c>
      <c r="D34" s="99"/>
      <c r="E34" s="99"/>
      <c r="F34" s="97">
        <f t="shared" si="0"/>
        <v>0</v>
      </c>
    </row>
    <row r="35" spans="1:10">
      <c r="A35" s="25" t="s">
        <v>92</v>
      </c>
      <c r="B35" s="74">
        <v>15308.38</v>
      </c>
      <c r="C35" s="74">
        <v>15308.38</v>
      </c>
      <c r="D35" s="99"/>
      <c r="E35" s="99"/>
      <c r="F35" s="97">
        <f t="shared" si="0"/>
        <v>0</v>
      </c>
    </row>
    <row r="36" spans="1:10">
      <c r="A36" s="25" t="s">
        <v>93</v>
      </c>
      <c r="B36" s="74">
        <v>110560.49</v>
      </c>
      <c r="C36" s="99">
        <v>110560</v>
      </c>
      <c r="D36" s="99"/>
      <c r="E36" s="99"/>
      <c r="F36" s="97">
        <f t="shared" si="0"/>
        <v>0.49000000000523869</v>
      </c>
    </row>
    <row r="37" spans="1:10">
      <c r="A37" s="25" t="s">
        <v>94</v>
      </c>
      <c r="B37" s="74">
        <v>153083.75</v>
      </c>
      <c r="C37" s="74">
        <v>153083.75</v>
      </c>
      <c r="D37" s="99"/>
      <c r="E37" s="99"/>
      <c r="F37" s="97">
        <f t="shared" si="0"/>
        <v>0</v>
      </c>
    </row>
    <row r="38" spans="1:10">
      <c r="A38" s="25" t="s">
        <v>95</v>
      </c>
      <c r="B38" s="74">
        <v>28915.82</v>
      </c>
      <c r="C38" s="74">
        <v>28915.82</v>
      </c>
      <c r="D38" s="99"/>
      <c r="E38" s="99"/>
      <c r="F38" s="97">
        <f t="shared" si="0"/>
        <v>0</v>
      </c>
      <c r="J38" s="52"/>
    </row>
    <row r="39" spans="1:10">
      <c r="A39" s="25" t="s">
        <v>96</v>
      </c>
      <c r="B39" s="74">
        <v>5102.79</v>
      </c>
      <c r="C39" s="74">
        <v>5102.79</v>
      </c>
      <c r="D39" s="99"/>
      <c r="E39" s="99"/>
      <c r="F39" s="97">
        <f t="shared" si="0"/>
        <v>0</v>
      </c>
    </row>
    <row r="40" spans="1:10">
      <c r="A40" s="25" t="s">
        <v>97</v>
      </c>
      <c r="B40" s="74">
        <v>3155226.27</v>
      </c>
      <c r="C40" s="74">
        <v>3155226.27</v>
      </c>
      <c r="D40" s="99"/>
      <c r="E40" s="99"/>
      <c r="F40" s="97">
        <f t="shared" si="0"/>
        <v>0</v>
      </c>
    </row>
    <row r="41" spans="1:10">
      <c r="A41" s="25" t="s">
        <v>98</v>
      </c>
      <c r="B41" s="74">
        <v>464354.06</v>
      </c>
      <c r="C41" s="74">
        <v>464354.06</v>
      </c>
      <c r="D41" s="99"/>
      <c r="E41" s="99"/>
      <c r="F41" s="97">
        <f t="shared" si="0"/>
        <v>0</v>
      </c>
    </row>
    <row r="42" spans="1:10">
      <c r="A42" s="25" t="s">
        <v>99</v>
      </c>
      <c r="B42" s="74">
        <v>1481510.56</v>
      </c>
      <c r="C42" s="74">
        <v>1481510.56</v>
      </c>
      <c r="D42" s="99"/>
      <c r="E42" s="99"/>
      <c r="F42" s="97">
        <f t="shared" si="0"/>
        <v>0</v>
      </c>
    </row>
    <row r="43" spans="1:10">
      <c r="A43" s="25" t="s">
        <v>101</v>
      </c>
      <c r="B43" s="74">
        <v>1408370.54</v>
      </c>
      <c r="C43" s="74">
        <v>1408370.54</v>
      </c>
      <c r="D43" s="99"/>
      <c r="E43" s="99"/>
      <c r="F43" s="97">
        <f t="shared" si="0"/>
        <v>0</v>
      </c>
    </row>
    <row r="44" spans="1:10">
      <c r="A44" s="25" t="s">
        <v>102</v>
      </c>
      <c r="B44" s="74">
        <v>869175.54</v>
      </c>
      <c r="C44" s="74">
        <v>869176</v>
      </c>
      <c r="D44" s="99"/>
      <c r="E44" s="99"/>
      <c r="F44" s="97">
        <f t="shared" si="0"/>
        <v>-0.4599999999627471</v>
      </c>
    </row>
    <row r="45" spans="1:10">
      <c r="A45" s="25" t="s">
        <v>103</v>
      </c>
      <c r="B45" s="74">
        <v>301064.71999999997</v>
      </c>
      <c r="C45" s="74">
        <v>301064.71999999997</v>
      </c>
      <c r="D45" s="99"/>
      <c r="E45" s="99"/>
      <c r="F45" s="97">
        <f t="shared" si="0"/>
        <v>0</v>
      </c>
    </row>
    <row r="46" spans="1:10">
      <c r="A46" s="25" t="s">
        <v>104</v>
      </c>
      <c r="B46" s="74">
        <v>2724890.83</v>
      </c>
      <c r="C46" s="74">
        <v>2724890.83</v>
      </c>
      <c r="D46" s="99"/>
      <c r="E46" s="99"/>
      <c r="F46" s="97">
        <f t="shared" si="0"/>
        <v>0</v>
      </c>
    </row>
    <row r="47" spans="1:10">
      <c r="A47" s="23" t="s">
        <v>105</v>
      </c>
      <c r="B47" s="74">
        <v>5102.79</v>
      </c>
      <c r="C47" s="74">
        <v>5102.79</v>
      </c>
      <c r="D47" s="99"/>
      <c r="E47" s="99"/>
      <c r="F47" s="97">
        <f t="shared" si="0"/>
        <v>0</v>
      </c>
    </row>
    <row r="48" spans="1:10">
      <c r="A48" s="23" t="s">
        <v>107</v>
      </c>
      <c r="B48" s="74">
        <v>241532.15</v>
      </c>
      <c r="C48" s="74">
        <v>241532.15</v>
      </c>
      <c r="D48" s="99"/>
      <c r="E48" s="99"/>
      <c r="F48" s="97">
        <f t="shared" si="0"/>
        <v>0</v>
      </c>
    </row>
    <row r="49" spans="1:8">
      <c r="A49" s="25" t="s">
        <v>108</v>
      </c>
      <c r="B49" s="74">
        <v>175195.85</v>
      </c>
      <c r="C49" s="74">
        <v>175195.85</v>
      </c>
      <c r="D49" s="99"/>
      <c r="E49" s="99"/>
      <c r="F49" s="97">
        <f t="shared" si="0"/>
        <v>0</v>
      </c>
    </row>
    <row r="50" spans="1:8">
      <c r="A50" s="25" t="s">
        <v>110</v>
      </c>
      <c r="B50" s="74">
        <v>5403856.5300000003</v>
      </c>
      <c r="C50" s="74">
        <v>5403856.5300000003</v>
      </c>
      <c r="D50" s="99"/>
      <c r="E50" s="99"/>
      <c r="F50" s="97">
        <f t="shared" si="0"/>
        <v>0</v>
      </c>
    </row>
    <row r="51" spans="1:8">
      <c r="A51" s="25" t="s">
        <v>130</v>
      </c>
      <c r="B51" s="74">
        <v>1809790.16</v>
      </c>
      <c r="C51" s="74">
        <v>1809790.16</v>
      </c>
      <c r="D51" s="99"/>
      <c r="E51" s="99"/>
      <c r="F51" s="97">
        <f t="shared" si="0"/>
        <v>0</v>
      </c>
    </row>
    <row r="52" spans="1:8">
      <c r="A52" s="25" t="s">
        <v>112</v>
      </c>
      <c r="B52" s="74">
        <v>1922051.58</v>
      </c>
      <c r="C52" s="74">
        <v>1922051.58</v>
      </c>
      <c r="D52" s="99"/>
      <c r="E52" s="99"/>
      <c r="F52" s="97">
        <f t="shared" si="0"/>
        <v>0</v>
      </c>
    </row>
    <row r="53" spans="1:8">
      <c r="A53" s="25" t="s">
        <v>113</v>
      </c>
      <c r="B53" s="74">
        <v>3401.86</v>
      </c>
      <c r="C53" s="99"/>
      <c r="D53" s="99"/>
      <c r="E53" s="99"/>
      <c r="F53" s="97">
        <f t="shared" si="0"/>
        <v>3401.86</v>
      </c>
    </row>
    <row r="54" spans="1:8">
      <c r="A54" s="25" t="s">
        <v>115</v>
      </c>
      <c r="B54" s="74">
        <v>147980.96</v>
      </c>
      <c r="C54" s="99"/>
      <c r="D54" s="99"/>
      <c r="E54" s="99"/>
      <c r="F54" s="97">
        <f t="shared" si="0"/>
        <v>147980.96</v>
      </c>
    </row>
    <row r="55" spans="1:8">
      <c r="A55" s="25" t="s">
        <v>117</v>
      </c>
      <c r="B55" s="74">
        <v>11232945.720000001</v>
      </c>
      <c r="C55" s="74">
        <v>11232945.720000001</v>
      </c>
      <c r="D55" s="99"/>
      <c r="E55" s="74"/>
      <c r="F55" s="97">
        <f t="shared" si="0"/>
        <v>0</v>
      </c>
      <c r="G55" s="52">
        <v>29333333</v>
      </c>
    </row>
    <row r="56" spans="1:8">
      <c r="A56" s="25" t="s">
        <v>118</v>
      </c>
      <c r="B56" s="74">
        <f>29333333.33-913526-332185+276701</f>
        <v>28364323.329999998</v>
      </c>
      <c r="C56" s="99">
        <f>4250000+1514000+23000000-399677</f>
        <v>28364323</v>
      </c>
      <c r="D56" s="99"/>
      <c r="E56" s="99"/>
      <c r="F56" s="97">
        <f t="shared" si="0"/>
        <v>0.32999999821186066</v>
      </c>
      <c r="G56" s="52">
        <v>-913526</v>
      </c>
    </row>
    <row r="57" spans="1:8" ht="15" thickBot="1">
      <c r="A57" s="26" t="s">
        <v>119</v>
      </c>
      <c r="B57" s="74">
        <v>17009.310000000001</v>
      </c>
      <c r="C57" s="104"/>
      <c r="D57" s="105"/>
      <c r="E57" s="106"/>
      <c r="F57" s="97">
        <f t="shared" si="0"/>
        <v>17009.310000000001</v>
      </c>
      <c r="G57" s="52">
        <v>-332185</v>
      </c>
      <c r="H57" s="52">
        <f>SUM(G56:G57)</f>
        <v>-1245711</v>
      </c>
    </row>
    <row r="58" spans="1:8" ht="15" thickBot="1">
      <c r="A58" s="120" t="s">
        <v>122</v>
      </c>
      <c r="B58" s="121">
        <f>SUM(B9:B57)</f>
        <v>132364323.33</v>
      </c>
      <c r="C58" s="122">
        <f>SUM(C9:C57)</f>
        <v>131576211.88000001</v>
      </c>
      <c r="D58" s="123">
        <f>SUM(D9:D57)</f>
        <v>2636339</v>
      </c>
      <c r="E58" s="124"/>
      <c r="F58" s="125">
        <f>SUM(F9:F57)</f>
        <v>-1848227.5500000021</v>
      </c>
      <c r="G58" s="52">
        <v>276701</v>
      </c>
      <c r="H58">
        <v>1509933</v>
      </c>
    </row>
    <row r="59" spans="1:8" ht="15" thickBot="1">
      <c r="A59" s="37" t="s">
        <v>131</v>
      </c>
      <c r="B59" s="109">
        <f>913526+332185-276701</f>
        <v>969010</v>
      </c>
      <c r="C59" s="109"/>
      <c r="D59" s="109"/>
      <c r="E59" s="109"/>
      <c r="F59" s="110">
        <f>B59-C59-D59-E59</f>
        <v>969010</v>
      </c>
      <c r="G59" s="126">
        <f>SUM(G55:G58)</f>
        <v>28364323</v>
      </c>
    </row>
    <row r="60" spans="1:8" ht="15" thickBot="1">
      <c r="A60" s="38" t="s">
        <v>132</v>
      </c>
      <c r="B60" s="127">
        <f>B58+B59</f>
        <v>133333333.33</v>
      </c>
      <c r="C60" s="127">
        <f>C58+C59</f>
        <v>131576211.88000001</v>
      </c>
      <c r="D60" s="127">
        <f>D58+D59</f>
        <v>2636339</v>
      </c>
      <c r="E60" s="127"/>
      <c r="F60" s="128">
        <f>F58+F59</f>
        <v>-879217.55000000214</v>
      </c>
    </row>
    <row r="61" spans="1:8">
      <c r="A61" s="55" t="s">
        <v>135</v>
      </c>
      <c r="B61" s="50"/>
      <c r="C61" s="50"/>
      <c r="D61" s="50"/>
      <c r="E61" s="50"/>
      <c r="F61" s="50"/>
      <c r="G61" s="52">
        <f>G55-G59</f>
        <v>969010</v>
      </c>
    </row>
    <row r="62" spans="1:8">
      <c r="A62" s="56"/>
      <c r="B62" s="56"/>
      <c r="C62" s="56"/>
      <c r="D62" s="56"/>
      <c r="E62" s="56"/>
      <c r="F62" s="56"/>
    </row>
    <row r="63" spans="1:8" ht="15" thickBot="1">
      <c r="A63" s="50"/>
      <c r="B63" s="50"/>
      <c r="C63" s="50"/>
      <c r="D63" s="50"/>
      <c r="E63" s="50"/>
      <c r="F63" s="50"/>
    </row>
    <row r="64" spans="1:8" ht="15" thickBot="1">
      <c r="A64" s="42" t="s">
        <v>133</v>
      </c>
      <c r="B64" s="129">
        <f>B12+B13+B15+B19+B21+B27+B34+B36+B43+B46+B48+B49+B53+B54+B57</f>
        <v>6211798.5700000003</v>
      </c>
      <c r="C64" s="129">
        <f>C12+C13+C15+C19+C21+C26+C34+C36+C43+C46+C48+C49+C53+C54+C57</f>
        <v>5453183.0199999996</v>
      </c>
      <c r="D64" s="129">
        <f>D12+D13+D15+D19+D21+D26+D34+D36+D43+D46+D48+D49+D53+D54+D57</f>
        <v>0</v>
      </c>
      <c r="E64" s="129">
        <f>E12+E13+E15+E19+E21+E26+E34+E36+E43+E46+E48+E49+E53+E54+E57</f>
        <v>0</v>
      </c>
      <c r="F64" s="130">
        <f>B64-C64-D64-E64</f>
        <v>758615.55000000075</v>
      </c>
    </row>
  </sheetData>
  <mergeCells count="4">
    <mergeCell ref="A1:B1"/>
    <mergeCell ref="A5:F5"/>
    <mergeCell ref="A6:F6"/>
    <mergeCell ref="A7:F7"/>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3AC4-D329-4DE7-8BBE-472CDD901399}">
  <dimension ref="A1:I66"/>
  <sheetViews>
    <sheetView topLeftCell="A34" workbookViewId="0">
      <selection activeCell="L68" sqref="L68"/>
    </sheetView>
  </sheetViews>
  <sheetFormatPr defaultRowHeight="14.5"/>
  <cols>
    <col min="1" max="1" width="23.26953125" customWidth="1"/>
    <col min="2" max="2" width="15.54296875" customWidth="1"/>
    <col min="3" max="3" width="15.36328125" customWidth="1"/>
    <col min="4" max="4" width="16" customWidth="1"/>
    <col min="5" max="5" width="12.7265625" customWidth="1"/>
    <col min="6" max="6" width="17.26953125" customWidth="1"/>
    <col min="7" max="7" width="17.54296875" hidden="1" customWidth="1"/>
  </cols>
  <sheetData>
    <row r="1" spans="1:6" ht="15.5">
      <c r="A1" s="802" t="str">
        <f>[1]Status!C1</f>
        <v>UNEP/OzL.Pro/ExCom/94/3</v>
      </c>
      <c r="B1" s="802"/>
      <c r="C1" s="1"/>
      <c r="D1" s="1"/>
      <c r="E1" s="1"/>
      <c r="F1" s="1"/>
    </row>
    <row r="2" spans="1:6" ht="15.5">
      <c r="A2" s="131" t="s">
        <v>0</v>
      </c>
      <c r="B2" s="1"/>
      <c r="C2" s="1"/>
      <c r="D2" s="1"/>
      <c r="E2" s="1"/>
      <c r="F2" s="1"/>
    </row>
    <row r="3" spans="1:6" ht="15.5">
      <c r="A3" s="7" t="s">
        <v>152</v>
      </c>
      <c r="B3" s="1"/>
      <c r="C3" s="1"/>
      <c r="D3" s="1"/>
      <c r="E3" s="1"/>
      <c r="F3" s="1"/>
    </row>
    <row r="4" spans="1:6" ht="15.5">
      <c r="A4" s="1"/>
      <c r="B4" s="1"/>
      <c r="C4" s="1"/>
      <c r="D4" s="1"/>
      <c r="E4" s="1"/>
      <c r="F4" s="1"/>
    </row>
    <row r="5" spans="1:6" ht="16">
      <c r="A5" s="794" t="s">
        <v>2</v>
      </c>
      <c r="B5" s="794"/>
      <c r="C5" s="794"/>
      <c r="D5" s="794"/>
      <c r="E5" s="794"/>
      <c r="F5" s="794"/>
    </row>
    <row r="6" spans="1:6" ht="15.5">
      <c r="A6" s="795" t="s">
        <v>149</v>
      </c>
      <c r="B6" s="795"/>
      <c r="C6" s="795"/>
      <c r="D6" s="795"/>
      <c r="E6" s="795"/>
      <c r="F6" s="795"/>
    </row>
    <row r="7" spans="1:6" ht="16.5" thickBot="1">
      <c r="A7" s="798" t="str">
        <f>[1]Status!A6</f>
        <v>As at 24/05/2024</v>
      </c>
      <c r="B7" s="798"/>
      <c r="C7" s="798"/>
      <c r="D7" s="798"/>
      <c r="E7" s="798"/>
      <c r="F7" s="798"/>
    </row>
    <row r="8" spans="1:6" ht="33" customHeight="1" thickBot="1">
      <c r="A8" s="19" t="s">
        <v>59</v>
      </c>
      <c r="B8" s="94" t="s">
        <v>60</v>
      </c>
      <c r="C8" s="94" t="s">
        <v>61</v>
      </c>
      <c r="D8" s="94" t="s">
        <v>62</v>
      </c>
      <c r="E8" s="94" t="s">
        <v>63</v>
      </c>
      <c r="F8" s="95" t="s">
        <v>64</v>
      </c>
    </row>
    <row r="9" spans="1:6">
      <c r="A9" s="68" t="s">
        <v>65</v>
      </c>
      <c r="B9" s="69">
        <v>11906.51</v>
      </c>
      <c r="C9" s="69">
        <v>11973.51</v>
      </c>
      <c r="D9" s="96"/>
      <c r="E9" s="96"/>
      <c r="F9" s="97">
        <f t="shared" ref="F9:F57" si="0">B9-C9-D9-E9</f>
        <v>-67</v>
      </c>
    </row>
    <row r="10" spans="1:6">
      <c r="A10" s="23" t="s">
        <v>124</v>
      </c>
      <c r="B10" s="71">
        <v>3287898.86</v>
      </c>
      <c r="C10" s="71">
        <f>3284796.48+3102.38</f>
        <v>3287898.86</v>
      </c>
      <c r="D10" s="98"/>
      <c r="E10" s="98"/>
      <c r="F10" s="97">
        <f t="shared" si="0"/>
        <v>0</v>
      </c>
    </row>
    <row r="11" spans="1:6">
      <c r="A11" s="25" t="s">
        <v>67</v>
      </c>
      <c r="B11" s="73">
        <v>1447491.95</v>
      </c>
      <c r="C11" s="73">
        <f>930167.99+517323.96</f>
        <v>1447491.95</v>
      </c>
      <c r="D11" s="99"/>
      <c r="E11" s="99"/>
      <c r="F11" s="97">
        <f t="shared" si="0"/>
        <v>0</v>
      </c>
    </row>
    <row r="12" spans="1:6">
      <c r="A12" s="36" t="s">
        <v>68</v>
      </c>
      <c r="B12" s="73">
        <v>25513.96</v>
      </c>
      <c r="C12" s="99"/>
      <c r="D12" s="99"/>
      <c r="E12" s="99"/>
      <c r="F12" s="97">
        <f t="shared" si="0"/>
        <v>25513.96</v>
      </c>
    </row>
    <row r="13" spans="1:6">
      <c r="A13" s="25" t="s">
        <v>69</v>
      </c>
      <c r="B13" s="73">
        <v>71439.09</v>
      </c>
      <c r="C13" s="99"/>
      <c r="D13" s="99"/>
      <c r="E13" s="99"/>
      <c r="F13" s="97">
        <f t="shared" si="0"/>
        <v>71439.09</v>
      </c>
    </row>
    <row r="14" spans="1:6">
      <c r="A14" s="25" t="s">
        <v>70</v>
      </c>
      <c r="B14" s="73">
        <v>1828500.4</v>
      </c>
      <c r="C14" s="73">
        <v>1828500.4</v>
      </c>
      <c r="D14" s="99"/>
      <c r="E14" s="99"/>
      <c r="F14" s="97">
        <f t="shared" si="0"/>
        <v>0</v>
      </c>
    </row>
    <row r="15" spans="1:6">
      <c r="A15" s="25" t="s">
        <v>71</v>
      </c>
      <c r="B15" s="73">
        <v>64635.360000000001</v>
      </c>
      <c r="C15" s="73">
        <v>64635.360000000001</v>
      </c>
      <c r="D15" s="99"/>
      <c r="E15" s="99"/>
      <c r="F15" s="97">
        <f t="shared" si="0"/>
        <v>0</v>
      </c>
    </row>
    <row r="16" spans="1:6">
      <c r="A16" s="25" t="s">
        <v>125</v>
      </c>
      <c r="B16" s="73">
        <v>5454884.4500000002</v>
      </c>
      <c r="C16" s="99">
        <f>4363907.56+1090976.89</f>
        <v>5454884.4499999993</v>
      </c>
      <c r="D16" s="99"/>
      <c r="E16" s="99"/>
      <c r="F16" s="97">
        <f t="shared" si="0"/>
        <v>9.3132257461547852E-10</v>
      </c>
    </row>
    <row r="17" spans="1:7">
      <c r="A17" s="25" t="s">
        <v>73</v>
      </c>
      <c r="B17" s="73">
        <v>0</v>
      </c>
      <c r="C17" s="101"/>
      <c r="D17" s="99"/>
      <c r="E17" s="99"/>
      <c r="F17" s="97"/>
    </row>
    <row r="18" spans="1:7">
      <c r="A18" s="25" t="s">
        <v>74</v>
      </c>
      <c r="B18" s="73">
        <v>78242.81</v>
      </c>
      <c r="C18" s="73">
        <v>78242.81</v>
      </c>
      <c r="D18" s="99"/>
      <c r="E18" s="99"/>
      <c r="F18" s="97">
        <f t="shared" si="0"/>
        <v>0</v>
      </c>
    </row>
    <row r="19" spans="1:7">
      <c r="A19" s="25" t="s">
        <v>75</v>
      </c>
      <c r="B19" s="73">
        <v>593624.78</v>
      </c>
      <c r="C19" s="73">
        <f>559593.99+34030.79</f>
        <v>593624.78</v>
      </c>
      <c r="D19" s="99"/>
      <c r="E19" s="99"/>
      <c r="F19" s="97">
        <f t="shared" si="0"/>
        <v>0</v>
      </c>
    </row>
    <row r="20" spans="1:7">
      <c r="A20" s="25" t="s">
        <v>76</v>
      </c>
      <c r="B20" s="73">
        <v>1251884.93</v>
      </c>
      <c r="C20" s="73">
        <v>1251884.93</v>
      </c>
      <c r="D20" s="99"/>
      <c r="E20" s="99"/>
      <c r="F20" s="97">
        <f t="shared" si="0"/>
        <v>0</v>
      </c>
    </row>
    <row r="21" spans="1:7">
      <c r="A21" s="25" t="s">
        <v>77</v>
      </c>
      <c r="B21" s="73">
        <v>68037.22</v>
      </c>
      <c r="C21" s="73">
        <v>68037.22</v>
      </c>
      <c r="D21" s="99"/>
      <c r="E21" s="99"/>
      <c r="F21" s="97">
        <f t="shared" si="0"/>
        <v>0</v>
      </c>
    </row>
    <row r="22" spans="1:7">
      <c r="A22" s="25" t="s">
        <v>78</v>
      </c>
      <c r="B22" s="73">
        <v>962726.72</v>
      </c>
      <c r="C22" s="73">
        <v>962726.72</v>
      </c>
      <c r="D22" s="99"/>
      <c r="E22" s="99"/>
      <c r="F22" s="97">
        <f t="shared" si="0"/>
        <v>0</v>
      </c>
    </row>
    <row r="23" spans="1:7" ht="15.75" customHeight="1">
      <c r="A23" s="25" t="s">
        <v>126</v>
      </c>
      <c r="B23" s="73">
        <v>10414798.1</v>
      </c>
      <c r="C23" s="99">
        <f>10126112+14179</f>
        <v>10140291</v>
      </c>
      <c r="D23" s="99">
        <f>288686-14179</f>
        <v>274507</v>
      </c>
      <c r="E23" s="99"/>
      <c r="F23" s="97">
        <f t="shared" si="0"/>
        <v>9.999999962747097E-2</v>
      </c>
    </row>
    <row r="24" spans="1:7">
      <c r="A24" s="25" t="s">
        <v>127</v>
      </c>
      <c r="B24" s="73">
        <v>13638061.59</v>
      </c>
      <c r="C24" s="99">
        <f>2273010.27+2273010.26+2273010.27+2273010.27+2273010.27+2273010.27-1859182</f>
        <v>11778879.609999998</v>
      </c>
      <c r="D24" s="99">
        <f>1501405+1226207+1859182</f>
        <v>4586794</v>
      </c>
      <c r="E24" s="73"/>
      <c r="F24" s="97">
        <f t="shared" si="0"/>
        <v>-2727612.0199999977</v>
      </c>
      <c r="G24" s="52">
        <f>F24*0.7203</f>
        <v>-1964698.9380059985</v>
      </c>
    </row>
    <row r="25" spans="1:7">
      <c r="A25" s="25" t="s">
        <v>81</v>
      </c>
      <c r="B25" s="73">
        <v>1175343.05</v>
      </c>
      <c r="C25" s="99">
        <f>80000+200000+300000+595343</f>
        <v>1175343</v>
      </c>
      <c r="D25" s="99"/>
      <c r="E25" s="99"/>
      <c r="F25" s="97">
        <f t="shared" si="0"/>
        <v>5.0000000046566129E-2</v>
      </c>
    </row>
    <row r="26" spans="1:7">
      <c r="A26" s="25" t="s">
        <v>82</v>
      </c>
      <c r="B26" s="73">
        <v>1700.93</v>
      </c>
      <c r="C26" s="73">
        <v>1700.93</v>
      </c>
      <c r="D26" s="99"/>
      <c r="E26" s="99"/>
      <c r="F26" s="97">
        <f t="shared" si="0"/>
        <v>0</v>
      </c>
    </row>
    <row r="27" spans="1:7">
      <c r="A27" s="25" t="s">
        <v>83</v>
      </c>
      <c r="B27" s="73">
        <v>494970.81</v>
      </c>
      <c r="C27" s="73">
        <v>494970.81</v>
      </c>
      <c r="D27" s="99"/>
      <c r="E27" s="99"/>
      <c r="F27" s="97">
        <f t="shared" si="0"/>
        <v>0</v>
      </c>
    </row>
    <row r="28" spans="1:7">
      <c r="A28" s="25" t="s">
        <v>84</v>
      </c>
      <c r="B28" s="73">
        <v>71439.09</v>
      </c>
      <c r="C28" s="73">
        <f>35864.25+35574.83</f>
        <v>71439.08</v>
      </c>
      <c r="D28" s="99"/>
      <c r="E28" s="99"/>
      <c r="F28" s="97">
        <f t="shared" si="0"/>
        <v>9.9999999947613105E-3</v>
      </c>
    </row>
    <row r="29" spans="1:7">
      <c r="A29" s="25" t="s">
        <v>128</v>
      </c>
      <c r="B29" s="73">
        <v>847063.44</v>
      </c>
      <c r="C29" s="73">
        <v>847063.44</v>
      </c>
      <c r="D29" s="99"/>
      <c r="E29" s="99"/>
      <c r="F29" s="97">
        <f t="shared" si="0"/>
        <v>0</v>
      </c>
    </row>
    <row r="30" spans="1:7">
      <c r="A30" s="25" t="s">
        <v>86</v>
      </c>
      <c r="B30" s="73">
        <v>653157.35</v>
      </c>
      <c r="C30" s="99"/>
      <c r="D30" s="99"/>
      <c r="E30" s="99"/>
      <c r="F30" s="97">
        <f t="shared" si="0"/>
        <v>653157.35</v>
      </c>
    </row>
    <row r="31" spans="1:7">
      <c r="A31" s="25" t="s">
        <v>87</v>
      </c>
      <c r="B31" s="73">
        <v>8502952.0999999996</v>
      </c>
      <c r="C31" s="99">
        <f>3782130.85+883093.41+228179+3541748.9</f>
        <v>8435152.1600000001</v>
      </c>
      <c r="D31" s="99">
        <v>67800</v>
      </c>
      <c r="E31" s="99"/>
      <c r="F31" s="97">
        <f t="shared" si="0"/>
        <v>-6.0000000521540642E-2</v>
      </c>
    </row>
    <row r="32" spans="1:7">
      <c r="A32" s="25" t="s">
        <v>129</v>
      </c>
      <c r="B32" s="73">
        <v>21312660.48</v>
      </c>
      <c r="C32" s="73">
        <f>21312660.48-1009000-90400-342350+1785.09+16986.36</f>
        <v>19889681.93</v>
      </c>
      <c r="D32" s="99">
        <f>1009000+432750-1785.09-16986.36</f>
        <v>1422978.5499999998</v>
      </c>
      <c r="E32" s="99"/>
      <c r="F32" s="97">
        <f t="shared" si="0"/>
        <v>9.3132257461547852E-10</v>
      </c>
    </row>
    <row r="33" spans="1:9">
      <c r="A33" s="25" t="s">
        <v>89</v>
      </c>
      <c r="B33" s="119">
        <v>0</v>
      </c>
      <c r="C33" s="45">
        <v>0</v>
      </c>
      <c r="D33" s="99"/>
      <c r="E33" s="99"/>
      <c r="F33" s="97">
        <f t="shared" si="0"/>
        <v>0</v>
      </c>
      <c r="H33" s="52"/>
      <c r="I33" s="52"/>
    </row>
    <row r="34" spans="1:9">
      <c r="A34" s="25" t="s">
        <v>91</v>
      </c>
      <c r="B34" s="73">
        <v>64635.360000000001</v>
      </c>
      <c r="C34" s="73">
        <v>64635.360000000001</v>
      </c>
      <c r="D34" s="99"/>
      <c r="E34" s="99"/>
      <c r="F34" s="97">
        <f t="shared" si="0"/>
        <v>0</v>
      </c>
    </row>
    <row r="35" spans="1:9">
      <c r="A35" s="25" t="s">
        <v>92</v>
      </c>
      <c r="B35" s="73">
        <v>15308.38</v>
      </c>
      <c r="C35" s="73">
        <v>15308.38</v>
      </c>
      <c r="D35" s="99"/>
      <c r="E35" s="99"/>
      <c r="F35" s="97">
        <f t="shared" si="0"/>
        <v>0</v>
      </c>
    </row>
    <row r="36" spans="1:9">
      <c r="A36" s="25" t="s">
        <v>93</v>
      </c>
      <c r="B36" s="73">
        <v>110560.49</v>
      </c>
      <c r="C36" s="99">
        <v>110560</v>
      </c>
      <c r="D36" s="99"/>
      <c r="E36" s="99"/>
      <c r="F36" s="97">
        <f t="shared" si="0"/>
        <v>0.49000000000523869</v>
      </c>
    </row>
    <row r="37" spans="1:9">
      <c r="A37" s="25" t="s">
        <v>94</v>
      </c>
      <c r="B37" s="73">
        <v>153083.75</v>
      </c>
      <c r="C37" s="73">
        <v>153083.75</v>
      </c>
      <c r="D37" s="99"/>
      <c r="E37" s="99"/>
      <c r="F37" s="97">
        <f t="shared" si="0"/>
        <v>0</v>
      </c>
    </row>
    <row r="38" spans="1:9">
      <c r="A38" s="25" t="s">
        <v>95</v>
      </c>
      <c r="B38" s="73">
        <v>28915.82</v>
      </c>
      <c r="C38" s="73">
        <v>28915.82</v>
      </c>
      <c r="D38" s="99"/>
      <c r="E38" s="99"/>
      <c r="F38" s="97">
        <f t="shared" si="0"/>
        <v>0</v>
      </c>
    </row>
    <row r="39" spans="1:9">
      <c r="A39" s="25" t="s">
        <v>96</v>
      </c>
      <c r="B39" s="73">
        <v>5102.79</v>
      </c>
      <c r="C39" s="73">
        <v>5102.79</v>
      </c>
      <c r="D39" s="99"/>
      <c r="E39" s="99"/>
      <c r="F39" s="97">
        <f t="shared" si="0"/>
        <v>0</v>
      </c>
    </row>
    <row r="40" spans="1:9">
      <c r="A40" s="25" t="s">
        <v>97</v>
      </c>
      <c r="B40" s="73">
        <v>3155226.27</v>
      </c>
      <c r="C40" s="73">
        <v>3155226.27</v>
      </c>
      <c r="D40" s="99"/>
      <c r="E40" s="99"/>
      <c r="F40" s="97">
        <f t="shared" si="0"/>
        <v>0</v>
      </c>
    </row>
    <row r="41" spans="1:9">
      <c r="A41" s="25" t="s">
        <v>98</v>
      </c>
      <c r="B41" s="73">
        <v>464354.06</v>
      </c>
      <c r="C41" s="73">
        <v>464354.06</v>
      </c>
      <c r="D41" s="99"/>
      <c r="E41" s="99"/>
      <c r="F41" s="97">
        <f t="shared" si="0"/>
        <v>0</v>
      </c>
    </row>
    <row r="42" spans="1:9">
      <c r="A42" s="25" t="s">
        <v>99</v>
      </c>
      <c r="B42" s="73">
        <v>1481510.56</v>
      </c>
      <c r="C42" s="73">
        <v>1481510.56</v>
      </c>
      <c r="D42" s="99"/>
      <c r="E42" s="99"/>
      <c r="F42" s="97">
        <f t="shared" si="0"/>
        <v>0</v>
      </c>
    </row>
    <row r="43" spans="1:9">
      <c r="A43" s="25" t="s">
        <v>101</v>
      </c>
      <c r="B43" s="73">
        <v>1408370.54</v>
      </c>
      <c r="C43" s="73">
        <v>1408370.54</v>
      </c>
      <c r="D43" s="99"/>
      <c r="E43" s="99"/>
      <c r="F43" s="97">
        <f t="shared" si="0"/>
        <v>0</v>
      </c>
    </row>
    <row r="44" spans="1:9">
      <c r="A44" s="25" t="s">
        <v>102</v>
      </c>
      <c r="B44" s="73">
        <v>869175.54</v>
      </c>
      <c r="C44" s="73">
        <v>869176</v>
      </c>
      <c r="D44" s="99"/>
      <c r="E44" s="99"/>
      <c r="F44" s="97">
        <f t="shared" si="0"/>
        <v>-0.4599999999627471</v>
      </c>
    </row>
    <row r="45" spans="1:9">
      <c r="A45" s="25" t="s">
        <v>103</v>
      </c>
      <c r="B45" s="73">
        <v>301064.71999999997</v>
      </c>
      <c r="C45" s="73">
        <v>301064.71999999997</v>
      </c>
      <c r="D45" s="99"/>
      <c r="E45" s="99"/>
      <c r="F45" s="97">
        <f t="shared" si="0"/>
        <v>0</v>
      </c>
    </row>
    <row r="46" spans="1:9">
      <c r="A46" s="25" t="s">
        <v>104</v>
      </c>
      <c r="B46" s="73">
        <v>2724890.83</v>
      </c>
      <c r="C46" s="99"/>
      <c r="D46" s="99"/>
      <c r="E46" s="99"/>
      <c r="F46" s="97">
        <f t="shared" si="0"/>
        <v>2724890.83</v>
      </c>
    </row>
    <row r="47" spans="1:9">
      <c r="A47" s="23" t="s">
        <v>105</v>
      </c>
      <c r="B47" s="73">
        <v>5102.79</v>
      </c>
      <c r="C47" s="73">
        <v>5102.79</v>
      </c>
      <c r="D47" s="99"/>
      <c r="E47" s="99"/>
      <c r="F47" s="97">
        <f t="shared" si="0"/>
        <v>0</v>
      </c>
    </row>
    <row r="48" spans="1:9">
      <c r="A48" s="23" t="s">
        <v>107</v>
      </c>
      <c r="B48" s="73">
        <v>241532.15</v>
      </c>
      <c r="C48" s="73">
        <v>241532.15</v>
      </c>
      <c r="D48" s="99"/>
      <c r="E48" s="99"/>
      <c r="F48" s="97">
        <f t="shared" si="0"/>
        <v>0</v>
      </c>
    </row>
    <row r="49" spans="1:6">
      <c r="A49" s="25" t="s">
        <v>108</v>
      </c>
      <c r="B49" s="73">
        <v>175195.85</v>
      </c>
      <c r="C49" s="73">
        <v>175195.85</v>
      </c>
      <c r="D49" s="99"/>
      <c r="E49" s="99"/>
      <c r="F49" s="97">
        <f t="shared" si="0"/>
        <v>0</v>
      </c>
    </row>
    <row r="50" spans="1:6">
      <c r="A50" s="25" t="s">
        <v>110</v>
      </c>
      <c r="B50" s="73">
        <v>5403856.5300000003</v>
      </c>
      <c r="C50" s="73">
        <f>5403856.53-893000+2050.1</f>
        <v>4512906.63</v>
      </c>
      <c r="D50" s="99">
        <f>893000-2050.1</f>
        <v>890949.9</v>
      </c>
      <c r="E50" s="99"/>
      <c r="F50" s="97">
        <f t="shared" si="0"/>
        <v>3.4924596548080444E-10</v>
      </c>
    </row>
    <row r="51" spans="1:6">
      <c r="A51" s="25" t="s">
        <v>130</v>
      </c>
      <c r="B51" s="73">
        <v>1809790.16</v>
      </c>
      <c r="C51" s="73">
        <v>1809790.16</v>
      </c>
      <c r="D51" s="99"/>
      <c r="E51" s="99"/>
      <c r="F51" s="97">
        <f t="shared" si="0"/>
        <v>0</v>
      </c>
    </row>
    <row r="52" spans="1:6">
      <c r="A52" s="25" t="s">
        <v>112</v>
      </c>
      <c r="B52" s="73">
        <v>1922051.58</v>
      </c>
      <c r="C52" s="73">
        <v>1922051.58</v>
      </c>
      <c r="D52" s="99"/>
      <c r="E52" s="99"/>
      <c r="F52" s="97">
        <f t="shared" si="0"/>
        <v>0</v>
      </c>
    </row>
    <row r="53" spans="1:6">
      <c r="A53" s="25" t="s">
        <v>113</v>
      </c>
      <c r="B53" s="73">
        <v>3401.86</v>
      </c>
      <c r="C53" s="99"/>
      <c r="D53" s="99"/>
      <c r="E53" s="99"/>
      <c r="F53" s="97">
        <f t="shared" si="0"/>
        <v>3401.86</v>
      </c>
    </row>
    <row r="54" spans="1:6">
      <c r="A54" s="25" t="s">
        <v>115</v>
      </c>
      <c r="B54" s="73">
        <v>147980.96</v>
      </c>
      <c r="C54" s="99"/>
      <c r="D54" s="99"/>
      <c r="E54" s="99"/>
      <c r="F54" s="97">
        <f t="shared" si="0"/>
        <v>147980.96</v>
      </c>
    </row>
    <row r="55" spans="1:6">
      <c r="A55" s="25" t="s">
        <v>117</v>
      </c>
      <c r="B55" s="73">
        <v>11232945.720000001</v>
      </c>
      <c r="C55" s="74">
        <v>11232945.720000001</v>
      </c>
      <c r="D55" s="99"/>
      <c r="E55" s="73"/>
      <c r="F55" s="97">
        <f t="shared" si="0"/>
        <v>0</v>
      </c>
    </row>
    <row r="56" spans="1:6">
      <c r="A56" s="25" t="s">
        <v>118</v>
      </c>
      <c r="B56" s="73">
        <f>29333333.33-1794577</f>
        <v>27538756.329999998</v>
      </c>
      <c r="C56" s="99">
        <f>4451000+24500000+1666667+1666667+1666666-6412244</f>
        <v>27538756</v>
      </c>
      <c r="D56" s="99"/>
      <c r="E56" s="99"/>
      <c r="F56" s="97">
        <f t="shared" si="0"/>
        <v>0.32999999821186066</v>
      </c>
    </row>
    <row r="57" spans="1:6" ht="15" thickBot="1">
      <c r="A57" s="26" t="s">
        <v>119</v>
      </c>
      <c r="B57" s="73">
        <v>17009.310000000001</v>
      </c>
      <c r="C57" s="104"/>
      <c r="D57" s="105"/>
      <c r="E57" s="106"/>
      <c r="F57" s="97">
        <f t="shared" si="0"/>
        <v>17009.310000000001</v>
      </c>
    </row>
    <row r="58" spans="1:6" ht="15" thickBot="1">
      <c r="A58" s="120" t="s">
        <v>122</v>
      </c>
      <c r="B58" s="121">
        <f>SUM(B9:B57)</f>
        <v>131538756.33</v>
      </c>
      <c r="C58" s="122">
        <f>SUM(C9:C57)</f>
        <v>123380012.07999998</v>
      </c>
      <c r="D58" s="123">
        <f>SUM(D9:D57)</f>
        <v>7243029.4500000002</v>
      </c>
      <c r="E58" s="124"/>
      <c r="F58" s="108">
        <f>SUM(F9:F57)</f>
        <v>915714.80000000144</v>
      </c>
    </row>
    <row r="59" spans="1:6" ht="15" thickBot="1">
      <c r="A59" s="37" t="s">
        <v>131</v>
      </c>
      <c r="B59" s="109">
        <v>1794577</v>
      </c>
      <c r="C59" s="109"/>
      <c r="D59" s="109"/>
      <c r="E59" s="109"/>
      <c r="F59" s="110">
        <f>B59-C59-D59-E59</f>
        <v>1794577</v>
      </c>
    </row>
    <row r="60" spans="1:6" ht="15" thickBot="1">
      <c r="A60" s="38" t="s">
        <v>132</v>
      </c>
      <c r="B60" s="132">
        <f>B58+B59</f>
        <v>133333333.33</v>
      </c>
      <c r="C60" s="132">
        <f>C58+C59</f>
        <v>123380012.07999998</v>
      </c>
      <c r="D60" s="132">
        <f>D58+D59</f>
        <v>7243029.4500000002</v>
      </c>
      <c r="E60" s="132"/>
      <c r="F60" s="133">
        <f>F58+F59</f>
        <v>2710291.8000000017</v>
      </c>
    </row>
    <row r="61" spans="1:6">
      <c r="A61" s="55" t="s">
        <v>135</v>
      </c>
      <c r="B61" s="50"/>
      <c r="C61" s="50"/>
      <c r="D61" s="50"/>
      <c r="E61" s="50"/>
      <c r="F61" s="50"/>
    </row>
    <row r="62" spans="1:6">
      <c r="A62" s="56"/>
      <c r="B62" s="56"/>
      <c r="C62" s="56"/>
      <c r="D62" s="56"/>
      <c r="E62" s="56"/>
      <c r="F62" s="56"/>
    </row>
    <row r="63" spans="1:6" ht="15" thickBot="1">
      <c r="A63" s="50"/>
      <c r="B63" s="50"/>
      <c r="C63" s="50"/>
      <c r="D63" s="50"/>
      <c r="E63" s="50"/>
      <c r="F63" s="50"/>
    </row>
    <row r="64" spans="1:6" ht="15" thickBot="1">
      <c r="A64" s="42" t="s">
        <v>133</v>
      </c>
      <c r="B64" s="112">
        <f>B12+B13+B15+B19+B21+B27+B34+B36+B43+B46+B48+B49+B53+B54+B57</f>
        <v>6211798.5700000003</v>
      </c>
      <c r="C64" s="112">
        <f>C12+C13+C15+C19+C21+C26+C34+C36+C43+C46+C48+C49+C53+C54+C57</f>
        <v>2728292.19</v>
      </c>
      <c r="D64" s="112">
        <f>D12+D13+D15+D19+D21+D26+D34+D36+D43+D46+D48+D49+D53+D54+D57</f>
        <v>0</v>
      </c>
      <c r="E64" s="112">
        <f>E12+E13+E15+E19+E21+E26+E34+E36+E43+E46+E48+E49+E53+E54+E57</f>
        <v>0</v>
      </c>
      <c r="F64" s="113">
        <f>B64-C64-D64-E64</f>
        <v>3483506.3800000004</v>
      </c>
    </row>
    <row r="66" spans="4:4">
      <c r="D66" s="51"/>
    </row>
  </sheetData>
  <mergeCells count="4">
    <mergeCell ref="A1:B1"/>
    <mergeCell ref="A5:F5"/>
    <mergeCell ref="A6:F6"/>
    <mergeCell ref="A7:F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8BD6B-557C-4436-BDB6-BDC05C724A19}">
  <sheetPr>
    <tabColor rgb="FFC00000"/>
  </sheetPr>
  <dimension ref="A1:F62"/>
  <sheetViews>
    <sheetView topLeftCell="A26" workbookViewId="0">
      <selection activeCell="L68" sqref="L68"/>
    </sheetView>
  </sheetViews>
  <sheetFormatPr defaultRowHeight="14.5"/>
  <cols>
    <col min="1" max="1" width="20.7265625" customWidth="1"/>
    <col min="2" max="2" width="16.54296875" customWidth="1"/>
    <col min="3" max="4" width="15.54296875" customWidth="1"/>
    <col min="5" max="6" width="16.36328125" customWidth="1"/>
  </cols>
  <sheetData>
    <row r="1" spans="1:6" ht="18">
      <c r="C1" s="1"/>
      <c r="D1" s="1"/>
      <c r="E1" s="799" t="str">
        <f>[1]Status!C1</f>
        <v>UNEP/OzL.Pro/ExCom/94/3</v>
      </c>
      <c r="F1" s="799"/>
    </row>
    <row r="2" spans="1:6" ht="18">
      <c r="B2" s="1"/>
      <c r="C2" s="1"/>
      <c r="D2" s="1"/>
      <c r="E2" s="1"/>
      <c r="F2" s="134" t="s">
        <v>0</v>
      </c>
    </row>
    <row r="3" spans="1:6" ht="18">
      <c r="B3" s="1"/>
      <c r="C3" s="1"/>
      <c r="D3" s="1"/>
      <c r="E3" s="1"/>
      <c r="F3" s="135" t="s">
        <v>154</v>
      </c>
    </row>
    <row r="4" spans="1:6" ht="15.5">
      <c r="A4" s="1"/>
      <c r="B4" s="1"/>
      <c r="C4" s="1"/>
      <c r="D4" s="1"/>
      <c r="E4" s="1"/>
      <c r="F4" s="1"/>
    </row>
    <row r="5" spans="1:6" ht="16">
      <c r="A5" s="794" t="s">
        <v>2</v>
      </c>
      <c r="B5" s="794"/>
      <c r="C5" s="794"/>
      <c r="D5" s="794"/>
      <c r="E5" s="794"/>
      <c r="F5" s="794"/>
    </row>
    <row r="6" spans="1:6" ht="15.5">
      <c r="A6" s="795" t="s">
        <v>151</v>
      </c>
      <c r="B6" s="795"/>
      <c r="C6" s="795"/>
      <c r="D6" s="795"/>
      <c r="E6" s="795"/>
      <c r="F6" s="795"/>
    </row>
    <row r="7" spans="1:6" ht="16.5" thickBot="1">
      <c r="A7" s="798" t="str">
        <f>[1]Status!A6</f>
        <v>As at 24/05/2024</v>
      </c>
      <c r="B7" s="798"/>
      <c r="C7" s="798"/>
      <c r="D7" s="798"/>
      <c r="E7" s="798"/>
      <c r="F7" s="798"/>
    </row>
    <row r="8" spans="1:6" ht="33" customHeight="1" thickBot="1">
      <c r="A8" s="19" t="s">
        <v>59</v>
      </c>
      <c r="B8" s="94" t="s">
        <v>60</v>
      </c>
      <c r="C8" s="94" t="s">
        <v>61</v>
      </c>
      <c r="D8" s="94" t="s">
        <v>62</v>
      </c>
      <c r="E8" s="94" t="s">
        <v>63</v>
      </c>
      <c r="F8" s="95" t="s">
        <v>64</v>
      </c>
    </row>
    <row r="9" spans="1:6" ht="15" thickBot="1">
      <c r="A9" s="68" t="s">
        <v>65</v>
      </c>
      <c r="B9" s="69">
        <f>'YR2009'!B9+'YR2010'!B9+'YR2011'!B9</f>
        <v>34763.96</v>
      </c>
      <c r="C9" s="69">
        <f>'YR2009'!C9+'YR2010'!C9+'YR2011'!C9</f>
        <v>34696.959999999999</v>
      </c>
      <c r="D9" s="69">
        <f>'YR2009'!D9+'YR2010'!D9+'YR2011'!D9</f>
        <v>0</v>
      </c>
      <c r="E9" s="69">
        <f>'YR2009'!E9+'YR2010'!E9+'YR2011'!E9</f>
        <v>0</v>
      </c>
      <c r="F9" s="97">
        <f t="shared" ref="F9:F55" si="0">B9-C9-D9-E9</f>
        <v>67</v>
      </c>
    </row>
    <row r="10" spans="1:6" ht="15" thickBot="1">
      <c r="A10" s="23" t="s">
        <v>124</v>
      </c>
      <c r="B10" s="69">
        <f>'YR2009'!B10+'YR2010'!B10+'YR2011'!B10</f>
        <v>8678132.8200000003</v>
      </c>
      <c r="C10" s="69">
        <f>'YR2009'!C10+'YR2010'!C10+'YR2011'!C10</f>
        <v>8339132.8200000003</v>
      </c>
      <c r="D10" s="69">
        <f>'YR2009'!D10+'YR2010'!D10+'YR2011'!D10</f>
        <v>339000</v>
      </c>
      <c r="E10" s="69">
        <f>'YR2009'!E10+'YR2010'!E10+'YR2011'!E10</f>
        <v>0</v>
      </c>
      <c r="F10" s="97">
        <f t="shared" si="0"/>
        <v>0</v>
      </c>
    </row>
    <row r="11" spans="1:6" ht="15" thickBot="1">
      <c r="A11" s="25" t="s">
        <v>67</v>
      </c>
      <c r="B11" s="69">
        <f>'YR2009'!B11+'YR2010'!B11+'YR2011'!B11</f>
        <v>4307500.74</v>
      </c>
      <c r="C11" s="69">
        <f>'YR2009'!C11+'YR2010'!C11+'YR2011'!C11</f>
        <v>4307500.74</v>
      </c>
      <c r="D11" s="69">
        <f>'YR2009'!D11+'YR2010'!D11+'YR2011'!D11</f>
        <v>0</v>
      </c>
      <c r="E11" s="69">
        <f>'YR2009'!E11+'YR2010'!E11+'YR2011'!E11</f>
        <v>0</v>
      </c>
      <c r="F11" s="97">
        <f t="shared" si="0"/>
        <v>0</v>
      </c>
    </row>
    <row r="12" spans="1:6" ht="15" thickBot="1">
      <c r="A12" s="36" t="s">
        <v>68</v>
      </c>
      <c r="B12" s="69">
        <f>'YR2009'!B12+'YR2010'!B12+'YR2011'!B12</f>
        <v>24281.279999999999</v>
      </c>
      <c r="C12" s="69">
        <f>'YR2009'!C12+'YR2010'!C12+'YR2011'!C12</f>
        <v>0</v>
      </c>
      <c r="D12" s="69">
        <f>'YR2009'!D12+'YR2010'!D12+'YR2011'!D12</f>
        <v>0</v>
      </c>
      <c r="E12" s="69">
        <f>'YR2009'!E12+'YR2010'!E12+'YR2011'!E12</f>
        <v>0</v>
      </c>
      <c r="F12" s="97">
        <f t="shared" si="0"/>
        <v>24281.279999999999</v>
      </c>
    </row>
    <row r="13" spans="1:6" ht="15" thickBot="1">
      <c r="A13" s="25" t="s">
        <v>69</v>
      </c>
      <c r="B13" s="69">
        <f>'YR2009'!B13+'YR2010'!B13+'YR2011'!B13</f>
        <v>97125.15</v>
      </c>
      <c r="C13" s="69">
        <f>'YR2009'!C13+'YR2010'!C13+'YR2011'!C13</f>
        <v>0</v>
      </c>
      <c r="D13" s="69">
        <f>'YR2009'!D13+'YR2010'!D13+'YR2011'!D13</f>
        <v>0</v>
      </c>
      <c r="E13" s="69">
        <f>'YR2009'!E13+'YR2010'!E13+'YR2011'!E13</f>
        <v>0</v>
      </c>
      <c r="F13" s="97">
        <f t="shared" si="0"/>
        <v>97125.15</v>
      </c>
    </row>
    <row r="14" spans="1:6" ht="15" thickBot="1">
      <c r="A14" s="25" t="s">
        <v>70</v>
      </c>
      <c r="B14" s="69">
        <f>'YR2009'!B14+'YR2010'!B14+'YR2011'!B14</f>
        <v>5351596.17</v>
      </c>
      <c r="C14" s="69">
        <f>'YR2009'!C14+'YR2010'!C14+'YR2011'!C14</f>
        <v>5351596.17</v>
      </c>
      <c r="D14" s="69">
        <f>'YR2009'!D14+'YR2010'!D14+'YR2011'!D14</f>
        <v>0</v>
      </c>
      <c r="E14" s="69">
        <f>'YR2009'!E14+'YR2010'!E14+'YR2011'!E14</f>
        <v>0</v>
      </c>
      <c r="F14" s="97">
        <f t="shared" si="0"/>
        <v>0</v>
      </c>
    </row>
    <row r="15" spans="1:6" ht="15" thickBot="1">
      <c r="A15" s="25" t="s">
        <v>71</v>
      </c>
      <c r="B15" s="69">
        <f>'YR2009'!B15+'YR2010'!B15+'YR2011'!B15</f>
        <v>97125.15</v>
      </c>
      <c r="C15" s="69">
        <f>'YR2009'!C15+'YR2010'!C15+'YR2011'!C15</f>
        <v>97125.15</v>
      </c>
      <c r="D15" s="69">
        <f>'YR2009'!D15+'YR2010'!D15+'YR2011'!D15</f>
        <v>0</v>
      </c>
      <c r="E15" s="69">
        <f>'YR2009'!E15+'YR2010'!E15+'YR2011'!E15</f>
        <v>0</v>
      </c>
      <c r="F15" s="97">
        <f t="shared" si="0"/>
        <v>0</v>
      </c>
    </row>
    <row r="16" spans="1:6" ht="15" thickBot="1">
      <c r="A16" s="25" t="s">
        <v>125</v>
      </c>
      <c r="B16" s="69">
        <f>'YR2009'!B16+'YR2010'!B16+'YR2011'!B16</f>
        <v>14457079.710000001</v>
      </c>
      <c r="C16" s="69">
        <f>'YR2009'!C16+'YR2010'!C16+'YR2011'!C16</f>
        <v>14033894.510000002</v>
      </c>
      <c r="D16" s="69">
        <f>'YR2009'!D16+'YR2010'!D16+'YR2011'!D16</f>
        <v>423185</v>
      </c>
      <c r="E16" s="69">
        <f>'YR2009'!E16+'YR2010'!E16+'YR2011'!E16</f>
        <v>0</v>
      </c>
      <c r="F16" s="97">
        <f t="shared" si="0"/>
        <v>0.19999999925494194</v>
      </c>
    </row>
    <row r="17" spans="1:6" ht="15" thickBot="1">
      <c r="A17" s="25" t="s">
        <v>74</v>
      </c>
      <c r="B17" s="69">
        <f>'YR2009'!B17+'YR2010'!B17+'YR2011'!B17</f>
        <v>213675.36</v>
      </c>
      <c r="C17" s="69">
        <f>'YR2009'!C17+'YR2010'!C17+'YR2011'!C17</f>
        <v>213675.36</v>
      </c>
      <c r="D17" s="69">
        <f>'YR2009'!D17+'YR2010'!D17+'YR2011'!D17</f>
        <v>0</v>
      </c>
      <c r="E17" s="69">
        <f>'YR2009'!E17+'YR2010'!E17+'YR2011'!E17</f>
        <v>0</v>
      </c>
      <c r="F17" s="97">
        <f t="shared" si="0"/>
        <v>0</v>
      </c>
    </row>
    <row r="18" spans="1:6" ht="15" thickBot="1">
      <c r="A18" s="25" t="s">
        <v>75</v>
      </c>
      <c r="B18" s="69">
        <f>'YR2009'!B18+'YR2010'!B18+'YR2011'!B18</f>
        <v>1364608.47</v>
      </c>
      <c r="C18" s="69">
        <f>'YR2009'!C18+'YR2010'!C18+'YR2011'!C18</f>
        <v>1153765.47</v>
      </c>
      <c r="D18" s="69">
        <f>'YR2009'!D18+'YR2010'!D18+'YR2011'!D18</f>
        <v>210843</v>
      </c>
      <c r="E18" s="69">
        <f>'YR2009'!E18+'YR2010'!E18+'YR2011'!E18</f>
        <v>0</v>
      </c>
      <c r="F18" s="97">
        <f t="shared" si="0"/>
        <v>0</v>
      </c>
    </row>
    <row r="19" spans="1:6" ht="15" thickBot="1">
      <c r="A19" s="25" t="s">
        <v>76</v>
      </c>
      <c r="B19" s="69">
        <f>'YR2009'!B19+'YR2010'!B19+'YR2011'!B19</f>
        <v>3588774.57</v>
      </c>
      <c r="C19" s="69">
        <f>'YR2009'!C19+'YR2010'!C19+'YR2011'!C19</f>
        <v>3588774.57</v>
      </c>
      <c r="D19" s="69">
        <f>'YR2009'!D19+'YR2010'!D19+'YR2011'!D19</f>
        <v>0</v>
      </c>
      <c r="E19" s="69">
        <f>'YR2009'!E19+'YR2010'!E19+'YR2011'!E19</f>
        <v>0</v>
      </c>
      <c r="F19" s="97">
        <f t="shared" si="0"/>
        <v>0</v>
      </c>
    </row>
    <row r="20" spans="1:6" ht="15" thickBot="1">
      <c r="A20" s="25" t="s">
        <v>77</v>
      </c>
      <c r="B20" s="69">
        <f>'YR2009'!B20+'YR2010'!B20+'YR2011'!B20</f>
        <v>77700.12</v>
      </c>
      <c r="C20" s="69">
        <f>'YR2009'!C20+'YR2010'!C20+'YR2011'!C20</f>
        <v>77700.12</v>
      </c>
      <c r="D20" s="69">
        <f>'YR2009'!D20+'YR2010'!D20+'YR2011'!D20</f>
        <v>0</v>
      </c>
      <c r="E20" s="69">
        <f>'YR2009'!E20+'YR2010'!E20+'YR2011'!E20</f>
        <v>0</v>
      </c>
      <c r="F20" s="97">
        <f t="shared" si="0"/>
        <v>0</v>
      </c>
    </row>
    <row r="21" spans="1:6" ht="15" thickBot="1">
      <c r="A21" s="25" t="s">
        <v>78</v>
      </c>
      <c r="B21" s="69">
        <f>'YR2009'!B21+'YR2010'!B21+'YR2011'!B21</f>
        <v>2738929.44</v>
      </c>
      <c r="C21" s="69">
        <f>'YR2009'!C21+'YR2010'!C21+'YR2011'!C21</f>
        <v>2738929.44</v>
      </c>
      <c r="D21" s="69">
        <f>'YR2009'!D21+'YR2010'!D21+'YR2011'!D21</f>
        <v>0</v>
      </c>
      <c r="E21" s="69">
        <f>'YR2009'!E21+'YR2010'!E21+'YR2011'!E21</f>
        <v>0</v>
      </c>
      <c r="F21" s="97">
        <f t="shared" si="0"/>
        <v>0</v>
      </c>
    </row>
    <row r="22" spans="1:6" ht="15" thickBot="1">
      <c r="A22" s="25" t="s">
        <v>126</v>
      </c>
      <c r="B22" s="69">
        <f>'YR2009'!B22+'YR2010'!B22+'YR2011'!B22</f>
        <v>30599280.900000002</v>
      </c>
      <c r="C22" s="69">
        <f>'YR2009'!C22+'YR2010'!C22+'YR2011'!C22</f>
        <v>29546763.860000003</v>
      </c>
      <c r="D22" s="69">
        <f>'YR2009'!D22+'YR2010'!D22+'YR2011'!D22</f>
        <v>1052517.04</v>
      </c>
      <c r="E22" s="69">
        <f>'YR2009'!E22+'YR2010'!E22+'YR2011'!E22</f>
        <v>0</v>
      </c>
      <c r="F22" s="97">
        <f t="shared" si="0"/>
        <v>-9.3132257461547852E-10</v>
      </c>
    </row>
    <row r="23" spans="1:6" ht="15" thickBot="1">
      <c r="A23" s="25" t="s">
        <v>127</v>
      </c>
      <c r="B23" s="69">
        <f>'YR2009'!B23+'YR2010'!B23+'YR2011'!B23</f>
        <v>41652123.839999996</v>
      </c>
      <c r="C23" s="69">
        <f>'YR2009'!C23+'YR2010'!C23+'YR2011'!C23</f>
        <v>32842934.659999996</v>
      </c>
      <c r="D23" s="69">
        <f>'YR2009'!D23+'YR2010'!D23+'YR2011'!D23</f>
        <v>8809188</v>
      </c>
      <c r="E23" s="69">
        <f>'YR2009'!E23+'YR2010'!E23+'YR2011'!E23</f>
        <v>0.40999999875202775</v>
      </c>
      <c r="F23" s="97">
        <f t="shared" si="0"/>
        <v>0.77000000094994903</v>
      </c>
    </row>
    <row r="24" spans="1:6" ht="15" thickBot="1">
      <c r="A24" s="25" t="s">
        <v>81</v>
      </c>
      <c r="B24" s="69">
        <f>'YR2009'!B24+'YR2010'!B24+'YR2011'!B24</f>
        <v>2894329.71</v>
      </c>
      <c r="C24" s="69">
        <f>'YR2009'!C24+'YR2010'!C24+'YR2011'!C24</f>
        <v>2894329.7199999997</v>
      </c>
      <c r="D24" s="69">
        <f>'YR2009'!D24+'YR2010'!D24+'YR2011'!D24</f>
        <v>0</v>
      </c>
      <c r="E24" s="69">
        <f>'YR2009'!E24+'YR2010'!E24+'YR2011'!E24</f>
        <v>0</v>
      </c>
      <c r="F24" s="97">
        <f t="shared" si="0"/>
        <v>-9.9999997764825821E-3</v>
      </c>
    </row>
    <row r="25" spans="1:6" ht="15" thickBot="1">
      <c r="A25" s="25" t="s">
        <v>83</v>
      </c>
      <c r="B25" s="69">
        <f>'YR2009'!B25+'YR2010'!B25+'YR2011'!B25</f>
        <v>1184926.92</v>
      </c>
      <c r="C25" s="69">
        <f>'YR2009'!C25+'YR2010'!C25+'YR2011'!C25</f>
        <v>1184926.92</v>
      </c>
      <c r="D25" s="69">
        <f>'YR2009'!D25+'YR2010'!D25+'YR2011'!D25</f>
        <v>0</v>
      </c>
      <c r="E25" s="69">
        <f>'YR2009'!E25+'YR2010'!E25+'YR2011'!E25</f>
        <v>0</v>
      </c>
      <c r="F25" s="97">
        <f t="shared" si="0"/>
        <v>0</v>
      </c>
    </row>
    <row r="26" spans="1:6" ht="15" thickBot="1">
      <c r="A26" s="25" t="s">
        <v>84</v>
      </c>
      <c r="B26" s="69">
        <f>'YR2009'!B26+'YR2010'!B26+'YR2011'!B26</f>
        <v>179681.55</v>
      </c>
      <c r="C26" s="69">
        <f>'YR2009'!C26+'YR2010'!C26+'YR2011'!C26</f>
        <v>179681.55</v>
      </c>
      <c r="D26" s="69">
        <f>'YR2009'!D26+'YR2010'!D26+'YR2011'!D26</f>
        <v>0</v>
      </c>
      <c r="E26" s="69">
        <f>'YR2009'!E26+'YR2010'!E26+'YR2011'!E26</f>
        <v>0</v>
      </c>
      <c r="F26" s="97">
        <f t="shared" si="0"/>
        <v>0</v>
      </c>
    </row>
    <row r="27" spans="1:6" ht="15" thickBot="1">
      <c r="A27" s="25" t="s">
        <v>128</v>
      </c>
      <c r="B27" s="69">
        <f>'YR2009'!B27+'YR2010'!B27+'YR2011'!B27</f>
        <v>2161034.7600000002</v>
      </c>
      <c r="C27" s="69">
        <f>'YR2009'!C27+'YR2010'!C27+'YR2011'!C27</f>
        <v>2161034.7600000002</v>
      </c>
      <c r="D27" s="69">
        <f>'YR2009'!D27+'YR2010'!D27+'YR2011'!D27</f>
        <v>0</v>
      </c>
      <c r="E27" s="69">
        <f>'YR2009'!E27+'YR2010'!E27+'YR2011'!E27</f>
        <v>0</v>
      </c>
      <c r="F27" s="97">
        <f t="shared" si="0"/>
        <v>0</v>
      </c>
    </row>
    <row r="28" spans="1:6" ht="15" thickBot="1">
      <c r="A28" s="25" t="s">
        <v>86</v>
      </c>
      <c r="B28" s="69">
        <f>'YR2009'!B28+'YR2010'!B28+'YR2011'!B28</f>
        <v>2034772.0499999998</v>
      </c>
      <c r="C28" s="69">
        <f>'YR2009'!C28+'YR2010'!C28+'YR2011'!C28</f>
        <v>0</v>
      </c>
      <c r="D28" s="69">
        <f>'YR2009'!D28+'YR2010'!D28+'YR2011'!D28</f>
        <v>0</v>
      </c>
      <c r="E28" s="69">
        <f>'YR2009'!E28+'YR2010'!E28+'YR2011'!E28</f>
        <v>0</v>
      </c>
      <c r="F28" s="97">
        <f t="shared" si="0"/>
        <v>2034772.0499999998</v>
      </c>
    </row>
    <row r="29" spans="1:6" ht="15" thickBot="1">
      <c r="A29" s="25" t="s">
        <v>87</v>
      </c>
      <c r="B29" s="69">
        <f>'YR2009'!B29+'YR2010'!B29+'YR2011'!B29</f>
        <v>24664933.77</v>
      </c>
      <c r="C29" s="69">
        <f>'YR2009'!C29+'YR2010'!C29+'YR2011'!C29</f>
        <v>24067480.759999998</v>
      </c>
      <c r="D29" s="69">
        <f>'YR2009'!D29+'YR2010'!D29+'YR2011'!D29</f>
        <v>597452.79999999993</v>
      </c>
      <c r="E29" s="69">
        <f>'YR2009'!E29+'YR2010'!E29+'YR2011'!E29</f>
        <v>0</v>
      </c>
      <c r="F29" s="97">
        <f t="shared" si="0"/>
        <v>0.21000000170897692</v>
      </c>
    </row>
    <row r="30" spans="1:6" ht="15" thickBot="1">
      <c r="A30" s="25" t="s">
        <v>129</v>
      </c>
      <c r="B30" s="69">
        <f>'YR2009'!B30+'YR2010'!B30+'YR2011'!B30</f>
        <v>80730430.980000004</v>
      </c>
      <c r="C30" s="69">
        <f>'YR2009'!C30+'YR2010'!C30+'YR2011'!C30</f>
        <v>78903944.75999999</v>
      </c>
      <c r="D30" s="69">
        <f>'YR2009'!D30+'YR2010'!D30+'YR2011'!D30</f>
        <v>1826486.2199999997</v>
      </c>
      <c r="E30" s="69">
        <f>'YR2009'!E30+'YR2010'!E30+'YR2011'!E30</f>
        <v>0</v>
      </c>
      <c r="F30" s="97">
        <f t="shared" si="0"/>
        <v>1.3969838619232178E-8</v>
      </c>
    </row>
    <row r="31" spans="1:6" ht="15" thickBot="1">
      <c r="A31" s="25" t="s">
        <v>89</v>
      </c>
      <c r="B31" s="69">
        <f>'YR2009'!B31+'YR2010'!B31+'YR2011'!B31</f>
        <v>0</v>
      </c>
      <c r="C31" s="69">
        <f>'YR2009'!C31+'YR2010'!C31+'YR2011'!C31</f>
        <v>0</v>
      </c>
      <c r="D31" s="69">
        <f>'YR2009'!D31+'YR2010'!D31+'YR2011'!D31</f>
        <v>0</v>
      </c>
      <c r="E31" s="69">
        <f>'YR2009'!E31+'YR2010'!E31+'YR2011'!E31</f>
        <v>0</v>
      </c>
      <c r="F31" s="97">
        <f t="shared" si="0"/>
        <v>0</v>
      </c>
    </row>
    <row r="32" spans="1:6" ht="15" thickBot="1">
      <c r="A32" s="25" t="s">
        <v>91</v>
      </c>
      <c r="B32" s="69">
        <f>'YR2009'!B32+'YR2010'!B32+'YR2011'!B32</f>
        <v>87412.65</v>
      </c>
      <c r="C32" s="69">
        <f>'YR2009'!C32+'YR2010'!C32+'YR2011'!C32</f>
        <v>87412.65</v>
      </c>
      <c r="D32" s="69">
        <f>'YR2009'!D32+'YR2010'!D32+'YR2011'!D32</f>
        <v>0</v>
      </c>
      <c r="E32" s="69">
        <f>'YR2009'!E32+'YR2010'!E32+'YR2011'!E32</f>
        <v>0</v>
      </c>
      <c r="F32" s="97">
        <f t="shared" si="0"/>
        <v>0</v>
      </c>
    </row>
    <row r="33" spans="1:6" ht="15" thickBot="1">
      <c r="A33" s="25" t="s">
        <v>92</v>
      </c>
      <c r="B33" s="69">
        <f>'YR2009'!B33+'YR2010'!B33+'YR2011'!B33</f>
        <v>48562.590000000004</v>
      </c>
      <c r="C33" s="69">
        <f>'YR2009'!C33+'YR2010'!C33+'YR2011'!C33</f>
        <v>48562.590000000004</v>
      </c>
      <c r="D33" s="69">
        <f>'YR2009'!D33+'YR2010'!D33+'YR2011'!D33</f>
        <v>0</v>
      </c>
      <c r="E33" s="69">
        <f>'YR2009'!E33+'YR2010'!E33+'YR2011'!E33</f>
        <v>0</v>
      </c>
      <c r="F33" s="97">
        <f t="shared" si="0"/>
        <v>0</v>
      </c>
    </row>
    <row r="34" spans="1:6" ht="15" thickBot="1">
      <c r="A34" s="25" t="s">
        <v>93</v>
      </c>
      <c r="B34" s="69">
        <f>'YR2009'!B34+'YR2010'!B34+'YR2011'!B34</f>
        <v>150543.99</v>
      </c>
      <c r="C34" s="69">
        <f>'YR2009'!C34+'YR2010'!C34+'YR2011'!C34</f>
        <v>150543.99</v>
      </c>
      <c r="D34" s="69">
        <f>'YR2009'!D34+'YR2010'!D34+'YR2011'!D34</f>
        <v>0</v>
      </c>
      <c r="E34" s="69">
        <f>'YR2009'!E34+'YR2010'!E34+'YR2011'!E34</f>
        <v>0</v>
      </c>
      <c r="F34" s="97">
        <f t="shared" si="0"/>
        <v>0</v>
      </c>
    </row>
    <row r="35" spans="1:6" ht="15" thickBot="1">
      <c r="A35" s="25" t="s">
        <v>94</v>
      </c>
      <c r="B35" s="69">
        <f>'YR2009'!B35+'YR2010'!B35+'YR2011'!B35</f>
        <v>412781.91000000003</v>
      </c>
      <c r="C35" s="69">
        <f>'YR2009'!C35+'YR2010'!C35+'YR2011'!C35</f>
        <v>412781.91000000003</v>
      </c>
      <c r="D35" s="69">
        <f>'YR2009'!D35+'YR2010'!D35+'YR2011'!D35</f>
        <v>0</v>
      </c>
      <c r="E35" s="69">
        <f>'YR2009'!E35+'YR2010'!E35+'YR2011'!E35</f>
        <v>0</v>
      </c>
      <c r="F35" s="97">
        <f t="shared" si="0"/>
        <v>0</v>
      </c>
    </row>
    <row r="36" spans="1:6" ht="15" thickBot="1">
      <c r="A36" s="25" t="s">
        <v>95</v>
      </c>
      <c r="B36" s="69">
        <f>'YR2009'!B36+'YR2010'!B36+'YR2011'!B36</f>
        <v>82556.37</v>
      </c>
      <c r="C36" s="69">
        <f>'YR2009'!C36+'YR2010'!C36+'YR2011'!C36</f>
        <v>82556.37</v>
      </c>
      <c r="D36" s="69">
        <f>'YR2009'!D36+'YR2010'!D36+'YR2011'!D36</f>
        <v>0</v>
      </c>
      <c r="E36" s="69">
        <f>'YR2009'!E36+'YR2010'!E36+'YR2011'!E36</f>
        <v>0</v>
      </c>
      <c r="F36" s="97">
        <f t="shared" si="0"/>
        <v>0</v>
      </c>
    </row>
    <row r="37" spans="1:6" ht="15" thickBot="1">
      <c r="A37" s="25" t="s">
        <v>96</v>
      </c>
      <c r="B37" s="69">
        <f>'YR2009'!B37+'YR2010'!B37+'YR2011'!B37</f>
        <v>14568.78</v>
      </c>
      <c r="C37" s="69">
        <f>'YR2009'!C37+'YR2010'!C37+'YR2011'!C37</f>
        <v>14568.78</v>
      </c>
      <c r="D37" s="69">
        <f>'YR2009'!D37+'YR2010'!D37+'YR2011'!D37</f>
        <v>0</v>
      </c>
      <c r="E37" s="69">
        <f>'YR2009'!E37+'YR2010'!E37+'YR2011'!E37</f>
        <v>0</v>
      </c>
      <c r="F37" s="97">
        <f t="shared" si="0"/>
        <v>0</v>
      </c>
    </row>
    <row r="38" spans="1:6" ht="15" thickBot="1">
      <c r="A38" s="25" t="s">
        <v>97</v>
      </c>
      <c r="B38" s="69">
        <f>'YR2009'!B38+'YR2010'!B38+'YR2011'!B38</f>
        <v>9095771.0099999998</v>
      </c>
      <c r="C38" s="69">
        <f>'YR2009'!C38+'YR2010'!C38+'YR2011'!C38</f>
        <v>9095770.6500000004</v>
      </c>
      <c r="D38" s="69">
        <f>'YR2009'!D38+'YR2010'!D38+'YR2011'!D38</f>
        <v>0</v>
      </c>
      <c r="E38" s="69">
        <f>'YR2009'!E38+'YR2010'!E38+'YR2011'!E38</f>
        <v>0</v>
      </c>
      <c r="F38" s="97">
        <f t="shared" si="0"/>
        <v>0.35999999940395355</v>
      </c>
    </row>
    <row r="39" spans="1:6" ht="15" thickBot="1">
      <c r="A39" s="25" t="s">
        <v>98</v>
      </c>
      <c r="B39" s="69">
        <f>'YR2009'!B39+'YR2010'!B39+'YR2011'!B39</f>
        <v>1243202.01</v>
      </c>
      <c r="C39" s="69">
        <f>'YR2009'!C39+'YR2010'!C39+'YR2011'!C39</f>
        <v>1243202.01</v>
      </c>
      <c r="D39" s="69">
        <f>'YR2009'!D39+'YR2010'!D39+'YR2011'!D39</f>
        <v>0</v>
      </c>
      <c r="E39" s="69">
        <f>'YR2009'!E39+'YR2010'!E39+'YR2011'!E39</f>
        <v>0</v>
      </c>
      <c r="F39" s="97">
        <f t="shared" si="0"/>
        <v>0</v>
      </c>
    </row>
    <row r="40" spans="1:6" ht="15" thickBot="1">
      <c r="A40" s="25" t="s">
        <v>99</v>
      </c>
      <c r="B40" s="69">
        <f>'YR2009'!B40+'YR2010'!B40+'YR2011'!B40</f>
        <v>3797593.6500000004</v>
      </c>
      <c r="C40" s="69">
        <f>'YR2009'!C40+'YR2010'!C40+'YR2011'!C40</f>
        <v>3797593.6500000004</v>
      </c>
      <c r="D40" s="69">
        <f>'YR2009'!D40+'YR2010'!D40+'YR2011'!D40</f>
        <v>0</v>
      </c>
      <c r="E40" s="69">
        <f>'YR2009'!E40+'YR2010'!E40+'YR2011'!E40</f>
        <v>0</v>
      </c>
      <c r="F40" s="97">
        <f t="shared" si="0"/>
        <v>0</v>
      </c>
    </row>
    <row r="41" spans="1:6" ht="15" thickBot="1">
      <c r="A41" s="25" t="s">
        <v>101</v>
      </c>
      <c r="B41" s="69">
        <f>'YR2009'!B41+'YR2010'!B41+'YR2011'!B41</f>
        <v>2432985.21</v>
      </c>
      <c r="C41" s="69">
        <f>'YR2009'!C41+'YR2010'!C41+'YR2011'!C41</f>
        <v>2432985.21</v>
      </c>
      <c r="D41" s="69">
        <f>'YR2009'!D41+'YR2010'!D41+'YR2011'!D41</f>
        <v>0</v>
      </c>
      <c r="E41" s="69">
        <f>'YR2009'!E41+'YR2010'!E41+'YR2011'!E41</f>
        <v>0</v>
      </c>
      <c r="F41" s="97">
        <f t="shared" si="0"/>
        <v>0</v>
      </c>
    </row>
    <row r="42" spans="1:6" ht="15" thickBot="1">
      <c r="A42" s="25" t="s">
        <v>102</v>
      </c>
      <c r="B42" s="69">
        <f>'YR2009'!B42+'YR2010'!B42+'YR2011'!B42</f>
        <v>2559247.89</v>
      </c>
      <c r="C42" s="69">
        <f>'YR2009'!C42+'YR2010'!C42+'YR2011'!C42</f>
        <v>2559248.2599999998</v>
      </c>
      <c r="D42" s="69">
        <f>'YR2009'!D42+'YR2010'!D42+'YR2011'!D42</f>
        <v>0</v>
      </c>
      <c r="E42" s="69">
        <f>'YR2009'!E42+'YR2010'!E42+'YR2011'!E42</f>
        <v>0</v>
      </c>
      <c r="F42" s="97">
        <f t="shared" si="0"/>
        <v>-0.36999999964609742</v>
      </c>
    </row>
    <row r="43" spans="1:6" ht="15" thickBot="1">
      <c r="A43" s="25" t="s">
        <v>103</v>
      </c>
      <c r="B43" s="69">
        <f>'YR2009'!B43+'YR2010'!B43+'YR2011'!B43</f>
        <v>339938.04</v>
      </c>
      <c r="C43" s="69">
        <f>'YR2009'!C43+'YR2010'!C43+'YR2011'!C43</f>
        <v>339938.04</v>
      </c>
      <c r="D43" s="69">
        <f>'YR2009'!D43+'YR2010'!D43+'YR2011'!D43</f>
        <v>0</v>
      </c>
      <c r="E43" s="69">
        <f>'YR2009'!E43+'YR2010'!E43+'YR2011'!E43</f>
        <v>0</v>
      </c>
      <c r="F43" s="97">
        <f t="shared" si="0"/>
        <v>0</v>
      </c>
    </row>
    <row r="44" spans="1:6" ht="15" thickBot="1">
      <c r="A44" s="25" t="s">
        <v>104</v>
      </c>
      <c r="B44" s="69">
        <f>'YR2009'!B44+'YR2010'!B44+'YR2011'!B44</f>
        <v>5827509.4499999993</v>
      </c>
      <c r="C44" s="69">
        <f>'YR2009'!C44+'YR2010'!C44+'YR2011'!C44</f>
        <v>0</v>
      </c>
      <c r="D44" s="69">
        <f>'YR2009'!D44+'YR2010'!D44+'YR2011'!D44</f>
        <v>0</v>
      </c>
      <c r="E44" s="69">
        <f>'YR2009'!E44+'YR2010'!E44+'YR2011'!E44</f>
        <v>0</v>
      </c>
      <c r="F44" s="97">
        <f t="shared" si="0"/>
        <v>5827509.4499999993</v>
      </c>
    </row>
    <row r="45" spans="1:6" ht="15" thickBot="1">
      <c r="A45" s="23" t="s">
        <v>105</v>
      </c>
      <c r="B45" s="69">
        <f>'YR2009'!B45+'YR2010'!B45+'YR2011'!B45</f>
        <v>11733.76</v>
      </c>
      <c r="C45" s="69">
        <f>'YR2009'!C45+'YR2010'!C45+'YR2011'!C45</f>
        <v>11733.76</v>
      </c>
      <c r="D45" s="69">
        <f>'YR2009'!D45+'YR2010'!D45+'YR2011'!D45</f>
        <v>0</v>
      </c>
      <c r="E45" s="69">
        <f>'YR2009'!E45+'YR2010'!E45+'YR2011'!E45</f>
        <v>0</v>
      </c>
      <c r="F45" s="97">
        <f t="shared" si="0"/>
        <v>0</v>
      </c>
    </row>
    <row r="46" spans="1:6" ht="15" thickBot="1">
      <c r="A46" s="23" t="s">
        <v>107</v>
      </c>
      <c r="B46" s="69">
        <f>'YR2009'!B46+'YR2010'!B46+'YR2011'!B46</f>
        <v>305944.26</v>
      </c>
      <c r="C46" s="69">
        <f>'YR2009'!C46+'YR2010'!C46+'YR2011'!C46</f>
        <v>305944.26</v>
      </c>
      <c r="D46" s="69">
        <f>'YR2009'!D46+'YR2010'!D46+'YR2011'!D46</f>
        <v>0</v>
      </c>
      <c r="E46" s="69">
        <f>'YR2009'!E46+'YR2010'!E46+'YR2011'!E46</f>
        <v>0</v>
      </c>
      <c r="F46" s="97">
        <f t="shared" si="0"/>
        <v>0</v>
      </c>
    </row>
    <row r="47" spans="1:6" ht="15" thickBot="1">
      <c r="A47" s="25" t="s">
        <v>108</v>
      </c>
      <c r="B47" s="69">
        <f>'YR2009'!B47+'YR2010'!B47+'YR2011'!B47</f>
        <v>466200.75</v>
      </c>
      <c r="C47" s="69">
        <f>'YR2009'!C47+'YR2010'!C47+'YR2011'!C47</f>
        <v>466200.75</v>
      </c>
      <c r="D47" s="69">
        <f>'YR2009'!D47+'YR2010'!D47+'YR2011'!D47</f>
        <v>0</v>
      </c>
      <c r="E47" s="69">
        <f>'YR2009'!E47+'YR2010'!E47+'YR2011'!E47</f>
        <v>0</v>
      </c>
      <c r="F47" s="97">
        <f t="shared" si="0"/>
        <v>0</v>
      </c>
    </row>
    <row r="48" spans="1:6" ht="15" thickBot="1">
      <c r="A48" s="25" t="s">
        <v>110</v>
      </c>
      <c r="B48" s="69">
        <f>'YR2009'!B48+'YR2010'!B48+'YR2011'!B48</f>
        <v>14413373.399999999</v>
      </c>
      <c r="C48" s="69">
        <f>'YR2009'!C48+'YR2010'!C48+'YR2011'!C48</f>
        <v>12955409.34</v>
      </c>
      <c r="D48" s="69">
        <f>'YR2009'!D48+'YR2010'!D48+'YR2011'!D48</f>
        <v>892964</v>
      </c>
      <c r="E48" s="69">
        <f>'YR2009'!E48+'YR2010'!E48+'YR2011'!E48</f>
        <v>0</v>
      </c>
      <c r="F48" s="97">
        <f t="shared" si="0"/>
        <v>565000.05999999866</v>
      </c>
    </row>
    <row r="49" spans="1:6" ht="15" thickBot="1">
      <c r="A49" s="25" t="s">
        <v>130</v>
      </c>
      <c r="B49" s="69">
        <f>'YR2009'!B49+'YR2010'!B49+'YR2011'!B49</f>
        <v>5201052.18</v>
      </c>
      <c r="C49" s="69">
        <f>'YR2009'!C49+'YR2010'!C49+'YR2011'!C49</f>
        <v>5201052.18</v>
      </c>
      <c r="D49" s="69">
        <f>'YR2009'!D49+'YR2010'!D49+'YR2011'!D49</f>
        <v>0</v>
      </c>
      <c r="E49" s="69">
        <f>'YR2009'!E49+'YR2010'!E49+'YR2011'!E49</f>
        <v>0</v>
      </c>
      <c r="F49" s="97">
        <f t="shared" si="0"/>
        <v>0</v>
      </c>
    </row>
    <row r="50" spans="1:6" ht="15" thickBot="1">
      <c r="A50" s="25" t="s">
        <v>112</v>
      </c>
      <c r="B50" s="69">
        <f>'YR2009'!B50+'YR2010'!B50+'YR2011'!B50</f>
        <v>5905209.5700000003</v>
      </c>
      <c r="C50" s="69">
        <f>'YR2009'!C50+'YR2010'!C50+'YR2011'!C50</f>
        <v>5905209.5700000003</v>
      </c>
      <c r="D50" s="69">
        <f>'YR2009'!D50+'YR2010'!D50+'YR2011'!D50</f>
        <v>0</v>
      </c>
      <c r="E50" s="69">
        <f>'YR2009'!E50+'YR2010'!E50+'YR2011'!E50</f>
        <v>0</v>
      </c>
      <c r="F50" s="97">
        <f t="shared" si="0"/>
        <v>0</v>
      </c>
    </row>
    <row r="51" spans="1:6" ht="15" thickBot="1">
      <c r="A51" s="25" t="s">
        <v>113</v>
      </c>
      <c r="B51" s="69">
        <f>'YR2009'!B51+'YR2010'!B51+'YR2011'!B51</f>
        <v>4857</v>
      </c>
      <c r="C51" s="69">
        <f>'YR2009'!C51+'YR2010'!C51+'YR2011'!C51</f>
        <v>0</v>
      </c>
      <c r="D51" s="69">
        <f>'YR2009'!D51+'YR2010'!D51+'YR2011'!D51</f>
        <v>0</v>
      </c>
      <c r="E51" s="69">
        <f>'YR2009'!E51+'YR2010'!E51+'YR2011'!E51</f>
        <v>0</v>
      </c>
      <c r="F51" s="97">
        <f t="shared" si="0"/>
        <v>4857</v>
      </c>
    </row>
    <row r="52" spans="1:6" ht="15" thickBot="1">
      <c r="A52" s="25" t="s">
        <v>115</v>
      </c>
      <c r="B52" s="69">
        <f>'YR2009'!B52+'YR2010'!B52+'YR2011'!B52</f>
        <v>218531.61</v>
      </c>
      <c r="C52" s="69">
        <f>'YR2009'!C52+'YR2010'!C52+'YR2011'!C52</f>
        <v>0</v>
      </c>
      <c r="D52" s="69">
        <f>'YR2009'!D52+'YR2010'!D52+'YR2011'!D52</f>
        <v>0</v>
      </c>
      <c r="E52" s="69">
        <f>'YR2009'!E52+'YR2010'!E52+'YR2011'!E52</f>
        <v>0</v>
      </c>
      <c r="F52" s="97">
        <f t="shared" si="0"/>
        <v>218531.61</v>
      </c>
    </row>
    <row r="53" spans="1:6" ht="15" thickBot="1">
      <c r="A53" s="25" t="s">
        <v>117</v>
      </c>
      <c r="B53" s="69">
        <f>'YR2009'!B53+'YR2010'!B53+'YR2011'!B53</f>
        <v>32255264.849999998</v>
      </c>
      <c r="C53" s="69">
        <f>'YR2009'!C53+'YR2010'!C53+'YR2011'!C53</f>
        <v>32255264.849999998</v>
      </c>
      <c r="D53" s="69">
        <f>'YR2009'!D53+'YR2010'!D53+'YR2011'!D53</f>
        <v>0</v>
      </c>
      <c r="E53" s="69">
        <f>'YR2009'!E53+'YR2010'!E53+'YR2011'!E53</f>
        <v>0</v>
      </c>
      <c r="F53" s="97">
        <f t="shared" si="0"/>
        <v>0</v>
      </c>
    </row>
    <row r="54" spans="1:6" ht="15" thickBot="1">
      <c r="A54" s="25" t="s">
        <v>118</v>
      </c>
      <c r="B54" s="69">
        <f>'YR2009'!B54+'YR2010'!B54+'YR2011'!B54</f>
        <v>87594207.989999995</v>
      </c>
      <c r="C54" s="69">
        <f>'YR2009'!C54+'YR2010'!C54+'YR2011'!C54+1</f>
        <v>87594208</v>
      </c>
      <c r="D54" s="69">
        <f>'YR2009'!D54+'YR2010'!D54+'YR2011'!D54</f>
        <v>0</v>
      </c>
      <c r="E54" s="69">
        <f>'YR2009'!E54+'YR2010'!E54+'YR2011'!E54</f>
        <v>0</v>
      </c>
      <c r="F54" s="97">
        <f t="shared" si="0"/>
        <v>-1.000000536441803E-2</v>
      </c>
    </row>
    <row r="55" spans="1:6" ht="15" thickBot="1">
      <c r="A55" s="26" t="s">
        <v>119</v>
      </c>
      <c r="B55" s="69">
        <f>'YR2009'!B55+'YR2010'!B55+'YR2011'!B55</f>
        <v>38850.06</v>
      </c>
      <c r="C55" s="69">
        <f>'YR2009'!C55+'YR2010'!C55+'YR2011'!C55</f>
        <v>0</v>
      </c>
      <c r="D55" s="69">
        <f>'YR2009'!D55+'YR2010'!D55+'YR2011'!D55</f>
        <v>0</v>
      </c>
      <c r="E55" s="69">
        <f>'YR2009'!E55+'YR2010'!E55+'YR2011'!E55</f>
        <v>0</v>
      </c>
      <c r="F55" s="97">
        <f t="shared" si="0"/>
        <v>38850.06</v>
      </c>
    </row>
    <row r="56" spans="1:6" ht="15" thickBot="1">
      <c r="A56" s="30" t="s">
        <v>120</v>
      </c>
      <c r="B56" s="136">
        <f>SUM(B9:B55)</f>
        <v>399640706.40000004</v>
      </c>
      <c r="C56" s="137">
        <f>SUM(C9:C55)</f>
        <v>376678075.12</v>
      </c>
      <c r="D56" s="138">
        <f>SUM(D9:D55)</f>
        <v>14151636.059999999</v>
      </c>
      <c r="E56" s="107">
        <f>SUM(E9:E55)</f>
        <v>0.40999999875202775</v>
      </c>
      <c r="F56" s="108">
        <f>SUM(F9:F55)</f>
        <v>8810994.810000008</v>
      </c>
    </row>
    <row r="57" spans="1:6" ht="15" thickBot="1">
      <c r="A57" s="37" t="s">
        <v>131</v>
      </c>
      <c r="B57" s="139">
        <f>216320+67907+121565</f>
        <v>405792</v>
      </c>
      <c r="C57" s="139">
        <v>0</v>
      </c>
      <c r="D57" s="139">
        <v>0</v>
      </c>
      <c r="E57" s="139">
        <v>0</v>
      </c>
      <c r="F57" s="140">
        <f>B57-C57-D57-E57</f>
        <v>405792</v>
      </c>
    </row>
    <row r="58" spans="1:6" ht="15" thickBot="1">
      <c r="A58" s="38" t="s">
        <v>132</v>
      </c>
      <c r="B58" s="32">
        <f>SUM(B56:B57)</f>
        <v>400046498.40000004</v>
      </c>
      <c r="C58" s="32">
        <f>SUM(C56:C57)</f>
        <v>376678075.12</v>
      </c>
      <c r="D58" s="32">
        <f>SUM(D56:D57)</f>
        <v>14151636.059999999</v>
      </c>
      <c r="E58" s="32">
        <f>SUM(E56:E57)</f>
        <v>0.40999999875202775</v>
      </c>
      <c r="F58" s="111">
        <f>SUM(F56:F57)</f>
        <v>9216786.810000008</v>
      </c>
    </row>
    <row r="59" spans="1:6">
      <c r="A59" s="55" t="s">
        <v>135</v>
      </c>
      <c r="B59" s="33"/>
      <c r="C59" s="33"/>
      <c r="D59" s="33"/>
      <c r="E59" s="33"/>
      <c r="F59" s="33"/>
    </row>
    <row r="60" spans="1:6">
      <c r="A60" s="56"/>
      <c r="B60" s="56"/>
      <c r="C60" s="56"/>
      <c r="D60" s="56"/>
      <c r="E60" s="56"/>
      <c r="F60" s="56"/>
    </row>
    <row r="61" spans="1:6" ht="15" thickBot="1">
      <c r="A61" s="50"/>
      <c r="B61" s="50"/>
      <c r="C61" s="50"/>
      <c r="D61" s="50"/>
      <c r="E61" s="50"/>
      <c r="F61" s="50"/>
    </row>
    <row r="62" spans="1:6" ht="15" thickBot="1">
      <c r="A62" s="42" t="s">
        <v>133</v>
      </c>
      <c r="B62" s="112">
        <f>B12+B13+B15+B18+B20+B25+B32+B34+B41+B44+B46+B47+B51+B52+B55</f>
        <v>12378602.069999998</v>
      </c>
      <c r="C62" s="112">
        <f>C12+C13+C15+C18+C20+C25+C32+C34+C41+C44+C46+C47+C51+C52+C55</f>
        <v>5956604.5199999996</v>
      </c>
      <c r="D62" s="112">
        <f>D12+D13+D15+D18+D20+D25+D32+D34+D41+D44+D46+D47+D51+D52+D55</f>
        <v>210843</v>
      </c>
      <c r="E62" s="112">
        <f>E12+E13+E15+E18+E20+E25+E32+E34+E41+E44+E46+E47+E51+E52+E55</f>
        <v>0</v>
      </c>
      <c r="F62" s="113">
        <f>B62-C62-D62-E62</f>
        <v>6211154.5499999989</v>
      </c>
    </row>
  </sheetData>
  <mergeCells count="4">
    <mergeCell ref="E1:F1"/>
    <mergeCell ref="A5:F5"/>
    <mergeCell ref="A6:F6"/>
    <mergeCell ref="A7:F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D96C-A8DC-4AEA-AD16-F27D0FD01626}">
  <dimension ref="A1:I59"/>
  <sheetViews>
    <sheetView topLeftCell="A28" workbookViewId="0">
      <selection activeCell="L68" sqref="L68"/>
    </sheetView>
  </sheetViews>
  <sheetFormatPr defaultRowHeight="14.5"/>
  <cols>
    <col min="1" max="1" width="24.36328125" customWidth="1"/>
    <col min="2" max="2" width="17.26953125" customWidth="1"/>
    <col min="3" max="3" width="15.26953125" customWidth="1"/>
    <col min="4" max="4" width="15.7265625" customWidth="1"/>
    <col min="5" max="5" width="16" customWidth="1"/>
    <col min="6" max="6" width="20.36328125" customWidth="1"/>
    <col min="8" max="8" width="17.54296875" style="52" hidden="1" customWidth="1"/>
    <col min="9" max="9" width="16.36328125" style="52" bestFit="1" customWidth="1"/>
  </cols>
  <sheetData>
    <row r="1" spans="1:6" ht="18">
      <c r="A1" s="793" t="str">
        <f>[1]Status!C1</f>
        <v>UNEP/OzL.Pro/ExCom/94/3</v>
      </c>
      <c r="B1" s="793"/>
      <c r="C1" s="1"/>
      <c r="D1" s="1"/>
      <c r="E1" s="1"/>
      <c r="F1" s="1"/>
    </row>
    <row r="2" spans="1:6" ht="18">
      <c r="A2" s="9" t="s">
        <v>0</v>
      </c>
      <c r="B2" s="9"/>
      <c r="C2" s="1"/>
      <c r="D2" s="1"/>
      <c r="E2" s="1"/>
      <c r="F2" s="1"/>
    </row>
    <row r="3" spans="1:6" ht="18">
      <c r="A3" s="8" t="s">
        <v>157</v>
      </c>
      <c r="B3" s="9"/>
      <c r="C3" s="1"/>
      <c r="D3" s="1"/>
      <c r="E3" s="1"/>
      <c r="F3" s="1"/>
    </row>
    <row r="4" spans="1:6" ht="15.5">
      <c r="A4" s="1"/>
      <c r="B4" s="1"/>
      <c r="C4" s="1"/>
      <c r="D4" s="1"/>
      <c r="E4" s="1"/>
      <c r="F4" s="1"/>
    </row>
    <row r="5" spans="1:6" ht="16">
      <c r="A5" s="794" t="s">
        <v>2</v>
      </c>
      <c r="B5" s="794"/>
      <c r="C5" s="794"/>
      <c r="D5" s="794"/>
      <c r="E5" s="794"/>
      <c r="F5" s="794"/>
    </row>
    <row r="6" spans="1:6" ht="15.5">
      <c r="A6" s="795" t="s">
        <v>153</v>
      </c>
      <c r="B6" s="795"/>
      <c r="C6" s="795"/>
      <c r="D6" s="795"/>
      <c r="E6" s="795"/>
      <c r="F6" s="795"/>
    </row>
    <row r="7" spans="1:6" ht="16.5" thickBot="1">
      <c r="A7" s="796" t="str">
        <f>[1]Status!A6</f>
        <v>As at 24/05/2024</v>
      </c>
      <c r="B7" s="796"/>
      <c r="C7" s="796"/>
      <c r="D7" s="796"/>
      <c r="E7" s="796"/>
      <c r="F7" s="796"/>
    </row>
    <row r="8" spans="1:6" ht="30" customHeight="1">
      <c r="A8" s="141" t="s">
        <v>59</v>
      </c>
      <c r="B8" s="142" t="s">
        <v>60</v>
      </c>
      <c r="C8" s="142" t="s">
        <v>61</v>
      </c>
      <c r="D8" s="142" t="s">
        <v>62</v>
      </c>
      <c r="E8" s="143" t="s">
        <v>63</v>
      </c>
      <c r="F8" s="144" t="s">
        <v>64</v>
      </c>
    </row>
    <row r="9" spans="1:6">
      <c r="A9" s="25" t="s">
        <v>65</v>
      </c>
      <c r="B9" s="102">
        <v>12947.8</v>
      </c>
      <c r="C9" s="45">
        <v>12880.8</v>
      </c>
      <c r="D9" s="145"/>
      <c r="E9" s="145"/>
      <c r="F9" s="97">
        <f t="shared" ref="F9:F55" si="0">B9-C9-D9-E9</f>
        <v>67</v>
      </c>
    </row>
    <row r="10" spans="1:6">
      <c r="A10" s="25" t="s">
        <v>124</v>
      </c>
      <c r="B10" s="45">
        <v>2892710.94</v>
      </c>
      <c r="C10" s="45">
        <f>2892710.94-339000</f>
        <v>2553710.94</v>
      </c>
      <c r="D10" s="99">
        <v>339000</v>
      </c>
      <c r="E10" s="99"/>
      <c r="F10" s="97">
        <f t="shared" si="0"/>
        <v>0</v>
      </c>
    </row>
    <row r="11" spans="1:6">
      <c r="A11" s="25" t="s">
        <v>67</v>
      </c>
      <c r="B11" s="45">
        <v>1435833.58</v>
      </c>
      <c r="C11" s="45">
        <f>456621+979212.58</f>
        <v>1435833.58</v>
      </c>
      <c r="D11" s="99"/>
      <c r="E11" s="99"/>
      <c r="F11" s="97">
        <f t="shared" si="0"/>
        <v>0</v>
      </c>
    </row>
    <row r="12" spans="1:6">
      <c r="A12" s="36" t="s">
        <v>68</v>
      </c>
      <c r="B12" s="45">
        <v>8093.76</v>
      </c>
      <c r="C12" s="99"/>
      <c r="D12" s="99"/>
      <c r="E12" s="99"/>
      <c r="F12" s="97">
        <f t="shared" si="0"/>
        <v>8093.76</v>
      </c>
    </row>
    <row r="13" spans="1:6">
      <c r="A13" s="25" t="s">
        <v>69</v>
      </c>
      <c r="B13" s="45">
        <v>32375.05</v>
      </c>
      <c r="C13" s="99"/>
      <c r="D13" s="99"/>
      <c r="E13" s="99"/>
      <c r="F13" s="97">
        <f t="shared" si="0"/>
        <v>32375.05</v>
      </c>
    </row>
    <row r="14" spans="1:6">
      <c r="A14" s="25" t="s">
        <v>70</v>
      </c>
      <c r="B14" s="45">
        <v>1783865.39</v>
      </c>
      <c r="C14" s="45">
        <v>1783865.39</v>
      </c>
      <c r="D14" s="99"/>
      <c r="E14" s="99"/>
      <c r="F14" s="97">
        <f t="shared" si="0"/>
        <v>0</v>
      </c>
    </row>
    <row r="15" spans="1:6">
      <c r="A15" s="25" t="s">
        <v>71</v>
      </c>
      <c r="B15" s="45">
        <v>32375.05</v>
      </c>
      <c r="C15" s="45">
        <v>32375.05</v>
      </c>
      <c r="D15" s="99"/>
      <c r="E15" s="99"/>
      <c r="F15" s="97">
        <f t="shared" si="0"/>
        <v>0</v>
      </c>
    </row>
    <row r="16" spans="1:6">
      <c r="A16" s="25" t="s">
        <v>125</v>
      </c>
      <c r="B16" s="45">
        <v>4819026.57</v>
      </c>
      <c r="C16" s="99">
        <f>110311.17+3855221.72+830429.14+23064.54</f>
        <v>4819026.57</v>
      </c>
      <c r="D16" s="99"/>
      <c r="E16" s="99"/>
      <c r="F16" s="97">
        <f t="shared" si="0"/>
        <v>0</v>
      </c>
    </row>
    <row r="17" spans="1:9">
      <c r="A17" s="25" t="s">
        <v>74</v>
      </c>
      <c r="B17" s="45">
        <v>71225.119999999995</v>
      </c>
      <c r="C17" s="45">
        <v>71225.119999999995</v>
      </c>
      <c r="D17" s="99"/>
      <c r="E17" s="99"/>
      <c r="F17" s="97">
        <f t="shared" si="0"/>
        <v>0</v>
      </c>
    </row>
    <row r="18" spans="1:9">
      <c r="A18" s="25" t="s">
        <v>75</v>
      </c>
      <c r="B18" s="45">
        <v>454869.49</v>
      </c>
      <c r="C18" s="45">
        <f>454869.49-39550+6316</f>
        <v>421635.49</v>
      </c>
      <c r="D18" s="99">
        <f>39550-6316</f>
        <v>33234</v>
      </c>
      <c r="E18" s="99"/>
      <c r="F18" s="97">
        <f t="shared" si="0"/>
        <v>0</v>
      </c>
    </row>
    <row r="19" spans="1:9">
      <c r="A19" s="25" t="s">
        <v>76</v>
      </c>
      <c r="B19" s="45">
        <v>1196258.19</v>
      </c>
      <c r="C19" s="45">
        <v>1196258.19</v>
      </c>
      <c r="D19" s="99"/>
      <c r="E19" s="99"/>
      <c r="F19" s="97">
        <f t="shared" si="0"/>
        <v>0</v>
      </c>
    </row>
    <row r="20" spans="1:9">
      <c r="A20" s="25" t="s">
        <v>77</v>
      </c>
      <c r="B20" s="45">
        <v>25900.04</v>
      </c>
      <c r="C20" s="45">
        <v>25900.04</v>
      </c>
      <c r="D20" s="99"/>
      <c r="E20" s="99"/>
      <c r="F20" s="97">
        <f t="shared" si="0"/>
        <v>0</v>
      </c>
    </row>
    <row r="21" spans="1:9">
      <c r="A21" s="25" t="s">
        <v>78</v>
      </c>
      <c r="B21" s="45">
        <v>912976.48</v>
      </c>
      <c r="C21" s="45">
        <v>912976.48</v>
      </c>
      <c r="D21" s="99"/>
      <c r="E21" s="99"/>
      <c r="F21" s="97">
        <f t="shared" si="0"/>
        <v>0</v>
      </c>
    </row>
    <row r="22" spans="1:9">
      <c r="A22" s="25" t="s">
        <v>126</v>
      </c>
      <c r="B22" s="45">
        <v>10199760.300000001</v>
      </c>
      <c r="C22" s="99">
        <v>9634760.3000000007</v>
      </c>
      <c r="D22" s="99">
        <v>565000</v>
      </c>
      <c r="E22" s="99"/>
      <c r="F22" s="97">
        <f t="shared" si="0"/>
        <v>0</v>
      </c>
    </row>
    <row r="23" spans="1:9">
      <c r="A23" s="25" t="s">
        <v>127</v>
      </c>
      <c r="B23" s="45">
        <v>13884041.279999999</v>
      </c>
      <c r="C23" s="99">
        <f>925602.75+925602.75+925602.75+925602.75+925602.75+925602.75-3467107</f>
        <v>2086509.5</v>
      </c>
      <c r="D23" s="99">
        <f>2776808+3467107</f>
        <v>6243915</v>
      </c>
      <c r="E23" s="99">
        <f>5553616.51-925602.75-925602.75-925602.75-925602.75-1-925602.75-925601.75</f>
        <v>9.9999997764825821E-3</v>
      </c>
      <c r="F23" s="97">
        <f t="shared" si="0"/>
        <v>5553616.7699999996</v>
      </c>
      <c r="H23" s="52">
        <f>9823495.77</f>
        <v>9823495.7699999996</v>
      </c>
    </row>
    <row r="24" spans="1:9">
      <c r="A24" s="25" t="s">
        <v>81</v>
      </c>
      <c r="B24" s="45">
        <v>964776.57</v>
      </c>
      <c r="C24" s="45">
        <v>964776.57</v>
      </c>
      <c r="D24" s="99"/>
      <c r="E24" s="99"/>
      <c r="F24" s="97">
        <f t="shared" si="0"/>
        <v>0</v>
      </c>
      <c r="H24" s="52">
        <f>H23*3</f>
        <v>29470487.309999999</v>
      </c>
    </row>
    <row r="25" spans="1:9">
      <c r="A25" s="25" t="s">
        <v>83</v>
      </c>
      <c r="B25" s="45">
        <v>394975.64</v>
      </c>
      <c r="C25" s="45">
        <f>321022.08+43.5-42858.54+116768.6</f>
        <v>394975.64</v>
      </c>
      <c r="D25" s="99"/>
      <c r="E25" s="99"/>
      <c r="F25" s="146">
        <f t="shared" si="0"/>
        <v>0</v>
      </c>
      <c r="H25" s="52">
        <f>H24*20%</f>
        <v>5894097.4620000003</v>
      </c>
      <c r="I25" s="52">
        <v>1601681.03</v>
      </c>
    </row>
    <row r="26" spans="1:9">
      <c r="A26" s="25" t="s">
        <v>84</v>
      </c>
      <c r="B26" s="45">
        <v>59893.85</v>
      </c>
      <c r="C26" s="45">
        <v>59893.85</v>
      </c>
      <c r="D26" s="99"/>
      <c r="E26" s="99"/>
      <c r="F26" s="97">
        <f t="shared" si="0"/>
        <v>0</v>
      </c>
      <c r="H26" s="52">
        <f>H24-H25</f>
        <v>23576389.847999997</v>
      </c>
      <c r="I26" s="52">
        <f>116769-0.4</f>
        <v>116768.6</v>
      </c>
    </row>
    <row r="27" spans="1:9">
      <c r="A27" s="25" t="s">
        <v>128</v>
      </c>
      <c r="B27" s="45">
        <v>720344.92</v>
      </c>
      <c r="C27" s="45">
        <v>720344.92</v>
      </c>
      <c r="D27" s="99"/>
      <c r="E27" s="99"/>
      <c r="F27" s="97">
        <f t="shared" si="0"/>
        <v>0</v>
      </c>
      <c r="I27" s="52">
        <v>494970.81</v>
      </c>
    </row>
    <row r="28" spans="1:9">
      <c r="A28" s="25" t="s">
        <v>86</v>
      </c>
      <c r="B28" s="45">
        <v>678257.35</v>
      </c>
      <c r="C28" s="99"/>
      <c r="D28" s="99"/>
      <c r="E28" s="99"/>
      <c r="F28" s="97">
        <f t="shared" si="0"/>
        <v>678257.35</v>
      </c>
      <c r="H28" s="52">
        <f>B23-D23</f>
        <v>7640126.2799999993</v>
      </c>
      <c r="I28" s="52">
        <v>494970.81</v>
      </c>
    </row>
    <row r="29" spans="1:9">
      <c r="A29" s="25" t="s">
        <v>87</v>
      </c>
      <c r="B29" s="45">
        <v>8221644.5899999999</v>
      </c>
      <c r="C29" s="99">
        <f>5455622.67+2766022</f>
        <v>8221644.6699999999</v>
      </c>
      <c r="D29" s="99"/>
      <c r="E29" s="99"/>
      <c r="F29" s="97">
        <f t="shared" si="0"/>
        <v>-8.0000000074505806E-2</v>
      </c>
      <c r="H29" s="52">
        <f>H28/6</f>
        <v>1273354.3799999999</v>
      </c>
      <c r="I29" s="52">
        <v>494970.81</v>
      </c>
    </row>
    <row r="30" spans="1:9">
      <c r="A30" s="25" t="s">
        <v>129</v>
      </c>
      <c r="B30" s="45">
        <v>26910143.66</v>
      </c>
      <c r="C30" s="45">
        <f>26910143.66-146900-322746</f>
        <v>26440497.66</v>
      </c>
      <c r="D30" s="99">
        <f>146900+322746</f>
        <v>469646</v>
      </c>
      <c r="E30" s="99"/>
      <c r="F30" s="97">
        <f t="shared" si="0"/>
        <v>0</v>
      </c>
    </row>
    <row r="31" spans="1:9">
      <c r="A31" s="25" t="s">
        <v>89</v>
      </c>
      <c r="B31" s="119">
        <v>0</v>
      </c>
      <c r="C31" s="45">
        <v>0</v>
      </c>
      <c r="D31" s="99"/>
      <c r="E31" s="99"/>
      <c r="F31" s="97">
        <f t="shared" si="0"/>
        <v>0</v>
      </c>
    </row>
    <row r="32" spans="1:9">
      <c r="A32" s="25" t="s">
        <v>91</v>
      </c>
      <c r="B32" s="45">
        <v>29137.55</v>
      </c>
      <c r="C32" s="45">
        <v>29137.55</v>
      </c>
      <c r="D32" s="99"/>
      <c r="E32" s="99"/>
      <c r="F32" s="97">
        <f t="shared" si="0"/>
        <v>0</v>
      </c>
    </row>
    <row r="33" spans="1:6">
      <c r="A33" s="25" t="s">
        <v>92</v>
      </c>
      <c r="B33" s="45">
        <v>16187.53</v>
      </c>
      <c r="C33" s="45">
        <v>16187.53</v>
      </c>
      <c r="D33" s="99"/>
      <c r="E33" s="99"/>
      <c r="F33" s="97">
        <f t="shared" si="0"/>
        <v>0</v>
      </c>
    </row>
    <row r="34" spans="1:6">
      <c r="A34" s="25" t="s">
        <v>93</v>
      </c>
      <c r="B34" s="45">
        <v>50181.33</v>
      </c>
      <c r="C34" s="99">
        <v>50181.33</v>
      </c>
      <c r="D34" s="99"/>
      <c r="E34" s="99"/>
      <c r="F34" s="97">
        <f t="shared" si="0"/>
        <v>0</v>
      </c>
    </row>
    <row r="35" spans="1:6">
      <c r="A35" s="25" t="s">
        <v>94</v>
      </c>
      <c r="B35" s="45">
        <v>137593.97</v>
      </c>
      <c r="C35" s="45">
        <v>137593.97</v>
      </c>
      <c r="D35" s="99"/>
      <c r="E35" s="99"/>
      <c r="F35" s="97">
        <f t="shared" si="0"/>
        <v>0</v>
      </c>
    </row>
    <row r="36" spans="1:6">
      <c r="A36" s="25" t="s">
        <v>95</v>
      </c>
      <c r="B36" s="45">
        <v>27518.79</v>
      </c>
      <c r="C36" s="45">
        <v>27518.79</v>
      </c>
      <c r="D36" s="99"/>
      <c r="E36" s="99"/>
      <c r="F36" s="97">
        <f t="shared" si="0"/>
        <v>0</v>
      </c>
    </row>
    <row r="37" spans="1:6">
      <c r="A37" s="25" t="s">
        <v>96</v>
      </c>
      <c r="B37" s="45">
        <v>4856.26</v>
      </c>
      <c r="C37" s="45">
        <v>4856.26</v>
      </c>
      <c r="D37" s="99"/>
      <c r="E37" s="99"/>
      <c r="F37" s="97">
        <f t="shared" si="0"/>
        <v>0</v>
      </c>
    </row>
    <row r="38" spans="1:6">
      <c r="A38" s="25" t="s">
        <v>97</v>
      </c>
      <c r="B38" s="45">
        <v>3031923.67</v>
      </c>
      <c r="C38" s="45">
        <f>1515961.84+1515961.83</f>
        <v>3031923.67</v>
      </c>
      <c r="D38" s="99"/>
      <c r="E38" s="99"/>
      <c r="F38" s="97">
        <f t="shared" si="0"/>
        <v>0</v>
      </c>
    </row>
    <row r="39" spans="1:6">
      <c r="A39" s="25" t="s">
        <v>98</v>
      </c>
      <c r="B39" s="45">
        <v>414400.67</v>
      </c>
      <c r="C39" s="45">
        <v>414400.67</v>
      </c>
      <c r="D39" s="99"/>
      <c r="E39" s="99"/>
      <c r="F39" s="97">
        <f t="shared" si="0"/>
        <v>0</v>
      </c>
    </row>
    <row r="40" spans="1:6">
      <c r="A40" s="25" t="s">
        <v>99</v>
      </c>
      <c r="B40" s="45">
        <v>1265864.55</v>
      </c>
      <c r="C40" s="45">
        <v>1265864.55</v>
      </c>
      <c r="D40" s="99"/>
      <c r="E40" s="99"/>
      <c r="F40" s="97">
        <f t="shared" si="0"/>
        <v>0</v>
      </c>
    </row>
    <row r="41" spans="1:6">
      <c r="A41" s="25" t="s">
        <v>101</v>
      </c>
      <c r="B41" s="45">
        <v>810995.07</v>
      </c>
      <c r="C41" s="45">
        <v>810995.07</v>
      </c>
      <c r="D41" s="99"/>
      <c r="E41" s="99"/>
      <c r="F41" s="97">
        <f t="shared" si="0"/>
        <v>0</v>
      </c>
    </row>
    <row r="42" spans="1:6">
      <c r="A42" s="25" t="s">
        <v>102</v>
      </c>
      <c r="B42" s="45">
        <v>853082.63</v>
      </c>
      <c r="C42" s="45">
        <v>853083</v>
      </c>
      <c r="D42" s="99"/>
      <c r="E42" s="99"/>
      <c r="F42" s="97">
        <f t="shared" si="0"/>
        <v>-0.36999999999534339</v>
      </c>
    </row>
    <row r="43" spans="1:6">
      <c r="A43" s="25" t="s">
        <v>103</v>
      </c>
      <c r="B43" s="45">
        <v>113312.68</v>
      </c>
      <c r="C43" s="45">
        <v>113312.68</v>
      </c>
      <c r="D43" s="99"/>
      <c r="E43" s="99"/>
      <c r="F43" s="97">
        <f t="shared" si="0"/>
        <v>0</v>
      </c>
    </row>
    <row r="44" spans="1:6">
      <c r="A44" s="25" t="s">
        <v>104</v>
      </c>
      <c r="B44" s="45">
        <v>1942503.15</v>
      </c>
      <c r="C44" s="99"/>
      <c r="D44" s="99"/>
      <c r="E44" s="99"/>
      <c r="F44" s="97">
        <f t="shared" si="0"/>
        <v>1942503.15</v>
      </c>
    </row>
    <row r="45" spans="1:6">
      <c r="A45" s="25" t="s">
        <v>105</v>
      </c>
      <c r="B45" s="102">
        <v>4855.3500000000004</v>
      </c>
      <c r="C45" s="99">
        <v>4855.3500000000004</v>
      </c>
      <c r="D45" s="99"/>
      <c r="E45" s="99"/>
      <c r="F45" s="97">
        <f t="shared" si="0"/>
        <v>0</v>
      </c>
    </row>
    <row r="46" spans="1:6">
      <c r="A46" s="25" t="s">
        <v>107</v>
      </c>
      <c r="B46" s="45">
        <v>101981.42</v>
      </c>
      <c r="C46" s="45">
        <v>101981.42</v>
      </c>
      <c r="D46" s="99"/>
      <c r="E46" s="99"/>
      <c r="F46" s="97">
        <f t="shared" si="0"/>
        <v>0</v>
      </c>
    </row>
    <row r="47" spans="1:6">
      <c r="A47" s="25" t="s">
        <v>108</v>
      </c>
      <c r="B47" s="45">
        <v>155400.25</v>
      </c>
      <c r="C47" s="45">
        <v>155400.25</v>
      </c>
      <c r="D47" s="99"/>
      <c r="E47" s="99"/>
      <c r="F47" s="97">
        <f t="shared" si="0"/>
        <v>0</v>
      </c>
    </row>
    <row r="48" spans="1:6">
      <c r="A48" s="25" t="s">
        <v>110</v>
      </c>
      <c r="B48" s="45">
        <v>4804457.8</v>
      </c>
      <c r="C48" s="99">
        <f>929159.06+3875298.74</f>
        <v>4804457.8000000007</v>
      </c>
      <c r="D48" s="99"/>
      <c r="E48" s="99"/>
      <c r="F48" s="97">
        <f t="shared" si="0"/>
        <v>-9.3132257461547852E-10</v>
      </c>
    </row>
    <row r="49" spans="1:6">
      <c r="A49" s="25" t="s">
        <v>130</v>
      </c>
      <c r="B49" s="45">
        <v>1733684.06</v>
      </c>
      <c r="C49" s="45">
        <v>1733684.06</v>
      </c>
      <c r="D49" s="99"/>
      <c r="E49" s="99"/>
      <c r="F49" s="97">
        <f t="shared" si="0"/>
        <v>0</v>
      </c>
    </row>
    <row r="50" spans="1:6">
      <c r="A50" s="25" t="s">
        <v>112</v>
      </c>
      <c r="B50" s="45">
        <v>1968403.19</v>
      </c>
      <c r="C50" s="45">
        <v>1968403.19</v>
      </c>
      <c r="D50" s="99"/>
      <c r="E50" s="99"/>
      <c r="F50" s="97">
        <f t="shared" si="0"/>
        <v>0</v>
      </c>
    </row>
    <row r="51" spans="1:6">
      <c r="A51" s="25" t="s">
        <v>113</v>
      </c>
      <c r="B51" s="45">
        <v>1619</v>
      </c>
      <c r="C51" s="99"/>
      <c r="D51" s="99"/>
      <c r="E51" s="99"/>
      <c r="F51" s="97">
        <f t="shared" si="0"/>
        <v>1619</v>
      </c>
    </row>
    <row r="52" spans="1:6">
      <c r="A52" s="25" t="s">
        <v>115</v>
      </c>
      <c r="B52" s="45">
        <v>72843.87</v>
      </c>
      <c r="C52" s="99"/>
      <c r="D52" s="99"/>
      <c r="E52" s="99"/>
      <c r="F52" s="97">
        <f t="shared" si="0"/>
        <v>72843.87</v>
      </c>
    </row>
    <row r="53" spans="1:6">
      <c r="A53" s="25" t="s">
        <v>117</v>
      </c>
      <c r="B53" s="45">
        <v>10751754.949999999</v>
      </c>
      <c r="C53" s="45">
        <v>10751754.949999999</v>
      </c>
      <c r="D53" s="99"/>
      <c r="E53" s="45"/>
      <c r="F53" s="97">
        <f t="shared" si="0"/>
        <v>0</v>
      </c>
    </row>
    <row r="54" spans="1:6">
      <c r="A54" s="25" t="s">
        <v>118</v>
      </c>
      <c r="B54" s="45">
        <f>29333333.33</f>
        <v>29333333.329999998</v>
      </c>
      <c r="C54" s="147">
        <f>2445747+310527+25000000+1730000+3460000-3612941</f>
        <v>29333333</v>
      </c>
      <c r="D54" s="99"/>
      <c r="E54" s="99"/>
      <c r="F54" s="97">
        <f t="shared" si="0"/>
        <v>0.32999999821186066</v>
      </c>
    </row>
    <row r="55" spans="1:6" ht="15" thickBot="1">
      <c r="A55" s="26" t="s">
        <v>119</v>
      </c>
      <c r="B55" s="148">
        <v>12950.02</v>
      </c>
      <c r="C55" s="104"/>
      <c r="D55" s="104"/>
      <c r="E55" s="104"/>
      <c r="F55" s="149">
        <f t="shared" si="0"/>
        <v>12950.02</v>
      </c>
    </row>
    <row r="56" spans="1:6" ht="15" thickBot="1">
      <c r="A56" s="30" t="s">
        <v>122</v>
      </c>
      <c r="B56" s="28">
        <f>SUM(B9:B55)</f>
        <v>133351136.71000001</v>
      </c>
      <c r="C56" s="107">
        <f>SUM(C9:C55)</f>
        <v>117398015.84999999</v>
      </c>
      <c r="D56" s="107">
        <f>SUM(D9:D55)</f>
        <v>7650795</v>
      </c>
      <c r="E56" s="107">
        <f>SUM(E9:E55)</f>
        <v>9.9999997764825821E-3</v>
      </c>
      <c r="F56" s="108">
        <f>SUM(F9:F55)</f>
        <v>8302325.8499999959</v>
      </c>
    </row>
    <row r="57" spans="1:6">
      <c r="A57" s="150"/>
      <c r="B57" s="50"/>
      <c r="C57" s="50"/>
      <c r="D57" s="50"/>
      <c r="E57" s="50"/>
      <c r="F57" s="50"/>
    </row>
    <row r="58" spans="1:6" ht="15" thickBot="1">
      <c r="A58" s="50"/>
      <c r="B58" s="50"/>
      <c r="C58" s="50"/>
      <c r="D58" s="50"/>
      <c r="E58" s="50"/>
      <c r="F58" s="50"/>
    </row>
    <row r="59" spans="1:6" ht="15" thickBot="1">
      <c r="A59" s="42" t="s">
        <v>133</v>
      </c>
      <c r="B59" s="112">
        <f>B12+B13+B15+B18+B20+B25+B32+B34+B41+B44+B46+B47+B51+B52+B55</f>
        <v>4126200.69</v>
      </c>
      <c r="C59" s="112">
        <f>C12+C13+C15+C18+C20+C25+C32+C34+C41+C44+C46+C47+C51+C52+C55</f>
        <v>2022581.8399999999</v>
      </c>
      <c r="D59" s="112">
        <f>D12+D13+D15+D18+D20+D25+D32+D34+D41+D44+D46+D47+D51+D52+D55</f>
        <v>33234</v>
      </c>
      <c r="E59" s="112">
        <f>E12+E13+E15+E18+E20+E25+E32+E34+E41+E44+E46+E47+E51+E52+E55</f>
        <v>0</v>
      </c>
      <c r="F59" s="113">
        <f>B59-C59-D59-E59</f>
        <v>2070384.85</v>
      </c>
    </row>
  </sheetData>
  <mergeCells count="4">
    <mergeCell ref="A1:B1"/>
    <mergeCell ref="A5:F5"/>
    <mergeCell ref="A6:F6"/>
    <mergeCell ref="A7:F7"/>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FCE1-D8CF-4683-BD14-B4DBFC03CF7C}">
  <dimension ref="A1:I62"/>
  <sheetViews>
    <sheetView topLeftCell="A22" workbookViewId="0">
      <selection activeCell="L68" sqref="L68"/>
    </sheetView>
  </sheetViews>
  <sheetFormatPr defaultRowHeight="14.5"/>
  <cols>
    <col min="1" max="1" width="24" customWidth="1"/>
    <col min="2" max="2" width="14.26953125" customWidth="1"/>
    <col min="3" max="4" width="12.54296875" customWidth="1"/>
    <col min="5" max="5" width="12.7265625" customWidth="1"/>
    <col min="6" max="6" width="15.7265625" customWidth="1"/>
  </cols>
  <sheetData>
    <row r="1" spans="1:7" ht="16.5">
      <c r="A1" s="1"/>
      <c r="B1" s="1"/>
      <c r="C1" s="1"/>
      <c r="D1" s="1"/>
      <c r="E1" s="1"/>
      <c r="F1" s="158" t="str">
        <f>[1]Status!C1</f>
        <v>UNEP/OzL.Pro/ExCom/94/3</v>
      </c>
    </row>
    <row r="2" spans="1:7" ht="16.5">
      <c r="A2" s="1"/>
      <c r="B2" s="1"/>
      <c r="C2" s="1"/>
      <c r="D2" s="1"/>
      <c r="E2" s="1"/>
      <c r="F2" s="152" t="s">
        <v>0</v>
      </c>
      <c r="G2" s="152"/>
    </row>
    <row r="3" spans="1:7" ht="16.5">
      <c r="A3" s="1"/>
      <c r="B3" s="1"/>
      <c r="C3" s="1"/>
      <c r="D3" s="1"/>
      <c r="E3" s="1"/>
      <c r="F3" s="152" t="s">
        <v>159</v>
      </c>
      <c r="G3" s="152"/>
    </row>
    <row r="4" spans="1:7" ht="15.5">
      <c r="A4" s="1"/>
      <c r="B4" s="1"/>
      <c r="C4" s="1"/>
      <c r="D4" s="1"/>
      <c r="E4" s="1"/>
      <c r="F4" s="1"/>
    </row>
    <row r="5" spans="1:7">
      <c r="A5" s="803" t="s">
        <v>2</v>
      </c>
      <c r="B5" s="803"/>
      <c r="C5" s="803"/>
      <c r="D5" s="803"/>
      <c r="E5" s="803"/>
      <c r="F5" s="803"/>
    </row>
    <row r="6" spans="1:7">
      <c r="A6" s="804" t="s">
        <v>155</v>
      </c>
      <c r="B6" s="804"/>
      <c r="C6" s="804"/>
      <c r="D6" s="804"/>
      <c r="E6" s="804"/>
      <c r="F6" s="804"/>
    </row>
    <row r="7" spans="1:7" ht="15" thickBot="1">
      <c r="A7" s="805" t="str">
        <f>[1]Status!A6</f>
        <v>As at 24/05/2024</v>
      </c>
      <c r="B7" s="805"/>
      <c r="C7" s="805"/>
      <c r="D7" s="805"/>
      <c r="E7" s="805"/>
      <c r="F7" s="805"/>
    </row>
    <row r="8" spans="1:7" ht="26">
      <c r="A8" s="153" t="s">
        <v>59</v>
      </c>
      <c r="B8" s="154" t="s">
        <v>60</v>
      </c>
      <c r="C8" s="154" t="s">
        <v>61</v>
      </c>
      <c r="D8" s="154" t="s">
        <v>62</v>
      </c>
      <c r="E8" s="154" t="s">
        <v>63</v>
      </c>
      <c r="F8" s="155" t="s">
        <v>64</v>
      </c>
    </row>
    <row r="9" spans="1:7">
      <c r="A9" s="25" t="s">
        <v>65</v>
      </c>
      <c r="B9" s="24">
        <v>12947.8</v>
      </c>
      <c r="C9" s="45">
        <f>12910.8+37</f>
        <v>12947.8</v>
      </c>
      <c r="D9" s="145"/>
      <c r="E9" s="145"/>
      <c r="F9" s="97">
        <f t="shared" ref="F9:F57" si="0">B9-C9-D9-E9</f>
        <v>0</v>
      </c>
    </row>
    <row r="10" spans="1:7">
      <c r="A10" s="25" t="s">
        <v>124</v>
      </c>
      <c r="B10" s="45">
        <v>2892710.94</v>
      </c>
      <c r="C10" s="45">
        <v>2892710.94</v>
      </c>
      <c r="D10" s="99"/>
      <c r="E10" s="99"/>
      <c r="F10" s="97">
        <f t="shared" si="0"/>
        <v>0</v>
      </c>
    </row>
    <row r="11" spans="1:7">
      <c r="A11" s="25" t="s">
        <v>67</v>
      </c>
      <c r="B11" s="45">
        <v>1435833.58</v>
      </c>
      <c r="C11" s="45">
        <v>1435833.58</v>
      </c>
      <c r="D11" s="99"/>
      <c r="E11" s="99"/>
      <c r="F11" s="97">
        <f t="shared" si="0"/>
        <v>0</v>
      </c>
    </row>
    <row r="12" spans="1:7">
      <c r="A12" s="36" t="s">
        <v>68</v>
      </c>
      <c r="B12" s="45">
        <v>8093.76</v>
      </c>
      <c r="C12" s="99"/>
      <c r="D12" s="99"/>
      <c r="E12" s="99"/>
      <c r="F12" s="97">
        <f t="shared" si="0"/>
        <v>8093.76</v>
      </c>
    </row>
    <row r="13" spans="1:7">
      <c r="A13" s="25" t="s">
        <v>69</v>
      </c>
      <c r="B13" s="45">
        <v>32375.05</v>
      </c>
      <c r="C13" s="99"/>
      <c r="D13" s="99"/>
      <c r="E13" s="99"/>
      <c r="F13" s="97">
        <f t="shared" si="0"/>
        <v>32375.05</v>
      </c>
    </row>
    <row r="14" spans="1:7">
      <c r="A14" s="25" t="s">
        <v>70</v>
      </c>
      <c r="B14" s="45">
        <v>1783865.39</v>
      </c>
      <c r="C14" s="45">
        <v>1783865.39</v>
      </c>
      <c r="D14" s="99"/>
      <c r="E14" s="99"/>
      <c r="F14" s="97">
        <f t="shared" si="0"/>
        <v>0</v>
      </c>
    </row>
    <row r="15" spans="1:7">
      <c r="A15" s="25" t="s">
        <v>71</v>
      </c>
      <c r="B15" s="45">
        <v>32375.05</v>
      </c>
      <c r="C15" s="45">
        <v>32375.05</v>
      </c>
      <c r="D15" s="99"/>
      <c r="E15" s="99"/>
      <c r="F15" s="97">
        <f t="shared" si="0"/>
        <v>0</v>
      </c>
    </row>
    <row r="16" spans="1:7">
      <c r="A16" s="25" t="s">
        <v>125</v>
      </c>
      <c r="B16" s="45">
        <v>4819026.57</v>
      </c>
      <c r="C16" s="99">
        <f>3855221.72+634409.85</f>
        <v>4489631.57</v>
      </c>
      <c r="D16" s="99">
        <f>887922-558527</f>
        <v>329395</v>
      </c>
      <c r="E16" s="99"/>
      <c r="F16" s="97">
        <f t="shared" si="0"/>
        <v>0</v>
      </c>
    </row>
    <row r="17" spans="1:9">
      <c r="A17" s="25" t="s">
        <v>74</v>
      </c>
      <c r="B17" s="45">
        <v>71225.119999999995</v>
      </c>
      <c r="C17" s="45">
        <v>71225.119999999995</v>
      </c>
      <c r="D17" s="99"/>
      <c r="E17" s="99"/>
      <c r="F17" s="97">
        <f t="shared" si="0"/>
        <v>0</v>
      </c>
    </row>
    <row r="18" spans="1:9">
      <c r="A18" s="25" t="s">
        <v>75</v>
      </c>
      <c r="B18" s="45">
        <v>454869.49</v>
      </c>
      <c r="C18" s="45">
        <f>454869.49-90965+454869.49-454869.49+4321</f>
        <v>368225.49</v>
      </c>
      <c r="D18" s="99">
        <f>90965-4321</f>
        <v>86644</v>
      </c>
      <c r="E18" s="99"/>
      <c r="F18" s="97">
        <f t="shared" si="0"/>
        <v>0</v>
      </c>
    </row>
    <row r="19" spans="1:9">
      <c r="A19" s="25" t="s">
        <v>76</v>
      </c>
      <c r="B19" s="45">
        <v>1196258.19</v>
      </c>
      <c r="C19" s="45">
        <v>1196258.19</v>
      </c>
      <c r="D19" s="99"/>
      <c r="E19" s="99"/>
      <c r="F19" s="97">
        <f t="shared" si="0"/>
        <v>0</v>
      </c>
    </row>
    <row r="20" spans="1:9">
      <c r="A20" s="25" t="s">
        <v>77</v>
      </c>
      <c r="B20" s="45">
        <v>25900.04</v>
      </c>
      <c r="C20" s="45">
        <v>25900.04</v>
      </c>
      <c r="D20" s="99"/>
      <c r="E20" s="99"/>
      <c r="F20" s="97">
        <f t="shared" si="0"/>
        <v>0</v>
      </c>
    </row>
    <row r="21" spans="1:9">
      <c r="A21" s="25" t="s">
        <v>78</v>
      </c>
      <c r="B21" s="45">
        <v>912976.48</v>
      </c>
      <c r="C21" s="45">
        <v>912976.48</v>
      </c>
      <c r="D21" s="99"/>
      <c r="E21" s="99"/>
      <c r="F21" s="97">
        <f t="shared" si="0"/>
        <v>0</v>
      </c>
    </row>
    <row r="22" spans="1:9">
      <c r="A22" s="25" t="s">
        <v>126</v>
      </c>
      <c r="B22" s="45">
        <v>10199760.300000001</v>
      </c>
      <c r="C22" s="99">
        <v>9907090.3000000007</v>
      </c>
      <c r="D22" s="99">
        <v>207355</v>
      </c>
      <c r="E22" s="99"/>
      <c r="F22" s="97">
        <f t="shared" si="0"/>
        <v>85315</v>
      </c>
    </row>
    <row r="23" spans="1:9">
      <c r="A23" s="25" t="s">
        <v>127</v>
      </c>
      <c r="B23" s="45">
        <v>13884041.279999999</v>
      </c>
      <c r="C23" s="99">
        <f>2314006.88+2314006.88+2314006.88+2314006.68+2314006.88+2314006.88+2248464</f>
        <v>16132505.079999998</v>
      </c>
      <c r="D23" s="99">
        <f>305008+957058+1514742-2248464</f>
        <v>528344</v>
      </c>
      <c r="E23" s="99">
        <f>13884041.28-2314006.88-2314006.88-2314006.88-2314006.68-2314006.88-2314006.88</f>
        <v>0.19999999925494194</v>
      </c>
      <c r="F23" s="97">
        <f t="shared" si="0"/>
        <v>-2776807.9999999981</v>
      </c>
    </row>
    <row r="24" spans="1:9">
      <c r="A24" s="25" t="s">
        <v>81</v>
      </c>
      <c r="B24" s="45">
        <v>964776.57</v>
      </c>
      <c r="C24" s="99">
        <f>668915.66+295860.91</f>
        <v>964776.57000000007</v>
      </c>
      <c r="D24" s="99"/>
      <c r="E24" s="99"/>
      <c r="F24" s="97">
        <f t="shared" si="0"/>
        <v>-1.1641532182693481E-10</v>
      </c>
    </row>
    <row r="25" spans="1:9">
      <c r="A25" s="25" t="s">
        <v>83</v>
      </c>
      <c r="B25" s="45">
        <v>394975.64</v>
      </c>
      <c r="C25" s="45">
        <f>185024+102333.28+64725.96+33.5+42858.54</f>
        <v>394975.28</v>
      </c>
      <c r="D25" s="99"/>
      <c r="E25" s="99"/>
      <c r="F25" s="97">
        <f t="shared" si="0"/>
        <v>0.35999999998603016</v>
      </c>
    </row>
    <row r="26" spans="1:9">
      <c r="A26" s="25" t="s">
        <v>84</v>
      </c>
      <c r="B26" s="45">
        <v>59893.85</v>
      </c>
      <c r="C26" s="45">
        <v>59893.85</v>
      </c>
      <c r="D26" s="99"/>
      <c r="E26" s="99"/>
      <c r="F26" s="97">
        <f t="shared" si="0"/>
        <v>0</v>
      </c>
    </row>
    <row r="27" spans="1:9">
      <c r="A27" s="25" t="s">
        <v>128</v>
      </c>
      <c r="B27" s="45">
        <v>720344.92</v>
      </c>
      <c r="C27" s="45">
        <v>720344.92</v>
      </c>
      <c r="D27" s="99"/>
      <c r="E27" s="99"/>
      <c r="F27" s="97">
        <f t="shared" si="0"/>
        <v>0</v>
      </c>
    </row>
    <row r="28" spans="1:9">
      <c r="A28" s="25" t="s">
        <v>86</v>
      </c>
      <c r="B28" s="45">
        <v>678257.35</v>
      </c>
      <c r="C28" s="99"/>
      <c r="D28" s="99"/>
      <c r="E28" s="99"/>
      <c r="F28" s="97">
        <f t="shared" si="0"/>
        <v>678257.35</v>
      </c>
    </row>
    <row r="29" spans="1:9">
      <c r="A29" s="25" t="s">
        <v>87</v>
      </c>
      <c r="B29" s="45">
        <v>8221644.5899999999</v>
      </c>
      <c r="C29" s="99">
        <f>6577315.67+988929+9365.8+201131.4</f>
        <v>7776741.8700000001</v>
      </c>
      <c r="D29" s="99">
        <f>237300+418100-9365.8-201131.4</f>
        <v>444902.79999999993</v>
      </c>
      <c r="E29" s="99"/>
      <c r="F29" s="97">
        <f t="shared" si="0"/>
        <v>-8.0000000190921128E-2</v>
      </c>
    </row>
    <row r="30" spans="1:9">
      <c r="A30" s="25" t="s">
        <v>129</v>
      </c>
      <c r="B30" s="45">
        <v>26910143.66</v>
      </c>
      <c r="C30" s="24">
        <f>26910143.66-498443-33900-67800-607206+3028.11+1453.58+5589.87+236.22</f>
        <v>25713102.439999998</v>
      </c>
      <c r="D30" s="99">
        <f>566243+33900+607206-3028.11-1453.58-5589.87-236.22</f>
        <v>1197041.2199999997</v>
      </c>
      <c r="E30" s="99"/>
      <c r="F30" s="97">
        <f t="shared" si="0"/>
        <v>2.7939677238464355E-9</v>
      </c>
    </row>
    <row r="31" spans="1:9">
      <c r="A31" s="25" t="s">
        <v>89</v>
      </c>
      <c r="B31" s="119">
        <v>0</v>
      </c>
      <c r="C31" s="45">
        <v>0</v>
      </c>
      <c r="D31" s="99"/>
      <c r="E31" s="99"/>
      <c r="F31" s="97">
        <f t="shared" si="0"/>
        <v>0</v>
      </c>
      <c r="H31" s="52"/>
      <c r="I31" s="52"/>
    </row>
    <row r="32" spans="1:9">
      <c r="A32" s="25" t="s">
        <v>91</v>
      </c>
      <c r="B32" s="45">
        <v>29137.55</v>
      </c>
      <c r="C32" s="99">
        <f>29085.05+52.5</f>
        <v>29137.55</v>
      </c>
      <c r="D32" s="99"/>
      <c r="E32" s="99"/>
      <c r="F32" s="97">
        <f t="shared" si="0"/>
        <v>0</v>
      </c>
    </row>
    <row r="33" spans="1:6">
      <c r="A33" s="25" t="s">
        <v>92</v>
      </c>
      <c r="B33" s="45">
        <v>16187.53</v>
      </c>
      <c r="C33" s="45">
        <v>16187.53</v>
      </c>
      <c r="D33" s="99"/>
      <c r="E33" s="99"/>
      <c r="F33" s="97">
        <f t="shared" si="0"/>
        <v>0</v>
      </c>
    </row>
    <row r="34" spans="1:6">
      <c r="A34" s="25" t="s">
        <v>93</v>
      </c>
      <c r="B34" s="45">
        <v>50181.33</v>
      </c>
      <c r="C34" s="99">
        <v>50181.33</v>
      </c>
      <c r="D34" s="99"/>
      <c r="E34" s="99"/>
      <c r="F34" s="97">
        <f t="shared" si="0"/>
        <v>0</v>
      </c>
    </row>
    <row r="35" spans="1:6">
      <c r="A35" s="25" t="s">
        <v>94</v>
      </c>
      <c r="B35" s="45">
        <v>137593.97</v>
      </c>
      <c r="C35" s="45">
        <v>137593.97</v>
      </c>
      <c r="D35" s="99"/>
      <c r="E35" s="99"/>
      <c r="F35" s="97">
        <f t="shared" si="0"/>
        <v>0</v>
      </c>
    </row>
    <row r="36" spans="1:6">
      <c r="A36" s="25" t="s">
        <v>95</v>
      </c>
      <c r="B36" s="45">
        <v>27518.79</v>
      </c>
      <c r="C36" s="45">
        <v>27518.79</v>
      </c>
      <c r="D36" s="99"/>
      <c r="E36" s="99"/>
      <c r="F36" s="97">
        <f t="shared" si="0"/>
        <v>0</v>
      </c>
    </row>
    <row r="37" spans="1:6">
      <c r="A37" s="25" t="s">
        <v>96</v>
      </c>
      <c r="B37" s="45">
        <v>4856.26</v>
      </c>
      <c r="C37" s="45">
        <v>4856.26</v>
      </c>
      <c r="D37" s="99"/>
      <c r="E37" s="99"/>
      <c r="F37" s="97">
        <f t="shared" si="0"/>
        <v>0</v>
      </c>
    </row>
    <row r="38" spans="1:6">
      <c r="A38" s="25" t="s">
        <v>97</v>
      </c>
      <c r="B38" s="45">
        <v>3031923.67</v>
      </c>
      <c r="C38" s="45">
        <f>1515961.48+1515961.83</f>
        <v>3031923.31</v>
      </c>
      <c r="D38" s="99"/>
      <c r="E38" s="99"/>
      <c r="F38" s="97">
        <f t="shared" si="0"/>
        <v>0.35999999986961484</v>
      </c>
    </row>
    <row r="39" spans="1:6">
      <c r="A39" s="25" t="s">
        <v>98</v>
      </c>
      <c r="B39" s="45">
        <v>414400.67</v>
      </c>
      <c r="C39" s="45">
        <v>414400.67</v>
      </c>
      <c r="D39" s="99"/>
      <c r="E39" s="99"/>
      <c r="F39" s="97">
        <f t="shared" si="0"/>
        <v>0</v>
      </c>
    </row>
    <row r="40" spans="1:6">
      <c r="A40" s="25" t="s">
        <v>99</v>
      </c>
      <c r="B40" s="45">
        <v>1265864.55</v>
      </c>
      <c r="C40" s="45">
        <v>1265864.55</v>
      </c>
      <c r="D40" s="99"/>
      <c r="E40" s="99"/>
      <c r="F40" s="97">
        <f t="shared" si="0"/>
        <v>0</v>
      </c>
    </row>
    <row r="41" spans="1:6">
      <c r="A41" s="25" t="s">
        <v>101</v>
      </c>
      <c r="B41" s="45">
        <v>810995.07</v>
      </c>
      <c r="C41" s="45">
        <f>793430+17565.07</f>
        <v>810995.07</v>
      </c>
      <c r="D41" s="99"/>
      <c r="E41" s="99"/>
      <c r="F41" s="97">
        <f t="shared" si="0"/>
        <v>0</v>
      </c>
    </row>
    <row r="42" spans="1:6">
      <c r="A42" s="25" t="s">
        <v>102</v>
      </c>
      <c r="B42" s="45">
        <v>853082.63</v>
      </c>
      <c r="C42" s="45">
        <f>13137+66000+773946</f>
        <v>853083</v>
      </c>
      <c r="D42" s="99"/>
      <c r="E42" s="99"/>
      <c r="F42" s="97">
        <f t="shared" si="0"/>
        <v>-0.36999999999534339</v>
      </c>
    </row>
    <row r="43" spans="1:6">
      <c r="A43" s="25" t="s">
        <v>103</v>
      </c>
      <c r="B43" s="45">
        <v>113312.68</v>
      </c>
      <c r="C43" s="45">
        <v>113312.68</v>
      </c>
      <c r="D43" s="99"/>
      <c r="E43" s="99"/>
      <c r="F43" s="97">
        <f t="shared" si="0"/>
        <v>0</v>
      </c>
    </row>
    <row r="44" spans="1:6">
      <c r="A44" s="25" t="s">
        <v>104</v>
      </c>
      <c r="B44" s="45">
        <v>1942503.15</v>
      </c>
      <c r="C44" s="99"/>
      <c r="D44" s="99"/>
      <c r="E44" s="99"/>
      <c r="F44" s="97">
        <f t="shared" si="0"/>
        <v>1942503.15</v>
      </c>
    </row>
    <row r="45" spans="1:6">
      <c r="A45" s="25" t="s">
        <v>105</v>
      </c>
      <c r="B45" s="102">
        <v>4855.3500000000004</v>
      </c>
      <c r="C45" s="99">
        <v>4855.3500000000004</v>
      </c>
      <c r="D45" s="99"/>
      <c r="E45" s="99"/>
      <c r="F45" s="97">
        <f t="shared" si="0"/>
        <v>0</v>
      </c>
    </row>
    <row r="46" spans="1:6">
      <c r="A46" s="25" t="s">
        <v>107</v>
      </c>
      <c r="B46" s="45">
        <v>101981.42</v>
      </c>
      <c r="C46" s="45">
        <v>101981.42</v>
      </c>
      <c r="D46" s="99"/>
      <c r="E46" s="99"/>
      <c r="F46" s="97">
        <f t="shared" si="0"/>
        <v>0</v>
      </c>
    </row>
    <row r="47" spans="1:6">
      <c r="A47" s="25" t="s">
        <v>108</v>
      </c>
      <c r="B47" s="45">
        <v>155400.25</v>
      </c>
      <c r="C47" s="45">
        <v>155400.25</v>
      </c>
      <c r="D47" s="99"/>
      <c r="E47" s="99"/>
      <c r="F47" s="97">
        <f t="shared" si="0"/>
        <v>0</v>
      </c>
    </row>
    <row r="48" spans="1:6">
      <c r="A48" s="25" t="s">
        <v>110</v>
      </c>
      <c r="B48" s="45">
        <v>4804457.8</v>
      </c>
      <c r="C48" s="99">
        <f>4804458-893000+36</f>
        <v>3911494</v>
      </c>
      <c r="D48" s="99">
        <f>893000-36</f>
        <v>892964</v>
      </c>
      <c r="E48" s="99"/>
      <c r="F48" s="97">
        <f t="shared" si="0"/>
        <v>-0.20000000018626451</v>
      </c>
    </row>
    <row r="49" spans="1:6">
      <c r="A49" s="25" t="s">
        <v>130</v>
      </c>
      <c r="B49" s="45">
        <v>1733684.06</v>
      </c>
      <c r="C49" s="45">
        <v>1733684.06</v>
      </c>
      <c r="D49" s="99"/>
      <c r="E49" s="99"/>
      <c r="F49" s="97">
        <f t="shared" si="0"/>
        <v>0</v>
      </c>
    </row>
    <row r="50" spans="1:6">
      <c r="A50" s="25" t="s">
        <v>112</v>
      </c>
      <c r="B50" s="45">
        <v>1968403.19</v>
      </c>
      <c r="C50" s="45">
        <v>1968403.19</v>
      </c>
      <c r="D50" s="99"/>
      <c r="E50" s="99"/>
      <c r="F50" s="97">
        <f t="shared" si="0"/>
        <v>0</v>
      </c>
    </row>
    <row r="51" spans="1:6">
      <c r="A51" s="25" t="s">
        <v>113</v>
      </c>
      <c r="B51" s="45">
        <v>1619</v>
      </c>
      <c r="C51" s="99"/>
      <c r="D51" s="99"/>
      <c r="E51" s="99"/>
      <c r="F51" s="97">
        <f t="shared" si="0"/>
        <v>1619</v>
      </c>
    </row>
    <row r="52" spans="1:6">
      <c r="A52" s="25" t="s">
        <v>115</v>
      </c>
      <c r="B52" s="45">
        <v>72843.87</v>
      </c>
      <c r="C52" s="99"/>
      <c r="D52" s="99"/>
      <c r="E52" s="99"/>
      <c r="F52" s="97">
        <f t="shared" si="0"/>
        <v>72843.87</v>
      </c>
    </row>
    <row r="53" spans="1:6">
      <c r="A53" s="25" t="s">
        <v>117</v>
      </c>
      <c r="B53" s="45">
        <v>10751754.949999999</v>
      </c>
      <c r="C53" s="45">
        <v>10751754.949999999</v>
      </c>
      <c r="D53" s="99"/>
      <c r="E53" s="45"/>
      <c r="F53" s="97">
        <f t="shared" si="0"/>
        <v>0</v>
      </c>
    </row>
    <row r="54" spans="1:6">
      <c r="A54" s="25" t="s">
        <v>118</v>
      </c>
      <c r="B54" s="45">
        <f>29333333.33-216320-67907-121565</f>
        <v>28927541.329999998</v>
      </c>
      <c r="C54" s="99">
        <f>1248140+25000000+625148+2054253</f>
        <v>28927541</v>
      </c>
      <c r="D54" s="99"/>
      <c r="E54" s="99"/>
      <c r="F54" s="97">
        <f t="shared" si="0"/>
        <v>0.32999999821186066</v>
      </c>
    </row>
    <row r="55" spans="1:6" ht="15" thickBot="1">
      <c r="A55" s="26" t="s">
        <v>119</v>
      </c>
      <c r="B55" s="148">
        <v>12950.02</v>
      </c>
      <c r="C55" s="104"/>
      <c r="D55" s="104"/>
      <c r="E55" s="104"/>
      <c r="F55" s="149">
        <f t="shared" si="0"/>
        <v>12950.02</v>
      </c>
    </row>
    <row r="56" spans="1:6" ht="15" thickBot="1">
      <c r="A56" s="30" t="s">
        <v>120</v>
      </c>
      <c r="B56" s="28">
        <f>SUM(B9:B55)</f>
        <v>132945344.71000001</v>
      </c>
      <c r="C56" s="107">
        <f>SUM(C9:C55)</f>
        <v>129201548.89000002</v>
      </c>
      <c r="D56" s="107">
        <f>SUM(D9:D55)</f>
        <v>3686646.0199999996</v>
      </c>
      <c r="E56" s="107">
        <f>SUM(E9:E55)</f>
        <v>0.19999999925494194</v>
      </c>
      <c r="F56" s="108">
        <f>SUM(F9:F55)</f>
        <v>57149.60000000229</v>
      </c>
    </row>
    <row r="57" spans="1:6" ht="15" thickBot="1">
      <c r="A57" s="156" t="s">
        <v>131</v>
      </c>
      <c r="B57" s="139">
        <f>216320+67907+121565</f>
        <v>405792</v>
      </c>
      <c r="C57" s="139">
        <v>0</v>
      </c>
      <c r="D57" s="139">
        <v>0</v>
      </c>
      <c r="E57" s="139">
        <v>0</v>
      </c>
      <c r="F57" s="140">
        <f t="shared" si="0"/>
        <v>405792</v>
      </c>
    </row>
    <row r="58" spans="1:6" ht="15" thickBot="1">
      <c r="A58" s="157" t="s">
        <v>132</v>
      </c>
      <c r="B58" s="32">
        <f>SUM(B56:B57)</f>
        <v>133351136.71000001</v>
      </c>
      <c r="C58" s="32">
        <f>SUM(C56:C57)</f>
        <v>129201548.89000002</v>
      </c>
      <c r="D58" s="32">
        <f>SUM(D56:D57)</f>
        <v>3686646.0199999996</v>
      </c>
      <c r="E58" s="32">
        <f>SUM(E56:E57)</f>
        <v>0.19999999925494194</v>
      </c>
      <c r="F58" s="32">
        <f>SUM(F56:F57)</f>
        <v>462941.60000000231</v>
      </c>
    </row>
    <row r="59" spans="1:6">
      <c r="A59" s="55" t="s">
        <v>156</v>
      </c>
      <c r="B59" s="33"/>
      <c r="C59" s="33"/>
      <c r="D59" s="33"/>
      <c r="E59" s="33"/>
      <c r="F59" s="33"/>
    </row>
    <row r="60" spans="1:6">
      <c r="A60" s="56"/>
      <c r="B60" s="56"/>
      <c r="C60" s="56"/>
      <c r="D60" s="56"/>
      <c r="E60" s="56"/>
      <c r="F60" s="56"/>
    </row>
    <row r="61" spans="1:6" ht="15" thickBot="1">
      <c r="A61" s="50"/>
      <c r="B61" s="50"/>
      <c r="C61" s="50"/>
      <c r="D61" s="50"/>
      <c r="E61" s="50"/>
      <c r="F61" s="50"/>
    </row>
    <row r="62" spans="1:6" ht="15" thickBot="1">
      <c r="A62" s="42" t="s">
        <v>133</v>
      </c>
      <c r="B62" s="112">
        <f>B12+B13+B15+B18+B20+B25+B32+B34+B41+B44+B46+B47+B51+B52+B55</f>
        <v>4126200.69</v>
      </c>
      <c r="C62" s="112">
        <f>C12+C13+C15+C18+C20+C25+C32+C34+C41+C44+C46+C47+C51+C52+C55</f>
        <v>1969171.48</v>
      </c>
      <c r="D62" s="112">
        <f>D12+D13+D15+D18+D20+D25+D32+D34+D41+D44+D46+D47+D51+D52+D55</f>
        <v>86644</v>
      </c>
      <c r="E62" s="112">
        <f>E12+E13+E15+E18+E20+E25+E32+E34+E41+E44+E46+E47+E51+E52+E55</f>
        <v>0</v>
      </c>
      <c r="F62" s="113">
        <f>B62-C62-D62-E62</f>
        <v>2070385.21</v>
      </c>
    </row>
  </sheetData>
  <mergeCells count="3">
    <mergeCell ref="A5:F5"/>
    <mergeCell ref="A6:F6"/>
    <mergeCell ref="A7:F7"/>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EBB2-4D1B-46A9-B3C4-93682CB7189C}">
  <dimension ref="A1:I63"/>
  <sheetViews>
    <sheetView topLeftCell="A13" workbookViewId="0">
      <selection activeCell="L68" sqref="L68"/>
    </sheetView>
  </sheetViews>
  <sheetFormatPr defaultRowHeight="14.5"/>
  <cols>
    <col min="1" max="1" width="22.54296875" customWidth="1"/>
    <col min="2" max="2" width="17.54296875" customWidth="1"/>
    <col min="3" max="3" width="14.26953125" customWidth="1"/>
    <col min="4" max="4" width="16.7265625" customWidth="1"/>
    <col min="5" max="5" width="13.7265625" customWidth="1"/>
    <col min="6" max="6" width="20.7265625" customWidth="1"/>
  </cols>
  <sheetData>
    <row r="1" spans="1:6" ht="20.25" customHeight="1">
      <c r="A1" s="793" t="str">
        <f>[1]Status!C1</f>
        <v>UNEP/OzL.Pro/ExCom/94/3</v>
      </c>
      <c r="B1" s="793"/>
      <c r="C1" s="1"/>
      <c r="D1" s="1"/>
      <c r="E1" s="1"/>
      <c r="F1" s="1"/>
    </row>
    <row r="2" spans="1:6" ht="20.25" customHeight="1">
      <c r="A2" s="35" t="s">
        <v>0</v>
      </c>
      <c r="B2" s="1"/>
      <c r="C2" s="1"/>
      <c r="D2" s="1"/>
      <c r="E2" s="1"/>
      <c r="F2" s="1"/>
    </row>
    <row r="3" spans="1:6" ht="18">
      <c r="A3" s="8" t="s">
        <v>166</v>
      </c>
      <c r="B3" s="1"/>
      <c r="C3" s="1"/>
      <c r="D3" s="1"/>
      <c r="E3" s="1"/>
      <c r="F3" s="1"/>
    </row>
    <row r="4" spans="1:6" ht="15.5">
      <c r="A4" s="1"/>
      <c r="B4" s="1"/>
      <c r="C4" s="1"/>
      <c r="D4" s="1"/>
      <c r="E4" s="1"/>
      <c r="F4" s="1"/>
    </row>
    <row r="5" spans="1:6" ht="20.25" customHeight="1">
      <c r="A5" s="794" t="s">
        <v>2</v>
      </c>
      <c r="B5" s="794"/>
      <c r="C5" s="794"/>
      <c r="D5" s="794"/>
      <c r="E5" s="794"/>
      <c r="F5" s="794"/>
    </row>
    <row r="6" spans="1:6" ht="20.25" customHeight="1">
      <c r="A6" s="795" t="s">
        <v>158</v>
      </c>
      <c r="B6" s="795"/>
      <c r="C6" s="795"/>
      <c r="D6" s="795"/>
      <c r="E6" s="795"/>
      <c r="F6" s="795"/>
    </row>
    <row r="7" spans="1:6" ht="19.5" customHeight="1" thickBot="1">
      <c r="A7" s="798" t="str">
        <f>[1]Status!A6</f>
        <v>As at 24/05/2024</v>
      </c>
      <c r="B7" s="798"/>
      <c r="C7" s="798"/>
      <c r="D7" s="798"/>
      <c r="E7" s="798"/>
      <c r="F7" s="798"/>
    </row>
    <row r="8" spans="1:6" ht="27.75" customHeight="1" thickBot="1">
      <c r="A8" s="19" t="s">
        <v>59</v>
      </c>
      <c r="B8" s="94" t="s">
        <v>60</v>
      </c>
      <c r="C8" s="94" t="s">
        <v>61</v>
      </c>
      <c r="D8" s="94" t="s">
        <v>62</v>
      </c>
      <c r="E8" s="94" t="s">
        <v>63</v>
      </c>
      <c r="F8" s="95" t="s">
        <v>64</v>
      </c>
    </row>
    <row r="9" spans="1:6" ht="18" customHeight="1">
      <c r="A9" s="68" t="s">
        <v>65</v>
      </c>
      <c r="B9" s="160">
        <v>8868.36</v>
      </c>
      <c r="C9" s="69">
        <v>8868.36</v>
      </c>
      <c r="D9" s="96"/>
      <c r="E9" s="96"/>
      <c r="F9" s="97">
        <f t="shared" ref="F9:F55" si="0">B9-C9-D9-E9</f>
        <v>0</v>
      </c>
    </row>
    <row r="10" spans="1:6" ht="18" customHeight="1">
      <c r="A10" s="23" t="s">
        <v>124</v>
      </c>
      <c r="B10" s="71">
        <v>2892710.94</v>
      </c>
      <c r="C10" s="71">
        <v>2892710.94</v>
      </c>
      <c r="D10" s="98"/>
      <c r="E10" s="98"/>
      <c r="F10" s="97">
        <f t="shared" si="0"/>
        <v>0</v>
      </c>
    </row>
    <row r="11" spans="1:6" ht="18" customHeight="1">
      <c r="A11" s="25" t="s">
        <v>67</v>
      </c>
      <c r="B11" s="73">
        <v>1435833.58</v>
      </c>
      <c r="C11" s="73">
        <v>1435833.58</v>
      </c>
      <c r="D11" s="99"/>
      <c r="E11" s="99"/>
      <c r="F11" s="97">
        <f t="shared" si="0"/>
        <v>0</v>
      </c>
    </row>
    <row r="12" spans="1:6" ht="18" customHeight="1">
      <c r="A12" s="36" t="s">
        <v>68</v>
      </c>
      <c r="B12" s="73">
        <v>8093.76</v>
      </c>
      <c r="C12" s="99"/>
      <c r="D12" s="99"/>
      <c r="E12" s="99"/>
      <c r="F12" s="97">
        <f t="shared" si="0"/>
        <v>8093.76</v>
      </c>
    </row>
    <row r="13" spans="1:6" ht="18" customHeight="1">
      <c r="A13" s="25" t="s">
        <v>69</v>
      </c>
      <c r="B13" s="73">
        <v>32375.05</v>
      </c>
      <c r="C13" s="99"/>
      <c r="D13" s="99"/>
      <c r="E13" s="99"/>
      <c r="F13" s="97">
        <f t="shared" si="0"/>
        <v>32375.05</v>
      </c>
    </row>
    <row r="14" spans="1:6" ht="18" customHeight="1">
      <c r="A14" s="25" t="s">
        <v>70</v>
      </c>
      <c r="B14" s="73">
        <v>1783865.39</v>
      </c>
      <c r="C14" s="73">
        <v>1783865.39</v>
      </c>
      <c r="D14" s="99"/>
      <c r="E14" s="99"/>
      <c r="F14" s="97">
        <f t="shared" si="0"/>
        <v>0</v>
      </c>
    </row>
    <row r="15" spans="1:6" ht="18" customHeight="1">
      <c r="A15" s="25" t="s">
        <v>71</v>
      </c>
      <c r="B15" s="73">
        <v>32375.05</v>
      </c>
      <c r="C15" s="73">
        <v>32375.05</v>
      </c>
      <c r="D15" s="99"/>
      <c r="E15" s="99"/>
      <c r="F15" s="97">
        <f t="shared" si="0"/>
        <v>0</v>
      </c>
    </row>
    <row r="16" spans="1:6" ht="18" customHeight="1">
      <c r="A16" s="25" t="s">
        <v>125</v>
      </c>
      <c r="B16" s="73">
        <v>4819026.57</v>
      </c>
      <c r="C16" s="99">
        <f>178983.65+3855221.72+606897-61250-31+139765+5650</f>
        <v>4725236.37</v>
      </c>
      <c r="D16" s="99">
        <f>99440-5650</f>
        <v>93790</v>
      </c>
      <c r="E16" s="99"/>
      <c r="F16" s="97">
        <f t="shared" si="0"/>
        <v>0.20000000018626451</v>
      </c>
    </row>
    <row r="17" spans="1:9" ht="18" customHeight="1">
      <c r="A17" s="25" t="s">
        <v>74</v>
      </c>
      <c r="B17" s="73">
        <v>71225.119999999995</v>
      </c>
      <c r="C17" s="74">
        <v>71225.119999999995</v>
      </c>
      <c r="D17" s="99"/>
      <c r="E17" s="99"/>
      <c r="F17" s="97">
        <f t="shared" si="0"/>
        <v>0</v>
      </c>
    </row>
    <row r="18" spans="1:9" ht="18" customHeight="1">
      <c r="A18" s="25" t="s">
        <v>75</v>
      </c>
      <c r="B18" s="73">
        <v>454869.49</v>
      </c>
      <c r="C18" s="73">
        <f>454869.49-90965</f>
        <v>363904.49</v>
      </c>
      <c r="D18" s="99">
        <v>90965</v>
      </c>
      <c r="E18" s="99"/>
      <c r="F18" s="97">
        <f t="shared" si="0"/>
        <v>0</v>
      </c>
    </row>
    <row r="19" spans="1:9" ht="18" customHeight="1">
      <c r="A19" s="25" t="s">
        <v>76</v>
      </c>
      <c r="B19" s="73">
        <v>1196258.19</v>
      </c>
      <c r="C19" s="73">
        <v>1196258.19</v>
      </c>
      <c r="D19" s="99"/>
      <c r="E19" s="99"/>
      <c r="F19" s="97">
        <f t="shared" si="0"/>
        <v>0</v>
      </c>
    </row>
    <row r="20" spans="1:9" ht="18" customHeight="1">
      <c r="A20" s="25" t="s">
        <v>77</v>
      </c>
      <c r="B20" s="73">
        <v>25900.04</v>
      </c>
      <c r="C20" s="73">
        <v>25900.04</v>
      </c>
      <c r="D20" s="99"/>
      <c r="E20" s="99"/>
      <c r="F20" s="97">
        <f t="shared" si="0"/>
        <v>0</v>
      </c>
    </row>
    <row r="21" spans="1:9" ht="18" customHeight="1">
      <c r="A21" s="25" t="s">
        <v>78</v>
      </c>
      <c r="B21" s="73">
        <v>912976.48</v>
      </c>
      <c r="C21" s="74">
        <v>912976.48</v>
      </c>
      <c r="D21" s="99"/>
      <c r="E21" s="99"/>
      <c r="F21" s="97">
        <f t="shared" si="0"/>
        <v>0</v>
      </c>
    </row>
    <row r="22" spans="1:9" ht="18" customHeight="1">
      <c r="A22" s="25" t="s">
        <v>126</v>
      </c>
      <c r="B22" s="73">
        <v>10199760.300000001</v>
      </c>
      <c r="C22" s="99">
        <f>9997393.3+6295+1224.96</f>
        <v>10004913.260000002</v>
      </c>
      <c r="D22" s="99">
        <f>202367+85315-6295-1224.96</f>
        <v>280162.03999999998</v>
      </c>
      <c r="E22" s="99"/>
      <c r="F22" s="97">
        <f t="shared" si="0"/>
        <v>-85315.000000000873</v>
      </c>
    </row>
    <row r="23" spans="1:9" ht="18" customHeight="1">
      <c r="A23" s="25" t="s">
        <v>127</v>
      </c>
      <c r="B23" s="73">
        <v>13884041.279999999</v>
      </c>
      <c r="C23" s="99">
        <f>2314006.88+2314006.88+2314006.88+2314006.88+2314006.88+2314006.68+739879</f>
        <v>14623920.079999998</v>
      </c>
      <c r="D23" s="99">
        <f>1748779+129238+96050+225325+577416-739879</f>
        <v>2036929</v>
      </c>
      <c r="E23" s="73">
        <f>13884041.28-2314006.88-2314006.88-2314006.88-2314006.88-2314006.88-2314006.68</f>
        <v>0.19999999972060323</v>
      </c>
      <c r="F23" s="97">
        <f t="shared" si="0"/>
        <v>-2776807.9999999986</v>
      </c>
    </row>
    <row r="24" spans="1:9" ht="18" customHeight="1">
      <c r="A24" s="25" t="s">
        <v>81</v>
      </c>
      <c r="B24" s="73">
        <v>964776.57</v>
      </c>
      <c r="C24" s="99">
        <f>103448.4+475700.55+385627.63</f>
        <v>964776.58</v>
      </c>
      <c r="D24" s="99"/>
      <c r="E24" s="99"/>
      <c r="F24" s="97">
        <f t="shared" si="0"/>
        <v>-1.0000000009313226E-2</v>
      </c>
    </row>
    <row r="25" spans="1:9" ht="18" customHeight="1">
      <c r="A25" s="25" t="s">
        <v>83</v>
      </c>
      <c r="B25" s="73">
        <v>394975.64</v>
      </c>
      <c r="C25" s="73">
        <f>150000+230000+14976</f>
        <v>394976</v>
      </c>
      <c r="D25" s="99"/>
      <c r="E25" s="99"/>
      <c r="F25" s="97">
        <f t="shared" si="0"/>
        <v>-0.35999999998603016</v>
      </c>
    </row>
    <row r="26" spans="1:9" ht="18" customHeight="1">
      <c r="A26" s="25" t="s">
        <v>84</v>
      </c>
      <c r="B26" s="73">
        <v>59893.85</v>
      </c>
      <c r="C26" s="73">
        <v>59893.85</v>
      </c>
      <c r="D26" s="99"/>
      <c r="E26" s="99"/>
      <c r="F26" s="97">
        <f t="shared" si="0"/>
        <v>0</v>
      </c>
    </row>
    <row r="27" spans="1:9" ht="18" customHeight="1">
      <c r="A27" s="25" t="s">
        <v>128</v>
      </c>
      <c r="B27" s="73">
        <v>720344.92</v>
      </c>
      <c r="C27" s="74">
        <v>720344.92</v>
      </c>
      <c r="D27" s="99"/>
      <c r="E27" s="99"/>
      <c r="F27" s="97">
        <f t="shared" si="0"/>
        <v>0</v>
      </c>
    </row>
    <row r="28" spans="1:9" ht="18" customHeight="1">
      <c r="A28" s="25" t="s">
        <v>86</v>
      </c>
      <c r="B28" s="73">
        <v>678257.35</v>
      </c>
      <c r="C28" s="99"/>
      <c r="D28" s="99"/>
      <c r="E28" s="99"/>
      <c r="F28" s="97">
        <f t="shared" si="0"/>
        <v>678257.35</v>
      </c>
    </row>
    <row r="29" spans="1:9" ht="18" customHeight="1">
      <c r="A29" s="25" t="s">
        <v>87</v>
      </c>
      <c r="B29" s="73">
        <v>8221644.5899999999</v>
      </c>
      <c r="C29" s="99">
        <f>6687842.22+1381252</f>
        <v>8069094.2199999997</v>
      </c>
      <c r="D29" s="99">
        <v>152550</v>
      </c>
      <c r="E29" s="99"/>
      <c r="F29" s="97">
        <f t="shared" si="0"/>
        <v>0.37000000011175871</v>
      </c>
    </row>
    <row r="30" spans="1:9" ht="18" customHeight="1">
      <c r="A30" s="25" t="s">
        <v>129</v>
      </c>
      <c r="B30" s="73">
        <v>26910143.66</v>
      </c>
      <c r="C30" s="100">
        <f>26910143.66-160178+379</f>
        <v>26750344.66</v>
      </c>
      <c r="D30" s="159">
        <f>160178-379</f>
        <v>159799</v>
      </c>
      <c r="E30" s="99"/>
      <c r="F30" s="97">
        <f t="shared" si="0"/>
        <v>0</v>
      </c>
    </row>
    <row r="31" spans="1:9">
      <c r="A31" s="25" t="s">
        <v>89</v>
      </c>
      <c r="B31" s="119">
        <v>0</v>
      </c>
      <c r="C31" s="45">
        <v>0</v>
      </c>
      <c r="D31" s="99"/>
      <c r="E31" s="99"/>
      <c r="F31" s="97">
        <f t="shared" si="0"/>
        <v>0</v>
      </c>
      <c r="H31" s="52"/>
      <c r="I31" s="52"/>
    </row>
    <row r="32" spans="1:9" ht="18" customHeight="1">
      <c r="A32" s="25" t="s">
        <v>91</v>
      </c>
      <c r="B32" s="73">
        <v>29137.55</v>
      </c>
      <c r="C32" s="99">
        <f>17395.21+10305.91+1436.43</f>
        <v>29137.55</v>
      </c>
      <c r="D32" s="99"/>
      <c r="E32" s="99"/>
      <c r="F32" s="97">
        <f t="shared" si="0"/>
        <v>0</v>
      </c>
    </row>
    <row r="33" spans="1:6" ht="18" customHeight="1">
      <c r="A33" s="25" t="s">
        <v>92</v>
      </c>
      <c r="B33" s="73">
        <v>16187.53</v>
      </c>
      <c r="C33" s="74">
        <v>16187.53</v>
      </c>
      <c r="D33" s="99"/>
      <c r="E33" s="99"/>
      <c r="F33" s="97">
        <f t="shared" si="0"/>
        <v>0</v>
      </c>
    </row>
    <row r="34" spans="1:6" ht="18" customHeight="1">
      <c r="A34" s="25" t="s">
        <v>93</v>
      </c>
      <c r="B34" s="73">
        <v>50181.33</v>
      </c>
      <c r="C34" s="99">
        <v>50181.33</v>
      </c>
      <c r="D34" s="99"/>
      <c r="E34" s="99"/>
      <c r="F34" s="97">
        <f t="shared" si="0"/>
        <v>0</v>
      </c>
    </row>
    <row r="35" spans="1:6" ht="18" customHeight="1">
      <c r="A35" s="25" t="s">
        <v>94</v>
      </c>
      <c r="B35" s="73">
        <v>137593.97</v>
      </c>
      <c r="C35" s="73">
        <v>137593.97</v>
      </c>
      <c r="D35" s="99"/>
      <c r="E35" s="99"/>
      <c r="F35" s="97">
        <f t="shared" si="0"/>
        <v>0</v>
      </c>
    </row>
    <row r="36" spans="1:6" ht="18" customHeight="1">
      <c r="A36" s="25" t="s">
        <v>95</v>
      </c>
      <c r="B36" s="73">
        <v>27518.79</v>
      </c>
      <c r="C36" s="73">
        <v>27518.79</v>
      </c>
      <c r="D36" s="99"/>
      <c r="E36" s="99"/>
      <c r="F36" s="97">
        <f t="shared" si="0"/>
        <v>0</v>
      </c>
    </row>
    <row r="37" spans="1:6" ht="18" customHeight="1">
      <c r="A37" s="25" t="s">
        <v>96</v>
      </c>
      <c r="B37" s="73">
        <v>4856.26</v>
      </c>
      <c r="C37" s="74">
        <v>4856.26</v>
      </c>
      <c r="D37" s="99"/>
      <c r="E37" s="99"/>
      <c r="F37" s="97">
        <f t="shared" si="0"/>
        <v>0</v>
      </c>
    </row>
    <row r="38" spans="1:6" ht="18" customHeight="1">
      <c r="A38" s="25" t="s">
        <v>97</v>
      </c>
      <c r="B38" s="73">
        <v>3031923.67</v>
      </c>
      <c r="C38" s="73">
        <v>3031923.67</v>
      </c>
      <c r="D38" s="99"/>
      <c r="E38" s="99"/>
      <c r="F38" s="97">
        <f t="shared" si="0"/>
        <v>0</v>
      </c>
    </row>
    <row r="39" spans="1:6" ht="18" customHeight="1">
      <c r="A39" s="25" t="s">
        <v>98</v>
      </c>
      <c r="B39" s="73">
        <v>414400.67</v>
      </c>
      <c r="C39" s="73">
        <v>414400.67</v>
      </c>
      <c r="D39" s="99"/>
      <c r="E39" s="99"/>
      <c r="F39" s="97">
        <f t="shared" si="0"/>
        <v>0</v>
      </c>
    </row>
    <row r="40" spans="1:6" ht="18" customHeight="1">
      <c r="A40" s="25" t="s">
        <v>99</v>
      </c>
      <c r="B40" s="73">
        <v>1265864.55</v>
      </c>
      <c r="C40" s="74">
        <v>1265864.55</v>
      </c>
      <c r="D40" s="99"/>
      <c r="E40" s="99"/>
      <c r="F40" s="97">
        <f t="shared" si="0"/>
        <v>0</v>
      </c>
    </row>
    <row r="41" spans="1:6" ht="18" customHeight="1">
      <c r="A41" s="25" t="s">
        <v>101</v>
      </c>
      <c r="B41" s="73">
        <v>810995.07</v>
      </c>
      <c r="C41" s="73">
        <f>53940+6290+200765.07+550000</f>
        <v>810995.07000000007</v>
      </c>
      <c r="D41" s="99"/>
      <c r="E41" s="99"/>
      <c r="F41" s="97">
        <f t="shared" si="0"/>
        <v>-1.1641532182693481E-10</v>
      </c>
    </row>
    <row r="42" spans="1:6" ht="18" customHeight="1">
      <c r="A42" s="25" t="s">
        <v>102</v>
      </c>
      <c r="B42" s="73">
        <v>853082.63</v>
      </c>
      <c r="C42" s="73">
        <f>13136.63+333082.63+506863</f>
        <v>853082.26</v>
      </c>
      <c r="D42" s="99"/>
      <c r="E42" s="99"/>
      <c r="F42" s="97">
        <f t="shared" si="0"/>
        <v>0.36999999999534339</v>
      </c>
    </row>
    <row r="43" spans="1:6" ht="18" customHeight="1">
      <c r="A43" s="25" t="s">
        <v>103</v>
      </c>
      <c r="B43" s="73">
        <v>113312.68</v>
      </c>
      <c r="C43" s="73">
        <v>113312.68</v>
      </c>
      <c r="D43" s="99"/>
      <c r="E43" s="99"/>
      <c r="F43" s="97">
        <f t="shared" si="0"/>
        <v>0</v>
      </c>
    </row>
    <row r="44" spans="1:6" ht="18" customHeight="1">
      <c r="A44" s="25" t="s">
        <v>104</v>
      </c>
      <c r="B44" s="73">
        <v>1942503.15</v>
      </c>
      <c r="C44" s="99"/>
      <c r="D44" s="99"/>
      <c r="E44" s="99"/>
      <c r="F44" s="97">
        <f t="shared" si="0"/>
        <v>1942503.15</v>
      </c>
    </row>
    <row r="45" spans="1:6" ht="18" customHeight="1">
      <c r="A45" s="23" t="s">
        <v>105</v>
      </c>
      <c r="B45" s="100">
        <v>2023.06</v>
      </c>
      <c r="C45" s="101">
        <v>2023.06</v>
      </c>
      <c r="D45" s="99"/>
      <c r="E45" s="99"/>
      <c r="F45" s="97">
        <f t="shared" si="0"/>
        <v>0</v>
      </c>
    </row>
    <row r="46" spans="1:6" ht="18" customHeight="1">
      <c r="A46" s="23" t="s">
        <v>107</v>
      </c>
      <c r="B46" s="73">
        <v>101981.42</v>
      </c>
      <c r="C46" s="73">
        <v>101981.42</v>
      </c>
      <c r="D46" s="99"/>
      <c r="E46" s="99"/>
      <c r="F46" s="97">
        <f t="shared" si="0"/>
        <v>0</v>
      </c>
    </row>
    <row r="47" spans="1:6" ht="18" customHeight="1">
      <c r="A47" s="25" t="s">
        <v>108</v>
      </c>
      <c r="B47" s="73">
        <v>155400.25</v>
      </c>
      <c r="C47" s="74">
        <v>155400.25</v>
      </c>
      <c r="D47" s="99"/>
      <c r="E47" s="99"/>
      <c r="F47" s="97">
        <f t="shared" si="0"/>
        <v>0</v>
      </c>
    </row>
    <row r="48" spans="1:6" ht="18" customHeight="1">
      <c r="A48" s="25" t="s">
        <v>110</v>
      </c>
      <c r="B48" s="73">
        <v>4804457.8</v>
      </c>
      <c r="C48" s="99">
        <f>4804302.54-565000+155</f>
        <v>4239457.54</v>
      </c>
      <c r="D48" s="99"/>
      <c r="E48" s="99"/>
      <c r="F48" s="97">
        <f t="shared" si="0"/>
        <v>565000.25999999978</v>
      </c>
    </row>
    <row r="49" spans="1:6" ht="18" customHeight="1">
      <c r="A49" s="25" t="s">
        <v>130</v>
      </c>
      <c r="B49" s="73">
        <v>1733684.06</v>
      </c>
      <c r="C49" s="73">
        <v>1733684.06</v>
      </c>
      <c r="D49" s="99"/>
      <c r="E49" s="99"/>
      <c r="F49" s="97">
        <f t="shared" si="0"/>
        <v>0</v>
      </c>
    </row>
    <row r="50" spans="1:6" ht="18" customHeight="1">
      <c r="A50" s="25" t="s">
        <v>112</v>
      </c>
      <c r="B50" s="73">
        <v>1968403.19</v>
      </c>
      <c r="C50" s="73">
        <v>1968403.19</v>
      </c>
      <c r="D50" s="99"/>
      <c r="E50" s="99"/>
      <c r="F50" s="97">
        <f t="shared" si="0"/>
        <v>0</v>
      </c>
    </row>
    <row r="51" spans="1:6" ht="18" customHeight="1">
      <c r="A51" s="25" t="s">
        <v>113</v>
      </c>
      <c r="B51" s="73">
        <v>1619</v>
      </c>
      <c r="C51" s="99"/>
      <c r="D51" s="99"/>
      <c r="E51" s="99"/>
      <c r="F51" s="97">
        <f t="shared" si="0"/>
        <v>1619</v>
      </c>
    </row>
    <row r="52" spans="1:6" ht="18" customHeight="1">
      <c r="A52" s="25" t="s">
        <v>115</v>
      </c>
      <c r="B52" s="73">
        <v>72843.87</v>
      </c>
      <c r="C52" s="99"/>
      <c r="D52" s="99"/>
      <c r="E52" s="99"/>
      <c r="F52" s="97">
        <f t="shared" si="0"/>
        <v>72843.87</v>
      </c>
    </row>
    <row r="53" spans="1:6" ht="18" customHeight="1">
      <c r="A53" s="25" t="s">
        <v>117</v>
      </c>
      <c r="B53" s="73">
        <v>10751754.949999999</v>
      </c>
      <c r="C53" s="73">
        <v>10751754.949999999</v>
      </c>
      <c r="D53" s="99"/>
      <c r="E53" s="73"/>
      <c r="F53" s="97">
        <f t="shared" si="0"/>
        <v>0</v>
      </c>
    </row>
    <row r="54" spans="1:6" ht="18" customHeight="1">
      <c r="A54" s="25" t="s">
        <v>118</v>
      </c>
      <c r="B54" s="73">
        <v>29333333.329999998</v>
      </c>
      <c r="C54" s="99">
        <f>18142783+210137+2388553+4000000-1248140+1946666+1946667+1946667</f>
        <v>29333333</v>
      </c>
      <c r="D54" s="99"/>
      <c r="E54" s="99"/>
      <c r="F54" s="97">
        <f t="shared" si="0"/>
        <v>0.32999999821186066</v>
      </c>
    </row>
    <row r="55" spans="1:6" ht="18" customHeight="1" thickBot="1">
      <c r="A55" s="26" t="s">
        <v>119</v>
      </c>
      <c r="B55" s="73">
        <v>12950.02</v>
      </c>
      <c r="C55" s="104"/>
      <c r="D55" s="105"/>
      <c r="E55" s="106"/>
      <c r="F55" s="97">
        <f t="shared" si="0"/>
        <v>12950.02</v>
      </c>
    </row>
    <row r="56" spans="1:6" ht="18" customHeight="1" thickBot="1">
      <c r="A56" s="30" t="s">
        <v>122</v>
      </c>
      <c r="B56" s="136">
        <f>SUM(B9:B55)</f>
        <v>133344224.98000002</v>
      </c>
      <c r="C56" s="137">
        <f>SUM(C9:C55)</f>
        <v>130078509.38000003</v>
      </c>
      <c r="D56" s="138">
        <f>SUM(D9:D55)</f>
        <v>2814195.04</v>
      </c>
      <c r="E56" s="107">
        <f>SUM(E9:E55)</f>
        <v>0.19999999972060323</v>
      </c>
      <c r="F56" s="107">
        <f>SUM(F9:F55)</f>
        <v>451520.35999999929</v>
      </c>
    </row>
    <row r="57" spans="1:6">
      <c r="A57" s="150"/>
      <c r="B57" s="50"/>
      <c r="C57" s="50"/>
      <c r="D57" s="50"/>
      <c r="E57" s="50"/>
      <c r="F57" s="50"/>
    </row>
    <row r="58" spans="1:6">
      <c r="A58" s="150"/>
      <c r="B58" s="50"/>
      <c r="C58" s="50"/>
      <c r="D58" s="50"/>
      <c r="E58" s="50"/>
      <c r="F58" s="50"/>
    </row>
    <row r="59" spans="1:6">
      <c r="A59" s="150"/>
      <c r="B59" s="50"/>
      <c r="C59" s="50"/>
      <c r="D59" s="50"/>
      <c r="E59" s="50"/>
      <c r="F59" s="50"/>
    </row>
    <row r="60" spans="1:6">
      <c r="A60" s="56"/>
      <c r="B60" s="56"/>
      <c r="C60" s="56"/>
      <c r="D60" s="56"/>
      <c r="E60" s="56"/>
      <c r="F60" s="56"/>
    </row>
    <row r="61" spans="1:6" ht="15" thickBot="1">
      <c r="A61" s="50"/>
      <c r="B61" s="50"/>
      <c r="C61" s="50"/>
      <c r="D61" s="50"/>
      <c r="E61" s="50"/>
      <c r="F61" s="50"/>
    </row>
    <row r="62" spans="1:6" ht="15" thickBot="1">
      <c r="A62" s="42" t="s">
        <v>133</v>
      </c>
      <c r="B62" s="112">
        <f>B12+B13+B15+B18+B20+B25+B32+B34+B41+B44+B46+B47+B51+B52+B55</f>
        <v>4126200.69</v>
      </c>
      <c r="C62" s="112">
        <f>C12+C13+C15+C18+C20+C25+C32+C34+C41+C44+C46+C47+C51+C52+C55</f>
        <v>1964851.2</v>
      </c>
      <c r="D62" s="112">
        <f>D12+D13+D15+D18+D20+D25+D32+D34+D41+D44+D46+D47+D51+D52+D55</f>
        <v>90965</v>
      </c>
      <c r="E62" s="112">
        <f>E12+E13+E15+E18+E20+E25+E32+E34+E41+E44+E46+E47+E51+E52+E55</f>
        <v>0</v>
      </c>
      <c r="F62" s="113">
        <f>B62-C62-D62-E62</f>
        <v>2070384.4900000002</v>
      </c>
    </row>
    <row r="63" spans="1:6">
      <c r="A63" s="56"/>
      <c r="B63" s="56"/>
      <c r="C63" s="56"/>
      <c r="D63" s="56"/>
      <c r="E63" s="56"/>
      <c r="F63" s="56"/>
    </row>
  </sheetData>
  <mergeCells count="4">
    <mergeCell ref="A1:B1"/>
    <mergeCell ref="A5:F5"/>
    <mergeCell ref="A6:F6"/>
    <mergeCell ref="A7:F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63A9-9A4B-4B9F-B9C7-CE924E5368E1}">
  <dimension ref="A1:I62"/>
  <sheetViews>
    <sheetView topLeftCell="A42" workbookViewId="0">
      <selection activeCell="L68" sqref="L68"/>
    </sheetView>
  </sheetViews>
  <sheetFormatPr defaultRowHeight="14.5"/>
  <cols>
    <col min="1" max="1" width="22.26953125" customWidth="1"/>
    <col min="2" max="2" width="17" customWidth="1"/>
    <col min="3" max="3" width="13.7265625" customWidth="1"/>
    <col min="4" max="4" width="16.36328125" customWidth="1"/>
    <col min="5" max="5" width="13.26953125" customWidth="1"/>
    <col min="6" max="6" width="16" customWidth="1"/>
  </cols>
  <sheetData>
    <row r="1" spans="1:7" ht="16.5">
      <c r="A1" s="808" t="str">
        <f>[1]Status!C1</f>
        <v>UNEP/OzL.Pro/ExCom/94/3</v>
      </c>
      <c r="B1" s="808"/>
      <c r="C1" s="808"/>
      <c r="G1" s="161"/>
    </row>
    <row r="2" spans="1:7" ht="16.5">
      <c r="A2" s="162" t="s">
        <v>0</v>
      </c>
      <c r="D2" s="158"/>
      <c r="G2" s="161"/>
    </row>
    <row r="3" spans="1:7" ht="16.5">
      <c r="A3" s="809" t="s">
        <v>172</v>
      </c>
      <c r="B3" s="809"/>
      <c r="D3" s="163"/>
    </row>
    <row r="5" spans="1:7" ht="15">
      <c r="A5" s="810" t="s">
        <v>2</v>
      </c>
      <c r="B5" s="810"/>
      <c r="C5" s="810"/>
      <c r="D5" s="810"/>
      <c r="E5" s="810"/>
      <c r="F5" s="810"/>
    </row>
    <row r="6" spans="1:7">
      <c r="A6" s="811" t="s">
        <v>160</v>
      </c>
      <c r="B6" s="811"/>
      <c r="C6" s="811"/>
      <c r="D6" s="811"/>
      <c r="E6" s="811"/>
      <c r="F6" s="811"/>
    </row>
    <row r="7" spans="1:7" ht="21" customHeight="1" thickBot="1">
      <c r="A7" s="812" t="str">
        <f>[1]Status!A6</f>
        <v>As at 24/05/2024</v>
      </c>
      <c r="B7" s="812"/>
      <c r="C7" s="812"/>
      <c r="D7" s="812"/>
      <c r="E7" s="812"/>
      <c r="F7" s="812"/>
    </row>
    <row r="8" spans="1:7" ht="29.25" customHeight="1" thickBot="1">
      <c r="A8" s="19" t="s">
        <v>59</v>
      </c>
      <c r="B8" s="94" t="s">
        <v>60</v>
      </c>
      <c r="C8" s="94" t="s">
        <v>61</v>
      </c>
      <c r="D8" s="94" t="s">
        <v>62</v>
      </c>
      <c r="E8" s="94" t="s">
        <v>63</v>
      </c>
      <c r="F8" s="95" t="s">
        <v>64</v>
      </c>
    </row>
    <row r="9" spans="1:7" ht="18" customHeight="1" thickBot="1">
      <c r="A9" s="68" t="s">
        <v>124</v>
      </c>
      <c r="B9" s="164">
        <f>'YR2006'!B8+'YR2007'!B8+'YR2008'!B9</f>
        <v>7980429.4199999999</v>
      </c>
      <c r="C9" s="164">
        <f>'YR2006'!C8+'YR2007'!C8+'YR2008'!C9</f>
        <v>7850479.4199999999</v>
      </c>
      <c r="D9" s="164">
        <f>'YR2006'!D8+'YR2007'!D8+'YR2008'!D9</f>
        <v>129950</v>
      </c>
      <c r="E9" s="164">
        <f>'YR2006'!E8+'YR2007'!E8+'YR2008'!E9</f>
        <v>0</v>
      </c>
      <c r="F9" s="165">
        <f t="shared" ref="F9:F55" si="0">B9-C9-D9-E9</f>
        <v>0</v>
      </c>
    </row>
    <row r="10" spans="1:7" ht="18" customHeight="1" thickBot="1">
      <c r="A10" s="25" t="s">
        <v>67</v>
      </c>
      <c r="B10" s="164">
        <f>'YR2006'!B9+'YR2007'!B9+'YR2008'!B10</f>
        <v>4306023.1500000004</v>
      </c>
      <c r="C10" s="164">
        <f>'YR2006'!C9+'YR2007'!C9+'YR2008'!C10</f>
        <v>4306023.1500000004</v>
      </c>
      <c r="D10" s="164">
        <f>'YR2006'!D9+'YR2007'!D9+'YR2008'!D10</f>
        <v>0</v>
      </c>
      <c r="E10" s="164">
        <f>'YR2006'!E9+'YR2007'!E9+'YR2008'!E10</f>
        <v>0</v>
      </c>
      <c r="F10" s="97">
        <f t="shared" si="0"/>
        <v>0</v>
      </c>
    </row>
    <row r="11" spans="1:7" ht="18" customHeight="1" thickBot="1">
      <c r="A11" s="36" t="s">
        <v>68</v>
      </c>
      <c r="B11" s="164">
        <f>'YR2006'!B10+'YR2007'!B10+'YR2008'!B11</f>
        <v>25064.159999999996</v>
      </c>
      <c r="C11" s="164">
        <f>'YR2006'!C10+'YR2007'!C10+'YR2008'!C11</f>
        <v>0</v>
      </c>
      <c r="D11" s="164">
        <f>'YR2006'!D10+'YR2007'!D10+'YR2008'!D11</f>
        <v>0</v>
      </c>
      <c r="E11" s="164">
        <f>'YR2006'!E10+'YR2007'!E10+'YR2008'!E11</f>
        <v>0</v>
      </c>
      <c r="F11" s="97">
        <f t="shared" si="0"/>
        <v>25064.159999999996</v>
      </c>
    </row>
    <row r="12" spans="1:7" ht="18" customHeight="1" thickBot="1">
      <c r="A12" s="25" t="s">
        <v>69</v>
      </c>
      <c r="B12" s="164">
        <f>'YR2006'!B11+'YR2007'!B11+'YR2008'!B12</f>
        <v>90231</v>
      </c>
      <c r="C12" s="164">
        <f>'YR2006'!C11+'YR2007'!C11+'YR2008'!C12</f>
        <v>0</v>
      </c>
      <c r="D12" s="164">
        <f>'YR2006'!D11+'YR2007'!D11+'YR2008'!D12</f>
        <v>0</v>
      </c>
      <c r="E12" s="164">
        <f>'YR2006'!E11+'YR2007'!E11+'YR2008'!E12</f>
        <v>0</v>
      </c>
      <c r="F12" s="97">
        <f t="shared" si="0"/>
        <v>90231</v>
      </c>
    </row>
    <row r="13" spans="1:7" ht="18" customHeight="1" thickBot="1">
      <c r="A13" s="25" t="s">
        <v>70</v>
      </c>
      <c r="B13" s="164">
        <f>'YR2006'!B12+'YR2007'!B12+'YR2008'!B13</f>
        <v>5358717.99</v>
      </c>
      <c r="C13" s="164">
        <f>'YR2006'!C12+'YR2007'!C12+'YR2008'!C13</f>
        <v>5358717.99</v>
      </c>
      <c r="D13" s="164">
        <f>'YR2006'!D12+'YR2007'!D12+'YR2008'!D13</f>
        <v>0</v>
      </c>
      <c r="E13" s="164">
        <f>'YR2006'!E12+'YR2007'!E12+'YR2008'!E13</f>
        <v>0</v>
      </c>
      <c r="F13" s="97">
        <f t="shared" si="0"/>
        <v>0</v>
      </c>
    </row>
    <row r="14" spans="1:7" ht="18" customHeight="1" thickBot="1">
      <c r="A14" s="25" t="s">
        <v>71</v>
      </c>
      <c r="B14" s="164">
        <f>'YR2006'!B13+'YR2007'!B13+'YR2008'!B14</f>
        <v>85218.15</v>
      </c>
      <c r="C14" s="164">
        <f>'YR2006'!C13+'YR2007'!C13+'YR2008'!C14</f>
        <v>85218.15</v>
      </c>
      <c r="D14" s="164">
        <f>'YR2006'!D13+'YR2007'!D13+'YR2008'!D14</f>
        <v>0</v>
      </c>
      <c r="E14" s="164">
        <f>'YR2006'!E13+'YR2007'!E13+'YR2008'!E14</f>
        <v>0</v>
      </c>
      <c r="F14" s="97">
        <f t="shared" si="0"/>
        <v>0</v>
      </c>
    </row>
    <row r="15" spans="1:7" ht="18" customHeight="1" thickBot="1">
      <c r="A15" s="25" t="s">
        <v>125</v>
      </c>
      <c r="B15" s="164">
        <f>'YR2006'!B14+'YR2007'!B14+'YR2008'!B15</f>
        <v>14101097.970000001</v>
      </c>
      <c r="C15" s="164">
        <f>'YR2006'!C14+'YR2007'!C14+'YR2008'!C15</f>
        <v>12495580.719999999</v>
      </c>
      <c r="D15" s="164">
        <f>'YR2006'!D14+'YR2007'!D14+'YR2008'!D15</f>
        <v>1605517</v>
      </c>
      <c r="E15" s="164">
        <f>'YR2006'!E14+'YR2007'!E14+'YR2008'!E15</f>
        <v>0</v>
      </c>
      <c r="F15" s="97">
        <f t="shared" si="0"/>
        <v>0.25000000186264515</v>
      </c>
    </row>
    <row r="16" spans="1:7" ht="18" customHeight="1" thickBot="1">
      <c r="A16" s="25" t="s">
        <v>74</v>
      </c>
      <c r="B16" s="164">
        <f>'YR2006'!B15+'YR2007'!B15+'YR2008'!B16</f>
        <v>195500.46</v>
      </c>
      <c r="C16" s="164">
        <f>'YR2006'!C15+'YR2007'!C15+'YR2008'!C16</f>
        <v>195500.46</v>
      </c>
      <c r="D16" s="164">
        <f>'YR2006'!D15+'YR2007'!D15+'YR2008'!D16</f>
        <v>0</v>
      </c>
      <c r="E16" s="164">
        <f>'YR2006'!E15+'YR2007'!E15+'YR2008'!E16</f>
        <v>0</v>
      </c>
      <c r="F16" s="97">
        <f t="shared" si="0"/>
        <v>0</v>
      </c>
    </row>
    <row r="17" spans="1:9" ht="18" customHeight="1" thickBot="1">
      <c r="A17" s="25" t="s">
        <v>75</v>
      </c>
      <c r="B17" s="164">
        <f>'YR2006'!B16+'YR2007'!B16+'YR2008'!B17</f>
        <v>917348.36999999988</v>
      </c>
      <c r="C17" s="164">
        <f>'YR2006'!C16+'YR2007'!C16+'YR2008'!C17</f>
        <v>917348.36999999988</v>
      </c>
      <c r="D17" s="164">
        <f>'YR2006'!D16+'YR2007'!D16+'YR2008'!D17</f>
        <v>0</v>
      </c>
      <c r="E17" s="164">
        <f>'YR2006'!E16+'YR2007'!E16+'YR2008'!E17</f>
        <v>0</v>
      </c>
      <c r="F17" s="97">
        <f t="shared" si="0"/>
        <v>0</v>
      </c>
    </row>
    <row r="18" spans="1:9" ht="18" customHeight="1" thickBot="1">
      <c r="A18" s="25" t="s">
        <v>76</v>
      </c>
      <c r="B18" s="164">
        <f>'YR2006'!B17+'YR2007'!B17+'YR2008'!B18</f>
        <v>3599213.76</v>
      </c>
      <c r="C18" s="164">
        <f>'YR2006'!C17+'YR2007'!C17+'YR2008'!C18</f>
        <v>3599213.76</v>
      </c>
      <c r="D18" s="164">
        <f>'YR2006'!D17+'YR2007'!D17+'YR2008'!D18</f>
        <v>0</v>
      </c>
      <c r="E18" s="164">
        <f>'YR2006'!E17+'YR2007'!E17+'YR2008'!E18</f>
        <v>0</v>
      </c>
      <c r="F18" s="97">
        <f t="shared" si="0"/>
        <v>0</v>
      </c>
    </row>
    <row r="19" spans="1:9" ht="18" customHeight="1" thickBot="1">
      <c r="A19" s="25" t="s">
        <v>77</v>
      </c>
      <c r="B19" s="164">
        <f>'YR2006'!B18+'YR2007'!B18+'YR2008'!B19</f>
        <v>60153.990000000005</v>
      </c>
      <c r="C19" s="164">
        <f>'YR2006'!C18+'YR2007'!C18+'YR2008'!C19</f>
        <v>60153.990000000005</v>
      </c>
      <c r="D19" s="164">
        <f>'YR2006'!D18+'YR2007'!D18+'YR2008'!D19</f>
        <v>0</v>
      </c>
      <c r="E19" s="164">
        <f>'YR2006'!E18+'YR2007'!E18+'YR2008'!E19</f>
        <v>0</v>
      </c>
      <c r="F19" s="97">
        <f t="shared" si="0"/>
        <v>0</v>
      </c>
    </row>
    <row r="20" spans="1:9" ht="18" customHeight="1" thickBot="1">
      <c r="A20" s="25" t="s">
        <v>78</v>
      </c>
      <c r="B20" s="164">
        <f>'YR2006'!B19+'YR2007'!B19+'YR2008'!B20</f>
        <v>2671839.75</v>
      </c>
      <c r="C20" s="164">
        <f>'YR2006'!C19+'YR2007'!C19+'YR2008'!C20</f>
        <v>2671839.75</v>
      </c>
      <c r="D20" s="164">
        <f>'YR2006'!D19+'YR2007'!D19+'YR2008'!D20</f>
        <v>0</v>
      </c>
      <c r="E20" s="164">
        <f>'YR2006'!E19+'YR2007'!E19+'YR2008'!E20</f>
        <v>0</v>
      </c>
      <c r="F20" s="97">
        <f t="shared" si="0"/>
        <v>0</v>
      </c>
    </row>
    <row r="21" spans="1:9" ht="18" customHeight="1" thickBot="1">
      <c r="A21" s="25" t="s">
        <v>126</v>
      </c>
      <c r="B21" s="164">
        <f>'YR2006'!B20+'YR2007'!B20+'YR2008'!B21</f>
        <v>30227380.289999999</v>
      </c>
      <c r="C21" s="164">
        <f>'YR2006'!C20+'YR2007'!C20+'YR2008'!C21</f>
        <v>27935225.859999999</v>
      </c>
      <c r="D21" s="164">
        <f>'YR2006'!D20+'YR2007'!D20+'YR2008'!D21</f>
        <v>2200829</v>
      </c>
      <c r="E21" s="164">
        <f>'YR2006'!E20+'YR2007'!E20+'YR2008'!E21</f>
        <v>0</v>
      </c>
      <c r="F21" s="97">
        <f t="shared" si="0"/>
        <v>91325.429999999702</v>
      </c>
    </row>
    <row r="22" spans="1:9" ht="18" customHeight="1" thickBot="1">
      <c r="A22" s="25" t="s">
        <v>161</v>
      </c>
      <c r="B22" s="164">
        <f>'YR2006'!B21+'YR2007'!B21+'YR2008'!B22</f>
        <v>43421155.560000002</v>
      </c>
      <c r="C22" s="164">
        <f>'YR2006'!C21+'YR2007'!C21+'YR2008'!C22</f>
        <v>34578521.890000001</v>
      </c>
      <c r="D22" s="164">
        <f>'YR2006'!D21+'YR2007'!D21+'YR2008'!D22</f>
        <v>8901757</v>
      </c>
      <c r="E22" s="164">
        <f>'YR2006'!E21+'YR2007'!E21+'YR2008'!E22-1</f>
        <v>-0.44000000040978193</v>
      </c>
      <c r="F22" s="97">
        <f t="shared" si="0"/>
        <v>-59122.889999997802</v>
      </c>
    </row>
    <row r="23" spans="1:9" ht="18" customHeight="1" thickBot="1">
      <c r="A23" s="25" t="s">
        <v>81</v>
      </c>
      <c r="B23" s="164">
        <f>'YR2006'!B22+'YR2007'!B22+'YR2008'!B23</f>
        <v>2656801.2600000002</v>
      </c>
      <c r="C23" s="164">
        <f>'YR2006'!C22+'YR2007'!C22+'YR2008'!C23</f>
        <v>1527311.3599999999</v>
      </c>
      <c r="D23" s="164">
        <f>'YR2006'!D22+'YR2007'!D22+'YR2008'!D23</f>
        <v>0</v>
      </c>
      <c r="E23" s="164">
        <f>'YR2006'!E22+'YR2007'!E22+'YR2008'!E23</f>
        <v>0</v>
      </c>
      <c r="F23" s="97">
        <f t="shared" si="0"/>
        <v>1129489.9000000004</v>
      </c>
    </row>
    <row r="24" spans="1:9" ht="18" customHeight="1" thickBot="1">
      <c r="A24" s="25" t="s">
        <v>83</v>
      </c>
      <c r="B24" s="164">
        <f>'YR2006'!B23+'YR2007'!B23+'YR2008'!B24</f>
        <v>631616.91</v>
      </c>
      <c r="C24" s="164">
        <f>'YR2006'!C23+'YR2007'!C23+'YR2008'!C24</f>
        <v>631616.91</v>
      </c>
      <c r="D24" s="164">
        <f>'YR2006'!D23+'YR2007'!D23+'YR2008'!D24</f>
        <v>0</v>
      </c>
      <c r="E24" s="164">
        <f>'YR2006'!E23+'YR2007'!E23+'YR2008'!E24</f>
        <v>0</v>
      </c>
      <c r="F24" s="97">
        <f t="shared" si="0"/>
        <v>0</v>
      </c>
    </row>
    <row r="25" spans="1:9" ht="18" customHeight="1" thickBot="1">
      <c r="A25" s="25" t="s">
        <v>84</v>
      </c>
      <c r="B25" s="164">
        <f>'YR2006'!B24+'YR2007'!B24+'YR2008'!B25</f>
        <v>170436.3</v>
      </c>
      <c r="C25" s="164">
        <f>'YR2006'!C24+'YR2007'!C24+'YR2008'!C25</f>
        <v>170436.3</v>
      </c>
      <c r="D25" s="164">
        <f>'YR2006'!D24+'YR2007'!D24+'YR2008'!D25</f>
        <v>0</v>
      </c>
      <c r="E25" s="164">
        <f>'YR2006'!E24+'YR2007'!E24+'YR2008'!E25</f>
        <v>0</v>
      </c>
      <c r="F25" s="97">
        <f t="shared" si="0"/>
        <v>0</v>
      </c>
    </row>
    <row r="26" spans="1:9" ht="18" customHeight="1" thickBot="1">
      <c r="A26" s="25" t="s">
        <v>128</v>
      </c>
      <c r="B26" s="164">
        <f>'YR2006'!B25+'YR2007'!B25+'YR2008'!B26</f>
        <v>1754491.38</v>
      </c>
      <c r="C26" s="164">
        <f>'YR2006'!C25+'YR2007'!C25+'YR2008'!C26</f>
        <v>1754491.38</v>
      </c>
      <c r="D26" s="164">
        <f>'YR2006'!D25+'YR2007'!D25+'YR2008'!D26</f>
        <v>0</v>
      </c>
      <c r="E26" s="164">
        <f>'YR2006'!E25+'YR2007'!E25+'YR2008'!E26</f>
        <v>0</v>
      </c>
      <c r="F26" s="97">
        <f t="shared" si="0"/>
        <v>0</v>
      </c>
    </row>
    <row r="27" spans="1:9" ht="18" customHeight="1" thickBot="1">
      <c r="A27" s="25" t="s">
        <v>86</v>
      </c>
      <c r="B27" s="164">
        <f>'YR2006'!B26+'YR2007'!B26+'YR2008'!B27</f>
        <v>2340992.79</v>
      </c>
      <c r="C27" s="164">
        <f>'YR2006'!C26+'YR2007'!C26+'YR2008'!C27</f>
        <v>0</v>
      </c>
      <c r="D27" s="99">
        <v>32347</v>
      </c>
      <c r="E27" s="99">
        <v>0</v>
      </c>
      <c r="F27" s="97">
        <f t="shared" si="0"/>
        <v>2308645.79</v>
      </c>
    </row>
    <row r="28" spans="1:9" ht="18" customHeight="1" thickBot="1">
      <c r="A28" s="25" t="s">
        <v>87</v>
      </c>
      <c r="B28" s="164">
        <f>'YR2006'!B27+'YR2007'!B27+'YR2008'!B28</f>
        <v>24487687.02</v>
      </c>
      <c r="C28" s="164">
        <f>'YR2006'!C27+'YR2007'!C27+'YR2008'!C28</f>
        <v>19807792.410000004</v>
      </c>
      <c r="D28" s="164">
        <f>'YR2006'!D27+'YR2007'!D27+'YR2008'!D28</f>
        <v>4679895.0600000005</v>
      </c>
      <c r="E28" s="164">
        <f>'YR2006'!E27+'YR2007'!E27+'YR2008'!E28</f>
        <v>0</v>
      </c>
      <c r="F28" s="97">
        <f t="shared" si="0"/>
        <v>-0.45000000484287739</v>
      </c>
    </row>
    <row r="29" spans="1:9" ht="18" customHeight="1" thickBot="1">
      <c r="A29" s="25" t="s">
        <v>129</v>
      </c>
      <c r="B29" s="164">
        <f>'YR2006'!B28+'YR2007'!B28+'YR2008'!B29</f>
        <v>88088000.010000005</v>
      </c>
      <c r="C29" s="164">
        <f>'YR2006'!C28+'YR2007'!C28+'YR2008'!C29</f>
        <v>87201010.010000005</v>
      </c>
      <c r="D29" s="164">
        <f>'YR2006'!D28+'YR2007'!D28+'YR2008'!D29</f>
        <v>886990</v>
      </c>
      <c r="E29" s="164">
        <f>'YR2006'!E28+'YR2007'!E28+'YR2008'!E29</f>
        <v>0</v>
      </c>
      <c r="F29" s="97">
        <f t="shared" si="0"/>
        <v>0</v>
      </c>
    </row>
    <row r="30" spans="1:9" ht="15" thickBot="1">
      <c r="A30" s="25" t="s">
        <v>89</v>
      </c>
      <c r="B30" s="164">
        <f>'YR2006'!B29+'YR2007'!B29+'YR2008'!B30</f>
        <v>0</v>
      </c>
      <c r="C30" s="164">
        <f>'YR2006'!C29+'YR2007'!C29+'YR2008'!C30</f>
        <v>0</v>
      </c>
      <c r="D30" s="164">
        <f>'YR2006'!D29+'YR2007'!D29+'YR2008'!D30</f>
        <v>0</v>
      </c>
      <c r="E30" s="164">
        <f>'YR2006'!E29+'YR2007'!E29+'YR2008'!E30</f>
        <v>0</v>
      </c>
      <c r="F30" s="97">
        <f t="shared" si="0"/>
        <v>0</v>
      </c>
      <c r="H30" s="52"/>
      <c r="I30" s="52"/>
    </row>
    <row r="31" spans="1:9" ht="18" customHeight="1" thickBot="1">
      <c r="A31" s="25" t="s">
        <v>91</v>
      </c>
      <c r="B31" s="164">
        <f>'YR2006'!B30+'YR2007'!B30+'YR2008'!B31</f>
        <v>75192.479999999996</v>
      </c>
      <c r="C31" s="164">
        <f>'YR2006'!C30+'YR2007'!C30+'YR2008'!C31</f>
        <v>75192.479999999996</v>
      </c>
      <c r="D31" s="164">
        <f>'YR2006'!D30+'YR2007'!D30+'YR2008'!D31</f>
        <v>0</v>
      </c>
      <c r="E31" s="164">
        <f>'YR2006'!E30+'YR2007'!E30+'YR2008'!E31</f>
        <v>0</v>
      </c>
      <c r="F31" s="97">
        <f t="shared" si="0"/>
        <v>0</v>
      </c>
    </row>
    <row r="32" spans="1:9" ht="18" customHeight="1" thickBot="1">
      <c r="A32" s="25" t="s">
        <v>92</v>
      </c>
      <c r="B32" s="164">
        <f>'YR2006'!B31+'YR2007'!B31+'YR2008'!B32</f>
        <v>25064.159999999996</v>
      </c>
      <c r="C32" s="164">
        <f>'YR2006'!C31+'YR2007'!C31+'YR2008'!C32</f>
        <v>25064.159999999996</v>
      </c>
      <c r="D32" s="164">
        <f>'YR2006'!D31+'YR2007'!D31+'YR2008'!D32</f>
        <v>0</v>
      </c>
      <c r="E32" s="164">
        <f>'YR2006'!E31+'YR2007'!E31+'YR2008'!E32</f>
        <v>0</v>
      </c>
      <c r="F32" s="97">
        <f t="shared" si="0"/>
        <v>0</v>
      </c>
    </row>
    <row r="33" spans="1:6" ht="18" customHeight="1" thickBot="1">
      <c r="A33" s="25" t="s">
        <v>93</v>
      </c>
      <c r="B33" s="164">
        <f>'YR2006'!B32+'YR2007'!B32+'YR2008'!B33</f>
        <v>120307.98000000001</v>
      </c>
      <c r="C33" s="164">
        <f>'YR2006'!C32+'YR2007'!C32+'YR2008'!C33</f>
        <v>80205.759999999995</v>
      </c>
      <c r="D33" s="164">
        <f>'YR2006'!D32+'YR2007'!D32+'YR2008'!D33</f>
        <v>0</v>
      </c>
      <c r="E33" s="164">
        <f>'YR2006'!E32+'YR2007'!E32+'YR2008'!E33</f>
        <v>0</v>
      </c>
      <c r="F33" s="97">
        <f t="shared" si="0"/>
        <v>40102.220000000016</v>
      </c>
    </row>
    <row r="34" spans="1:6" ht="18" customHeight="1" thickBot="1">
      <c r="A34" s="25" t="s">
        <v>94</v>
      </c>
      <c r="B34" s="164">
        <f>'YR2006'!B33+'YR2007'!B33+'YR2008'!B34</f>
        <v>385988.1</v>
      </c>
      <c r="C34" s="164">
        <f>'YR2006'!C33+'YR2007'!C33+'YR2008'!C34</f>
        <v>385988.1</v>
      </c>
      <c r="D34" s="164">
        <f>'YR2006'!D33+'YR2007'!D33+'YR2008'!D34</f>
        <v>0</v>
      </c>
      <c r="E34" s="164">
        <f>'YR2006'!E33+'YR2007'!E33+'YR2008'!E34</f>
        <v>0</v>
      </c>
      <c r="F34" s="97">
        <f t="shared" si="0"/>
        <v>0</v>
      </c>
    </row>
    <row r="35" spans="1:6" ht="18" customHeight="1" thickBot="1">
      <c r="A35" s="25" t="s">
        <v>95</v>
      </c>
      <c r="B35" s="164">
        <f>'YR2006'!B34+'YR2007'!B34+'YR2008'!B35</f>
        <v>70179.66</v>
      </c>
      <c r="C35" s="164">
        <f>'YR2006'!C34+'YR2007'!C34+'YR2008'!C35</f>
        <v>70179.66</v>
      </c>
      <c r="D35" s="164">
        <f>'YR2006'!D34+'YR2007'!D34+'YR2008'!D35</f>
        <v>0</v>
      </c>
      <c r="E35" s="164">
        <f>'YR2006'!E34+'YR2007'!E34+'YR2008'!E35</f>
        <v>0</v>
      </c>
      <c r="F35" s="97">
        <f t="shared" si="0"/>
        <v>0</v>
      </c>
    </row>
    <row r="36" spans="1:6" ht="18" customHeight="1" thickBot="1">
      <c r="A36" s="25" t="s">
        <v>96</v>
      </c>
      <c r="B36" s="164">
        <f>'YR2006'!B35+'YR2007'!B35+'YR2008'!B36</f>
        <v>15038.49</v>
      </c>
      <c r="C36" s="164">
        <f>'YR2006'!C35+'YR2007'!C35+'YR2008'!C36</f>
        <v>15038.49</v>
      </c>
      <c r="D36" s="164">
        <f>'YR2006'!D35+'YR2007'!D35+'YR2008'!D36</f>
        <v>0</v>
      </c>
      <c r="E36" s="164">
        <f>'YR2006'!E35+'YR2007'!E35+'YR2008'!E36</f>
        <v>0</v>
      </c>
      <c r="F36" s="97">
        <f t="shared" si="0"/>
        <v>0</v>
      </c>
    </row>
    <row r="37" spans="1:6" ht="18" customHeight="1" thickBot="1">
      <c r="A37" s="25" t="s">
        <v>97</v>
      </c>
      <c r="B37" s="164">
        <f>'YR2006'!B36+'YR2007'!B36+'YR2008'!B37</f>
        <v>8471687.0099999998</v>
      </c>
      <c r="C37" s="164">
        <f>'YR2006'!C36+'YR2007'!C36+'YR2008'!C37</f>
        <v>8471687.0099999998</v>
      </c>
      <c r="D37" s="164">
        <f>'YR2006'!D36+'YR2007'!D36+'YR2008'!D37</f>
        <v>0</v>
      </c>
      <c r="E37" s="164">
        <f>'YR2006'!E36+'YR2007'!E36+'YR2008'!E37</f>
        <v>0</v>
      </c>
      <c r="F37" s="97">
        <f t="shared" si="0"/>
        <v>0</v>
      </c>
    </row>
    <row r="38" spans="1:6" ht="18" customHeight="1" thickBot="1">
      <c r="A38" s="25" t="s">
        <v>98</v>
      </c>
      <c r="B38" s="164">
        <f>'YR2006'!B37+'YR2007'!B37+'YR2008'!B38</f>
        <v>1107835.98</v>
      </c>
      <c r="C38" s="164">
        <f>'YR2006'!C37+'YR2007'!C37+'YR2008'!C38</f>
        <v>1107835.98</v>
      </c>
      <c r="D38" s="164">
        <f>'YR2006'!D37+'YR2007'!D37+'YR2008'!D38</f>
        <v>0</v>
      </c>
      <c r="E38" s="164">
        <f>'YR2006'!E37+'YR2007'!E37+'YR2008'!E38</f>
        <v>0</v>
      </c>
      <c r="F38" s="97">
        <f t="shared" si="0"/>
        <v>0</v>
      </c>
    </row>
    <row r="39" spans="1:6" ht="18" customHeight="1" thickBot="1">
      <c r="A39" s="25" t="s">
        <v>99</v>
      </c>
      <c r="B39" s="164">
        <f>'YR2006'!B38+'YR2007'!B38+'YR2008'!B39</f>
        <v>3403713.3000000003</v>
      </c>
      <c r="C39" s="164">
        <f>'YR2006'!C38+'YR2007'!C38+'YR2008'!C39</f>
        <v>3403713.3000000003</v>
      </c>
      <c r="D39" s="164">
        <f>'YR2006'!D38+'YR2007'!D38+'YR2008'!D39</f>
        <v>0</v>
      </c>
      <c r="E39" s="164">
        <f>'YR2006'!E38+'YR2007'!E38+'YR2008'!E39</f>
        <v>0</v>
      </c>
      <c r="F39" s="97">
        <f t="shared" si="0"/>
        <v>0</v>
      </c>
    </row>
    <row r="40" spans="1:6" ht="18" customHeight="1" thickBot="1">
      <c r="A40" s="25" t="s">
        <v>101</v>
      </c>
      <c r="B40" s="164">
        <f>'YR2006'!B39+'YR2007'!B39+'YR2008'!B40</f>
        <v>2310915.81</v>
      </c>
      <c r="C40" s="164">
        <f>'YR2006'!C39+'YR2007'!C39+'YR2008'!C40</f>
        <v>2310915.54</v>
      </c>
      <c r="D40" s="164">
        <f>'YR2006'!D39+'YR2007'!D39+'YR2008'!D40</f>
        <v>0</v>
      </c>
      <c r="E40" s="164">
        <f>'YR2006'!E39+'YR2007'!E39+'YR2008'!E40</f>
        <v>0</v>
      </c>
      <c r="F40" s="97">
        <f t="shared" si="0"/>
        <v>0.27000000001862645</v>
      </c>
    </row>
    <row r="41" spans="1:6" ht="18" customHeight="1" thickBot="1">
      <c r="A41" s="25" t="s">
        <v>102</v>
      </c>
      <c r="B41" s="164">
        <f>'YR2006'!B40+'YR2007'!B40+'YR2008'!B41</f>
        <v>2356031.31</v>
      </c>
      <c r="C41" s="164">
        <f>'YR2006'!C40+'YR2007'!C40+'YR2008'!C41</f>
        <v>2356031.04</v>
      </c>
      <c r="D41" s="164">
        <f>'YR2006'!D40+'YR2007'!D40+'YR2008'!D41</f>
        <v>0</v>
      </c>
      <c r="E41" s="164">
        <f>'YR2006'!E40+'YR2007'!E40+'YR2008'!E41</f>
        <v>0</v>
      </c>
      <c r="F41" s="97">
        <f t="shared" si="0"/>
        <v>0.27000000001862645</v>
      </c>
    </row>
    <row r="42" spans="1:6" ht="18" customHeight="1" thickBot="1">
      <c r="A42" s="25" t="s">
        <v>103</v>
      </c>
      <c r="B42" s="164">
        <f>'YR2006'!B41+'YR2007'!B41+'YR2008'!B42</f>
        <v>100122.35</v>
      </c>
      <c r="C42" s="164">
        <f>'YR2006'!C41+'YR2007'!C41+'YR2008'!C42</f>
        <v>100122.35</v>
      </c>
      <c r="D42" s="164">
        <f>'YR2006'!D41+'YR2007'!D41+'YR2008'!D42</f>
        <v>0</v>
      </c>
      <c r="E42" s="164">
        <f>'YR2006'!E41+'YR2007'!E41+'YR2008'!E42</f>
        <v>0</v>
      </c>
      <c r="F42" s="97">
        <f t="shared" si="0"/>
        <v>0</v>
      </c>
    </row>
    <row r="43" spans="1:6" ht="18" customHeight="1" thickBot="1">
      <c r="A43" s="25" t="s">
        <v>104</v>
      </c>
      <c r="B43" s="164">
        <f>'YR2006'!B42+'YR2007'!B42+'YR2008'!B43</f>
        <v>5514115.8000000007</v>
      </c>
      <c r="C43" s="164">
        <f>'YR2006'!C42+'YR2007'!C42+'YR2008'!C43</f>
        <v>0</v>
      </c>
      <c r="D43" s="164">
        <f>'YR2006'!D42+'YR2007'!D42+'YR2008'!D43</f>
        <v>0</v>
      </c>
      <c r="E43" s="164">
        <f>'YR2006'!E42+'YR2007'!E42+'YR2008'!E43</f>
        <v>0</v>
      </c>
      <c r="F43" s="97">
        <f t="shared" si="0"/>
        <v>5514115.8000000007</v>
      </c>
    </row>
    <row r="44" spans="1:6" ht="18" customHeight="1" thickBot="1">
      <c r="A44" s="25" t="s">
        <v>107</v>
      </c>
      <c r="B44" s="164">
        <f>'YR2006'!B43+'YR2007'!B43+'YR2008'!B44</f>
        <v>255654.44999999998</v>
      </c>
      <c r="C44" s="164">
        <f>'YR2006'!C43+'YR2007'!C43+'YR2008'!C44</f>
        <v>255654.44999999998</v>
      </c>
      <c r="D44" s="164">
        <f>'YR2006'!D43+'YR2007'!D43+'YR2008'!D44</f>
        <v>0</v>
      </c>
      <c r="E44" s="164">
        <f>'YR2006'!E43+'YR2007'!E43+'YR2008'!E44</f>
        <v>0</v>
      </c>
      <c r="F44" s="97">
        <f t="shared" si="0"/>
        <v>0</v>
      </c>
    </row>
    <row r="45" spans="1:6" ht="18" customHeight="1" thickBot="1">
      <c r="A45" s="25" t="s">
        <v>108</v>
      </c>
      <c r="B45" s="164">
        <f>'YR2006'!B44+'YR2007'!B44+'YR2008'!B45</f>
        <v>411052.26</v>
      </c>
      <c r="C45" s="164">
        <f>'YR2006'!C44+'YR2007'!C44+'YR2008'!C45</f>
        <v>411052.26</v>
      </c>
      <c r="D45" s="164">
        <f>'YR2006'!D44+'YR2007'!D44+'YR2008'!D45</f>
        <v>0</v>
      </c>
      <c r="E45" s="164">
        <f>'YR2006'!E44+'YR2007'!E44+'YR2008'!E45</f>
        <v>0</v>
      </c>
      <c r="F45" s="97">
        <f t="shared" si="0"/>
        <v>0</v>
      </c>
    </row>
    <row r="46" spans="1:6" ht="18" customHeight="1" thickBot="1">
      <c r="A46" s="25" t="s">
        <v>110</v>
      </c>
      <c r="B46" s="164">
        <f>'YR2006'!B45+'YR2007'!B45+'YR2008'!B46</f>
        <v>12632338.02</v>
      </c>
      <c r="C46" s="164">
        <f>'YR2006'!C45+'YR2007'!C45+'YR2008'!C46</f>
        <v>12474061.02</v>
      </c>
      <c r="D46" s="164">
        <f>'YR2006'!D45+'YR2007'!D45+'YR2008'!D46</f>
        <v>727677</v>
      </c>
      <c r="E46" s="164">
        <f>'YR2006'!E45+'YR2007'!E45+'YR2008'!E46</f>
        <v>0</v>
      </c>
      <c r="F46" s="97">
        <f t="shared" si="0"/>
        <v>-569400</v>
      </c>
    </row>
    <row r="47" spans="1:6" ht="18" customHeight="1" thickBot="1">
      <c r="A47" s="25" t="s">
        <v>130</v>
      </c>
      <c r="B47" s="164">
        <f>'YR2006'!B46+'YR2007'!B46+'YR2008'!B47</f>
        <v>5002806.9000000004</v>
      </c>
      <c r="C47" s="164">
        <f>'YR2006'!C46+'YR2007'!C46+'YR2008'!C47</f>
        <v>5002806.9000000004</v>
      </c>
      <c r="D47" s="164">
        <f>'YR2006'!D46+'YR2007'!D46+'YR2008'!D47</f>
        <v>0</v>
      </c>
      <c r="E47" s="164">
        <f>'YR2006'!E46+'YR2007'!E46+'YR2008'!E47</f>
        <v>0</v>
      </c>
      <c r="F47" s="97">
        <f t="shared" si="0"/>
        <v>0</v>
      </c>
    </row>
    <row r="48" spans="1:6" ht="18" customHeight="1" thickBot="1">
      <c r="A48" s="25" t="s">
        <v>112</v>
      </c>
      <c r="B48" s="164">
        <f>'YR2006'!B47+'YR2007'!B47+'YR2008'!B48</f>
        <v>6000360.5700000003</v>
      </c>
      <c r="C48" s="164">
        <f>'YR2006'!C47+'YR2007'!C47+'YR2008'!C48</f>
        <v>5203788.57</v>
      </c>
      <c r="D48" s="164">
        <f>'YR2006'!D47+'YR2007'!D47+'YR2008'!D48</f>
        <v>506557</v>
      </c>
      <c r="E48" s="164">
        <f>'YR2006'!E47+'YR2007'!E47+'YR2008'!E48</f>
        <v>0</v>
      </c>
      <c r="F48" s="97">
        <f t="shared" si="0"/>
        <v>290015</v>
      </c>
    </row>
    <row r="49" spans="1:6" ht="18" customHeight="1" thickBot="1">
      <c r="A49" s="25" t="s">
        <v>113</v>
      </c>
      <c r="B49" s="164">
        <f>'YR2006'!B48+'YR2007'!B48+'YR2008'!B49</f>
        <v>5012.82</v>
      </c>
      <c r="C49" s="164">
        <f>'YR2006'!C48+'YR2007'!C48+'YR2008'!C49</f>
        <v>0</v>
      </c>
      <c r="D49" s="164">
        <f>'YR2006'!D48+'YR2007'!D48+'YR2008'!D49</f>
        <v>0</v>
      </c>
      <c r="E49" s="164">
        <f>'YR2006'!E48+'YR2007'!E48+'YR2008'!E49</f>
        <v>0</v>
      </c>
      <c r="F49" s="97">
        <f t="shared" si="0"/>
        <v>5012.82</v>
      </c>
    </row>
    <row r="50" spans="1:6" ht="18" customHeight="1" thickBot="1">
      <c r="A50" s="25" t="s">
        <v>115</v>
      </c>
      <c r="B50" s="164">
        <f>'YR2006'!B49+'YR2007'!B49+'YR2008'!B50</f>
        <v>195500.46</v>
      </c>
      <c r="C50" s="164">
        <f>'YR2006'!C49+'YR2007'!C49+'YR2008'!C50</f>
        <v>0</v>
      </c>
      <c r="D50" s="164">
        <f>'YR2006'!D49+'YR2007'!D49+'YR2008'!D50</f>
        <v>0</v>
      </c>
      <c r="E50" s="164">
        <f>'YR2006'!E49+'YR2007'!E49+'YR2008'!E50</f>
        <v>0</v>
      </c>
      <c r="F50" s="97">
        <f t="shared" si="0"/>
        <v>195500.46</v>
      </c>
    </row>
    <row r="51" spans="1:6" ht="18" customHeight="1" thickBot="1">
      <c r="A51" s="25" t="s">
        <v>117</v>
      </c>
      <c r="B51" s="164">
        <f>'YR2006'!B50+'YR2007'!B50+'YR2008'!B51</f>
        <v>30713625.030000001</v>
      </c>
      <c r="C51" s="164">
        <f>'YR2006'!C50+'YR2007'!C50+'YR2008'!C51</f>
        <v>30713625.030000001</v>
      </c>
      <c r="D51" s="164">
        <f>'YR2006'!D50+'YR2007'!D50+'YR2008'!D51</f>
        <v>0</v>
      </c>
      <c r="E51" s="164">
        <f>'YR2006'!E50+'YR2007'!E50+'YR2008'!E51</f>
        <v>0</v>
      </c>
      <c r="F51" s="97">
        <f t="shared" si="0"/>
        <v>0</v>
      </c>
    </row>
    <row r="52" spans="1:6" ht="18" customHeight="1" thickBot="1">
      <c r="A52" s="25" t="s">
        <v>162</v>
      </c>
      <c r="B52" s="164">
        <f>'YR2006'!B51+'YR2007'!B51+'YR2008'!B52</f>
        <v>55616358.010000005</v>
      </c>
      <c r="C52" s="164">
        <f>'YR2006'!C51+'YR2007'!C51+'YR2008'!C52</f>
        <v>55616359</v>
      </c>
      <c r="D52" s="164">
        <f>'YR2006'!D51+'YR2007'!D51+'YR2008'!D52</f>
        <v>0</v>
      </c>
      <c r="E52" s="164">
        <f>'YR2006'!E51+'YR2007'!E51+'YR2008'!E52</f>
        <v>0</v>
      </c>
      <c r="F52" s="97">
        <f t="shared" si="0"/>
        <v>-0.98999999463558197</v>
      </c>
    </row>
    <row r="53" spans="1:6" ht="18" customHeight="1" thickBot="1">
      <c r="A53" s="166" t="s">
        <v>119</v>
      </c>
      <c r="B53" s="164">
        <f>'YR2006'!B52+'YR2007'!B52+'YR2008'!B53</f>
        <v>70179.66</v>
      </c>
      <c r="C53" s="164">
        <f>'YR2006'!C52+'YR2007'!C52+'YR2008'!C53</f>
        <v>0</v>
      </c>
      <c r="D53" s="164">
        <f>'YR2006'!D52+'YR2007'!D52+'YR2008'!D53</f>
        <v>0</v>
      </c>
      <c r="E53" s="164">
        <f>'YR2006'!E52+'YR2007'!E52+'YR2008'!E53</f>
        <v>0</v>
      </c>
      <c r="F53" s="167">
        <f t="shared" si="0"/>
        <v>70179.66</v>
      </c>
    </row>
    <row r="54" spans="1:6" ht="15" thickBot="1">
      <c r="A54" s="30" t="s">
        <v>120</v>
      </c>
      <c r="B54" s="28">
        <f>SUM(B9:B53)</f>
        <v>368028480.29999989</v>
      </c>
      <c r="C54" s="107">
        <f>SUM(C9:C53)</f>
        <v>339225802.9799999</v>
      </c>
      <c r="D54" s="107">
        <f>SUM(D9:D53)</f>
        <v>19671519.060000002</v>
      </c>
      <c r="E54" s="107">
        <f>SUM(E9:E53)</f>
        <v>-0.44000000040978193</v>
      </c>
      <c r="F54" s="108">
        <f>SUM(F9:F53)</f>
        <v>9131158.7000000067</v>
      </c>
    </row>
    <row r="55" spans="1:6" ht="16" thickBot="1">
      <c r="A55" s="168" t="s">
        <v>163</v>
      </c>
      <c r="B55" s="169">
        <f>'YR2007'!B54+'YR2008'!B55</f>
        <v>32471642</v>
      </c>
      <c r="C55" s="107">
        <v>0</v>
      </c>
      <c r="D55" s="107">
        <v>0</v>
      </c>
      <c r="E55" s="107">
        <v>0</v>
      </c>
      <c r="F55" s="97">
        <f t="shared" si="0"/>
        <v>32471642</v>
      </c>
    </row>
    <row r="56" spans="1:6" ht="15" thickBot="1">
      <c r="A56" s="30" t="s">
        <v>122</v>
      </c>
      <c r="B56" s="28">
        <f>B54+B55</f>
        <v>400500122.29999989</v>
      </c>
      <c r="C56" s="28">
        <f>C54+C55</f>
        <v>339225802.9799999</v>
      </c>
      <c r="D56" s="28">
        <f>D54+D55</f>
        <v>19671519.060000002</v>
      </c>
      <c r="E56" s="28">
        <f>E54+E55</f>
        <v>-0.44000000040978193</v>
      </c>
      <c r="F56" s="28">
        <f>F54+F55</f>
        <v>41602800.700000003</v>
      </c>
    </row>
    <row r="57" spans="1:6">
      <c r="A57" s="806" t="s">
        <v>164</v>
      </c>
      <c r="B57" s="806"/>
      <c r="C57" s="806"/>
      <c r="D57" s="806"/>
      <c r="E57" s="806"/>
      <c r="F57" s="806"/>
    </row>
    <row r="58" spans="1:6">
      <c r="A58" s="807"/>
      <c r="B58" s="807"/>
      <c r="C58" s="807"/>
      <c r="D58" s="807"/>
      <c r="E58" s="807"/>
      <c r="F58" s="807"/>
    </row>
    <row r="59" spans="1:6">
      <c r="A59" s="33" t="s">
        <v>165</v>
      </c>
      <c r="B59" s="170"/>
      <c r="C59" s="171"/>
      <c r="D59" s="171"/>
      <c r="E59" s="171"/>
      <c r="F59" s="171"/>
    </row>
    <row r="60" spans="1:6">
      <c r="A60" s="172"/>
      <c r="B60" s="173"/>
      <c r="C60" s="174"/>
      <c r="D60" s="174"/>
      <c r="E60" s="174"/>
      <c r="F60" s="174"/>
    </row>
    <row r="61" spans="1:6" ht="15" thickBot="1"/>
    <row r="62" spans="1:6" ht="15" thickBot="1">
      <c r="A62" s="42" t="s">
        <v>133</v>
      </c>
      <c r="B62" s="112">
        <f>B11+B12+B14+B17+B19+B24+B31+B33+B40+B43+B44+B45+B49+B50+B53</f>
        <v>10767564.300000001</v>
      </c>
      <c r="C62" s="112">
        <f>C11+C12+C14+C17+C19+C24+C31+C33+C40+C43+C44+C45+C49+C50+C53</f>
        <v>4827357.91</v>
      </c>
      <c r="D62" s="112">
        <f>D11+D12+D14+D17+D19+D24+D31+D33+D40+D43+D44+D45+D49+D50+D53</f>
        <v>0</v>
      </c>
      <c r="E62" s="112">
        <f>E11+E12+E14+E17+E19+E24+E31+E33+E40+E43+E44+E45+E49+E50+E53</f>
        <v>0</v>
      </c>
      <c r="F62" s="112">
        <f>F11+F12+F14+F17+F19+F24+F31+F33+F40+F43+F44+F45+F49+F50+F53</f>
        <v>5940206.3900000015</v>
      </c>
    </row>
  </sheetData>
  <mergeCells count="6">
    <mergeCell ref="A57:F58"/>
    <mergeCell ref="A1:C1"/>
    <mergeCell ref="A3:B3"/>
    <mergeCell ref="A5:F5"/>
    <mergeCell ref="A6:F6"/>
    <mergeCell ref="A7:F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5DFA-AF8D-4AAC-A215-CBB3CE33DCAF}">
  <dimension ref="A1:IU61"/>
  <sheetViews>
    <sheetView topLeftCell="A47" workbookViewId="0">
      <selection activeCell="L68" sqref="L68"/>
    </sheetView>
  </sheetViews>
  <sheetFormatPr defaultRowHeight="14.5"/>
  <cols>
    <col min="1" max="1" width="27.26953125" customWidth="1"/>
    <col min="2" max="5" width="17.36328125" customWidth="1"/>
    <col min="6" max="6" width="19.26953125" customWidth="1"/>
    <col min="7" max="7" width="2.26953125" customWidth="1"/>
  </cols>
  <sheetData>
    <row r="1" spans="1:7" ht="16.5">
      <c r="B1" s="175"/>
      <c r="F1" s="158" t="str">
        <f>[1]Status!C1</f>
        <v>UNEP/OzL.Pro/ExCom/94/3</v>
      </c>
      <c r="G1" s="176"/>
    </row>
    <row r="2" spans="1:7" ht="16.5">
      <c r="B2" s="162"/>
      <c r="F2" s="158" t="s">
        <v>0</v>
      </c>
      <c r="G2" s="176"/>
    </row>
    <row r="3" spans="1:7" ht="16.5">
      <c r="B3" s="163"/>
      <c r="F3" s="152" t="s">
        <v>177</v>
      </c>
    </row>
    <row r="5" spans="1:7" ht="15.5">
      <c r="A5" s="814" t="s">
        <v>2</v>
      </c>
      <c r="B5" s="814"/>
      <c r="C5" s="814"/>
      <c r="D5" s="814"/>
      <c r="E5" s="814"/>
      <c r="F5" s="814"/>
    </row>
    <row r="6" spans="1:7" ht="15">
      <c r="A6" s="815" t="s">
        <v>167</v>
      </c>
      <c r="B6" s="815"/>
      <c r="C6" s="815"/>
      <c r="D6" s="815"/>
      <c r="E6" s="815"/>
      <c r="F6" s="815"/>
    </row>
    <row r="7" spans="1:7" ht="16" thickBot="1">
      <c r="A7" s="816" t="str">
        <f>[1]Status!A6</f>
        <v>As at 24/05/2024</v>
      </c>
      <c r="B7" s="816"/>
      <c r="C7" s="816"/>
      <c r="D7" s="816"/>
      <c r="E7" s="816"/>
      <c r="F7" s="816"/>
    </row>
    <row r="8" spans="1:7" ht="31.5" customHeight="1" thickBot="1">
      <c r="A8" s="19" t="s">
        <v>59</v>
      </c>
      <c r="B8" s="94" t="s">
        <v>60</v>
      </c>
      <c r="C8" s="94" t="s">
        <v>61</v>
      </c>
      <c r="D8" s="94" t="s">
        <v>62</v>
      </c>
      <c r="E8" s="94" t="s">
        <v>63</v>
      </c>
      <c r="F8" s="95" t="s">
        <v>64</v>
      </c>
    </row>
    <row r="9" spans="1:7" ht="17.25" customHeight="1">
      <c r="A9" s="177" t="s">
        <v>124</v>
      </c>
      <c r="B9" s="178">
        <v>2660143.14</v>
      </c>
      <c r="C9" s="178">
        <v>2660143.14</v>
      </c>
      <c r="D9" s="179"/>
      <c r="E9" s="179"/>
      <c r="F9" s="180">
        <f t="shared" ref="F9:F55" si="0">B9-C9-D9-E9</f>
        <v>0</v>
      </c>
    </row>
    <row r="10" spans="1:7" ht="17.25" customHeight="1">
      <c r="A10" s="12" t="s">
        <v>67</v>
      </c>
      <c r="B10" s="182">
        <v>1435341.05</v>
      </c>
      <c r="C10" s="182">
        <v>1435341.05</v>
      </c>
      <c r="D10" s="183"/>
      <c r="E10" s="183"/>
      <c r="F10" s="180">
        <f t="shared" si="0"/>
        <v>0</v>
      </c>
    </row>
    <row r="11" spans="1:7" ht="17.25" customHeight="1">
      <c r="A11" s="185" t="s">
        <v>68</v>
      </c>
      <c r="B11" s="182">
        <v>8354.7199999999993</v>
      </c>
      <c r="C11" s="183"/>
      <c r="D11" s="183"/>
      <c r="E11" s="183"/>
      <c r="F11" s="180">
        <f t="shared" si="0"/>
        <v>8354.7199999999993</v>
      </c>
    </row>
    <row r="12" spans="1:7" ht="17.25" customHeight="1">
      <c r="A12" s="12" t="s">
        <v>69</v>
      </c>
      <c r="B12" s="182">
        <v>30077</v>
      </c>
      <c r="C12" s="183"/>
      <c r="D12" s="183"/>
      <c r="E12" s="183"/>
      <c r="F12" s="180">
        <f t="shared" si="0"/>
        <v>30077</v>
      </c>
    </row>
    <row r="13" spans="1:7" ht="17.25" customHeight="1">
      <c r="A13" s="12" t="s">
        <v>70</v>
      </c>
      <c r="B13" s="182">
        <v>1786239.33</v>
      </c>
      <c r="C13" s="182">
        <v>1786239.33</v>
      </c>
      <c r="D13" s="183"/>
      <c r="E13" s="183"/>
      <c r="F13" s="180">
        <f t="shared" si="0"/>
        <v>0</v>
      </c>
    </row>
    <row r="14" spans="1:7" ht="17.25" customHeight="1">
      <c r="A14" s="12" t="s">
        <v>71</v>
      </c>
      <c r="B14" s="182">
        <v>28406.05</v>
      </c>
      <c r="C14" s="182">
        <v>28406.05</v>
      </c>
      <c r="D14" s="183"/>
      <c r="E14" s="183"/>
      <c r="F14" s="180">
        <f t="shared" si="0"/>
        <v>0</v>
      </c>
    </row>
    <row r="15" spans="1:7" ht="17.25" customHeight="1">
      <c r="A15" s="12" t="s">
        <v>125</v>
      </c>
      <c r="B15" s="182">
        <v>4700365.99</v>
      </c>
      <c r="C15" s="183">
        <f>142847.91+3760292.79-142848+3495+3165.44-529.44</f>
        <v>3766423.7</v>
      </c>
      <c r="D15" s="183">
        <f>656272+198880+84921-3495-3165.44+529.44</f>
        <v>933942</v>
      </c>
      <c r="E15" s="183"/>
      <c r="F15" s="180">
        <f t="shared" si="0"/>
        <v>0.2900000000372529</v>
      </c>
    </row>
    <row r="16" spans="1:7" ht="17.25" customHeight="1">
      <c r="A16" s="12" t="s">
        <v>74</v>
      </c>
      <c r="B16" s="182">
        <v>65166.82</v>
      </c>
      <c r="C16" s="182">
        <v>65166.82</v>
      </c>
      <c r="D16" s="183"/>
      <c r="E16" s="183"/>
      <c r="F16" s="180">
        <f t="shared" si="0"/>
        <v>0</v>
      </c>
    </row>
    <row r="17" spans="1:8" ht="17.25" customHeight="1">
      <c r="A17" s="12" t="s">
        <v>75</v>
      </c>
      <c r="B17" s="182">
        <v>305782.78999999998</v>
      </c>
      <c r="C17" s="182">
        <f>305782.79</f>
        <v>305782.78999999998</v>
      </c>
      <c r="D17" s="183"/>
      <c r="E17" s="183"/>
      <c r="F17" s="180">
        <f t="shared" si="0"/>
        <v>0</v>
      </c>
    </row>
    <row r="18" spans="1:8" ht="17.25" customHeight="1">
      <c r="A18" s="12" t="s">
        <v>76</v>
      </c>
      <c r="B18" s="182">
        <v>1199737.92</v>
      </c>
      <c r="C18" s="182">
        <v>1199737.92</v>
      </c>
      <c r="D18" s="183"/>
      <c r="E18" s="183"/>
      <c r="F18" s="180">
        <f t="shared" si="0"/>
        <v>0</v>
      </c>
    </row>
    <row r="19" spans="1:8" ht="17.25" customHeight="1">
      <c r="A19" s="12" t="s">
        <v>77</v>
      </c>
      <c r="B19" s="182">
        <v>20051.330000000002</v>
      </c>
      <c r="C19" s="182">
        <v>20051.330000000002</v>
      </c>
      <c r="D19" s="183"/>
      <c r="E19" s="183"/>
      <c r="F19" s="180">
        <f t="shared" si="0"/>
        <v>0</v>
      </c>
    </row>
    <row r="20" spans="1:8" ht="17.25" customHeight="1">
      <c r="A20" s="12" t="s">
        <v>78</v>
      </c>
      <c r="B20" s="182">
        <v>890613.25</v>
      </c>
      <c r="C20" s="182">
        <v>890613.25</v>
      </c>
      <c r="D20" s="183"/>
      <c r="E20" s="183"/>
      <c r="F20" s="180">
        <f t="shared" si="0"/>
        <v>0</v>
      </c>
    </row>
    <row r="21" spans="1:8" ht="17.25" customHeight="1">
      <c r="A21" s="12" t="s">
        <v>126</v>
      </c>
      <c r="B21" s="182">
        <v>10075793.43</v>
      </c>
      <c r="C21" s="187">
        <f>9148063.43+45337-3782</f>
        <v>9189618.4299999997</v>
      </c>
      <c r="D21" s="187">
        <f>540705+302275-45337+3782</f>
        <v>801425</v>
      </c>
      <c r="E21" s="183"/>
      <c r="F21" s="180">
        <f t="shared" si="0"/>
        <v>84750</v>
      </c>
    </row>
    <row r="22" spans="1:8" ht="17.25" customHeight="1">
      <c r="A22" s="12" t="s">
        <v>168</v>
      </c>
      <c r="B22" s="182">
        <v>14473718.52</v>
      </c>
      <c r="C22" s="183">
        <f>964914.57+964914.57+964914.57+964914.57+964914.6+964914.4+989493</f>
        <v>6778980.2800000003</v>
      </c>
      <c r="D22" s="183">
        <f>572817+353814+1189494+583497+191436+62862-989493</f>
        <v>1964427</v>
      </c>
      <c r="E22" s="182">
        <f>5789487.42-964914.57-964914.57-964914.57-964914.57-964914.6-964914.4</f>
        <v>0.14000000013038516</v>
      </c>
      <c r="F22" s="180">
        <f t="shared" si="0"/>
        <v>5730311.0999999996</v>
      </c>
    </row>
    <row r="23" spans="1:8" ht="17.25" customHeight="1">
      <c r="A23" s="12" t="s">
        <v>81</v>
      </c>
      <c r="B23" s="182">
        <v>885600.42</v>
      </c>
      <c r="C23" s="182">
        <v>885600.42</v>
      </c>
      <c r="D23" s="183"/>
      <c r="E23" s="183"/>
      <c r="F23" s="180">
        <f t="shared" si="0"/>
        <v>0</v>
      </c>
    </row>
    <row r="24" spans="1:8" ht="17.25" customHeight="1">
      <c r="A24" s="12" t="s">
        <v>83</v>
      </c>
      <c r="B24" s="182">
        <v>210538.97</v>
      </c>
      <c r="C24" s="182">
        <f>210538.97</f>
        <v>210538.97</v>
      </c>
      <c r="D24" s="183"/>
      <c r="E24" s="183"/>
      <c r="F24" s="180">
        <f t="shared" si="0"/>
        <v>0</v>
      </c>
    </row>
    <row r="25" spans="1:8" ht="17.25" customHeight="1">
      <c r="A25" s="12" t="s">
        <v>84</v>
      </c>
      <c r="B25" s="182">
        <v>56812.1</v>
      </c>
      <c r="C25" s="182">
        <v>56812.1</v>
      </c>
      <c r="D25" s="183"/>
      <c r="E25" s="183"/>
      <c r="F25" s="180">
        <f t="shared" si="0"/>
        <v>0</v>
      </c>
    </row>
    <row r="26" spans="1:8" ht="17.25" customHeight="1">
      <c r="A26" s="12" t="s">
        <v>128</v>
      </c>
      <c r="B26" s="182">
        <v>584830.46</v>
      </c>
      <c r="C26" s="182">
        <v>584830.46</v>
      </c>
      <c r="D26" s="183"/>
      <c r="E26" s="183"/>
      <c r="F26" s="180">
        <f t="shared" si="0"/>
        <v>0</v>
      </c>
    </row>
    <row r="27" spans="1:8" ht="17.25" customHeight="1">
      <c r="A27" s="12" t="s">
        <v>86</v>
      </c>
      <c r="B27" s="182">
        <v>780330.93</v>
      </c>
      <c r="C27" s="183"/>
      <c r="D27" s="188">
        <v>32347</v>
      </c>
      <c r="E27" s="183"/>
      <c r="F27" s="180">
        <f t="shared" si="0"/>
        <v>747983.93</v>
      </c>
    </row>
    <row r="28" spans="1:8" ht="17.25" customHeight="1">
      <c r="A28" s="12" t="s">
        <v>87</v>
      </c>
      <c r="B28" s="182">
        <v>8162562.3399999999</v>
      </c>
      <c r="C28" s="183">
        <f>4665805.3+1864236+110527+1416.99+66030+6831.44+24.99</f>
        <v>6714871.7200000007</v>
      </c>
      <c r="D28" s="183">
        <f>1120000+401994-1416.99-66030-6831.44-24.99</f>
        <v>1447690.58</v>
      </c>
      <c r="E28" s="183"/>
      <c r="F28" s="180">
        <f t="shared" si="0"/>
        <v>3.9999999105930328E-2</v>
      </c>
    </row>
    <row r="29" spans="1:8" ht="17.25" customHeight="1">
      <c r="A29" s="12" t="s">
        <v>129</v>
      </c>
      <c r="B29" s="182">
        <v>29362666.670000002</v>
      </c>
      <c r="C29" s="182">
        <f>29362666.67-33900</f>
        <v>29328766.670000002</v>
      </c>
      <c r="D29" s="183">
        <v>33900</v>
      </c>
      <c r="E29" s="183"/>
      <c r="F29" s="180">
        <f t="shared" si="0"/>
        <v>0</v>
      </c>
    </row>
    <row r="30" spans="1:8" ht="15.5">
      <c r="A30" s="25" t="s">
        <v>89</v>
      </c>
      <c r="B30" s="119">
        <v>0</v>
      </c>
      <c r="C30" s="45">
        <v>0</v>
      </c>
      <c r="D30" s="99"/>
      <c r="E30" s="99"/>
      <c r="F30" s="180">
        <f t="shared" si="0"/>
        <v>0</v>
      </c>
      <c r="H30" s="52"/>
    </row>
    <row r="31" spans="1:8" ht="17.25" customHeight="1">
      <c r="A31" s="12" t="s">
        <v>91</v>
      </c>
      <c r="B31" s="182">
        <v>25064.16</v>
      </c>
      <c r="C31" s="182">
        <v>25064.16</v>
      </c>
      <c r="D31" s="183"/>
      <c r="E31" s="183"/>
      <c r="F31" s="180">
        <f t="shared" si="0"/>
        <v>0</v>
      </c>
    </row>
    <row r="32" spans="1:8" ht="17.25" customHeight="1">
      <c r="A32" s="12" t="s">
        <v>92</v>
      </c>
      <c r="B32" s="182">
        <v>8354.7199999999993</v>
      </c>
      <c r="C32" s="182">
        <v>8354.7199999999993</v>
      </c>
      <c r="D32" s="183"/>
      <c r="E32" s="183"/>
      <c r="F32" s="180">
        <f t="shared" si="0"/>
        <v>0</v>
      </c>
    </row>
    <row r="33" spans="1:6" ht="17.25" customHeight="1">
      <c r="A33" s="12" t="s">
        <v>93</v>
      </c>
      <c r="B33" s="182">
        <v>40102.660000000003</v>
      </c>
      <c r="C33" s="183">
        <v>40102.879999999997</v>
      </c>
      <c r="D33" s="183"/>
      <c r="E33" s="183"/>
      <c r="F33" s="180">
        <f t="shared" si="0"/>
        <v>-0.2199999999938882</v>
      </c>
    </row>
    <row r="34" spans="1:6" ht="17.25" customHeight="1">
      <c r="A34" s="12" t="s">
        <v>94</v>
      </c>
      <c r="B34" s="182">
        <v>128662.7</v>
      </c>
      <c r="C34" s="182">
        <v>128662.7</v>
      </c>
      <c r="D34" s="183"/>
      <c r="E34" s="183"/>
      <c r="F34" s="180">
        <f t="shared" si="0"/>
        <v>0</v>
      </c>
    </row>
    <row r="35" spans="1:6" ht="17.25" customHeight="1">
      <c r="A35" s="12" t="s">
        <v>95</v>
      </c>
      <c r="B35" s="182">
        <v>23393.22</v>
      </c>
      <c r="C35" s="182">
        <v>23393.22</v>
      </c>
      <c r="D35" s="183"/>
      <c r="E35" s="183"/>
      <c r="F35" s="180">
        <f t="shared" si="0"/>
        <v>0</v>
      </c>
    </row>
    <row r="36" spans="1:6" ht="17.25" customHeight="1">
      <c r="A36" s="12" t="s">
        <v>96</v>
      </c>
      <c r="B36" s="182">
        <v>5012.83</v>
      </c>
      <c r="C36" s="182">
        <v>5012.83</v>
      </c>
      <c r="D36" s="183"/>
      <c r="E36" s="183"/>
      <c r="F36" s="180">
        <f t="shared" si="0"/>
        <v>0</v>
      </c>
    </row>
    <row r="37" spans="1:6" ht="17.25" customHeight="1">
      <c r="A37" s="12" t="s">
        <v>97</v>
      </c>
      <c r="B37" s="182">
        <v>2823895.67</v>
      </c>
      <c r="C37" s="182">
        <f>3400000-1728312.99</f>
        <v>1671687.01</v>
      </c>
      <c r="D37" s="183"/>
      <c r="E37" s="183"/>
      <c r="F37" s="180">
        <f t="shared" si="0"/>
        <v>1152208.6599999999</v>
      </c>
    </row>
    <row r="38" spans="1:6" ht="17.25" customHeight="1">
      <c r="A38" s="12" t="s">
        <v>98</v>
      </c>
      <c r="B38" s="182">
        <v>369278.66</v>
      </c>
      <c r="C38" s="182">
        <v>369278.66</v>
      </c>
      <c r="D38" s="183"/>
      <c r="E38" s="183"/>
      <c r="F38" s="180">
        <f t="shared" si="0"/>
        <v>0</v>
      </c>
    </row>
    <row r="39" spans="1:6" ht="17.25" customHeight="1">
      <c r="A39" s="12" t="s">
        <v>99</v>
      </c>
      <c r="B39" s="182">
        <v>1134571.1000000001</v>
      </c>
      <c r="C39" s="182">
        <v>1134571.1000000001</v>
      </c>
      <c r="D39" s="183"/>
      <c r="E39" s="183"/>
      <c r="F39" s="180">
        <f t="shared" si="0"/>
        <v>0</v>
      </c>
    </row>
    <row r="40" spans="1:6" ht="17.25" customHeight="1">
      <c r="A40" s="12" t="s">
        <v>101</v>
      </c>
      <c r="B40" s="182">
        <v>770305.27</v>
      </c>
      <c r="C40" s="182">
        <f>171270+253016.79+346018.48</f>
        <v>770305.27</v>
      </c>
      <c r="D40" s="183"/>
      <c r="E40" s="183"/>
      <c r="F40" s="180">
        <f t="shared" si="0"/>
        <v>0</v>
      </c>
    </row>
    <row r="41" spans="1:6" ht="17.25" customHeight="1">
      <c r="A41" s="12" t="s">
        <v>102</v>
      </c>
      <c r="B41" s="182">
        <v>785343.77</v>
      </c>
      <c r="C41" s="182">
        <v>785343.77</v>
      </c>
      <c r="D41" s="183"/>
      <c r="E41" s="183"/>
      <c r="F41" s="180">
        <f t="shared" si="0"/>
        <v>0</v>
      </c>
    </row>
    <row r="42" spans="1:6" ht="17.25" customHeight="1">
      <c r="A42" s="12" t="s">
        <v>103</v>
      </c>
      <c r="B42" s="189">
        <v>100122.35</v>
      </c>
      <c r="C42" s="182">
        <v>100122.35</v>
      </c>
      <c r="D42" s="183"/>
      <c r="E42" s="183"/>
      <c r="F42" s="180">
        <f t="shared" si="0"/>
        <v>0</v>
      </c>
    </row>
    <row r="43" spans="1:6" ht="17.25" customHeight="1">
      <c r="A43" s="12" t="s">
        <v>104</v>
      </c>
      <c r="B43" s="182">
        <v>1838038.6</v>
      </c>
      <c r="C43" s="183"/>
      <c r="D43" s="183"/>
      <c r="E43" s="183"/>
      <c r="F43" s="180">
        <f t="shared" si="0"/>
        <v>1838038.6</v>
      </c>
    </row>
    <row r="44" spans="1:6" ht="17.25" customHeight="1">
      <c r="A44" s="11" t="s">
        <v>107</v>
      </c>
      <c r="B44" s="182">
        <v>85218.15</v>
      </c>
      <c r="C44" s="182">
        <v>85218.15</v>
      </c>
      <c r="D44" s="183"/>
      <c r="E44" s="183"/>
      <c r="F44" s="180">
        <f t="shared" si="0"/>
        <v>0</v>
      </c>
    </row>
    <row r="45" spans="1:6" ht="17.25" customHeight="1">
      <c r="A45" s="12" t="s">
        <v>108</v>
      </c>
      <c r="B45" s="182">
        <v>137017.42000000001</v>
      </c>
      <c r="C45" s="182">
        <v>137017.42000000001</v>
      </c>
      <c r="D45" s="183"/>
      <c r="E45" s="183"/>
      <c r="F45" s="180">
        <f t="shared" si="0"/>
        <v>0</v>
      </c>
    </row>
    <row r="46" spans="1:6" ht="17.25" customHeight="1">
      <c r="A46" s="12" t="s">
        <v>110</v>
      </c>
      <c r="B46" s="182">
        <v>4210779.34</v>
      </c>
      <c r="C46" s="182">
        <f>4210779.34-166562+793+3092</f>
        <v>4048102.34</v>
      </c>
      <c r="D46" s="183">
        <f>166562+565000-793-3092</f>
        <v>727677</v>
      </c>
      <c r="E46" s="183"/>
      <c r="F46" s="180">
        <f t="shared" si="0"/>
        <v>-565000</v>
      </c>
    </row>
    <row r="47" spans="1:6" ht="17.25" customHeight="1">
      <c r="A47" s="12" t="s">
        <v>130</v>
      </c>
      <c r="B47" s="182">
        <v>1667602.3</v>
      </c>
      <c r="C47" s="182">
        <v>1667602.3</v>
      </c>
      <c r="D47" s="183"/>
      <c r="E47" s="183"/>
      <c r="F47" s="180">
        <f t="shared" si="0"/>
        <v>0</v>
      </c>
    </row>
    <row r="48" spans="1:6" ht="17.25" customHeight="1">
      <c r="A48" s="12" t="s">
        <v>112</v>
      </c>
      <c r="B48" s="182">
        <v>2000120.19</v>
      </c>
      <c r="C48" s="183">
        <v>1997218.18</v>
      </c>
      <c r="D48" s="183">
        <v>91689</v>
      </c>
      <c r="E48" s="183"/>
      <c r="F48" s="180">
        <f t="shared" si="0"/>
        <v>-88786.989999999991</v>
      </c>
    </row>
    <row r="49" spans="1:255" ht="17.25" customHeight="1">
      <c r="A49" s="12" t="s">
        <v>113</v>
      </c>
      <c r="B49" s="182">
        <v>1670.94</v>
      </c>
      <c r="C49" s="183"/>
      <c r="D49" s="183"/>
      <c r="E49" s="183"/>
      <c r="F49" s="180">
        <f t="shared" si="0"/>
        <v>1670.94</v>
      </c>
    </row>
    <row r="50" spans="1:255" ht="17.25" customHeight="1">
      <c r="A50" s="12" t="s">
        <v>115</v>
      </c>
      <c r="B50" s="182">
        <v>65166.82</v>
      </c>
      <c r="C50" s="183"/>
      <c r="D50" s="183"/>
      <c r="E50" s="183"/>
      <c r="F50" s="180">
        <f t="shared" si="0"/>
        <v>65166.82</v>
      </c>
    </row>
    <row r="51" spans="1:255" ht="17.25" customHeight="1">
      <c r="A51" s="12" t="s">
        <v>117</v>
      </c>
      <c r="B51" s="182">
        <v>10237875.01</v>
      </c>
      <c r="C51" s="182">
        <v>10237875.01</v>
      </c>
      <c r="D51" s="183"/>
      <c r="E51" s="182"/>
      <c r="F51" s="180">
        <f t="shared" si="0"/>
        <v>0</v>
      </c>
    </row>
    <row r="52" spans="1:255" ht="17.25" customHeight="1">
      <c r="A52" s="12" t="s">
        <v>162</v>
      </c>
      <c r="B52" s="190">
        <f>29362666.67-17581918</f>
        <v>11780748.670000002</v>
      </c>
      <c r="C52" s="183">
        <f>4000000+226532+1857217+1900000+1900000+1897000</f>
        <v>11780749</v>
      </c>
      <c r="D52" s="183"/>
      <c r="E52" s="183"/>
      <c r="F52" s="180">
        <f t="shared" si="0"/>
        <v>-0.32999999821186066</v>
      </c>
    </row>
    <row r="53" spans="1:255" ht="17.25" customHeight="1" thickBot="1">
      <c r="A53" s="191" t="s">
        <v>119</v>
      </c>
      <c r="B53" s="182">
        <v>23393.22</v>
      </c>
      <c r="C53" s="192"/>
      <c r="D53" s="193"/>
      <c r="E53" s="194"/>
      <c r="F53" s="180">
        <f t="shared" si="0"/>
        <v>23393.22</v>
      </c>
    </row>
    <row r="54" spans="1:255" ht="17.25" customHeight="1" thickBot="1">
      <c r="A54" s="195" t="s">
        <v>120</v>
      </c>
      <c r="B54" s="196">
        <f>SUM(B9:B53)</f>
        <v>115984870.99999997</v>
      </c>
      <c r="C54" s="197">
        <f>SUM(C9:C53)</f>
        <v>100923605.5</v>
      </c>
      <c r="D54" s="197">
        <f>SUM(D9:D53)</f>
        <v>6033097.5800000001</v>
      </c>
      <c r="E54" s="197">
        <f>SUM(E9:E53)</f>
        <v>0.14000000013038516</v>
      </c>
      <c r="F54" s="197">
        <f>SUM(F9:F53)</f>
        <v>9028167.7800000012</v>
      </c>
    </row>
    <row r="55" spans="1:255" ht="17.25" customHeight="1" thickBot="1">
      <c r="A55" s="198" t="s">
        <v>163</v>
      </c>
      <c r="B55" s="196">
        <v>17581918</v>
      </c>
      <c r="C55" s="197">
        <v>0</v>
      </c>
      <c r="D55" s="197">
        <v>0</v>
      </c>
      <c r="E55" s="197">
        <v>0</v>
      </c>
      <c r="F55" s="199">
        <f t="shared" si="0"/>
        <v>17581918</v>
      </c>
    </row>
    <row r="56" spans="1:255" ht="17.25" customHeight="1" thickBot="1">
      <c r="A56" s="195" t="s">
        <v>122</v>
      </c>
      <c r="B56" s="200">
        <f>SUM(B54:B55)</f>
        <v>133566788.99999997</v>
      </c>
      <c r="C56" s="196">
        <f>SUM(C54:C55)</f>
        <v>100923605.5</v>
      </c>
      <c r="D56" s="196">
        <f>SUM(D54:D55)</f>
        <v>6033097.5800000001</v>
      </c>
      <c r="E56" s="196">
        <f>SUM(E54:E55)</f>
        <v>0.14000000013038516</v>
      </c>
      <c r="F56" s="196">
        <f>SUM(F54:F55)</f>
        <v>26610085.780000001</v>
      </c>
    </row>
    <row r="57" spans="1:255" ht="15" customHeight="1">
      <c r="A57" s="817" t="s">
        <v>169</v>
      </c>
      <c r="B57" s="817"/>
      <c r="C57" s="817"/>
      <c r="D57" s="817"/>
      <c r="E57" s="817"/>
      <c r="F57" s="817"/>
    </row>
    <row r="58" spans="1:255">
      <c r="A58" s="33" t="s">
        <v>170</v>
      </c>
      <c r="B58" s="170"/>
      <c r="C58" s="171"/>
      <c r="D58" s="171"/>
      <c r="E58" s="171"/>
      <c r="F58" s="171"/>
    </row>
    <row r="59" spans="1:255">
      <c r="A59" s="813" t="s">
        <v>171</v>
      </c>
      <c r="B59" s="813"/>
      <c r="C59" s="813"/>
      <c r="D59" s="813"/>
      <c r="E59" s="813"/>
      <c r="F59" s="813"/>
      <c r="G59" s="813"/>
      <c r="H59" s="813"/>
      <c r="I59" s="813"/>
      <c r="J59" s="813"/>
      <c r="K59" s="813"/>
      <c r="L59" s="813"/>
      <c r="M59" s="813"/>
      <c r="N59" s="813"/>
      <c r="O59" s="813"/>
      <c r="P59" s="813"/>
      <c r="Q59" s="813"/>
      <c r="R59" s="813"/>
      <c r="S59" s="813"/>
      <c r="T59" s="813"/>
      <c r="U59" s="813"/>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c r="BC59" s="813"/>
      <c r="BD59" s="813"/>
      <c r="BE59" s="813"/>
      <c r="BF59" s="813"/>
      <c r="BG59" s="813"/>
      <c r="BH59" s="813"/>
      <c r="BI59" s="813"/>
      <c r="BJ59" s="813"/>
      <c r="BK59" s="813"/>
      <c r="BL59" s="813"/>
      <c r="BM59" s="813"/>
      <c r="BN59" s="813"/>
      <c r="BO59" s="813"/>
      <c r="BP59" s="813"/>
      <c r="BQ59" s="813"/>
      <c r="BR59" s="813"/>
      <c r="BS59" s="813"/>
      <c r="BT59" s="813"/>
      <c r="BU59" s="813"/>
      <c r="BV59" s="813"/>
      <c r="BW59" s="813"/>
      <c r="BX59" s="813"/>
      <c r="BY59" s="813"/>
      <c r="BZ59" s="813"/>
      <c r="CA59" s="813"/>
      <c r="CB59" s="813"/>
      <c r="CC59" s="813"/>
      <c r="CD59" s="813"/>
      <c r="CE59" s="813"/>
      <c r="CF59" s="813"/>
      <c r="CG59" s="813"/>
      <c r="CH59" s="813"/>
      <c r="CI59" s="813"/>
      <c r="CJ59" s="813"/>
      <c r="CK59" s="813"/>
      <c r="CL59" s="813"/>
      <c r="CM59" s="813"/>
      <c r="CN59" s="813"/>
      <c r="CO59" s="813"/>
      <c r="CP59" s="813"/>
      <c r="CQ59" s="813"/>
      <c r="CR59" s="813"/>
      <c r="CS59" s="813"/>
      <c r="CT59" s="813"/>
      <c r="CU59" s="813"/>
      <c r="CV59" s="813"/>
      <c r="CW59" s="813"/>
      <c r="CX59" s="813"/>
      <c r="CY59" s="813"/>
      <c r="CZ59" s="813"/>
      <c r="DA59" s="813"/>
      <c r="DB59" s="813"/>
      <c r="DC59" s="813"/>
      <c r="DD59" s="813"/>
      <c r="DE59" s="813"/>
      <c r="DF59" s="813"/>
      <c r="DG59" s="813"/>
      <c r="DH59" s="813"/>
      <c r="DI59" s="813"/>
      <c r="DJ59" s="813"/>
      <c r="DK59" s="813"/>
      <c r="DL59" s="813"/>
      <c r="DM59" s="813"/>
      <c r="DN59" s="813"/>
      <c r="DO59" s="813"/>
      <c r="DP59" s="813"/>
      <c r="DQ59" s="813"/>
      <c r="DR59" s="813"/>
      <c r="DS59" s="813"/>
      <c r="DT59" s="813"/>
      <c r="DU59" s="813"/>
      <c r="DV59" s="813"/>
      <c r="DW59" s="813"/>
      <c r="DX59" s="813"/>
      <c r="DY59" s="813"/>
      <c r="DZ59" s="813"/>
      <c r="EA59" s="813"/>
      <c r="EB59" s="813"/>
      <c r="EC59" s="813"/>
      <c r="ED59" s="813"/>
      <c r="EE59" s="813"/>
      <c r="EF59" s="813"/>
      <c r="EG59" s="813"/>
      <c r="EH59" s="813"/>
      <c r="EI59" s="813"/>
      <c r="EJ59" s="813"/>
      <c r="EK59" s="813"/>
      <c r="EL59" s="813"/>
      <c r="EM59" s="813"/>
      <c r="EN59" s="813"/>
      <c r="EO59" s="813"/>
      <c r="EP59" s="813"/>
      <c r="EQ59" s="813"/>
      <c r="ER59" s="813"/>
      <c r="ES59" s="813"/>
      <c r="ET59" s="813"/>
      <c r="EU59" s="813"/>
      <c r="EV59" s="813"/>
      <c r="EW59" s="813"/>
      <c r="EX59" s="813"/>
      <c r="EY59" s="813"/>
      <c r="EZ59" s="813"/>
      <c r="FA59" s="813"/>
      <c r="FB59" s="813"/>
      <c r="FC59" s="813"/>
      <c r="FD59" s="813"/>
      <c r="FE59" s="813"/>
      <c r="FF59" s="813"/>
      <c r="FG59" s="813"/>
      <c r="FH59" s="813"/>
      <c r="FI59" s="813"/>
      <c r="FJ59" s="813"/>
      <c r="FK59" s="813"/>
      <c r="FL59" s="813"/>
      <c r="FM59" s="813"/>
      <c r="FN59" s="813"/>
      <c r="FO59" s="813"/>
      <c r="FP59" s="813"/>
      <c r="FQ59" s="813"/>
      <c r="FR59" s="813"/>
      <c r="FS59" s="813"/>
      <c r="FT59" s="813"/>
      <c r="FU59" s="813"/>
      <c r="FV59" s="813"/>
      <c r="FW59" s="813"/>
      <c r="FX59" s="813"/>
      <c r="FY59" s="813"/>
      <c r="FZ59" s="813"/>
      <c r="GA59" s="813"/>
      <c r="GB59" s="813"/>
      <c r="GC59" s="813"/>
      <c r="GD59" s="813"/>
      <c r="GE59" s="813"/>
      <c r="GF59" s="813"/>
      <c r="GG59" s="813"/>
      <c r="GH59" s="813"/>
      <c r="GI59" s="813"/>
      <c r="GJ59" s="813"/>
      <c r="GK59" s="813"/>
      <c r="GL59" s="813"/>
      <c r="GM59" s="813"/>
      <c r="GN59" s="813"/>
      <c r="GO59" s="813"/>
      <c r="GP59" s="813"/>
      <c r="GQ59" s="813"/>
      <c r="GR59" s="813"/>
      <c r="GS59" s="813"/>
      <c r="GT59" s="813"/>
      <c r="GU59" s="813"/>
      <c r="GV59" s="813"/>
      <c r="GW59" s="813"/>
      <c r="GX59" s="813"/>
      <c r="GY59" s="813"/>
      <c r="GZ59" s="813"/>
      <c r="HA59" s="813"/>
      <c r="HB59" s="813"/>
      <c r="HC59" s="813"/>
      <c r="HD59" s="813"/>
      <c r="HE59" s="813"/>
      <c r="HF59" s="813"/>
      <c r="HG59" s="813"/>
      <c r="HH59" s="813"/>
      <c r="HI59" s="813"/>
      <c r="HJ59" s="813"/>
      <c r="HK59" s="813"/>
      <c r="HL59" s="813"/>
      <c r="HM59" s="813"/>
      <c r="HN59" s="813"/>
      <c r="HO59" s="813"/>
      <c r="HP59" s="813"/>
      <c r="HQ59" s="813"/>
      <c r="HR59" s="813"/>
      <c r="HS59" s="813"/>
      <c r="HT59" s="813"/>
      <c r="HU59" s="813"/>
      <c r="HV59" s="813"/>
      <c r="HW59" s="813"/>
      <c r="HX59" s="813"/>
      <c r="HY59" s="813"/>
      <c r="HZ59" s="813"/>
      <c r="IA59" s="813"/>
      <c r="IB59" s="813"/>
      <c r="IC59" s="813"/>
      <c r="ID59" s="813"/>
      <c r="IE59" s="813"/>
      <c r="IF59" s="813"/>
      <c r="IG59" s="813"/>
      <c r="IH59" s="813"/>
      <c r="II59" s="813"/>
      <c r="IJ59" s="813"/>
      <c r="IK59" s="813"/>
      <c r="IL59" s="813"/>
      <c r="IM59" s="813"/>
      <c r="IN59" s="813"/>
      <c r="IO59" s="813"/>
      <c r="IP59" s="813"/>
      <c r="IQ59" s="813"/>
      <c r="IR59" s="813"/>
      <c r="IS59" s="813"/>
      <c r="IT59" s="813"/>
      <c r="IU59" s="813"/>
    </row>
    <row r="60" spans="1:255" ht="15" thickBot="1">
      <c r="A60" s="66"/>
      <c r="B60" s="66"/>
      <c r="C60" s="66"/>
      <c r="D60" s="66"/>
      <c r="E60" s="66"/>
      <c r="F60" s="66"/>
    </row>
    <row r="61" spans="1:255" ht="16" thickBot="1">
      <c r="A61" s="201" t="s">
        <v>133</v>
      </c>
      <c r="B61" s="202">
        <f>B11+B12+B14+B17+B19+B24+B31+B33+B40+B43+B44+B45+B49+B50+B53</f>
        <v>3589188.1</v>
      </c>
      <c r="C61" s="202">
        <f>C11+C12+C14+C17+C19+C24+C31+C33+C40+C43+C44+C45+C49+C50+C53</f>
        <v>1622487.02</v>
      </c>
      <c r="D61" s="202">
        <f>D11+D12+D14+D17+D19+D24+D31+D33+D40+D43+D44+D45+D49+D50+D53</f>
        <v>0</v>
      </c>
      <c r="E61" s="202">
        <f>E11+E12+E14+E17+E19+E24+E31+E33+E40+E43+E44+E45+E49+E50+E53</f>
        <v>0</v>
      </c>
      <c r="F61" s="202">
        <f>F11+F12+F14+F17+F19+F24+F31+F33+F40+F43+F44+F45+F49+F50+F53</f>
        <v>1966701.08</v>
      </c>
    </row>
  </sheetData>
  <mergeCells count="47">
    <mergeCell ref="G59:K59"/>
    <mergeCell ref="A5:F5"/>
    <mergeCell ref="A6:F6"/>
    <mergeCell ref="A7:F7"/>
    <mergeCell ref="A57:F57"/>
    <mergeCell ref="A59:F59"/>
    <mergeCell ref="BZ59:CE59"/>
    <mergeCell ref="L59:Q59"/>
    <mergeCell ref="R59:W59"/>
    <mergeCell ref="X59:AC59"/>
    <mergeCell ref="AD59:AI59"/>
    <mergeCell ref="AJ59:AO59"/>
    <mergeCell ref="AP59:AU59"/>
    <mergeCell ref="AV59:BA59"/>
    <mergeCell ref="BB59:BG59"/>
    <mergeCell ref="BH59:BM59"/>
    <mergeCell ref="BN59:BS59"/>
    <mergeCell ref="BT59:BY59"/>
    <mergeCell ref="ET59:EY59"/>
    <mergeCell ref="CF59:CK59"/>
    <mergeCell ref="CL59:CQ59"/>
    <mergeCell ref="CR59:CW59"/>
    <mergeCell ref="CX59:DC59"/>
    <mergeCell ref="DD59:DI59"/>
    <mergeCell ref="DJ59:DO59"/>
    <mergeCell ref="DP59:DU59"/>
    <mergeCell ref="DV59:EA59"/>
    <mergeCell ref="EB59:EG59"/>
    <mergeCell ref="EH59:EM59"/>
    <mergeCell ref="EN59:ES59"/>
    <mergeCell ref="HN59:HS59"/>
    <mergeCell ref="EZ59:FE59"/>
    <mergeCell ref="FF59:FK59"/>
    <mergeCell ref="FL59:FQ59"/>
    <mergeCell ref="FR59:FW59"/>
    <mergeCell ref="FX59:GC59"/>
    <mergeCell ref="GD59:GI59"/>
    <mergeCell ref="GJ59:GO59"/>
    <mergeCell ref="GP59:GU59"/>
    <mergeCell ref="GV59:HA59"/>
    <mergeCell ref="HB59:HG59"/>
    <mergeCell ref="HH59:HM59"/>
    <mergeCell ref="HT59:HY59"/>
    <mergeCell ref="HZ59:IE59"/>
    <mergeCell ref="IF59:IK59"/>
    <mergeCell ref="IL59:IQ59"/>
    <mergeCell ref="IR59:IU59"/>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417B1-0D4E-489E-8FDD-69E1A05A7F95}">
  <dimension ref="A1:I58"/>
  <sheetViews>
    <sheetView topLeftCell="A37" workbookViewId="0">
      <selection activeCell="L68" sqref="L68"/>
    </sheetView>
  </sheetViews>
  <sheetFormatPr defaultRowHeight="14.5"/>
  <cols>
    <col min="1" max="1" width="26.26953125" customWidth="1"/>
    <col min="2" max="2" width="17" customWidth="1"/>
    <col min="3" max="3" width="15.54296875" customWidth="1"/>
    <col min="4" max="4" width="15.7265625" customWidth="1"/>
    <col min="5" max="5" width="17" customWidth="1"/>
    <col min="6" max="6" width="17.26953125" customWidth="1"/>
  </cols>
  <sheetData>
    <row r="1" spans="1:6">
      <c r="A1" s="203" t="str">
        <f>[1]Status!C1</f>
        <v>UNEP/OzL.Pro/ExCom/94/3</v>
      </c>
      <c r="B1" s="203"/>
    </row>
    <row r="2" spans="1:6">
      <c r="A2" s="203" t="s">
        <v>0</v>
      </c>
      <c r="B2" s="203"/>
    </row>
    <row r="3" spans="1:6">
      <c r="A3" s="203" t="s">
        <v>179</v>
      </c>
      <c r="B3" s="203"/>
    </row>
    <row r="4" spans="1:6">
      <c r="A4" s="818" t="s">
        <v>2</v>
      </c>
      <c r="B4" s="818"/>
      <c r="C4" s="818"/>
      <c r="D4" s="818"/>
      <c r="E4" s="818"/>
      <c r="F4" s="818"/>
    </row>
    <row r="5" spans="1:6">
      <c r="A5" s="819" t="s">
        <v>173</v>
      </c>
      <c r="B5" s="819"/>
      <c r="C5" s="819"/>
      <c r="D5" s="819"/>
      <c r="E5" s="819"/>
      <c r="F5" s="819"/>
    </row>
    <row r="6" spans="1:6" ht="15" thickBot="1">
      <c r="A6" s="820" t="str">
        <f>[1]Status!A6</f>
        <v>As at 24/05/2024</v>
      </c>
      <c r="B6" s="820"/>
      <c r="C6" s="820"/>
      <c r="D6" s="820"/>
      <c r="E6" s="820"/>
      <c r="F6" s="820"/>
    </row>
    <row r="7" spans="1:6" ht="29.25" customHeight="1" thickBot="1">
      <c r="A7" s="204" t="s">
        <v>59</v>
      </c>
      <c r="B7" s="205" t="s">
        <v>60</v>
      </c>
      <c r="C7" s="205" t="s">
        <v>61</v>
      </c>
      <c r="D7" s="205" t="s">
        <v>62</v>
      </c>
      <c r="E7" s="205" t="s">
        <v>63</v>
      </c>
      <c r="F7" s="206" t="s">
        <v>64</v>
      </c>
    </row>
    <row r="8" spans="1:6" ht="17.25" customHeight="1">
      <c r="A8" s="181" t="s">
        <v>124</v>
      </c>
      <c r="B8" s="207">
        <v>2660143.14</v>
      </c>
      <c r="C8" s="207">
        <f>2530193.14-129950+129950</f>
        <v>2530193.14</v>
      </c>
      <c r="D8" s="208"/>
      <c r="E8" s="208"/>
      <c r="F8" s="209">
        <f t="shared" ref="F8:F54" si="0">B8-C8-D8-E8</f>
        <v>129950</v>
      </c>
    </row>
    <row r="9" spans="1:6" ht="17.25" customHeight="1">
      <c r="A9" s="184" t="s">
        <v>67</v>
      </c>
      <c r="B9" s="210">
        <v>1435341.05</v>
      </c>
      <c r="C9" s="210">
        <v>1435341.05</v>
      </c>
      <c r="D9" s="211"/>
      <c r="E9" s="211"/>
      <c r="F9" s="209">
        <f t="shared" si="0"/>
        <v>0</v>
      </c>
    </row>
    <row r="10" spans="1:6" ht="17.25" customHeight="1">
      <c r="A10" s="186" t="s">
        <v>68</v>
      </c>
      <c r="B10" s="210">
        <v>8354.7199999999993</v>
      </c>
      <c r="C10" s="211"/>
      <c r="D10" s="211"/>
      <c r="E10" s="211"/>
      <c r="F10" s="209">
        <f t="shared" si="0"/>
        <v>8354.7199999999993</v>
      </c>
    </row>
    <row r="11" spans="1:6" ht="17.25" customHeight="1">
      <c r="A11" s="184" t="s">
        <v>69</v>
      </c>
      <c r="B11" s="210">
        <v>30077</v>
      </c>
      <c r="C11" s="211"/>
      <c r="D11" s="211"/>
      <c r="E11" s="211"/>
      <c r="F11" s="209">
        <f t="shared" si="0"/>
        <v>30077</v>
      </c>
    </row>
    <row r="12" spans="1:6" ht="17.25" customHeight="1">
      <c r="A12" s="184" t="s">
        <v>70</v>
      </c>
      <c r="B12" s="210">
        <v>1786239.33</v>
      </c>
      <c r="C12" s="210">
        <v>1786239.33</v>
      </c>
      <c r="D12" s="211"/>
      <c r="E12" s="211"/>
      <c r="F12" s="209">
        <f t="shared" si="0"/>
        <v>0</v>
      </c>
    </row>
    <row r="13" spans="1:6" ht="17.25" customHeight="1">
      <c r="A13" s="184" t="s">
        <v>71</v>
      </c>
      <c r="B13" s="210">
        <v>28406.05</v>
      </c>
      <c r="C13" s="210">
        <v>28406.05</v>
      </c>
      <c r="D13" s="211"/>
      <c r="E13" s="211"/>
      <c r="F13" s="209">
        <f t="shared" si="0"/>
        <v>0</v>
      </c>
    </row>
    <row r="14" spans="1:6" ht="17.25" customHeight="1">
      <c r="A14" s="184" t="s">
        <v>125</v>
      </c>
      <c r="B14" s="210">
        <v>4700365.99</v>
      </c>
      <c r="C14" s="211">
        <f>294802+306940.92+3760292.81-1629+11121</f>
        <v>4371527.7300000004</v>
      </c>
      <c r="D14" s="211">
        <f>145770+176280+17909-11121</f>
        <v>328838</v>
      </c>
      <c r="E14" s="211"/>
      <c r="F14" s="209">
        <f t="shared" si="0"/>
        <v>0.25999999977648258</v>
      </c>
    </row>
    <row r="15" spans="1:6" ht="17.25" customHeight="1">
      <c r="A15" s="184" t="s">
        <v>74</v>
      </c>
      <c r="B15" s="210">
        <v>65166.82</v>
      </c>
      <c r="C15" s="211">
        <v>65166.82</v>
      </c>
      <c r="D15" s="211"/>
      <c r="E15" s="211"/>
      <c r="F15" s="209">
        <f t="shared" si="0"/>
        <v>0</v>
      </c>
    </row>
    <row r="16" spans="1:6" ht="17.25" customHeight="1">
      <c r="A16" s="184" t="s">
        <v>75</v>
      </c>
      <c r="B16" s="210">
        <v>305782.78999999998</v>
      </c>
      <c r="C16" s="210">
        <f>305782.79+305782.79-305782.79</f>
        <v>305782.78999999998</v>
      </c>
      <c r="D16" s="211"/>
      <c r="E16" s="211"/>
      <c r="F16" s="209">
        <f t="shared" si="0"/>
        <v>0</v>
      </c>
    </row>
    <row r="17" spans="1:9" ht="17.25" customHeight="1">
      <c r="A17" s="184" t="s">
        <v>76</v>
      </c>
      <c r="B17" s="210">
        <v>1199737.92</v>
      </c>
      <c r="C17" s="210">
        <v>1199737.92</v>
      </c>
      <c r="D17" s="211"/>
      <c r="E17" s="211"/>
      <c r="F17" s="209">
        <f t="shared" si="0"/>
        <v>0</v>
      </c>
    </row>
    <row r="18" spans="1:9" ht="17.25" customHeight="1">
      <c r="A18" s="184" t="s">
        <v>77</v>
      </c>
      <c r="B18" s="210">
        <v>20051.330000000002</v>
      </c>
      <c r="C18" s="210">
        <v>20051.330000000002</v>
      </c>
      <c r="D18" s="211"/>
      <c r="E18" s="211"/>
      <c r="F18" s="209">
        <f t="shared" si="0"/>
        <v>0</v>
      </c>
    </row>
    <row r="19" spans="1:9" ht="17.25" customHeight="1">
      <c r="A19" s="184" t="s">
        <v>78</v>
      </c>
      <c r="B19" s="210">
        <v>890613.25</v>
      </c>
      <c r="C19" s="210">
        <v>890613.25</v>
      </c>
      <c r="D19" s="211"/>
      <c r="E19" s="211"/>
      <c r="F19" s="209">
        <f t="shared" si="0"/>
        <v>0</v>
      </c>
    </row>
    <row r="20" spans="1:9" ht="17.25" customHeight="1">
      <c r="A20" s="184" t="s">
        <v>126</v>
      </c>
      <c r="B20" s="210">
        <v>10075793.43</v>
      </c>
      <c r="C20" s="211">
        <v>9287393.4299999997</v>
      </c>
      <c r="D20" s="211">
        <f>169500+585000+84750</f>
        <v>839250</v>
      </c>
      <c r="E20" s="211"/>
      <c r="F20" s="209">
        <f t="shared" si="0"/>
        <v>-50850</v>
      </c>
    </row>
    <row r="21" spans="1:9" ht="17.25" customHeight="1">
      <c r="A21" s="184" t="s">
        <v>127</v>
      </c>
      <c r="B21" s="210">
        <v>14473718.52</v>
      </c>
      <c r="C21" s="211">
        <f>2412286.42+2412286.41+2412286.42+2412286.42+2412286.43+2412286+1317681</f>
        <v>15791399.1</v>
      </c>
      <c r="D21" s="211">
        <f>946611+357500+943887+646693-1317681</f>
        <v>1577010</v>
      </c>
      <c r="E21" s="210">
        <f>14473718.52-2412286.42-2412286.41-2412286.42-2412286.42-2412286.43-2412286</f>
        <v>0.41999999945983291</v>
      </c>
      <c r="F21" s="209">
        <f t="shared" si="0"/>
        <v>-2894690.9999999995</v>
      </c>
    </row>
    <row r="22" spans="1:9" ht="17.25" customHeight="1">
      <c r="A22" s="184" t="s">
        <v>81</v>
      </c>
      <c r="B22" s="210">
        <v>885600.42</v>
      </c>
      <c r="C22" s="211">
        <v>641710.93999999994</v>
      </c>
      <c r="D22" s="211"/>
      <c r="E22" s="211"/>
      <c r="F22" s="209">
        <f t="shared" si="0"/>
        <v>243889.4800000001</v>
      </c>
    </row>
    <row r="23" spans="1:9" ht="17.25" customHeight="1">
      <c r="A23" s="184" t="s">
        <v>83</v>
      </c>
      <c r="B23" s="210">
        <v>210538.97</v>
      </c>
      <c r="C23" s="210">
        <v>210538.97</v>
      </c>
      <c r="D23" s="211"/>
      <c r="E23" s="211"/>
      <c r="F23" s="209">
        <f t="shared" si="0"/>
        <v>0</v>
      </c>
    </row>
    <row r="24" spans="1:9" ht="17.25" customHeight="1">
      <c r="A24" s="184" t="s">
        <v>84</v>
      </c>
      <c r="B24" s="210">
        <v>56812.1</v>
      </c>
      <c r="C24" s="210">
        <v>56812.1</v>
      </c>
      <c r="D24" s="211"/>
      <c r="E24" s="211"/>
      <c r="F24" s="209">
        <f t="shared" si="0"/>
        <v>0</v>
      </c>
    </row>
    <row r="25" spans="1:9" ht="17.25" customHeight="1">
      <c r="A25" s="184" t="s">
        <v>128</v>
      </c>
      <c r="B25" s="210">
        <v>584830.46</v>
      </c>
      <c r="C25" s="210">
        <v>584830.46</v>
      </c>
      <c r="D25" s="211"/>
      <c r="E25" s="211"/>
      <c r="F25" s="209">
        <f t="shared" si="0"/>
        <v>0</v>
      </c>
    </row>
    <row r="26" spans="1:9" ht="17.25" customHeight="1">
      <c r="A26" s="184" t="s">
        <v>86</v>
      </c>
      <c r="B26" s="210">
        <v>780330.93</v>
      </c>
      <c r="C26" s="211"/>
      <c r="D26" s="211"/>
      <c r="E26" s="211"/>
      <c r="F26" s="209">
        <f t="shared" si="0"/>
        <v>780330.93</v>
      </c>
    </row>
    <row r="27" spans="1:9" ht="17.25" customHeight="1">
      <c r="A27" s="184" t="s">
        <v>87</v>
      </c>
      <c r="B27" s="210">
        <v>8162562.3399999999</v>
      </c>
      <c r="C27" s="211">
        <f>6530049+231725.83+1632512-1864236+12067.32+20752.2</f>
        <v>6562870.3500000006</v>
      </c>
      <c r="D27" s="211">
        <f>325937+542076+764499-12067.32-20752.2</f>
        <v>1599692.48</v>
      </c>
      <c r="E27" s="211"/>
      <c r="F27" s="209">
        <f t="shared" si="0"/>
        <v>-0.49000000068917871</v>
      </c>
    </row>
    <row r="28" spans="1:9" ht="17.25" customHeight="1">
      <c r="A28" s="184" t="s">
        <v>129</v>
      </c>
      <c r="B28" s="210">
        <v>29362666.670000002</v>
      </c>
      <c r="C28" s="210">
        <f>29362666.67-62150</f>
        <v>29300516.670000002</v>
      </c>
      <c r="D28" s="211">
        <v>62150</v>
      </c>
      <c r="E28" s="211"/>
      <c r="F28" s="209">
        <f t="shared" si="0"/>
        <v>0</v>
      </c>
    </row>
    <row r="29" spans="1:9" ht="15.5">
      <c r="A29" s="25" t="s">
        <v>89</v>
      </c>
      <c r="B29" s="119">
        <v>0</v>
      </c>
      <c r="C29" s="45">
        <v>0</v>
      </c>
      <c r="D29" s="99"/>
      <c r="E29" s="99"/>
      <c r="F29" s="209">
        <f t="shared" si="0"/>
        <v>0</v>
      </c>
      <c r="H29" s="52"/>
      <c r="I29" s="52"/>
    </row>
    <row r="30" spans="1:9" ht="17.25" customHeight="1">
      <c r="A30" s="184" t="s">
        <v>91</v>
      </c>
      <c r="B30" s="210">
        <v>25064.16</v>
      </c>
      <c r="C30" s="210">
        <v>25064.16</v>
      </c>
      <c r="D30" s="211"/>
      <c r="E30" s="211"/>
      <c r="F30" s="209">
        <f t="shared" si="0"/>
        <v>0</v>
      </c>
    </row>
    <row r="31" spans="1:9" ht="17.25" customHeight="1">
      <c r="A31" s="184" t="s">
        <v>92</v>
      </c>
      <c r="B31" s="210">
        <v>8354.7199999999993</v>
      </c>
      <c r="C31" s="210">
        <v>8354.7199999999993</v>
      </c>
      <c r="D31" s="211"/>
      <c r="E31" s="211"/>
      <c r="F31" s="209">
        <f t="shared" si="0"/>
        <v>0</v>
      </c>
    </row>
    <row r="32" spans="1:9" ht="17.25" customHeight="1">
      <c r="A32" s="184" t="s">
        <v>93</v>
      </c>
      <c r="B32" s="210">
        <v>40102.660000000003</v>
      </c>
      <c r="C32" s="210">
        <v>40102.879999999997</v>
      </c>
      <c r="D32" s="211"/>
      <c r="E32" s="211"/>
      <c r="F32" s="209">
        <f t="shared" si="0"/>
        <v>-0.2199999999938882</v>
      </c>
    </row>
    <row r="33" spans="1:6" ht="17.25" customHeight="1">
      <c r="A33" s="184" t="s">
        <v>94</v>
      </c>
      <c r="B33" s="210">
        <v>128662.7</v>
      </c>
      <c r="C33" s="210">
        <v>128662.7</v>
      </c>
      <c r="D33" s="211"/>
      <c r="E33" s="211"/>
      <c r="F33" s="209">
        <f t="shared" si="0"/>
        <v>0</v>
      </c>
    </row>
    <row r="34" spans="1:6" ht="17.25" customHeight="1">
      <c r="A34" s="184" t="s">
        <v>95</v>
      </c>
      <c r="B34" s="210">
        <v>23393.22</v>
      </c>
      <c r="C34" s="210">
        <v>23393.22</v>
      </c>
      <c r="D34" s="211"/>
      <c r="E34" s="211"/>
      <c r="F34" s="209">
        <f t="shared" si="0"/>
        <v>0</v>
      </c>
    </row>
    <row r="35" spans="1:6" ht="17.25" customHeight="1">
      <c r="A35" s="184" t="s">
        <v>96</v>
      </c>
      <c r="B35" s="210">
        <v>5012.83</v>
      </c>
      <c r="C35" s="210">
        <v>5012.83</v>
      </c>
      <c r="D35" s="211"/>
      <c r="E35" s="211"/>
      <c r="F35" s="209">
        <f t="shared" si="0"/>
        <v>0</v>
      </c>
    </row>
    <row r="36" spans="1:6" ht="17.25" customHeight="1">
      <c r="A36" s="184" t="s">
        <v>97</v>
      </c>
      <c r="B36" s="210">
        <v>2823895.67</v>
      </c>
      <c r="C36" s="210">
        <f>1700000+1700000</f>
        <v>3400000</v>
      </c>
      <c r="D36" s="211"/>
      <c r="E36" s="211"/>
      <c r="F36" s="209">
        <f t="shared" si="0"/>
        <v>-576104.33000000007</v>
      </c>
    </row>
    <row r="37" spans="1:6" ht="17.25" customHeight="1">
      <c r="A37" s="184" t="s">
        <v>98</v>
      </c>
      <c r="B37" s="210">
        <v>369278.66</v>
      </c>
      <c r="C37" s="210">
        <v>369278.66</v>
      </c>
      <c r="D37" s="211"/>
      <c r="E37" s="211"/>
      <c r="F37" s="209">
        <f t="shared" si="0"/>
        <v>0</v>
      </c>
    </row>
    <row r="38" spans="1:6" ht="17.25" customHeight="1">
      <c r="A38" s="184" t="s">
        <v>99</v>
      </c>
      <c r="B38" s="210">
        <v>1134571.1000000001</v>
      </c>
      <c r="C38" s="210">
        <v>1134571.1000000001</v>
      </c>
      <c r="D38" s="211"/>
      <c r="E38" s="211"/>
      <c r="F38" s="209">
        <f t="shared" si="0"/>
        <v>0</v>
      </c>
    </row>
    <row r="39" spans="1:6" ht="17.25" customHeight="1">
      <c r="A39" s="184" t="s">
        <v>101</v>
      </c>
      <c r="B39" s="210">
        <v>770305.27</v>
      </c>
      <c r="C39" s="210">
        <f>349980+420285.27+39.73</f>
        <v>770305</v>
      </c>
      <c r="D39" s="211"/>
      <c r="E39" s="211"/>
      <c r="F39" s="209">
        <f t="shared" si="0"/>
        <v>0.27000000001862645</v>
      </c>
    </row>
    <row r="40" spans="1:6" ht="17.25" customHeight="1">
      <c r="A40" s="184" t="s">
        <v>102</v>
      </c>
      <c r="B40" s="210">
        <v>785343.77</v>
      </c>
      <c r="C40" s="211">
        <f>2002.78+55063.27+9041.34+15099.84+5358.29+27502.58+616673.4+54602</f>
        <v>785343.5</v>
      </c>
      <c r="D40" s="211"/>
      <c r="E40" s="211"/>
      <c r="F40" s="209">
        <f t="shared" si="0"/>
        <v>0.27000000001862645</v>
      </c>
    </row>
    <row r="41" spans="1:6" ht="17.25" customHeight="1">
      <c r="A41" s="12" t="s">
        <v>103</v>
      </c>
      <c r="B41" s="210">
        <v>0</v>
      </c>
      <c r="C41" s="211">
        <v>0</v>
      </c>
      <c r="D41" s="211">
        <v>0</v>
      </c>
      <c r="E41" s="211">
        <v>0</v>
      </c>
      <c r="F41" s="209">
        <f t="shared" si="0"/>
        <v>0</v>
      </c>
    </row>
    <row r="42" spans="1:6" ht="17.25" customHeight="1">
      <c r="A42" s="184" t="s">
        <v>104</v>
      </c>
      <c r="B42" s="210">
        <v>1838038.6</v>
      </c>
      <c r="C42" s="211"/>
      <c r="D42" s="211"/>
      <c r="E42" s="211"/>
      <c r="F42" s="209">
        <f t="shared" si="0"/>
        <v>1838038.6</v>
      </c>
    </row>
    <row r="43" spans="1:6" ht="17.25" customHeight="1">
      <c r="A43" s="212" t="s">
        <v>107</v>
      </c>
      <c r="B43" s="210">
        <v>85218.15</v>
      </c>
      <c r="C43" s="210">
        <v>85218.15</v>
      </c>
      <c r="D43" s="211"/>
      <c r="E43" s="211"/>
      <c r="F43" s="209">
        <f t="shared" si="0"/>
        <v>0</v>
      </c>
    </row>
    <row r="44" spans="1:6" ht="17.25" customHeight="1">
      <c r="A44" s="184" t="s">
        <v>108</v>
      </c>
      <c r="B44" s="210">
        <v>137017.42000000001</v>
      </c>
      <c r="C44" s="210">
        <v>137017.42000000001</v>
      </c>
      <c r="D44" s="211"/>
      <c r="E44" s="211"/>
      <c r="F44" s="209">
        <f t="shared" si="0"/>
        <v>0</v>
      </c>
    </row>
    <row r="45" spans="1:6" ht="17.25" customHeight="1">
      <c r="A45" s="184" t="s">
        <v>110</v>
      </c>
      <c r="B45" s="210">
        <v>4210779.34</v>
      </c>
      <c r="C45" s="210">
        <v>4210779.34</v>
      </c>
      <c r="D45" s="211"/>
      <c r="E45" s="211"/>
      <c r="F45" s="209">
        <f t="shared" si="0"/>
        <v>0</v>
      </c>
    </row>
    <row r="46" spans="1:6" ht="17.25" customHeight="1">
      <c r="A46" s="184" t="s">
        <v>130</v>
      </c>
      <c r="B46" s="210">
        <v>1667602.3</v>
      </c>
      <c r="C46" s="210">
        <v>1667602.3</v>
      </c>
      <c r="D46" s="211"/>
      <c r="E46" s="211"/>
      <c r="F46" s="209">
        <f t="shared" si="0"/>
        <v>0</v>
      </c>
    </row>
    <row r="47" spans="1:6" ht="17.25" customHeight="1">
      <c r="A47" s="184" t="s">
        <v>112</v>
      </c>
      <c r="B47" s="210">
        <v>2000120.19</v>
      </c>
      <c r="C47" s="211">
        <v>1603225.1</v>
      </c>
      <c r="D47" s="211">
        <v>14844</v>
      </c>
      <c r="E47" s="211"/>
      <c r="F47" s="209">
        <f t="shared" si="0"/>
        <v>382051.08999999985</v>
      </c>
    </row>
    <row r="48" spans="1:6" ht="17.25" customHeight="1">
      <c r="A48" s="184" t="s">
        <v>113</v>
      </c>
      <c r="B48" s="210">
        <v>1670.94</v>
      </c>
      <c r="C48" s="211"/>
      <c r="D48" s="211"/>
      <c r="E48" s="211"/>
      <c r="F48" s="209">
        <f t="shared" si="0"/>
        <v>1670.94</v>
      </c>
    </row>
    <row r="49" spans="1:6" ht="17.25" customHeight="1">
      <c r="A49" s="184" t="s">
        <v>115</v>
      </c>
      <c r="B49" s="210">
        <v>65166.82</v>
      </c>
      <c r="C49" s="211"/>
      <c r="D49" s="211"/>
      <c r="E49" s="211"/>
      <c r="F49" s="209">
        <f t="shared" si="0"/>
        <v>65166.82</v>
      </c>
    </row>
    <row r="50" spans="1:6" ht="17.25" customHeight="1">
      <c r="A50" s="184" t="s">
        <v>117</v>
      </c>
      <c r="B50" s="210">
        <v>10237875.01</v>
      </c>
      <c r="C50" s="210">
        <v>10237875.01</v>
      </c>
      <c r="D50" s="211"/>
      <c r="E50" s="210"/>
      <c r="F50" s="209">
        <f t="shared" si="0"/>
        <v>0</v>
      </c>
    </row>
    <row r="51" spans="1:6" ht="17.25" customHeight="1">
      <c r="A51" s="184" t="s">
        <v>174</v>
      </c>
      <c r="B51" s="213">
        <f>29362666.67-14889724</f>
        <v>14472942.670000002</v>
      </c>
      <c r="C51" s="211">
        <f>1847943+18000000-5375000</f>
        <v>14472943</v>
      </c>
      <c r="D51" s="211"/>
      <c r="E51" s="211"/>
      <c r="F51" s="209">
        <f t="shared" si="0"/>
        <v>-0.32999999821186066</v>
      </c>
    </row>
    <row r="52" spans="1:6" ht="17.25" customHeight="1" thickBot="1">
      <c r="A52" s="214" t="s">
        <v>119</v>
      </c>
      <c r="B52" s="210">
        <v>23393.22</v>
      </c>
      <c r="C52" s="215"/>
      <c r="D52" s="216"/>
      <c r="E52" s="215"/>
      <c r="F52" s="217">
        <f t="shared" si="0"/>
        <v>23393.22</v>
      </c>
    </row>
    <row r="53" spans="1:6" ht="17.25" customHeight="1" thickBot="1">
      <c r="A53" s="218" t="s">
        <v>120</v>
      </c>
      <c r="B53" s="219">
        <f>SUM(B8:B52)</f>
        <v>118576942.64999998</v>
      </c>
      <c r="C53" s="220">
        <f>SUM(C8:C52)</f>
        <v>114173880.52</v>
      </c>
      <c r="D53" s="220">
        <f>SUM(D8:D52)</f>
        <v>4421784.4800000004</v>
      </c>
      <c r="E53" s="220">
        <f>SUM(E8:E52)</f>
        <v>0.41999999945983291</v>
      </c>
      <c r="F53" s="221">
        <f>SUM(F8:F52)</f>
        <v>-18722.7699999986</v>
      </c>
    </row>
    <row r="54" spans="1:6" ht="17.25" customHeight="1" thickBot="1">
      <c r="A54" s="198" t="s">
        <v>175</v>
      </c>
      <c r="B54" s="222">
        <v>14889724</v>
      </c>
      <c r="C54" s="223">
        <v>0</v>
      </c>
      <c r="D54" s="224">
        <v>0</v>
      </c>
      <c r="E54" s="224">
        <v>0</v>
      </c>
      <c r="F54" s="225">
        <f t="shared" si="0"/>
        <v>14889724</v>
      </c>
    </row>
    <row r="55" spans="1:6" ht="17.25" customHeight="1" thickBot="1">
      <c r="A55" s="195" t="s">
        <v>122</v>
      </c>
      <c r="B55" s="226">
        <f>SUM(B53:B54)</f>
        <v>133466666.64999998</v>
      </c>
      <c r="C55" s="227">
        <f>SUM(C53:C54)</f>
        <v>114173880.52</v>
      </c>
      <c r="D55" s="226">
        <f>SUM(D53:D54)</f>
        <v>4421784.4800000004</v>
      </c>
      <c r="E55" s="226">
        <f>SUM(E53:E54)</f>
        <v>0.41999999945983291</v>
      </c>
      <c r="F55" s="228">
        <f>SUM(F53:F54)</f>
        <v>14871001.230000002</v>
      </c>
    </row>
    <row r="56" spans="1:6" ht="15.5">
      <c r="A56" s="229" t="s">
        <v>176</v>
      </c>
      <c r="B56" s="230"/>
      <c r="C56" s="230"/>
      <c r="D56" s="230"/>
      <c r="E56" s="230"/>
      <c r="F56" s="230"/>
    </row>
    <row r="57" spans="1:6">
      <c r="A57" s="231"/>
      <c r="B57" s="231"/>
      <c r="C57" s="231"/>
      <c r="D57" s="231"/>
      <c r="E57" s="231"/>
      <c r="F57" s="231"/>
    </row>
    <row r="58" spans="1:6" ht="16" thickBot="1">
      <c r="A58" s="232" t="s">
        <v>133</v>
      </c>
      <c r="B58" s="233">
        <f>B10+B11+B13+B16+B18+B23+B30+B32+B39+B42+B43+B44+B48+B49+B52</f>
        <v>3589188.1</v>
      </c>
      <c r="C58" s="233">
        <f>C10+C11+C13+C16+C18+C23+C30+C32+C39+C42+C43+C44+C48+C49+C52</f>
        <v>1622486.75</v>
      </c>
      <c r="D58" s="233">
        <f>D10+D11+D13+D16+D18+D23+D30+D32+D39+D42+D43+D44+D48+D49+D52</f>
        <v>0</v>
      </c>
      <c r="E58" s="233">
        <f>E10+E11+E13+E16+E18+E23+E30+E32+E39+E42+E43+E44+E48+E49+E52</f>
        <v>0</v>
      </c>
      <c r="F58" s="233">
        <f>F10+F11+F13+F16+F18+F23+F30+F32+F39+F42+F43+F44+F48+F49+F52</f>
        <v>1966701.35</v>
      </c>
    </row>
  </sheetData>
  <mergeCells count="3">
    <mergeCell ref="A4:F4"/>
    <mergeCell ref="A5:F5"/>
    <mergeCell ref="A6:F6"/>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0AA31-F214-4D7A-A519-48D1B89FEB37}">
  <dimension ref="A1:I55"/>
  <sheetViews>
    <sheetView topLeftCell="A22" workbookViewId="0">
      <selection activeCell="L68" sqref="L68"/>
    </sheetView>
  </sheetViews>
  <sheetFormatPr defaultRowHeight="14.5"/>
  <cols>
    <col min="1" max="1" width="22.54296875" customWidth="1"/>
    <col min="2" max="2" width="18.26953125" customWidth="1"/>
    <col min="3" max="3" width="14.54296875" customWidth="1"/>
    <col min="4" max="4" width="16.36328125" customWidth="1"/>
    <col min="5" max="5" width="15.7265625" customWidth="1"/>
    <col min="6" max="6" width="17" customWidth="1"/>
  </cols>
  <sheetData>
    <row r="1" spans="1:8" ht="15.75" customHeight="1">
      <c r="B1" s="2"/>
      <c r="C1" s="2"/>
      <c r="D1" s="2"/>
      <c r="E1" s="821" t="str">
        <f>[1]Status!C1</f>
        <v>UNEP/OzL.Pro/ExCom/94/3</v>
      </c>
      <c r="F1" s="821"/>
    </row>
    <row r="2" spans="1:8" ht="15.75" customHeight="1">
      <c r="B2" s="2"/>
      <c r="C2" s="2"/>
      <c r="D2" s="2"/>
      <c r="E2" s="2"/>
      <c r="F2" s="3" t="s">
        <v>182</v>
      </c>
    </row>
    <row r="3" spans="1:8" ht="15.75" customHeight="1">
      <c r="A3" s="2"/>
      <c r="B3" s="2"/>
      <c r="C3" s="2"/>
      <c r="D3" s="2"/>
      <c r="E3" s="2"/>
      <c r="F3" s="2"/>
    </row>
    <row r="4" spans="1:8" ht="20.25" customHeight="1">
      <c r="A4" s="822" t="s">
        <v>2</v>
      </c>
      <c r="B4" s="822"/>
      <c r="C4" s="822"/>
      <c r="D4" s="822"/>
      <c r="E4" s="822"/>
      <c r="F4" s="822"/>
      <c r="G4" s="235"/>
      <c r="H4" s="235"/>
    </row>
    <row r="5" spans="1:8" ht="20.25" customHeight="1">
      <c r="A5" s="823" t="s">
        <v>178</v>
      </c>
      <c r="B5" s="823"/>
      <c r="C5" s="823"/>
      <c r="D5" s="823"/>
      <c r="E5" s="823"/>
      <c r="F5" s="823"/>
    </row>
    <row r="6" spans="1:8" ht="20.25" customHeight="1" thickBot="1">
      <c r="A6" s="824" t="str">
        <f>[1]Status!A6</f>
        <v>As at 24/05/2024</v>
      </c>
      <c r="B6" s="824"/>
      <c r="C6" s="824"/>
      <c r="D6" s="824"/>
      <c r="E6" s="824"/>
      <c r="F6" s="824"/>
    </row>
    <row r="7" spans="1:8" ht="30.75" customHeight="1" thickBot="1">
      <c r="A7" s="236" t="s">
        <v>59</v>
      </c>
      <c r="B7" s="237" t="s">
        <v>60</v>
      </c>
      <c r="C7" s="237" t="s">
        <v>61</v>
      </c>
      <c r="D7" s="237" t="s">
        <v>62</v>
      </c>
      <c r="E7" s="237" t="s">
        <v>63</v>
      </c>
      <c r="F7" s="238" t="s">
        <v>64</v>
      </c>
    </row>
    <row r="8" spans="1:8" ht="18" customHeight="1">
      <c r="A8" s="239" t="s">
        <v>124</v>
      </c>
      <c r="B8" s="240">
        <v>2660143.14</v>
      </c>
      <c r="C8" s="240">
        <v>2660143.14</v>
      </c>
      <c r="D8" s="241">
        <v>129950</v>
      </c>
      <c r="E8" s="241"/>
      <c r="F8" s="242">
        <f t="shared" ref="F8:F52" si="0">B8-C8-D8-E8</f>
        <v>-129950</v>
      </c>
    </row>
    <row r="9" spans="1:8" ht="18" customHeight="1">
      <c r="A9" s="243" t="s">
        <v>67</v>
      </c>
      <c r="B9" s="244">
        <v>1435341.05</v>
      </c>
      <c r="C9" s="244">
        <v>1435341.05</v>
      </c>
      <c r="D9" s="245"/>
      <c r="E9" s="245"/>
      <c r="F9" s="242">
        <f t="shared" si="0"/>
        <v>0</v>
      </c>
    </row>
    <row r="10" spans="1:8" ht="18" customHeight="1">
      <c r="A10" s="246" t="s">
        <v>68</v>
      </c>
      <c r="B10" s="244">
        <v>8354.7199999999993</v>
      </c>
      <c r="C10" s="245"/>
      <c r="D10" s="245"/>
      <c r="E10" s="245"/>
      <c r="F10" s="242">
        <f t="shared" si="0"/>
        <v>8354.7199999999993</v>
      </c>
    </row>
    <row r="11" spans="1:8" ht="18" customHeight="1">
      <c r="A11" s="243" t="s">
        <v>69</v>
      </c>
      <c r="B11" s="244">
        <v>30077</v>
      </c>
      <c r="C11" s="245"/>
      <c r="D11" s="245"/>
      <c r="E11" s="245"/>
      <c r="F11" s="242">
        <f t="shared" si="0"/>
        <v>30077</v>
      </c>
    </row>
    <row r="12" spans="1:8" ht="18" customHeight="1">
      <c r="A12" s="243" t="s">
        <v>70</v>
      </c>
      <c r="B12" s="244">
        <v>1786239.33</v>
      </c>
      <c r="C12" s="244">
        <v>1786239.33</v>
      </c>
      <c r="D12" s="245"/>
      <c r="E12" s="245"/>
      <c r="F12" s="242">
        <f t="shared" si="0"/>
        <v>0</v>
      </c>
    </row>
    <row r="13" spans="1:8" ht="18" customHeight="1">
      <c r="A13" s="243" t="s">
        <v>71</v>
      </c>
      <c r="B13" s="244">
        <v>28406.05</v>
      </c>
      <c r="C13" s="244">
        <v>28406.05</v>
      </c>
      <c r="D13" s="245"/>
      <c r="E13" s="245"/>
      <c r="F13" s="242">
        <f t="shared" si="0"/>
        <v>0</v>
      </c>
    </row>
    <row r="14" spans="1:8" ht="18" customHeight="1">
      <c r="A14" s="243" t="s">
        <v>125</v>
      </c>
      <c r="B14" s="244">
        <v>4700365.99</v>
      </c>
      <c r="C14" s="245">
        <f>335641.5+3760292.79+47598+204977+9120</f>
        <v>4357629.29</v>
      </c>
      <c r="D14" s="245">
        <f>33900+47460+326005-7910-47598-9120</f>
        <v>342737</v>
      </c>
      <c r="E14" s="245"/>
      <c r="F14" s="242">
        <f t="shared" si="0"/>
        <v>-0.29999999981373549</v>
      </c>
    </row>
    <row r="15" spans="1:8" ht="18" customHeight="1">
      <c r="A15" s="243" t="s">
        <v>74</v>
      </c>
      <c r="B15" s="244">
        <v>65166.82</v>
      </c>
      <c r="C15" s="245">
        <f>6076.88+59089.94</f>
        <v>65166.82</v>
      </c>
      <c r="D15" s="245"/>
      <c r="E15" s="245"/>
      <c r="F15" s="242">
        <f t="shared" si="0"/>
        <v>0</v>
      </c>
    </row>
    <row r="16" spans="1:8" ht="18" customHeight="1">
      <c r="A16" s="243" t="s">
        <v>75</v>
      </c>
      <c r="B16" s="244">
        <v>305782.78999999998</v>
      </c>
      <c r="C16" s="244">
        <v>305782.78999999998</v>
      </c>
      <c r="D16" s="245"/>
      <c r="E16" s="245"/>
      <c r="F16" s="242">
        <f t="shared" si="0"/>
        <v>0</v>
      </c>
    </row>
    <row r="17" spans="1:9" ht="18" customHeight="1">
      <c r="A17" s="243" t="s">
        <v>76</v>
      </c>
      <c r="B17" s="244">
        <v>1199737.92</v>
      </c>
      <c r="C17" s="244">
        <v>1199737.92</v>
      </c>
      <c r="D17" s="245"/>
      <c r="E17" s="245"/>
      <c r="F17" s="242">
        <f t="shared" si="0"/>
        <v>0</v>
      </c>
    </row>
    <row r="18" spans="1:9" ht="18" customHeight="1">
      <c r="A18" s="243" t="s">
        <v>77</v>
      </c>
      <c r="B18" s="244">
        <v>20051.330000000002</v>
      </c>
      <c r="C18" s="244">
        <v>20051.330000000002</v>
      </c>
      <c r="D18" s="245"/>
      <c r="E18" s="245"/>
      <c r="F18" s="242">
        <f t="shared" si="0"/>
        <v>0</v>
      </c>
    </row>
    <row r="19" spans="1:9" ht="18" customHeight="1">
      <c r="A19" s="243" t="s">
        <v>78</v>
      </c>
      <c r="B19" s="244">
        <v>890613.25</v>
      </c>
      <c r="C19" s="244">
        <v>890613.25</v>
      </c>
      <c r="D19" s="245"/>
      <c r="E19" s="245"/>
      <c r="F19" s="242">
        <f t="shared" si="0"/>
        <v>0</v>
      </c>
    </row>
    <row r="20" spans="1:9" ht="18" customHeight="1">
      <c r="A20" s="243" t="s">
        <v>126</v>
      </c>
      <c r="B20" s="244">
        <v>10075793.43</v>
      </c>
      <c r="C20" s="247">
        <f>9342968+6196+2558+106492</f>
        <v>9458214</v>
      </c>
      <c r="D20" s="247">
        <f>641500+33900-6196-2558-106492</f>
        <v>560154</v>
      </c>
      <c r="E20" s="245"/>
      <c r="F20" s="242">
        <f t="shared" si="0"/>
        <v>57425.429999999702</v>
      </c>
    </row>
    <row r="21" spans="1:9" ht="18" customHeight="1">
      <c r="A21" s="243" t="s">
        <v>127</v>
      </c>
      <c r="B21" s="244">
        <v>14473718.52</v>
      </c>
      <c r="C21" s="245">
        <f>2412286.41+2412286.42+2412286.42+2412286.42+2412286.42+2412286.42-2465576</f>
        <v>12008142.51</v>
      </c>
      <c r="D21" s="245">
        <f>2894744+2465576</f>
        <v>5360320</v>
      </c>
      <c r="E21" s="244"/>
      <c r="F21" s="242">
        <f t="shared" si="0"/>
        <v>-2894743.99</v>
      </c>
    </row>
    <row r="22" spans="1:9" ht="18" customHeight="1">
      <c r="A22" s="243" t="s">
        <v>81</v>
      </c>
      <c r="B22" s="244">
        <v>885600.42</v>
      </c>
      <c r="C22" s="245"/>
      <c r="D22" s="245"/>
      <c r="E22" s="245"/>
      <c r="F22" s="242">
        <f t="shared" si="0"/>
        <v>885600.42</v>
      </c>
    </row>
    <row r="23" spans="1:9" ht="18" customHeight="1">
      <c r="A23" s="243" t="s">
        <v>83</v>
      </c>
      <c r="B23" s="244">
        <v>210538.97</v>
      </c>
      <c r="C23" s="244">
        <v>210538.97</v>
      </c>
      <c r="D23" s="245"/>
      <c r="E23" s="245"/>
      <c r="F23" s="242">
        <f t="shared" si="0"/>
        <v>0</v>
      </c>
    </row>
    <row r="24" spans="1:9" ht="18" customHeight="1">
      <c r="A24" s="243" t="s">
        <v>84</v>
      </c>
      <c r="B24" s="244">
        <v>56812.1</v>
      </c>
      <c r="C24" s="244">
        <v>56812.1</v>
      </c>
      <c r="D24" s="245"/>
      <c r="E24" s="245"/>
      <c r="F24" s="242">
        <f t="shared" si="0"/>
        <v>0</v>
      </c>
    </row>
    <row r="25" spans="1:9" ht="18" customHeight="1">
      <c r="A25" s="243" t="s">
        <v>128</v>
      </c>
      <c r="B25" s="244">
        <v>584830.46</v>
      </c>
      <c r="C25" s="244">
        <v>584830.46</v>
      </c>
      <c r="D25" s="245"/>
      <c r="E25" s="245"/>
      <c r="F25" s="242">
        <f t="shared" si="0"/>
        <v>0</v>
      </c>
    </row>
    <row r="26" spans="1:9" ht="18" customHeight="1">
      <c r="A26" s="243" t="s">
        <v>86</v>
      </c>
      <c r="B26" s="244">
        <v>780330.93</v>
      </c>
      <c r="C26" s="245"/>
      <c r="D26" s="245"/>
      <c r="E26" s="245"/>
      <c r="F26" s="242">
        <f t="shared" si="0"/>
        <v>780330.93</v>
      </c>
    </row>
    <row r="27" spans="1:9" ht="18" customHeight="1">
      <c r="A27" s="243" t="s">
        <v>87</v>
      </c>
      <c r="B27" s="244">
        <v>8162562.3399999999</v>
      </c>
      <c r="C27" s="245">
        <f>6530043.87+1632518.47-1632512</f>
        <v>6530050.3399999999</v>
      </c>
      <c r="D27" s="245">
        <v>1632512</v>
      </c>
      <c r="E27" s="245"/>
      <c r="F27" s="242">
        <f t="shared" si="0"/>
        <v>0</v>
      </c>
    </row>
    <row r="28" spans="1:9" ht="18" customHeight="1">
      <c r="A28" s="243" t="s">
        <v>129</v>
      </c>
      <c r="B28" s="244">
        <v>29362666.670000002</v>
      </c>
      <c r="C28" s="244">
        <f>29362666.67-790940</f>
        <v>28571726.670000002</v>
      </c>
      <c r="D28" s="245">
        <v>790940</v>
      </c>
      <c r="E28" s="245"/>
      <c r="F28" s="242">
        <f t="shared" si="0"/>
        <v>0</v>
      </c>
    </row>
    <row r="29" spans="1:9">
      <c r="A29" s="25" t="s">
        <v>89</v>
      </c>
      <c r="B29" s="119">
        <v>0</v>
      </c>
      <c r="C29" s="45">
        <v>0</v>
      </c>
      <c r="D29" s="99"/>
      <c r="E29" s="99"/>
      <c r="F29" s="97">
        <f t="shared" si="0"/>
        <v>0</v>
      </c>
      <c r="H29" s="52"/>
      <c r="I29" s="52"/>
    </row>
    <row r="30" spans="1:9" ht="18" customHeight="1">
      <c r="A30" s="243" t="s">
        <v>91</v>
      </c>
      <c r="B30" s="244">
        <v>25064.16</v>
      </c>
      <c r="C30" s="244">
        <v>25064.16</v>
      </c>
      <c r="D30" s="245"/>
      <c r="E30" s="245"/>
      <c r="F30" s="242">
        <f t="shared" si="0"/>
        <v>0</v>
      </c>
    </row>
    <row r="31" spans="1:9" ht="18" customHeight="1">
      <c r="A31" s="243" t="s">
        <v>92</v>
      </c>
      <c r="B31" s="244">
        <v>8354.7199999999993</v>
      </c>
      <c r="C31" s="244">
        <v>8354.7199999999993</v>
      </c>
      <c r="D31" s="245"/>
      <c r="E31" s="245"/>
      <c r="F31" s="242">
        <f t="shared" si="0"/>
        <v>0</v>
      </c>
    </row>
    <row r="32" spans="1:9" ht="18" customHeight="1">
      <c r="A32" s="243" t="s">
        <v>93</v>
      </c>
      <c r="B32" s="244">
        <v>40102.660000000003</v>
      </c>
      <c r="C32" s="244"/>
      <c r="D32" s="245"/>
      <c r="E32" s="245"/>
      <c r="F32" s="242">
        <f t="shared" si="0"/>
        <v>40102.660000000003</v>
      </c>
    </row>
    <row r="33" spans="1:6" ht="18" customHeight="1">
      <c r="A33" s="243" t="s">
        <v>94</v>
      </c>
      <c r="B33" s="244">
        <v>128662.7</v>
      </c>
      <c r="C33" s="244">
        <v>128662.7</v>
      </c>
      <c r="D33" s="245"/>
      <c r="E33" s="245"/>
      <c r="F33" s="242">
        <f t="shared" si="0"/>
        <v>0</v>
      </c>
    </row>
    <row r="34" spans="1:6" ht="18" customHeight="1">
      <c r="A34" s="243" t="s">
        <v>95</v>
      </c>
      <c r="B34" s="244">
        <v>23393.22</v>
      </c>
      <c r="C34" s="244">
        <v>23393.22</v>
      </c>
      <c r="D34" s="245"/>
      <c r="E34" s="245"/>
      <c r="F34" s="242">
        <f t="shared" si="0"/>
        <v>0</v>
      </c>
    </row>
    <row r="35" spans="1:6" ht="18" customHeight="1">
      <c r="A35" s="243" t="s">
        <v>96</v>
      </c>
      <c r="B35" s="244">
        <v>5012.83</v>
      </c>
      <c r="C35" s="244">
        <v>5012.83</v>
      </c>
      <c r="D35" s="245"/>
      <c r="E35" s="245"/>
      <c r="F35" s="242">
        <f t="shared" si="0"/>
        <v>0</v>
      </c>
    </row>
    <row r="36" spans="1:6" ht="18" customHeight="1">
      <c r="A36" s="243" t="s">
        <v>97</v>
      </c>
      <c r="B36" s="244">
        <v>2823895.67</v>
      </c>
      <c r="C36" s="244">
        <v>3400000</v>
      </c>
      <c r="D36" s="245"/>
      <c r="E36" s="245"/>
      <c r="F36" s="242">
        <f t="shared" si="0"/>
        <v>-576104.33000000007</v>
      </c>
    </row>
    <row r="37" spans="1:6" ht="18" customHeight="1">
      <c r="A37" s="243" t="s">
        <v>98</v>
      </c>
      <c r="B37" s="244">
        <v>369278.66</v>
      </c>
      <c r="C37" s="244">
        <v>369278.66</v>
      </c>
      <c r="D37" s="245"/>
      <c r="E37" s="245"/>
      <c r="F37" s="242">
        <f t="shared" si="0"/>
        <v>0</v>
      </c>
    </row>
    <row r="38" spans="1:6" ht="18" customHeight="1">
      <c r="A38" s="243" t="s">
        <v>99</v>
      </c>
      <c r="B38" s="244">
        <v>1134571.1000000001</v>
      </c>
      <c r="C38" s="244">
        <v>1134571.1000000001</v>
      </c>
      <c r="D38" s="245"/>
      <c r="E38" s="245"/>
      <c r="F38" s="242">
        <f t="shared" si="0"/>
        <v>0</v>
      </c>
    </row>
    <row r="39" spans="1:6" ht="18" customHeight="1">
      <c r="A39" s="243" t="s">
        <v>101</v>
      </c>
      <c r="B39" s="244">
        <v>770305.27</v>
      </c>
      <c r="C39" s="244">
        <f>350000+420305.27</f>
        <v>770305.27</v>
      </c>
      <c r="D39" s="245"/>
      <c r="E39" s="245"/>
      <c r="F39" s="242">
        <f t="shared" si="0"/>
        <v>0</v>
      </c>
    </row>
    <row r="40" spans="1:6" ht="18" customHeight="1">
      <c r="A40" s="243" t="s">
        <v>102</v>
      </c>
      <c r="B40" s="244">
        <v>785343.77</v>
      </c>
      <c r="C40" s="244">
        <v>785343.77</v>
      </c>
      <c r="D40" s="245"/>
      <c r="E40" s="245"/>
      <c r="F40" s="242">
        <f t="shared" si="0"/>
        <v>0</v>
      </c>
    </row>
    <row r="41" spans="1:6" ht="18" customHeight="1">
      <c r="A41" s="12" t="s">
        <v>103</v>
      </c>
      <c r="B41" s="210">
        <v>0</v>
      </c>
      <c r="C41" s="211">
        <v>0</v>
      </c>
      <c r="D41" s="211">
        <v>0</v>
      </c>
      <c r="E41" s="211">
        <v>0</v>
      </c>
      <c r="F41" s="209">
        <f t="shared" si="0"/>
        <v>0</v>
      </c>
    </row>
    <row r="42" spans="1:6" ht="18" customHeight="1">
      <c r="A42" s="243" t="s">
        <v>104</v>
      </c>
      <c r="B42" s="244">
        <v>1838038.6</v>
      </c>
      <c r="C42" s="245"/>
      <c r="D42" s="245"/>
      <c r="E42" s="245"/>
      <c r="F42" s="242">
        <f t="shared" si="0"/>
        <v>1838038.6</v>
      </c>
    </row>
    <row r="43" spans="1:6" ht="18" customHeight="1">
      <c r="A43" s="248" t="s">
        <v>107</v>
      </c>
      <c r="B43" s="244">
        <v>85218.15</v>
      </c>
      <c r="C43" s="244">
        <v>85218.15</v>
      </c>
      <c r="D43" s="245"/>
      <c r="E43" s="245"/>
      <c r="F43" s="242">
        <f t="shared" si="0"/>
        <v>0</v>
      </c>
    </row>
    <row r="44" spans="1:6" ht="18" customHeight="1">
      <c r="A44" s="243" t="s">
        <v>108</v>
      </c>
      <c r="B44" s="244">
        <v>137017.42000000001</v>
      </c>
      <c r="C44" s="244">
        <v>137017.42000000001</v>
      </c>
      <c r="D44" s="245"/>
      <c r="E44" s="245"/>
      <c r="F44" s="242">
        <f t="shared" si="0"/>
        <v>0</v>
      </c>
    </row>
    <row r="45" spans="1:6" ht="18" customHeight="1">
      <c r="A45" s="243" t="s">
        <v>110</v>
      </c>
      <c r="B45" s="244">
        <v>4210779.34</v>
      </c>
      <c r="C45" s="245">
        <f>140000+4076693.51-1514.17</f>
        <v>4215179.34</v>
      </c>
      <c r="D45" s="245"/>
      <c r="E45" s="245"/>
      <c r="F45" s="242">
        <f t="shared" si="0"/>
        <v>-4400</v>
      </c>
    </row>
    <row r="46" spans="1:6" ht="18" customHeight="1">
      <c r="A46" s="243" t="s">
        <v>130</v>
      </c>
      <c r="B46" s="244">
        <v>1667602.3</v>
      </c>
      <c r="C46" s="244">
        <v>1667602.3</v>
      </c>
      <c r="D46" s="245"/>
      <c r="E46" s="245"/>
      <c r="F46" s="242">
        <f t="shared" si="0"/>
        <v>0</v>
      </c>
    </row>
    <row r="47" spans="1:6" ht="18" customHeight="1">
      <c r="A47" s="243" t="s">
        <v>112</v>
      </c>
      <c r="B47" s="244">
        <v>2000120.19</v>
      </c>
      <c r="C47" s="245">
        <v>1603345.29</v>
      </c>
      <c r="D47" s="245">
        <v>400024</v>
      </c>
      <c r="E47" s="245"/>
      <c r="F47" s="242">
        <f t="shared" si="0"/>
        <v>-3249.1000000000931</v>
      </c>
    </row>
    <row r="48" spans="1:6" ht="18" customHeight="1">
      <c r="A48" s="243" t="s">
        <v>113</v>
      </c>
      <c r="B48" s="244">
        <v>1670.94</v>
      </c>
      <c r="C48" s="245"/>
      <c r="D48" s="245"/>
      <c r="E48" s="245"/>
      <c r="F48" s="242">
        <f t="shared" si="0"/>
        <v>1670.94</v>
      </c>
    </row>
    <row r="49" spans="1:6" ht="18" customHeight="1">
      <c r="A49" s="243" t="s">
        <v>115</v>
      </c>
      <c r="B49" s="244">
        <v>65166.82</v>
      </c>
      <c r="C49" s="245"/>
      <c r="D49" s="245"/>
      <c r="E49" s="245"/>
      <c r="F49" s="242">
        <f t="shared" si="0"/>
        <v>65166.82</v>
      </c>
    </row>
    <row r="50" spans="1:6" ht="18" customHeight="1">
      <c r="A50" s="243" t="s">
        <v>117</v>
      </c>
      <c r="B50" s="244">
        <v>10237875.01</v>
      </c>
      <c r="C50" s="244">
        <v>10237875.01</v>
      </c>
      <c r="D50" s="245"/>
      <c r="E50" s="244"/>
      <c r="F50" s="242">
        <f t="shared" si="0"/>
        <v>0</v>
      </c>
    </row>
    <row r="51" spans="1:6" ht="18" customHeight="1">
      <c r="A51" s="243" t="s">
        <v>118</v>
      </c>
      <c r="B51" s="244">
        <v>29362666.670000002</v>
      </c>
      <c r="C51" s="245">
        <f>19101321+5000000+2426289-1847943+2341500+2341500</f>
        <v>29362667</v>
      </c>
      <c r="D51" s="245"/>
      <c r="E51" s="245">
        <f>4683000-2341500-2341500</f>
        <v>0</v>
      </c>
      <c r="F51" s="242">
        <f t="shared" si="0"/>
        <v>-0.32999999821186066</v>
      </c>
    </row>
    <row r="52" spans="1:6" ht="18" customHeight="1" thickBot="1">
      <c r="A52" s="249" t="s">
        <v>119</v>
      </c>
      <c r="B52" s="244">
        <v>23393.22</v>
      </c>
      <c r="C52" s="250"/>
      <c r="D52" s="251"/>
      <c r="E52" s="252"/>
      <c r="F52" s="242">
        <f t="shared" si="0"/>
        <v>23393.22</v>
      </c>
    </row>
    <row r="53" spans="1:6" ht="18" customHeight="1" thickBot="1">
      <c r="A53" s="253" t="s">
        <v>122</v>
      </c>
      <c r="B53" s="254">
        <f>SUM(B8:B52)</f>
        <v>133466666.64999998</v>
      </c>
      <c r="C53" s="255">
        <f>SUM(C8:C52)</f>
        <v>124128316.95999999</v>
      </c>
      <c r="D53" s="256">
        <f>SUM(D8:D52)</f>
        <v>9216637</v>
      </c>
      <c r="E53" s="257">
        <f>SUM(E8:E52)</f>
        <v>0</v>
      </c>
      <c r="F53" s="258">
        <f>SUM(F8:F52)</f>
        <v>121712.6900000016</v>
      </c>
    </row>
    <row r="54" spans="1:6" ht="20.25" customHeight="1" thickBot="1">
      <c r="A54" s="259"/>
      <c r="B54" s="259"/>
      <c r="C54" s="259"/>
      <c r="D54" s="259"/>
      <c r="E54" s="259"/>
      <c r="F54" s="259"/>
    </row>
    <row r="55" spans="1:6" ht="20.25" customHeight="1" thickBot="1">
      <c r="A55" s="201" t="s">
        <v>133</v>
      </c>
      <c r="B55" s="202">
        <f>B10+B11+B13+B16+B18+B23+B30+B32+B39+B42+B43+B44+B48+B49+B52</f>
        <v>3589188.1</v>
      </c>
      <c r="C55" s="202">
        <f>C10+C11+C13+C16+C18+C23+C30+C32+C39+C42+C43+C44+C48+C49+C52</f>
        <v>1582384.14</v>
      </c>
      <c r="D55" s="202">
        <f>D10+D11+D13+D16+D18+D23+D30+D32+D39+D42+D43+D44+D48+D49+D52</f>
        <v>0</v>
      </c>
      <c r="E55" s="202">
        <f>E10+E11+E13+E16+E18+E23+E30+E32+E39+E42+E43+E44+E48+E49+E52</f>
        <v>0</v>
      </c>
      <c r="F55" s="260">
        <f>F10+F11+F13+F16+F18+F23+F30+F32+F39+F42+F43+F44+F48+F49+F52</f>
        <v>2006803.96</v>
      </c>
    </row>
  </sheetData>
  <mergeCells count="4">
    <mergeCell ref="E1:F1"/>
    <mergeCell ref="A4:F4"/>
    <mergeCell ref="A5:F5"/>
    <mergeCell ref="A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C962-6B5F-4D13-959D-A73B54BBAF01}">
  <sheetPr>
    <pageSetUpPr fitToPage="1"/>
  </sheetPr>
  <dimension ref="A1:R147"/>
  <sheetViews>
    <sheetView zoomScaleNormal="100" workbookViewId="0">
      <selection activeCell="B5" sqref="B5"/>
    </sheetView>
  </sheetViews>
  <sheetFormatPr defaultColWidth="9.7265625" defaultRowHeight="15" customHeight="1"/>
  <cols>
    <col min="1" max="1" width="9.7265625" style="229"/>
    <col min="2" max="2" width="24.54296875" style="229" customWidth="1"/>
    <col min="3" max="7" width="24.54296875" style="536" customWidth="1"/>
    <col min="8" max="8" width="24.54296875" style="537" customWidth="1"/>
    <col min="9" max="9" width="12.36328125" style="229" customWidth="1"/>
    <col min="10" max="10" width="19" style="229" bestFit="1" customWidth="1"/>
    <col min="11" max="11" width="14.54296875" style="229" customWidth="1"/>
    <col min="12" max="12" width="11" style="229" bestFit="1" customWidth="1"/>
    <col min="13" max="16384" width="9.7265625" style="229"/>
  </cols>
  <sheetData>
    <row r="1" spans="1:18" ht="18" customHeight="1">
      <c r="A1" s="596"/>
      <c r="B1" s="596" t="s">
        <v>260</v>
      </c>
      <c r="C1" s="597"/>
      <c r="D1" s="598"/>
      <c r="E1" s="598"/>
      <c r="F1" s="598"/>
      <c r="G1" s="598"/>
      <c r="H1" s="599"/>
      <c r="I1" s="596"/>
      <c r="J1" s="596"/>
      <c r="K1" s="596"/>
      <c r="L1" s="596"/>
      <c r="M1" s="596"/>
      <c r="N1" s="596"/>
      <c r="O1" s="596"/>
      <c r="P1" s="596"/>
    </row>
    <row r="2" spans="1:18" ht="18" customHeight="1">
      <c r="A2" s="596"/>
      <c r="B2" s="596" t="s">
        <v>0</v>
      </c>
      <c r="C2" s="600"/>
      <c r="D2" s="598"/>
      <c r="E2" s="598"/>
      <c r="F2" s="598"/>
      <c r="G2" s="598"/>
      <c r="H2" s="599"/>
      <c r="I2" s="596"/>
      <c r="J2" s="596"/>
      <c r="K2" s="596"/>
      <c r="L2" s="596"/>
      <c r="M2" s="596"/>
      <c r="N2" s="596"/>
      <c r="O2" s="596"/>
      <c r="P2" s="596"/>
    </row>
    <row r="3" spans="1:18" ht="18" customHeight="1">
      <c r="A3" s="596"/>
      <c r="B3" s="596" t="s">
        <v>58</v>
      </c>
      <c r="C3" s="600"/>
      <c r="D3" s="598"/>
      <c r="E3" s="598"/>
      <c r="F3" s="598"/>
      <c r="G3" s="599"/>
      <c r="H3" s="599"/>
      <c r="I3" s="596"/>
      <c r="J3" s="596"/>
      <c r="K3" s="596"/>
      <c r="L3" s="596"/>
      <c r="M3" s="596"/>
      <c r="N3" s="596"/>
      <c r="O3" s="596"/>
      <c r="P3" s="596"/>
    </row>
    <row r="4" spans="1:18" ht="15.75" customHeight="1">
      <c r="A4" s="596"/>
      <c r="B4" s="596"/>
      <c r="C4" s="600"/>
      <c r="D4" s="598"/>
      <c r="E4" s="598"/>
      <c r="F4" s="598"/>
      <c r="G4" s="601"/>
      <c r="H4" s="601"/>
      <c r="I4" s="596"/>
      <c r="J4" s="596"/>
      <c r="K4" s="596"/>
      <c r="L4" s="596"/>
      <c r="M4" s="596"/>
      <c r="N4" s="596"/>
      <c r="O4" s="596"/>
      <c r="P4" s="596"/>
    </row>
    <row r="5" spans="1:18" ht="15.75" customHeight="1">
      <c r="A5" s="596"/>
      <c r="B5" s="596"/>
      <c r="C5" s="600"/>
      <c r="D5" s="598"/>
      <c r="E5" s="598"/>
      <c r="F5" s="598"/>
      <c r="G5" s="599"/>
      <c r="H5" s="602"/>
      <c r="I5" s="596"/>
      <c r="J5" s="596"/>
      <c r="K5" s="596"/>
      <c r="L5" s="596"/>
      <c r="M5" s="596"/>
      <c r="N5" s="596"/>
      <c r="O5" s="596"/>
      <c r="P5" s="596"/>
    </row>
    <row r="6" spans="1:18" ht="15" customHeight="1">
      <c r="A6" s="596"/>
      <c r="B6" s="786" t="s">
        <v>282</v>
      </c>
      <c r="C6" s="786"/>
      <c r="D6" s="786"/>
      <c r="E6" s="786"/>
      <c r="F6" s="786"/>
      <c r="G6" s="786"/>
      <c r="H6" s="786"/>
      <c r="I6" s="596"/>
      <c r="J6" s="596"/>
      <c r="K6" s="596"/>
      <c r="L6" s="596"/>
      <c r="M6" s="596"/>
      <c r="N6" s="596"/>
      <c r="O6" s="596"/>
      <c r="P6" s="596"/>
    </row>
    <row r="7" spans="1:18" ht="15" customHeight="1">
      <c r="A7" s="596"/>
      <c r="B7" s="783" t="s">
        <v>284</v>
      </c>
      <c r="C7" s="783"/>
      <c r="D7" s="783"/>
      <c r="E7" s="783"/>
      <c r="F7" s="783"/>
      <c r="G7" s="783"/>
      <c r="H7" s="783"/>
      <c r="I7" s="596"/>
      <c r="J7" s="596"/>
      <c r="K7" s="596"/>
      <c r="L7" s="596"/>
      <c r="M7" s="596"/>
      <c r="N7" s="596"/>
      <c r="O7" s="596"/>
      <c r="P7" s="596"/>
    </row>
    <row r="8" spans="1:18" ht="15" customHeight="1">
      <c r="A8" s="596"/>
      <c r="B8" s="782" t="str">
        <f>[1]Status!A6</f>
        <v>As at 24/05/2024</v>
      </c>
      <c r="C8" s="782"/>
      <c r="D8" s="782"/>
      <c r="E8" s="782"/>
      <c r="F8" s="782"/>
      <c r="G8" s="782"/>
      <c r="H8" s="782"/>
      <c r="I8" s="596"/>
      <c r="J8" s="596"/>
      <c r="K8" s="596"/>
      <c r="L8" s="596"/>
      <c r="M8" s="596"/>
      <c r="N8" s="596"/>
      <c r="O8" s="596"/>
      <c r="P8" s="596"/>
    </row>
    <row r="9" spans="1:18" ht="15" customHeight="1" thickBot="1">
      <c r="A9" s="596"/>
      <c r="B9" s="603"/>
      <c r="C9" s="603"/>
      <c r="D9" s="603"/>
      <c r="E9" s="603"/>
      <c r="F9" s="603"/>
      <c r="G9" s="603"/>
      <c r="H9" s="603"/>
      <c r="I9" s="596"/>
      <c r="J9" s="596"/>
      <c r="K9" s="596"/>
      <c r="L9" s="596"/>
      <c r="M9" s="596"/>
      <c r="N9" s="596"/>
      <c r="O9" s="596"/>
      <c r="P9" s="596"/>
    </row>
    <row r="10" spans="1:18" ht="46.5" customHeight="1" thickBot="1">
      <c r="A10" s="596"/>
      <c r="B10" s="604" t="s">
        <v>59</v>
      </c>
      <c r="C10" s="563" t="s">
        <v>60</v>
      </c>
      <c r="D10" s="563" t="s">
        <v>61</v>
      </c>
      <c r="E10" s="563" t="s">
        <v>62</v>
      </c>
      <c r="F10" s="563" t="s">
        <v>63</v>
      </c>
      <c r="G10" s="563" t="s">
        <v>64</v>
      </c>
      <c r="H10" s="566" t="s">
        <v>288</v>
      </c>
      <c r="I10" s="596"/>
      <c r="J10" s="605"/>
      <c r="K10" s="605"/>
      <c r="L10" s="605"/>
      <c r="M10" s="605"/>
      <c r="N10" s="605"/>
      <c r="O10" s="605"/>
      <c r="P10" s="605"/>
      <c r="Q10" s="22"/>
      <c r="R10" s="22"/>
    </row>
    <row r="11" spans="1:18" ht="15" customHeight="1">
      <c r="A11" s="596"/>
      <c r="B11" s="606" t="s">
        <v>65</v>
      </c>
      <c r="C11" s="607">
        <f>YR2009_11!B9+YR2012_14!B9+YR2015_17!B9+YR2018_20!B9+YR2021_23!B9+'2024-26 Contributions'!C11</f>
        <v>218306.49</v>
      </c>
      <c r="D11" s="607">
        <f>YR2009_11!C9+YR2012_14!C9+YR2015_17!C9+YR2018_20!C9+YR2021_23!C9+'2024-26 Contributions'!D11</f>
        <v>218306.49</v>
      </c>
      <c r="E11" s="607">
        <f>YR2009_11!D9+YR2012_14!D9+YR2015_17!D9+YR2018_20!D9+YR2021_23!D9+'2024-26 Contributions'!E11</f>
        <v>0</v>
      </c>
      <c r="F11" s="607">
        <f>YR2009_11!E9+YR2012_14!E9+YR2015_17!E9+YR2018_20!E9+YR2021_23!E9+'2024-26 Contributions'!F11</f>
        <v>0</v>
      </c>
      <c r="G11" s="607">
        <f>YR2009_11!F9+YR2012_14!F9+YR2015_17!F9+YR2018_20!F9+YR2021_23!F9+'2024-26 Contributions'!G11</f>
        <v>0</v>
      </c>
      <c r="H11" s="608">
        <v>0</v>
      </c>
      <c r="I11" s="596"/>
      <c r="J11" s="596"/>
      <c r="K11" s="596"/>
      <c r="L11" s="596"/>
      <c r="M11" s="596"/>
      <c r="N11" s="596"/>
      <c r="O11" s="596"/>
      <c r="P11" s="596"/>
    </row>
    <row r="12" spans="1:18" ht="15" customHeight="1">
      <c r="A12" s="596"/>
      <c r="B12" s="543" t="s">
        <v>66</v>
      </c>
      <c r="C12" s="571">
        <f>YR1991_93!B8+YR1994_96!B8+YR1997_99!B8+YR2000_02!B8+YR2003_05!B8+YR2006_08!B9+YR2009_11!B10+YR2012_14!B10+YR2015_17!B10+YR2018_20!B10+YR2021_23!B10+'2024-26 Contributions'!C12</f>
        <v>117486861.56</v>
      </c>
      <c r="D12" s="571">
        <f>YR1991_93!C8+YR1994_96!C8+YR1997_99!C8+YR2000_02!C8+YR2003_05!C8+YR2006_08!C9+YR2009_11!C10+YR2012_14!C10+YR2015_17!C10+YR2018_20!C10+YR2021_23!C10+'2024-26 Contributions'!D12</f>
        <v>116861570.558</v>
      </c>
      <c r="E12" s="571">
        <f>YR1991_93!D8+YR1994_96!D8+YR1997_99!D8+YR2000_02!D8+YR2003_05!D8+YR2006_08!D9+YR2009_11!D10+YR2012_14!D10+YR2015_17!D10+YR2018_20!D10+YR2021_23!D10+'2024-26 Contributions'!E12</f>
        <v>2584559</v>
      </c>
      <c r="F12" s="571">
        <f>YR1991_93!E8+YR1994_96!E8+YR1997_99!E8+YR2000_02!E8+YR2003_05!E8+YR2006_08!E9+YR2009_11!E10+YR2012_14!E10+YR2015_17!E10+YR2018_20!E10+YR2021_23!E10+'2024-26 Contributions'!F12</f>
        <v>0</v>
      </c>
      <c r="G12" s="571">
        <f>YR1991_93!F8+YR1994_96!F8+YR1997_99!F8+YR2000_02!F8+YR2003_05!F8+YR2006_08!F9+YR2009_11!F10+YR2012_14!F10+YR2015_17!F10+YR2018_20!F10+YR2021_23!F10+'2024-26 Contributions'!G12</f>
        <v>-1959267.9979999997</v>
      </c>
      <c r="H12" s="609">
        <f>[3]Summary!$D$100</f>
        <v>2612082.1424330585</v>
      </c>
      <c r="I12" s="596"/>
      <c r="J12" s="596"/>
      <c r="K12" s="596"/>
      <c r="L12" s="596"/>
      <c r="M12" s="596"/>
      <c r="N12" s="596"/>
      <c r="O12" s="596"/>
      <c r="P12" s="596"/>
    </row>
    <row r="13" spans="1:18" ht="15" customHeight="1">
      <c r="A13" s="596"/>
      <c r="B13" s="543" t="s">
        <v>67</v>
      </c>
      <c r="C13" s="571">
        <f>YR1991_93!B9+YR1994_96!B9+YR1997_99!B9+YR2000_02!B9+YR2003_05!B9+YR2006_08!B10+YR2009_11!B11+YR2012_14!B11+YR2015_17!B11+YR2018_20!B11+YR2021_23!B11+'2024-26 Contributions'!C13</f>
        <v>51737968.720000006</v>
      </c>
      <c r="D13" s="571">
        <f>YR1991_93!C9+YR1994_96!C9+YR1997_99!C9+YR2000_02!C9+YR2003_05!C9+YR2006_08!C10+YR2009_11!C11+YR2012_14!C11+YR2015_17!C11+YR2018_20!C11+YR2021_23!C11+'2024-26 Contributions'!D13</f>
        <v>48903637.190000005</v>
      </c>
      <c r="E13" s="571">
        <f>YR1991_93!D9+YR1994_96!D9+YR1997_99!D9+YR2000_02!D9+YR2003_05!D9+YR2006_08!D10+YR2009_11!D11+YR2012_14!D11+YR2015_17!D11+YR2018_20!D11+YR2021_23!D11+'2024-26 Contributions'!E13</f>
        <v>523623</v>
      </c>
      <c r="F13" s="571">
        <f>YR1991_93!E9+YR1994_96!E9+YR1997_99!E9+YR2000_02!E9+YR2003_05!E9+YR2006_08!E10+YR2009_11!E11+YR2012_14!E11+YR2015_17!E11+YR2018_20!E11+YR2021_23!E11+'2024-26 Contributions'!F13</f>
        <v>0</v>
      </c>
      <c r="G13" s="571">
        <f>YR1991_93!F9+YR1994_96!F9+YR1997_99!F9+YR2000_02!F9+YR2003_05!F9+YR2006_08!F10+YR2009_11!F11+YR2012_14!F11+YR2015_17!F11+YR2018_20!F11+YR2021_23!F11+'2024-26 Contributions'!G13</f>
        <v>2310708.5300000003</v>
      </c>
      <c r="H13" s="609">
        <f>[3]Summary!$D$101</f>
        <v>517558.62613258261</v>
      </c>
      <c r="I13" s="596"/>
      <c r="J13" s="596"/>
      <c r="K13" s="596"/>
      <c r="L13" s="596"/>
      <c r="M13" s="596"/>
      <c r="N13" s="596"/>
      <c r="O13" s="596"/>
      <c r="P13" s="596"/>
    </row>
    <row r="14" spans="1:18" ht="15" customHeight="1">
      <c r="A14" s="596"/>
      <c r="B14" s="544" t="s">
        <v>68</v>
      </c>
      <c r="C14" s="571">
        <f>YR1991_93!B10+YR1994_96!B10+YR1997_99!B10+YR2000_02!B10+YR2003_05!B10+YR2006_08!B11+YR2009_11!B12+YR2012_14!B12+YR2015_17!B12+YR2018_20!B12+YR2021_23!B12+'2024-26 Contributions'!C14</f>
        <v>2137413.9949468016</v>
      </c>
      <c r="D14" s="571">
        <f>YR1991_93!C10+YR1994_96!C10+YR1997_99!C10+YR2000_02!C10+YR2003_05!C10+YR2006_08!C11+YR2009_11!C12+YR2012_14!C12+YR2015_17!C12+YR2018_20!C12+YR2021_23!C12+'2024-26 Contributions'!D14</f>
        <v>311682.67</v>
      </c>
      <c r="E14" s="571">
        <f>YR1991_93!D10+YR1994_96!D10+YR1997_99!D10+YR2000_02!D10+YR2003_05!D10+YR2006_08!D11+YR2009_11!D12+YR2012_14!D12+YR2015_17!D12+YR2018_20!D12+YR2021_23!D12+'2024-26 Contributions'!E14</f>
        <v>0</v>
      </c>
      <c r="F14" s="571">
        <f>YR1991_93!E10+YR1994_96!E10+YR1997_99!E10+YR2000_02!E10+YR2003_05!E10+YR2006_08!E11+YR2009_11!E12+YR2012_14!E12+YR2015_17!E12+YR2018_20!E12+YR2021_23!E12+'2024-26 Contributions'!F14</f>
        <v>0</v>
      </c>
      <c r="G14" s="571">
        <f>YR1991_93!F10+YR1994_96!F10+YR1997_99!F10+YR2000_02!F10+YR2003_05!F10+YR2006_08!F11+YR2009_11!F12+YR2012_14!F12+YR2015_17!F12+YR2018_20!F12+YR2021_23!F12+'2024-26 Contributions'!G14</f>
        <v>1825731.3249468016</v>
      </c>
      <c r="H14" s="609">
        <v>0</v>
      </c>
      <c r="I14" s="596"/>
      <c r="J14" s="596"/>
      <c r="K14" s="596"/>
      <c r="L14" s="596"/>
      <c r="M14" s="596"/>
      <c r="N14" s="596"/>
      <c r="O14" s="596"/>
      <c r="P14" s="596"/>
    </row>
    <row r="15" spans="1:18" ht="15" customHeight="1">
      <c r="A15" s="596"/>
      <c r="B15" s="543" t="s">
        <v>69</v>
      </c>
      <c r="C15" s="571">
        <f>YR1991_93!B11+YR1994_96!B11+YR1997_99!B11+YR2000_02!B11+YR2003_05!B11+YR2006_08!B12+YR2009_11!B13+YR2012_14!B13+YR2015_17!B13+YR2018_20!B13+YR2021_23!B13+'2024-26 Contributions'!C15</f>
        <v>4338659.1400000006</v>
      </c>
      <c r="D15" s="571">
        <f>YR1991_93!C11+YR1994_96!C11+YR1997_99!C11+YR2000_02!C11+YR2003_05!C11+YR2006_08!C12+YR2009_11!C13+YR2012_14!C13+YR2015_17!C13+YR2018_20!C13+YR2021_23!C13+'2024-26 Contributions'!D15</f>
        <v>1069991</v>
      </c>
      <c r="E15" s="571">
        <f>YR1991_93!D11+YR1994_96!D11+YR1997_99!D11+YR2000_02!D11+YR2003_05!D11+YR2006_08!D12+YR2009_11!D13+YR2012_14!D13+YR2015_17!D13+YR2018_20!D13+YR2021_23!D13+'2024-26 Contributions'!E15</f>
        <v>0</v>
      </c>
      <c r="F15" s="571">
        <f>YR1991_93!E11+YR1994_96!E11+YR1997_99!E11+YR2000_02!E11+YR2003_05!E11+YR2006_08!E12+YR2009_11!E13+YR2012_14!E13+YR2015_17!E13+YR2018_20!E13+YR2021_23!E13+'2024-26 Contributions'!F15</f>
        <v>0</v>
      </c>
      <c r="G15" s="571">
        <f>YR1991_93!F11+YR1994_96!F11+YR1997_99!F11+YR2000_02!F11+YR2003_05!F11+YR2006_08!F12+YR2009_11!F13+YR2012_14!F13+YR2015_17!F13+YR2018_20!F13+YR2021_23!F13+'2024-26 Contributions'!G15</f>
        <v>3268668.14</v>
      </c>
      <c r="H15" s="609">
        <v>0</v>
      </c>
      <c r="I15" s="596"/>
      <c r="J15" s="596"/>
      <c r="K15" s="596"/>
      <c r="L15" s="596"/>
      <c r="M15" s="596"/>
      <c r="N15" s="596"/>
      <c r="O15" s="596"/>
      <c r="P15" s="596"/>
    </row>
    <row r="16" spans="1:18" ht="15" customHeight="1">
      <c r="A16" s="596"/>
      <c r="B16" s="543" t="s">
        <v>70</v>
      </c>
      <c r="C16" s="571">
        <f>YR1991_93!B12+YR1994_96!B12+YR1997_99!B12+YR2000_02!B12+YR2003_05!B12+YR2006_08!B13+YR2009_11!B14+YR2012_14!B14+YR2015_17!B14+YR2018_20!B14+YR2021_23!B14+'2024-26 Contributions'!C16</f>
        <v>64038772.370000005</v>
      </c>
      <c r="D16" s="571">
        <f>YR1991_93!C12+YR1994_96!C12+YR1997_99!C12+YR2000_02!C12+YR2003_05!C12+YR2006_08!C13+YR2009_11!C14+YR2012_14!C14+YR2015_17!C14+YR2018_20!C14+YR2021_23!C14+'2024-26 Contributions'!D16</f>
        <v>61580941.700000003</v>
      </c>
      <c r="E16" s="571">
        <f>YR1991_93!D12+YR1994_96!D12+YR1997_99!D12+YR2000_02!D12+YR2003_05!D12+YR2006_08!D13+YR2009_11!D14+YR2012_14!D14+YR2015_17!D14+YR2018_20!D14+YR2021_23!D14+'2024-26 Contributions'!E16</f>
        <v>0</v>
      </c>
      <c r="F16" s="571">
        <f>YR1991_93!E12+YR1994_96!E12+YR1997_99!E12+YR2000_02!E12+YR2003_05!E12+YR2006_08!E13+YR2009_11!E14+YR2012_14!E14+YR2015_17!E14+YR2018_20!E14+YR2021_23!E14+'2024-26 Contributions'!F16</f>
        <v>0</v>
      </c>
      <c r="G16" s="571">
        <f>YR1991_93!F12+YR1994_96!F12+YR1997_99!F12+YR2000_02!F12+YR2003_05!F12+YR2006_08!F13+YR2009_11!F14+YR2012_14!F14+YR2015_17!F14+YR2018_20!F14+YR2021_23!F14+'2024-26 Contributions'!G16</f>
        <v>2457830.67</v>
      </c>
      <c r="H16" s="609">
        <f>[4]Summary!$D$102</f>
        <v>2544028.0918142796</v>
      </c>
      <c r="I16" s="596"/>
      <c r="J16" s="596"/>
      <c r="K16" s="596"/>
      <c r="L16" s="596"/>
      <c r="M16" s="596"/>
      <c r="N16" s="596"/>
      <c r="O16" s="596"/>
      <c r="P16" s="596"/>
    </row>
    <row r="17" spans="1:16" ht="15" customHeight="1">
      <c r="A17" s="596"/>
      <c r="B17" s="543" t="s">
        <v>71</v>
      </c>
      <c r="C17" s="571">
        <f>YR1991_93!B14+YR1994_96!B14+YR1997_99!B14+YR2000_02!B13+YR2003_05!B13+YR2006_08!B14+YR2009_11!B15+YR2012_14!B15+YR2015_17!B15+YR2018_20!B15+YR2021_23!B15+'2024-26 Contributions'!C17</f>
        <v>2593621.08</v>
      </c>
      <c r="D17" s="571">
        <f>YR1991_93!C14+YR1994_96!C14+YR1997_99!C14+YR2000_02!C13+YR2003_05!C13+YR2006_08!C14+YR2009_11!C15+YR2012_14!C15+YR2015_17!C15+YR2018_20!C15+YR2021_23!C15+'2024-26 Contributions'!D17</f>
        <v>2427391.08</v>
      </c>
      <c r="E17" s="571">
        <f>YR1991_93!D14+YR1994_96!D14+YR1997_99!D14+YR2000_02!D13+YR2003_05!D13+YR2006_08!D14+YR2009_11!D15+YR2012_14!D15+YR2015_17!D15+YR2018_20!D15+YR2021_23!D15+'2024-26 Contributions'!E17</f>
        <v>0</v>
      </c>
      <c r="F17" s="571">
        <f>YR1991_93!E14+YR1994_96!E14+YR1997_99!E14+YR2000_02!E13+YR2003_05!E13+YR2006_08!E14+YR2009_11!E15+YR2012_14!E15+YR2015_17!E15+YR2018_20!E15+YR2021_23!E15+'2024-26 Contributions'!F17</f>
        <v>0</v>
      </c>
      <c r="G17" s="571">
        <f>YR1991_93!F14+YR1994_96!F14+YR1997_99!F14+YR2000_02!F13+YR2003_05!F13+YR2006_08!F14+YR2009_11!F15+YR2012_14!F15+YR2015_17!F15+YR2018_20!F15+YR2021_23!F15+'2024-26 Contributions'!G17</f>
        <v>166230</v>
      </c>
      <c r="H17" s="609">
        <v>0</v>
      </c>
      <c r="I17" s="596"/>
      <c r="J17" s="610"/>
      <c r="K17" s="596"/>
      <c r="L17" s="596"/>
      <c r="M17" s="596"/>
      <c r="N17" s="596"/>
      <c r="O17" s="596"/>
      <c r="P17" s="596"/>
    </row>
    <row r="18" spans="1:16" ht="15" customHeight="1">
      <c r="A18" s="596"/>
      <c r="B18" s="543" t="s">
        <v>72</v>
      </c>
      <c r="C18" s="571">
        <f>YR1991_93!B15+YR1994_96!B15+YR1997_99!B15+YR2000_02!B14+YR2003_05!B14+YR2006_08!B15+YR2009_11!B16+YR2012_14!B16+YR2015_17!B16+YR2018_20!B16+YR2021_23!B16+'2024-26 Contributions'!C18</f>
        <v>184964833.69999999</v>
      </c>
      <c r="D18" s="571">
        <f>YR1991_93!C15+YR1994_96!C15+YR1997_99!C15+YR2000_02!C14+YR2003_05!C14+YR2006_08!C15+YR2009_11!C16+YR2012_14!C16+YR2015_17!C16+YR2018_20!C16+YR2021_23!C16+'2024-26 Contributions'!D18</f>
        <v>166260836.25021628</v>
      </c>
      <c r="E18" s="571">
        <f>YR1991_93!D15+YR1994_96!D15+YR1997_99!D15+YR2000_02!D14+YR2003_05!D14+YR2006_08!D15+YR2009_11!D16+YR2012_14!D16+YR2015_17!D16+YR2018_20!D16+YR2021_23!D16+'2024-26 Contributions'!E18</f>
        <v>10802182.1</v>
      </c>
      <c r="F18" s="571">
        <f>YR1991_93!E15+YR1994_96!E15+YR1997_99!E15+YR2000_02!E14+YR2003_05!E14+YR2006_08!E15+YR2009_11!E16+YR2012_14!E16+YR2015_17!E16+YR2018_20!E16+YR2021_23!E16+'2024-26 Contributions'!F18</f>
        <v>0</v>
      </c>
      <c r="G18" s="571">
        <f>YR1991_93!F15+YR1994_96!F15+YR1997_99!F15+YR2000_02!F14+YR2003_05!F14+YR2006_08!F15+YR2009_11!F16+YR2012_14!F16+YR2015_17!F16+YR2018_20!F16+YR2021_23!F16+'2024-26 Contributions'!G18</f>
        <v>7901815.3497837223</v>
      </c>
      <c r="H18" s="609">
        <f>[3]Summary!$D$103</f>
        <v>-1070816.9367961115</v>
      </c>
      <c r="I18" s="611"/>
      <c r="J18" s="610"/>
      <c r="K18" s="596"/>
      <c r="L18" s="596"/>
      <c r="M18" s="596"/>
      <c r="N18" s="596"/>
      <c r="O18" s="596"/>
      <c r="P18" s="596"/>
    </row>
    <row r="19" spans="1:16" ht="15" customHeight="1">
      <c r="A19" s="596"/>
      <c r="B19" s="543" t="s">
        <v>73</v>
      </c>
      <c r="C19" s="571">
        <f>YR2012_14!B17+YR2015_17!B17+YR2018_20!B17+YR2021_23!B17+'2024-26 Contributions'!C19</f>
        <v>2547512.94</v>
      </c>
      <c r="D19" s="571">
        <f>YR2012_14!C17+YR2015_17!C17+YR2018_20!C17+YR2021_23!C17+'2024-26 Contributions'!D19</f>
        <v>2277389.38</v>
      </c>
      <c r="E19" s="571">
        <f>YR2012_14!D17+YR2015_17!D17+YR2018_20!D17+YR2021_23!D17+'2024-26 Contributions'!E19</f>
        <v>0</v>
      </c>
      <c r="F19" s="571">
        <f>YR2012_14!E17+YR2015_17!E17+YR2018_20!E17+YR2021_23!E17+'2024-26 Contributions'!F19</f>
        <v>0</v>
      </c>
      <c r="G19" s="571">
        <f>YR2012_14!F17+YR2015_17!F17+YR2018_20!F17+YR2021_23!F17+'2024-26 Contributions'!G19</f>
        <v>270123.56000000006</v>
      </c>
      <c r="H19" s="609">
        <f>[3]Summary!$D$104</f>
        <v>179764.44969109265</v>
      </c>
      <c r="I19" s="596"/>
      <c r="J19" s="596"/>
      <c r="K19" s="596"/>
      <c r="L19" s="596"/>
      <c r="M19" s="596"/>
      <c r="N19" s="596"/>
      <c r="O19" s="596"/>
      <c r="P19" s="596"/>
    </row>
    <row r="20" spans="1:16" ht="15" customHeight="1">
      <c r="A20" s="596"/>
      <c r="B20" s="543" t="s">
        <v>74</v>
      </c>
      <c r="C20" s="571">
        <f>YR1991_93!B16+YR1994_96!B16+YR1997_99!B16+YR2006_08!B16+YR2009_11!B17+YR2012_14!B18+YR2015_17!B18+YR2018_20!B18+YR2021_23!B18+'2024-26 Contributions'!C20</f>
        <v>1790019.25</v>
      </c>
      <c r="D20" s="571">
        <f>YR1991_93!C16+YR1994_96!C16+YR1997_99!C16+YR2006_08!C16+YR2009_11!C17+YR2012_14!C18+YR2015_17!C18+YR2018_20!C18+YR2021_23!C18+'2024-26 Contributions'!D20</f>
        <v>1683157.27</v>
      </c>
      <c r="E20" s="571">
        <f>YR1991_93!D16+YR1994_96!D16+YR1997_99!D16+YR2006_08!D16+YR2009_11!D17+YR2012_14!D18+YR2015_17!D18+YR2018_20!D18+YR2021_23!D18+'2024-26 Contributions'!E20</f>
        <v>0</v>
      </c>
      <c r="F20" s="571">
        <f>YR1991_93!E16+YR1994_96!E16+YR1997_99!E16+YR2006_08!E16+YR2009_11!E17+YR2012_14!E18+YR2015_17!E18+YR2018_20!E18+YR2021_23!E18+'2024-26 Contributions'!F20</f>
        <v>0</v>
      </c>
      <c r="G20" s="571">
        <f>YR1991_93!F16+YR1994_96!F16+YR1997_99!F16+YR2006_08!F16+YR2009_11!F17+YR2012_14!F18+YR2015_17!F18+YR2018_20!F18+YR2021_23!F18+'2024-26 Contributions'!G20</f>
        <v>106861.97999999998</v>
      </c>
      <c r="H20" s="609">
        <f>[3]Summary!$D$105</f>
        <v>50507.634293122384</v>
      </c>
      <c r="I20" s="596"/>
      <c r="J20" s="596"/>
      <c r="K20" s="596"/>
      <c r="L20" s="596"/>
      <c r="M20" s="596"/>
      <c r="N20" s="596"/>
      <c r="O20" s="596"/>
      <c r="P20" s="596"/>
    </row>
    <row r="21" spans="1:16" ht="15" customHeight="1">
      <c r="A21" s="596"/>
      <c r="B21" s="543" t="s">
        <v>75</v>
      </c>
      <c r="C21" s="571">
        <f>YR1991_93!B17+YR1994_96!B17+YR1997_99!B17+YR2000_02!B15+YR2003_05!B15+YR2006_08!B17+YR2009_11!B18+YR2012_14!B19+YR2015_17!B19+YR2018_20!B19+YR2021_23!B19+'2024-26 Contributions'!C21</f>
        <v>18219049.199999999</v>
      </c>
      <c r="D21" s="571">
        <f>YR1991_93!C17+YR1994_96!C17+YR1997_99!C17+YR2000_02!C15+YR2003_05!C15+YR2006_08!C17+YR2009_11!C18+YR2012_14!C19+YR2015_17!C19+YR2018_20!C19+YR2021_23!C19+'2024-26 Contributions'!D21</f>
        <v>16932861.859999999</v>
      </c>
      <c r="E21" s="571">
        <f>YR1991_93!D17+YR1994_96!D17+YR1997_99!D17+YR2000_02!D15+YR2003_05!D15+YR2006_08!D17+YR2009_11!D18+YR2012_14!D19+YR2015_17!D19+YR2018_20!D19+YR2021_23!D19+'2024-26 Contributions'!E21</f>
        <v>276933</v>
      </c>
      <c r="F21" s="571">
        <f>YR1991_93!E17+YR1994_96!E17+YR1997_99!E17+YR2000_02!E15+YR2003_05!E15+YR2006_08!E17+YR2009_11!E18+YR2012_14!E19+YR2015_17!E19+YR2018_20!E19+YR2021_23!E19+'2024-26 Contributions'!F21</f>
        <v>0</v>
      </c>
      <c r="G21" s="571">
        <f>YR1991_93!F17+YR1994_96!F17+YR1997_99!F17+YR2000_02!F15+YR2003_05!F15+YR2006_08!F17+YR2009_11!F18+YR2012_14!F19+YR2015_17!F19+YR2018_20!F19+YR2021_23!F19+'2024-26 Contributions'!G21</f>
        <v>1009254.3399999999</v>
      </c>
      <c r="H21" s="609">
        <f>[3]Summary!$D$106</f>
        <v>726084.80068758852</v>
      </c>
      <c r="I21" s="596"/>
      <c r="J21" s="596"/>
      <c r="K21" s="596"/>
      <c r="L21" s="596"/>
      <c r="M21" s="596"/>
      <c r="N21" s="596"/>
      <c r="O21" s="596"/>
      <c r="P21" s="596"/>
    </row>
    <row r="22" spans="1:16" ht="15" customHeight="1">
      <c r="A22" s="596"/>
      <c r="B22" s="543" t="s">
        <v>76</v>
      </c>
      <c r="C22" s="571">
        <f>YR1991_93!B18+YR1994_96!B18+YR1997_99!B18+YR2000_02!B16+YR2003_05!B16+YR2006_08!B18+YR2009_11!B19+YR2012_14!B20+YR2015_17!B20+YR2018_20!B20+YR2021_23!B20+'2024-26 Contributions'!C22</f>
        <v>42590146.019999996</v>
      </c>
      <c r="D22" s="571">
        <f>YR1991_93!C18+YR1994_96!C18+YR1997_99!C18+YR2000_02!C16+YR2003_05!C16+YR2006_08!C18+YR2009_11!C19+YR2012_14!C20+YR2015_17!C20+YR2018_20!C20+YR2021_23!C20+'2024-26 Contributions'!D22</f>
        <v>40787570.719999999</v>
      </c>
      <c r="E22" s="571">
        <f>YR1991_93!D18+YR1994_96!D18+YR1997_99!D18+YR2000_02!D16+YR2003_05!D16+YR2006_08!D18+YR2009_11!D19+YR2012_14!D20+YR2015_17!D20+YR2018_20!D20+YR2021_23!D20+'2024-26 Contributions'!E22</f>
        <v>161053</v>
      </c>
      <c r="F22" s="571">
        <f>YR1991_93!E18+YR1994_96!E18+YR1997_99!E18+YR2000_02!E16+YR2003_05!E16+YR2006_08!E18+YR2009_11!E19+YR2012_14!E20+YR2015_17!E20+YR2018_20!E20+YR2021_23!E20+'2024-26 Contributions'!F22</f>
        <v>0</v>
      </c>
      <c r="G22" s="571">
        <f>YR1991_93!F18+YR1994_96!F18+YR1997_99!F18+YR2000_02!F16+YR2003_05!F16+YR2006_08!F18+YR2009_11!F19+YR2012_14!F20+YR2015_17!F20+YR2018_20!F20+YR2021_23!F20+'2024-26 Contributions'!G22</f>
        <v>1641522.3000000007</v>
      </c>
      <c r="H22" s="609">
        <f>[3]Summary!$D$107</f>
        <v>4379.2182163185207</v>
      </c>
      <c r="I22" s="596"/>
      <c r="J22" s="596"/>
      <c r="K22" s="596"/>
      <c r="L22" s="596"/>
      <c r="M22" s="596"/>
      <c r="N22" s="596"/>
      <c r="O22" s="596"/>
      <c r="P22" s="596"/>
    </row>
    <row r="23" spans="1:16" ht="15" customHeight="1">
      <c r="A23" s="596"/>
      <c r="B23" s="543" t="s">
        <v>77</v>
      </c>
      <c r="C23" s="571">
        <f>YR1991_93!B19+YR1994_96!B19+YR1997_99!B19+YR2000_02!B17+YR2003_05!B17+YR2006_08!B19+YR2009_11!B20+YR2012_14!B21+YR2015_17!B21+YR2018_20!B21+YR2021_23!B21+'2024-26 Contributions'!C23</f>
        <v>1439613.46</v>
      </c>
      <c r="D23" s="571">
        <f>YR1991_93!C19+YR1994_96!C19+YR1997_99!C19+YR2000_02!C17+YR2003_05!C17+YR2006_08!C19+YR2009_11!C20+YR2012_14!C21+YR2015_17!C21+YR2018_20!C21+YR2021_23!C21+'2024-26 Contributions'!D23</f>
        <v>1309003.54</v>
      </c>
      <c r="E23" s="571">
        <f>YR1991_93!D19+YR1994_96!D19+YR1997_99!D19+YR2000_02!D17+YR2003_05!D17+YR2006_08!D19+YR2009_11!D20+YR2012_14!D21+YR2015_17!D21+YR2018_20!D21+YR2021_23!D21+'2024-26 Contributions'!E23</f>
        <v>0</v>
      </c>
      <c r="F23" s="571">
        <f>YR1991_93!E19+YR1994_96!E19+YR1997_99!E19+YR2000_02!E17+YR2003_05!E17+YR2006_08!E19+YR2009_11!E20+YR2012_14!E21+YR2015_17!E21+YR2018_20!E21+YR2021_23!E21+'2024-26 Contributions'!F23</f>
        <v>0</v>
      </c>
      <c r="G23" s="571">
        <f>YR1991_93!F19+YR1994_96!F19+YR1997_99!F19+YR2000_02!F17+YR2003_05!F17+YR2006_08!F19+YR2009_11!F20+YR2012_14!F21+YR2015_17!F21+YR2018_20!F21+YR2021_23!F21+'2024-26 Contributions'!G23</f>
        <v>130609.92000000003</v>
      </c>
      <c r="H23" s="609">
        <f>[4]Summary!$D$108</f>
        <v>58850.667911263947</v>
      </c>
      <c r="I23" s="596"/>
      <c r="J23" s="596"/>
      <c r="K23" s="596"/>
      <c r="L23" s="596"/>
      <c r="M23" s="596"/>
      <c r="N23" s="596"/>
      <c r="O23" s="596"/>
      <c r="P23" s="596"/>
    </row>
    <row r="24" spans="1:16" ht="15" customHeight="1">
      <c r="A24" s="596"/>
      <c r="B24" s="543" t="s">
        <v>78</v>
      </c>
      <c r="C24" s="571">
        <f>YR1991_93!B20+YR1994_96!B20+YR1997_99!B20+YR2000_02!B18+YR2003_05!B18+YR2006_08!B20+YR2009_11!B21+YR2012_14!B22+YR2015_17!B22+YR2018_20!B22+YR2021_23!B22+'2024-26 Contributions'!C24</f>
        <v>33146393.100000001</v>
      </c>
      <c r="D24" s="571">
        <f>YR1991_93!C20+YR1994_96!C20+YR1997_99!C20+YR2000_02!C18+YR2003_05!C18+YR2006_08!C20+YR2009_11!C21+YR2012_14!C22+YR2015_17!C22+YR2018_20!C22+YR2021_23!C22+'2024-26 Contributions'!D24</f>
        <v>31586268.650000002</v>
      </c>
      <c r="E24" s="571">
        <f>YR1991_93!D20+YR1994_96!D20+YR1997_99!D20+YR2000_02!D18+YR2003_05!D18+YR2006_08!D20+YR2009_11!D21+YR2012_14!D22+YR2015_17!D22+YR2018_20!D22+YR2021_23!D22+'2024-26 Contributions'!E24</f>
        <v>322303</v>
      </c>
      <c r="F24" s="571">
        <f>YR1991_93!E20+YR1994_96!E20+YR1997_99!E20+YR2000_02!E18+YR2003_05!E18+YR2006_08!E20+YR2009_11!E21+YR2012_14!E22+YR2015_17!E22+YR2018_20!E22+YR2021_23!E22+'2024-26 Contributions'!F24</f>
        <v>0</v>
      </c>
      <c r="G24" s="571">
        <f>YR1991_93!F20+YR1994_96!F20+YR1997_99!F20+YR2000_02!F18+YR2003_05!F18+YR2006_08!F20+YR2009_11!F21+YR2012_14!F22+YR2015_17!F22+YR2018_20!F22+YR2021_23!F22+'2024-26 Contributions'!G24</f>
        <v>1237821.4500000002</v>
      </c>
      <c r="H24" s="609">
        <f>[3]Summary!$D$109</f>
        <v>-58592.863029833126</v>
      </c>
      <c r="I24" s="612"/>
      <c r="J24" s="596"/>
      <c r="K24" s="596"/>
      <c r="L24" s="596"/>
      <c r="M24" s="596"/>
      <c r="N24" s="596"/>
      <c r="O24" s="596"/>
      <c r="P24" s="596"/>
    </row>
    <row r="25" spans="1:16" ht="15" customHeight="1">
      <c r="A25" s="596"/>
      <c r="B25" s="543" t="s">
        <v>79</v>
      </c>
      <c r="C25" s="571">
        <f>YR1991_93!B21+YR1994_96!B21+YR1997_99!B21+YR2000_02!B19+YR2003_05!B19+YR2006_08!B21+YR2009_11!B22+YR2012_14!B23+YR2015_17!B23+YR2018_20!B23+YR2021_23!B23+'2024-26 Contributions'!C25</f>
        <v>364381575.49000001</v>
      </c>
      <c r="D25" s="571">
        <f>YR1991_93!C21+YR1994_96!C21+YR1997_99!C21+YR2000_02!C19+YR2003_05!C19+YR2006_08!C21+YR2009_11!C22+YR2012_14!C23+YR2015_17!C23+YR2018_20!C23+YR2021_23!C23+'2024-26 Contributions'!D25</f>
        <v>334891652.45999998</v>
      </c>
      <c r="E25" s="571">
        <f>YR1991_93!D21+YR1994_96!D21+YR1997_99!D21+YR2000_02!D19+YR2003_05!D19+YR2006_08!D21+YR2009_11!D22+YR2012_14!D23+YR2015_17!D23+YR2018_20!D23+YR2021_23!D23+'2024-26 Contributions'!E25</f>
        <v>16672393.039999999</v>
      </c>
      <c r="F25" s="571">
        <f>YR1991_93!E21+YR1994_96!E21+YR1997_99!E21+YR2000_02!E19+YR2003_05!E19+YR2006_08!E21+YR2009_11!E22+YR2012_14!E23+YR2015_17!E23+YR2018_20!E23+YR2021_23!E23+'2024-26 Contributions'!F25</f>
        <v>0</v>
      </c>
      <c r="G25" s="571">
        <f>YR1991_93!F21+YR1994_96!F21+YR1997_99!F21+YR2000_02!F19+YR2003_05!F19+YR2006_08!F21+YR2009_11!F22+YR2012_14!F23+YR2015_17!F23+YR2018_20!F23+YR2021_23!F23+'2024-26 Contributions'!G25</f>
        <v>12817529.990000006</v>
      </c>
      <c r="H25" s="609">
        <f>[3]Summary!$D$110</f>
        <v>-4326929.1537742922</v>
      </c>
      <c r="I25" s="613"/>
      <c r="J25" s="611"/>
      <c r="K25" s="596"/>
      <c r="L25" s="596"/>
      <c r="M25" s="596"/>
      <c r="N25" s="596"/>
      <c r="O25" s="596"/>
      <c r="P25" s="596"/>
    </row>
    <row r="26" spans="1:16" ht="15" customHeight="1">
      <c r="A26" s="596"/>
      <c r="B26" s="543" t="s">
        <v>80</v>
      </c>
      <c r="C26" s="571">
        <f>YR1991_93!B23+YR1994_96!B23+YR1997_99!B23+YR2000_02!B20+YR2003_05!B20+YR2006_08!B22+YR2009_11!B23+YR2012_14!B24+YR2015_17!B24+YR2018_20!B24+YR2021_23!B24+'2024-26 Contributions'!C26</f>
        <v>511487568.87999994</v>
      </c>
      <c r="D26" s="571">
        <f>YR1991_93!C23+YR1994_96!C23+YR1997_99!C23+YR2000_02!C20+YR2003_05!C20+YR2006_08!C22+YR2009_11!C23+YR2012_14!C24+YR2015_17!C24+YR2018_20!C24+YR2021_23!C24+'2024-26 Contributions'!D26</f>
        <v>408116546.33000004</v>
      </c>
      <c r="E26" s="571">
        <f>YR1991_93!D23+YR1994_96!D23+YR1997_99!D23+YR2000_02!D20+YR2003_05!D20+YR2006_08!D22+YR2009_11!D23+YR2012_14!D24+YR2015_17!D24+YR2018_20!D24+YR2021_23!D24+'2024-26 Contributions'!E26</f>
        <v>85595234</v>
      </c>
      <c r="F26" s="571">
        <f>YR1991_93!E23+YR1994_96!E23+YR1997_99!E23+YR2000_02!E20+YR2003_05!E20+YR2006_08!E22+YR2009_11!E23+YR2012_14!E24+YR2015_17!E24+YR2018_20!E24+YR2021_23!E24+'2024-26 Contributions'!F26</f>
        <v>-0.10985664278268814</v>
      </c>
      <c r="G26" s="571">
        <f>YR1991_93!F23+YR1994_96!F23+YR1997_99!F23+YR2000_02!F20+YR2003_05!F20+YR2006_08!F22+YR2009_11!F23+YR2012_14!F24+YR2015_17!F24+YR2018_20!F24+YR2021_23!F24+'2024-26 Contributions'!G26</f>
        <v>17775788.65985664</v>
      </c>
      <c r="H26" s="609">
        <f>[4]Summary!$D$111</f>
        <v>7263875.3918412859</v>
      </c>
      <c r="I26" s="611"/>
      <c r="J26" s="611"/>
      <c r="K26" s="596"/>
      <c r="L26" s="596"/>
      <c r="M26" s="596"/>
      <c r="N26" s="596"/>
      <c r="O26" s="596"/>
      <c r="P26" s="596"/>
    </row>
    <row r="27" spans="1:16" ht="15" customHeight="1">
      <c r="A27" s="596"/>
      <c r="B27" s="543" t="s">
        <v>81</v>
      </c>
      <c r="C27" s="571">
        <f>YR1991_93!B24+YR1994_96!B24+YR1997_99!B24+YR2000_02!B21+YR2003_05!B21+YR2006_08!B23+YR2009_11!B24+YR2012_14!B25+YR2015_17!B25+YR2018_20!B25+YR2021_23!B25+'2024-26 Contributions'!C27</f>
        <v>30250513.240000002</v>
      </c>
      <c r="D27" s="571">
        <f>YR1991_93!C24+YR1994_96!C24+YR1997_99!C24+YR2000_02!C21+YR2003_05!C21+YR2006_08!C23+YR2009_11!C24+YR2012_14!C25+YR2015_17!C25+YR2018_20!C25+YR2021_23!C25+'2024-26 Contributions'!D27</f>
        <v>29285785.109999999</v>
      </c>
      <c r="E27" s="571">
        <f>YR1991_93!D24+YR1994_96!D24+YR1997_99!D24+YR2000_02!D21+YR2003_05!D21+YR2006_08!D23+YR2009_11!D24+YR2012_14!D25+YR2015_17!D25+YR2018_20!D25+YR2021_23!D25+'2024-26 Contributions'!E27</f>
        <v>0</v>
      </c>
      <c r="F27" s="571">
        <f>YR1991_93!E24+YR1994_96!E24+YR1997_99!E24+YR2000_02!E21+YR2003_05!E21+YR2006_08!E23+YR2009_11!E24+YR2012_14!E25+YR2015_17!E25+YR2018_20!E25+YR2021_23!E25+'2024-26 Contributions'!F27</f>
        <v>0</v>
      </c>
      <c r="G27" s="571">
        <f>YR1991_93!F24+YR1994_96!F24+YR1997_99!F24+YR2000_02!F21+YR2003_05!F21+YR2006_08!F23+YR2009_11!F24+YR2012_14!F25+YR2015_17!F25+YR2018_20!F25+YR2021_23!F25+'2024-26 Contributions'!G27</f>
        <v>964728.13000000082</v>
      </c>
      <c r="H27" s="609">
        <f>[4]Summary!$D$112</f>
        <v>-1224610.7613075883</v>
      </c>
      <c r="I27" s="611"/>
      <c r="J27" s="611"/>
      <c r="K27" s="596"/>
      <c r="L27" s="596"/>
      <c r="M27" s="596"/>
      <c r="N27" s="596"/>
      <c r="O27" s="596"/>
      <c r="P27" s="596"/>
    </row>
    <row r="28" spans="1:16" ht="15" customHeight="1">
      <c r="A28" s="596"/>
      <c r="B28" s="543" t="s">
        <v>82</v>
      </c>
      <c r="C28" s="571">
        <f>YR2012_14!B26+YR2015_17!B26+YR2018_20!B26+YR2021_23!B26+'2024-26 Contributions'!C28</f>
        <v>29428.79</v>
      </c>
      <c r="D28" s="571">
        <f>YR2012_14!C26+YR2015_17!C26+YR2018_20!C26+YR2021_23!C26+'2024-26 Contributions'!D28</f>
        <v>26460.79</v>
      </c>
      <c r="E28" s="571">
        <f>YR2012_14!D26+YR2015_17!D26+YR2018_20!D26+YR2021_23!D26+'2024-26 Contributions'!E28</f>
        <v>0</v>
      </c>
      <c r="F28" s="571">
        <f>YR2012_14!E26+YR2015_17!E26+YR2018_20!E26+YR2021_23!E26+'2024-26 Contributions'!F28</f>
        <v>0</v>
      </c>
      <c r="G28" s="571">
        <f>YR2012_14!F26+YR2015_17!F26+YR2018_20!F26+YR2021_23!F26+'2024-26 Contributions'!G28</f>
        <v>2968</v>
      </c>
      <c r="H28" s="609">
        <v>0</v>
      </c>
      <c r="I28" s="611"/>
      <c r="J28" s="611"/>
      <c r="K28" s="596"/>
      <c r="L28" s="596"/>
      <c r="M28" s="596"/>
      <c r="N28" s="596"/>
      <c r="O28" s="596"/>
      <c r="P28" s="596"/>
    </row>
    <row r="29" spans="1:16" ht="15" customHeight="1">
      <c r="A29" s="596"/>
      <c r="B29" s="543" t="s">
        <v>83</v>
      </c>
      <c r="C29" s="571">
        <f>YR1991_93!B25+YR1994_96!B25+YR1997_99!B25+YR2000_02!B22+YR2003_05!B22+YR2006_08!B24+YR2009_11!B25+YR2012_14!B27+YR2015_17!B27+YR2018_20!B27+YR2021_23!B27+'2024-26 Contributions'!C29</f>
        <v>11906845.199999999</v>
      </c>
      <c r="D29" s="571">
        <f>YR1991_93!C25+YR1994_96!C25+YR1997_99!C25+YR2000_02!C22+YR2003_05!C22+YR2006_08!C24+YR2009_11!C25+YR2012_14!C27+YR2015_17!C27+YR2018_20!C27+YR2021_23!C27+'2024-26 Contributions'!D29</f>
        <v>11183557.199999999</v>
      </c>
      <c r="E29" s="571">
        <f>YR1991_93!D25+YR1994_96!D25+YR1997_99!D25+YR2000_02!D22+YR2003_05!D22+YR2006_08!D24+YR2009_11!D25+YR2012_14!D27+YR2015_17!D27+YR2018_20!D27+YR2021_23!D27+'2024-26 Contributions'!E29</f>
        <v>46494</v>
      </c>
      <c r="F29" s="571">
        <f>YR1991_93!E25+YR1994_96!E25+YR1997_99!E25+YR2000_02!E22+YR2003_05!E22+YR2006_08!E24+YR2009_11!E25+YR2012_14!E27+YR2015_17!E27+YR2018_20!E27+YR2021_23!E27+'2024-26 Contributions'!F29</f>
        <v>0</v>
      </c>
      <c r="G29" s="571">
        <f>YR1991_93!F25+YR1994_96!F25+YR1997_99!F25+YR2000_02!F22+YR2003_05!F22+YR2006_08!F24+YR2009_11!F25+YR2012_14!F27+YR2015_17!F27+YR2018_20!F27+YR2021_23!F27+'2024-26 Contributions'!G29</f>
        <v>676794</v>
      </c>
      <c r="H29" s="609">
        <f>[3]Summary!$D$113</f>
        <v>102931.95168235083</v>
      </c>
      <c r="I29" s="596"/>
      <c r="J29" s="611"/>
      <c r="K29" s="596"/>
      <c r="L29" s="596"/>
      <c r="M29" s="596"/>
      <c r="N29" s="596"/>
      <c r="O29" s="596"/>
      <c r="P29" s="596"/>
    </row>
    <row r="30" spans="1:16" ht="15" customHeight="1">
      <c r="A30" s="596"/>
      <c r="B30" s="543" t="s">
        <v>84</v>
      </c>
      <c r="C30" s="571">
        <f>YR1991_93!B26+YR1994_96!B26+YR1997_99!B26+YR2000_02!B23+YR2003_05!B23+YR2006_08!B25+YR2009_11!B26+YR2012_14!B28+YR2015_17!B28+YR2018_20!B28+YR2021_23!B28+'2024-26 Contributions'!C30</f>
        <v>1984696.2000000002</v>
      </c>
      <c r="D30" s="571">
        <f>YR1991_93!C26+YR1994_96!C26+YR1997_99!C26+YR2000_02!C23+YR2003_05!C23+YR2006_08!C25+YR2009_11!C26+YR2012_14!C28+YR2015_17!C28+YR2018_20!C28+YR2021_23!C28+'2024-26 Contributions'!D30</f>
        <v>1659566.84</v>
      </c>
      <c r="E30" s="571">
        <f>YR1991_93!D26+YR1994_96!D26+YR1997_99!D26+YR2000_02!D23+YR2003_05!D23+YR2006_08!D25+YR2009_11!D26+YR2012_14!D28+YR2015_17!D28+YR2018_20!D28+YR2021_23!D28+'2024-26 Contributions'!E30</f>
        <v>0</v>
      </c>
      <c r="F30" s="571">
        <f>YR1991_93!E26+YR1994_96!E26+YR1997_99!E26+YR2000_02!E23+YR2003_05!E23+YR2006_08!E25+YR2009_11!E26+YR2012_14!E28+YR2015_17!E28+YR2018_20!E28+YR2021_23!E28+'2024-26 Contributions'!F30</f>
        <v>0</v>
      </c>
      <c r="G30" s="571">
        <f>YR1991_93!F26+YR1994_96!F26+YR1997_99!F26+YR2000_02!F23+YR2003_05!F23+YR2006_08!F25+YR2009_11!F26+YR2012_14!F28+YR2015_17!F28+YR2018_20!F28+YR2021_23!F28+'2024-26 Contributions'!G30</f>
        <v>325129.36</v>
      </c>
      <c r="H30" s="609">
        <f>[3]Summary!$D$114</f>
        <v>51218.003903283177</v>
      </c>
      <c r="I30" s="611"/>
      <c r="J30" s="611"/>
      <c r="K30" s="596"/>
      <c r="L30" s="596"/>
      <c r="M30" s="596"/>
      <c r="N30" s="596"/>
      <c r="O30" s="596"/>
      <c r="P30" s="596"/>
    </row>
    <row r="31" spans="1:16" ht="15" customHeight="1">
      <c r="A31" s="596"/>
      <c r="B31" s="543" t="s">
        <v>85</v>
      </c>
      <c r="C31" s="571">
        <f>YR1991_93!B27+YR1994_96!B27+YR1997_99!B27+YR2000_02!B24+YR2003_05!B24+YR2006_08!B26+YR2009_11!B27+YR2012_14!B29+YR2015_17!B29+YR2018_20!B29+YR2021_23!B29+'2024-26 Contributions'!C31</f>
        <v>21212789.060000002</v>
      </c>
      <c r="D31" s="571">
        <f>YR1991_93!C27+YR1994_96!C27+YR1997_99!C27+YR2000_02!C24+YR2003_05!C24+YR2006_08!C26+YR2009_11!C27+YR2012_14!C29+YR2015_17!C29+YR2018_20!C29+YR2021_23!C29+'2024-26 Contributions'!D31</f>
        <v>19909663.859999999</v>
      </c>
      <c r="E31" s="571">
        <f>YR1991_93!D27+YR1994_96!D27+YR1997_99!D27+YR2000_02!D24+YR2003_05!D24+YR2006_08!D26+YR2009_11!D27+YR2012_14!D29+YR2015_17!D29+YR2018_20!D29+YR2021_23!D29+'2024-26 Contributions'!E31</f>
        <v>0</v>
      </c>
      <c r="F31" s="571">
        <f>YR1991_93!E27+YR1994_96!E27+YR1997_99!E27+YR2000_02!E24+YR2003_05!E24+YR2006_08!E26+YR2009_11!E27+YR2012_14!E29+YR2015_17!E29+YR2018_20!E29+YR2021_23!E29+'2024-26 Contributions'!F31</f>
        <v>0</v>
      </c>
      <c r="G31" s="571">
        <f>YR1991_93!F27+YR1994_96!F27+YR1997_99!F27+YR2000_02!F24+YR2003_05!F24+YR2006_08!F26+YR2009_11!F27+YR2012_14!F29+YR2015_17!F29+YR2018_20!F29+YR2021_23!F29+'2024-26 Contributions'!G31</f>
        <v>1303125.2</v>
      </c>
      <c r="H31" s="609">
        <f>[3]Summary!$D$115</f>
        <v>897883.79583348893</v>
      </c>
      <c r="I31" s="596"/>
      <c r="J31" s="596"/>
      <c r="K31" s="596"/>
      <c r="L31" s="596"/>
      <c r="M31" s="596"/>
      <c r="N31" s="596"/>
      <c r="O31" s="596"/>
      <c r="P31" s="596"/>
    </row>
    <row r="32" spans="1:16" ht="15" customHeight="1">
      <c r="A32" s="596"/>
      <c r="B32" s="543" t="s">
        <v>86</v>
      </c>
      <c r="C32" s="571">
        <f>YR1991_93!B28+YR1994_96!B28+YR1997_99!B28+YR2000_02!B25+YR2003_05!B25+YR2006_08!B27+YR2009_11!B28+YR2012_14!B30+YR2015_17!B30+YR2018_20!B30+YR2021_23!B30+'2024-26 Contributions'!C32</f>
        <v>24664159.43</v>
      </c>
      <c r="D32" s="571">
        <f>YR1991_93!C28+YR1994_96!C28+YR1997_99!C28+YR2000_02!C25+YR2003_05!C25+YR2006_08!C27+YR2009_11!C28+YR2012_14!C30+YR2015_17!C30+YR2018_20!C30+YR2021_23!C30+'2024-26 Contributions'!D32</f>
        <v>3824671</v>
      </c>
      <c r="E32" s="571">
        <f>YR1991_93!D28+YR1994_96!D28+YR1997_99!D28+YR2000_02!D25+YR2003_05!D25+YR2006_08!D27+YR2009_11!D28+YR2012_14!D30+YR2015_17!D30+YR2018_20!D30+YR2021_23!D30+'2024-26 Contributions'!E32</f>
        <v>70453</v>
      </c>
      <c r="F32" s="571">
        <f>YR1991_93!E28+YR1994_96!E28+YR1997_99!E28+YR2000_02!E25+YR2003_05!E25+YR2006_08!E27+YR2009_11!E28+YR2012_14!E30+YR2015_17!E30+YR2018_20!E30+YR2021_23!E30+'2024-26 Contributions'!F32</f>
        <v>0</v>
      </c>
      <c r="G32" s="571">
        <f>YR1991_93!F28+YR1994_96!F28+YR1997_99!F28+YR2000_02!F25+YR2003_05!F25+YR2006_08!F27+YR2009_11!F28+YR2012_14!F30+YR2015_17!F30+YR2018_20!F30+YR2021_23!F30+'2024-26 Contributions'!G32</f>
        <v>20769035.43</v>
      </c>
      <c r="H32" s="609">
        <v>0</v>
      </c>
      <c r="I32" s="596"/>
      <c r="J32" s="596"/>
      <c r="K32" s="596"/>
      <c r="L32" s="596"/>
      <c r="M32" s="596"/>
      <c r="N32" s="596"/>
      <c r="O32" s="596"/>
      <c r="P32" s="596"/>
    </row>
    <row r="33" spans="1:16" ht="15" customHeight="1">
      <c r="A33" s="596"/>
      <c r="B33" s="543" t="s">
        <v>87</v>
      </c>
      <c r="C33" s="571">
        <f>YR1991_93!B29+YR1994_96!B29+YR1997_99!B29+YR2000_02!B26+YR2003_05!B26+YR2006_08!B28+YR2009_11!B29+YR2012_14!B31+YR2015_17!B31+YR2018_20!B31+YR2021_23!B31+'2024-26 Contributions'!C33</f>
        <v>284616599.31</v>
      </c>
      <c r="D33" s="571">
        <f>YR1991_93!C29+YR1994_96!C29+YR1997_99!C29+YR2000_02!C26+YR2003_05!C26+YR2006_08!C28+YR2009_11!C29+YR2012_14!C31+YR2015_17!C31+YR2018_20!C31+YR2021_23!C31+'2024-26 Contributions'!D33</f>
        <v>256080816.82999998</v>
      </c>
      <c r="E33" s="571">
        <f>YR1991_93!D29+YR1994_96!D29+YR1997_99!D29+YR2000_02!D26+YR2003_05!D26+YR2006_08!D28+YR2009_11!D29+YR2012_14!D31+YR2015_17!D31+YR2018_20!D31+YR2021_23!D31+'2024-26 Contributions'!E33</f>
        <v>19069570.640000001</v>
      </c>
      <c r="F33" s="571">
        <f>YR1991_93!E29+YR1994_96!E29+YR1997_99!E29+YR2000_02!E26+YR2003_05!E26+YR2006_08!E28+YR2009_11!E29+YR2012_14!E31+YR2015_17!E31+YR2018_20!E31+YR2021_23!E31+'2024-26 Contributions'!F33</f>
        <v>0</v>
      </c>
      <c r="G33" s="571">
        <f>YR1991_93!F29+YR1994_96!F29+YR1997_99!F29+YR2000_02!F26+YR2003_05!F26+YR2006_08!F28+YR2009_11!F29+YR2012_14!F31+YR2015_17!F31+YR2018_20!F31+YR2021_23!F31+'2024-26 Contributions'!G33</f>
        <v>9466211.8399999961</v>
      </c>
      <c r="H33" s="609">
        <f>[3]Summary!$D$116</f>
        <v>7669715.2762428699</v>
      </c>
      <c r="I33" s="596"/>
      <c r="J33" s="611"/>
      <c r="K33" s="596"/>
      <c r="L33" s="596"/>
      <c r="M33" s="596"/>
      <c r="N33" s="596"/>
      <c r="O33" s="596"/>
      <c r="P33" s="596"/>
    </row>
    <row r="34" spans="1:16" ht="15" customHeight="1">
      <c r="A34" s="596"/>
      <c r="B34" s="543" t="s">
        <v>88</v>
      </c>
      <c r="C34" s="571">
        <f>YR1991_93!B30+YR1994_96!B30+YR1997_99!B30+YR2000_02!B27+YR2003_05!B27+YR2006_08!B29+YR2009_11!B30+YR2012_14!B32+YR2015_17!B32+YR2018_20!B32+YR2021_23!B32+'2024-26 Contributions'!C34</f>
        <v>849210367.43000007</v>
      </c>
      <c r="D34" s="571">
        <f>YR1991_93!C30+YR1994_96!C30+YR1997_99!C30+YR2000_02!C27+YR2003_05!C27+YR2006_08!C29+YR2009_11!C30+YR2012_14!C32+YR2015_17!C32+YR2018_20!C32+YR2021_23!C32+'2024-26 Contributions'!D34</f>
        <v>805738660.84000003</v>
      </c>
      <c r="E34" s="571">
        <f>YR1991_93!D30+YR1994_96!D30+YR1997_99!D30+YR2000_02!D27+YR2003_05!D27+YR2006_08!D29+YR2009_11!D30+YR2012_14!D32+YR2015_17!D32+YR2018_20!D32+YR2021_23!D32+'2024-26 Contributions'!E34</f>
        <v>19626592.440000001</v>
      </c>
      <c r="F34" s="571">
        <f>YR1991_93!E30+YR1994_96!E30+YR1997_99!E30+YR2000_02!E27+YR2003_05!E27+YR2006_08!E29+YR2009_11!E30+YR2012_14!E32+YR2015_17!E32+YR2018_20!E32+YR2021_23!E32+'2024-26 Contributions'!F34</f>
        <v>0</v>
      </c>
      <c r="G34" s="571">
        <f>YR1991_93!F30+YR1994_96!F30+YR1997_99!F30+YR2000_02!F27+YR2003_05!F27+YR2006_08!F29+YR2009_11!F30+YR2012_14!F32+YR2015_17!F32+YR2018_20!F32+YR2021_23!F32+'2024-26 Contributions'!G34</f>
        <v>23845114.15000001</v>
      </c>
      <c r="H34" s="609">
        <v>0</v>
      </c>
      <c r="I34" s="596"/>
      <c r="J34" s="596"/>
      <c r="K34" s="611"/>
      <c r="L34" s="596"/>
      <c r="M34" s="596"/>
      <c r="N34" s="596"/>
      <c r="O34" s="596"/>
      <c r="P34" s="596"/>
    </row>
    <row r="35" spans="1:16" ht="15" customHeight="1">
      <c r="A35" s="596"/>
      <c r="B35" s="545" t="s">
        <v>89</v>
      </c>
      <c r="C35" s="571">
        <f>YR2000_02!B28+YR2003_05!B28+YR2006_08!B30+YR2009_11!B31+YR2012_14!B33+YR2015_17!B33+YR2018_20!B33+YR2021_23!B33+'2024-26 Contributions'!C35</f>
        <v>4088865.9951725486</v>
      </c>
      <c r="D35" s="571">
        <f>YR2000_02!C28+YR2003_05!C28+YR2006_08!C30+YR2009_11!C31+YR2012_14!C33+YR2015_17!C33+YR2018_20!C33+YR2021_23!C33+'2024-26 Contributions'!D35</f>
        <v>2406516</v>
      </c>
      <c r="E35" s="571">
        <f>YR2000_02!D28+YR2003_05!D28+YR2006_08!D30+YR2009_11!D31+YR2012_14!D33+YR2015_17!D33+YR2018_20!D33+YR2021_23!D33+'2024-26 Contributions'!E35</f>
        <v>0</v>
      </c>
      <c r="F35" s="571">
        <f>YR2000_02!E28+YR2003_05!E28+YR2006_08!E30+YR2009_11!E31+YR2012_14!E33+YR2015_17!E33+YR2018_20!E33+YR2021_23!E33+'2024-26 Contributions'!F35</f>
        <v>0</v>
      </c>
      <c r="G35" s="571">
        <f>YR2000_02!F28+YR2003_05!F28+YR2006_08!F30+YR2009_11!F31+YR2012_14!F33+YR2015_17!F33+YR2018_20!F33+YR2021_23!F33+'2024-26 Contributions'!G35</f>
        <v>1682349.9951725488</v>
      </c>
      <c r="H35" s="609">
        <v>0</v>
      </c>
      <c r="I35" s="596"/>
      <c r="J35" s="596"/>
      <c r="K35" s="611"/>
      <c r="L35" s="596"/>
      <c r="M35" s="596"/>
      <c r="N35" s="596"/>
      <c r="O35" s="596"/>
      <c r="P35" s="596"/>
    </row>
    <row r="36" spans="1:16" ht="15" customHeight="1">
      <c r="A36" s="596"/>
      <c r="B36" s="543" t="s">
        <v>90</v>
      </c>
      <c r="C36" s="571">
        <f>YR1991_93!B31</f>
        <v>286549</v>
      </c>
      <c r="D36" s="571">
        <f>YR1991_93!C31</f>
        <v>286549</v>
      </c>
      <c r="E36" s="571">
        <f>YR1991_93!D31</f>
        <v>0</v>
      </c>
      <c r="F36" s="571">
        <f>YR1991_93!E31</f>
        <v>0</v>
      </c>
      <c r="G36" s="571">
        <f>YR1991_93!F31</f>
        <v>0</v>
      </c>
      <c r="H36" s="609">
        <v>0</v>
      </c>
      <c r="I36" s="596"/>
      <c r="J36" s="596"/>
      <c r="K36" s="611"/>
      <c r="L36" s="596"/>
      <c r="M36" s="596"/>
      <c r="N36" s="596"/>
      <c r="O36" s="596"/>
      <c r="P36" s="596"/>
    </row>
    <row r="37" spans="1:16" ht="15" customHeight="1">
      <c r="A37" s="596"/>
      <c r="B37" s="543" t="s">
        <v>91</v>
      </c>
      <c r="C37" s="571">
        <f>YR1991_93!B32+YR1994_96!B32+YR1997_99!B32+YR2000_02!B29+YR2003_05!B29+YR2006_08!B31+YR2009_11!B32+YR2012_14!B34+YR2015_17!B34+YR2018_20!B34+YR2021_23!B34+'2024-26 Contributions'!C36</f>
        <v>1851626.9</v>
      </c>
      <c r="D37" s="571">
        <f>YR1991_93!C32+YR1994_96!C32+YR1997_99!C32+YR2000_02!C29+YR2003_05!C29+YR2006_08!C31+YR2009_11!C32+YR2012_14!C34+YR2015_17!C34+YR2018_20!C34+YR2021_23!C34+'2024-26 Contributions'!D36</f>
        <v>1703206.8399999999</v>
      </c>
      <c r="E37" s="571">
        <f>YR1991_93!D32+YR1994_96!D32+YR1997_99!D32+YR2000_02!D29+YR2003_05!D29+YR2006_08!D31+YR2009_11!D32+YR2012_14!D34+YR2015_17!D34+YR2018_20!D34+YR2021_23!D34+'2024-26 Contributions'!E36</f>
        <v>0</v>
      </c>
      <c r="F37" s="571">
        <f>YR1991_93!E32+YR1994_96!E32+YR1997_99!E32+YR2000_02!E29+YR2003_05!E29+YR2006_08!E31+YR2009_11!E32+YR2012_14!E34+YR2015_17!E34+YR2018_20!E34+YR2021_23!E34+'2024-26 Contributions'!F36</f>
        <v>0</v>
      </c>
      <c r="G37" s="571">
        <f>YR1991_93!F32+YR1994_96!F32+YR1997_99!F32+YR2000_02!F29+YR2003_05!F29+YR2006_08!F31+YR2009_11!F32+YR2012_14!F34+YR2015_17!F34+YR2018_20!F34+YR2021_23!F34+'2024-26 Contributions'!G36</f>
        <v>148420.06</v>
      </c>
      <c r="H37" s="609">
        <f>[3]Summary!$D$117</f>
        <v>-14878.565886757449</v>
      </c>
      <c r="I37" s="596"/>
      <c r="J37" s="596"/>
      <c r="K37" s="611"/>
      <c r="L37" s="596"/>
      <c r="M37" s="596"/>
      <c r="N37" s="596"/>
      <c r="O37" s="596"/>
      <c r="P37" s="596"/>
    </row>
    <row r="38" spans="1:16" ht="15" customHeight="1">
      <c r="A38" s="596"/>
      <c r="B38" s="543" t="s">
        <v>92</v>
      </c>
      <c r="C38" s="571">
        <f>YR1991_93!B33+YR1994_96!B33+YR1997_99!B33+YR2000_02!B30+YR2003_05!B30+YR2006_08!B32+YR2009_11!B33+YR2012_14!B35+YR2015_17!B35+YR2018_20!B35+YR2021_23!B35+'2024-26 Contributions'!C37</f>
        <v>527173.91</v>
      </c>
      <c r="D38" s="571">
        <f>YR1991_93!C33+YR1994_96!C33+YR1997_99!C33+YR2000_02!C30+YR2003_05!C30+YR2006_08!C32+YR2009_11!C33+YR2012_14!C35+YR2015_17!C35+YR2018_20!C35+YR2021_23!C35+'2024-26 Contributions'!D37</f>
        <v>497489.57</v>
      </c>
      <c r="E38" s="571">
        <f>YR1991_93!D33+YR1994_96!D33+YR1997_99!D33+YR2000_02!D30+YR2003_05!D30+YR2006_08!D32+YR2009_11!D33+YR2012_14!D35+YR2015_17!D35+YR2018_20!D35+YR2021_23!D35+'2024-26 Contributions'!E37</f>
        <v>0</v>
      </c>
      <c r="F38" s="571">
        <f>YR1991_93!E33+YR1994_96!E33+YR1997_99!E33+YR2000_02!E30+YR2003_05!E30+YR2006_08!E32+YR2009_11!E33+YR2012_14!E35+YR2015_17!E35+YR2018_20!E35+YR2021_23!E35+'2024-26 Contributions'!F37</f>
        <v>0</v>
      </c>
      <c r="G38" s="571">
        <f>YR1991_93!F33+YR1994_96!F33+YR1997_99!F33+YR2000_02!F30+YR2003_05!F30+YR2006_08!F32+YR2009_11!F33+YR2012_14!F35+YR2015_17!F35+YR2018_20!F35+YR2021_23!F35+'2024-26 Contributions'!G37</f>
        <v>29684.340000000004</v>
      </c>
      <c r="H38" s="609">
        <v>0</v>
      </c>
      <c r="I38" s="596"/>
      <c r="J38" s="596"/>
      <c r="K38" s="596"/>
      <c r="L38" s="596"/>
      <c r="M38" s="596"/>
      <c r="N38" s="596"/>
      <c r="O38" s="596"/>
      <c r="P38" s="596"/>
    </row>
    <row r="39" spans="1:16" ht="15" customHeight="1">
      <c r="A39" s="596"/>
      <c r="B39" s="543" t="s">
        <v>93</v>
      </c>
      <c r="C39" s="571">
        <f>YR1991_93!B34+YR1994_96!B34+YR1997_99!B34+YR2000_02!B31+YR2003_05!B31+YR2006_08!B33+YR2009_11!B34+YR2012_14!B36+YR2015_17!B36+YR2018_20!B36+YR2021_23!B36+'2024-26 Contributions'!C38</f>
        <v>2839490.81</v>
      </c>
      <c r="D39" s="571">
        <f>YR1991_93!C34+YR1994_96!C34+YR1997_99!C34+YR2000_02!C31+YR2003_05!C31+YR2006_08!C33+YR2009_11!C34+YR2012_14!C36+YR2015_17!C36+YR2018_20!C36+YR2021_23!C36+'2024-26 Contributions'!D38</f>
        <v>2117956.71</v>
      </c>
      <c r="E39" s="571">
        <f>YR1991_93!D34+YR1994_96!D34+YR1997_99!D34+YR2000_02!D31+YR2003_05!D31+YR2006_08!D33+YR2009_11!D34+YR2012_14!D36+YR2015_17!D36+YR2018_20!D36+YR2021_23!D36+'2024-26 Contributions'!E38</f>
        <v>0</v>
      </c>
      <c r="F39" s="571">
        <f>YR1991_93!E34+YR1994_96!E34+YR1997_99!E34+YR2000_02!E31+YR2003_05!E31+YR2006_08!E33+YR2009_11!E34+YR2012_14!E36+YR2015_17!E36+YR2018_20!E36+YR2021_23!E36+'2024-26 Contributions'!F38</f>
        <v>0</v>
      </c>
      <c r="G39" s="571">
        <f>YR1991_93!F34+YR1994_96!F34+YR1997_99!F34+YR2000_02!F31+YR2003_05!F31+YR2006_08!F33+YR2009_11!F34+YR2012_14!F36+YR2015_17!F36+YR2018_20!F36+YR2021_23!F36+'2024-26 Contributions'!G38</f>
        <v>721534.10000000009</v>
      </c>
      <c r="H39" s="609">
        <f>[3]Summary!$D$118</f>
        <v>-1376.5715850361266</v>
      </c>
      <c r="I39" s="596"/>
      <c r="J39" s="596"/>
      <c r="K39" s="596"/>
      <c r="L39" s="596"/>
      <c r="M39" s="596"/>
      <c r="N39" s="596"/>
      <c r="O39" s="596"/>
      <c r="P39" s="596"/>
    </row>
    <row r="40" spans="1:16" ht="15" customHeight="1">
      <c r="A40" s="596"/>
      <c r="B40" s="543" t="s">
        <v>94</v>
      </c>
      <c r="C40" s="571">
        <f>YR1991_93!B35+YR1994_96!B35+YR1997_99!B35+YR2000_02!B32+YR2003_05!B32+YR2006_08!B34+YR2009_11!B35+YR2012_14!B37+YR2015_17!B37+YR2018_20!B37+YR2021_23!B37+'2024-26 Contributions'!C39</f>
        <v>4645448.75</v>
      </c>
      <c r="D40" s="571">
        <f>YR1991_93!C35+YR1994_96!C35+YR1997_99!C35+YR2000_02!C32+YR2003_05!C32+YR2006_08!C34+YR2009_11!C35+YR2012_14!C37+YR2015_17!C37+YR2018_20!C37+YR2021_23!C37+'2024-26 Contributions'!D39</f>
        <v>4443598.1100000003</v>
      </c>
      <c r="E40" s="571">
        <f>YR1991_93!D35+YR1994_96!D35+YR1997_99!D35+YR2000_02!D32+YR2003_05!D32+YR2006_08!D34+YR2009_11!D35+YR2012_14!D37+YR2015_17!D37+YR2018_20!D37+YR2021_23!D37+'2024-26 Contributions'!E39</f>
        <v>0</v>
      </c>
      <c r="F40" s="571">
        <f>YR1991_93!E35+YR1994_96!E35+YR1997_99!E35+YR2000_02!E32+YR2003_05!E32+YR2006_08!E34+YR2009_11!E35+YR2012_14!E37+YR2015_17!E37+YR2018_20!E37+YR2021_23!E37+'2024-26 Contributions'!F39</f>
        <v>0</v>
      </c>
      <c r="G40" s="571">
        <f>YR1991_93!F35+YR1994_96!F35+YR1997_99!F35+YR2000_02!F32+YR2003_05!F32+YR2006_08!F34+YR2009_11!F35+YR2012_14!F37+YR2015_17!F37+YR2018_20!F37+YR2021_23!F37+'2024-26 Contributions'!G39</f>
        <v>201850.64</v>
      </c>
      <c r="H40" s="609">
        <f>[3]Summary!$D$119</f>
        <v>17635.093815221509</v>
      </c>
      <c r="I40" s="596"/>
      <c r="J40" s="596"/>
      <c r="K40" s="596"/>
      <c r="L40" s="596"/>
      <c r="M40" s="596"/>
      <c r="N40" s="596"/>
      <c r="O40" s="596"/>
      <c r="P40" s="596"/>
    </row>
    <row r="41" spans="1:16" ht="15" customHeight="1">
      <c r="A41" s="596"/>
      <c r="B41" s="543" t="s">
        <v>95</v>
      </c>
      <c r="C41" s="571">
        <f>YR1991_93!B36+YR1994_96!B36+YR1997_99!B36+YR2006_08!B35+YR2009_11!B36+YR2012_14!B38+YR2015_17!B38+YR2018_20!B38+YR2021_23!B38+'2024-26 Contributions'!C40</f>
        <v>674458.49</v>
      </c>
      <c r="D41" s="571">
        <f>YR1991_93!C36+YR1994_96!C36+YR1997_99!C36+YR2006_08!C35+YR2009_11!C36+YR2012_14!C38+YR2015_17!C38+YR2018_20!C38+YR2021_23!C38+'2024-26 Contributions'!D40</f>
        <v>332205.49</v>
      </c>
      <c r="E41" s="571">
        <f>YR1991_93!D36+YR1994_96!D36+YR1997_99!D36+YR2006_08!D35+YR2009_11!D36+YR2012_14!D38+YR2015_17!D38+YR2018_20!D38+YR2021_23!D38+'2024-26 Contributions'!E40</f>
        <v>0</v>
      </c>
      <c r="F41" s="571">
        <f>YR1991_93!E36+YR1994_96!E36+YR1997_99!E36+YR2006_08!E35+YR2009_11!E36+YR2012_14!E38+YR2015_17!E38+YR2018_20!E38+YR2021_23!E38+'2024-26 Contributions'!F40</f>
        <v>0</v>
      </c>
      <c r="G41" s="571">
        <f>YR1991_93!F36+YR1994_96!F36+YR1997_99!F36+YR2006_08!F35+YR2009_11!F36+YR2012_14!F38+YR2015_17!F38+YR2018_20!F38+YR2021_23!F38+'2024-26 Contributions'!G40</f>
        <v>342253</v>
      </c>
      <c r="H41" s="609">
        <f>[3]Summary!$D$120</f>
        <v>15484.63042334206</v>
      </c>
      <c r="I41" s="596"/>
      <c r="J41" s="596"/>
      <c r="K41" s="596"/>
      <c r="L41" s="596"/>
      <c r="M41" s="596"/>
      <c r="N41" s="596"/>
      <c r="O41" s="596"/>
      <c r="P41" s="596"/>
    </row>
    <row r="42" spans="1:16" ht="15" customHeight="1">
      <c r="A42" s="596"/>
      <c r="B42" s="543" t="s">
        <v>96</v>
      </c>
      <c r="C42" s="571">
        <f>YR1991_93!B37+YR1994_96!B37+YR1997_99!B37+YR2000_02!B33+YR2003_05!B33+YR2006_08!B36+YR2009_11!B37+YR2012_14!B39+YR2015_17!B39+YR2018_20!B39+YR2021_23!B39+'2024-26 Contributions'!C41</f>
        <v>469639.31</v>
      </c>
      <c r="D42" s="571">
        <f>YR1991_93!C37+YR1994_96!C37+YR1997_99!C37+YR2000_02!C33+YR2003_05!C33+YR2006_08!C36+YR2009_11!C37+YR2012_14!C39+YR2015_17!C39+YR2018_20!C39+YR2021_23!C39+'2024-26 Contributions'!D41</f>
        <v>436987.31</v>
      </c>
      <c r="E42" s="571">
        <f>YR1991_93!D37+YR1994_96!D37+YR1997_99!D37+YR2000_02!D33+YR2003_05!D33+YR2006_08!D36+YR2009_11!D37+YR2012_14!D39+YR2015_17!D39+YR2018_20!D39+YR2021_23!D39+'2024-26 Contributions'!E41</f>
        <v>0</v>
      </c>
      <c r="F42" s="571">
        <f>YR1991_93!E37+YR1994_96!E37+YR1997_99!E37+YR2000_02!E33+YR2003_05!E33+YR2006_08!E36+YR2009_11!E37+YR2012_14!E39+YR2015_17!E39+YR2018_20!E39+YR2021_23!E39+'2024-26 Contributions'!F41</f>
        <v>0</v>
      </c>
      <c r="G42" s="571">
        <f>YR1991_93!F37+YR1994_96!F37+YR1997_99!F37+YR2000_02!F33+YR2003_05!F33+YR2006_08!F36+YR2009_11!F37+YR2012_14!F39+YR2015_17!F39+YR2018_20!F39+YR2021_23!F39+'2024-26 Contributions'!G41</f>
        <v>32652</v>
      </c>
      <c r="H42" s="609">
        <f>[3]Summary!$D$121</f>
        <v>-571.53258343895504</v>
      </c>
      <c r="I42" s="596"/>
      <c r="J42" s="596"/>
      <c r="K42" s="596"/>
      <c r="L42" s="596"/>
      <c r="M42" s="596"/>
      <c r="N42" s="596"/>
      <c r="O42" s="596"/>
      <c r="P42" s="596"/>
    </row>
    <row r="43" spans="1:16" ht="15" customHeight="1">
      <c r="A43" s="596"/>
      <c r="B43" s="543" t="s">
        <v>97</v>
      </c>
      <c r="C43" s="571">
        <f>YR1991_93!B38+YR1994_96!B38+YR1997_99!B38+YR2000_02!B34+YR2003_05!B34+YR2006_08!B37+YR2009_11!B38+YR2012_14!B40+YR2015_17!B40+YR2018_20!B40+YR2021_23!B40+'2024-26 Contributions'!C42</f>
        <v>102388778.78999999</v>
      </c>
      <c r="D43" s="571">
        <f>YR1991_93!C38+YR1994_96!C38+YR1997_99!C38+YR2000_02!C34+YR2003_05!C34+YR2006_08!C37+YR2009_11!C38+YR2012_14!C40+YR2015_17!C40+YR2018_20!C40+YR2021_23!C40+'2024-26 Contributions'!D42</f>
        <v>98301298.430000007</v>
      </c>
      <c r="E43" s="571">
        <f>YR1991_93!D38+YR1994_96!D38+YR1997_99!D38+YR2000_02!D34+YR2003_05!D34+YR2006_08!D37+YR2009_11!D38+YR2012_14!D40+YR2015_17!D40+YR2018_20!D40+YR2021_23!D40+'2024-26 Contributions'!E42</f>
        <v>0</v>
      </c>
      <c r="F43" s="571">
        <f>YR1991_93!E38+YR1994_96!E38+YR1997_99!E38+YR2000_02!E34+YR2003_05!E34+YR2006_08!E37+YR2009_11!E38+YR2012_14!E40+YR2015_17!E40+YR2018_20!E40+YR2021_23!E40+'2024-26 Contributions'!F42</f>
        <v>0</v>
      </c>
      <c r="G43" s="571">
        <f>YR1991_93!F38+YR1994_96!F38+YR1997_99!F38+YR2000_02!F34+YR2003_05!F34+YR2006_08!F37+YR2009_11!F38+YR2012_14!F40+YR2015_17!F40+YR2018_20!F40+YR2021_23!F40+'2024-26 Contributions'!G42</f>
        <v>4087480.3599999994</v>
      </c>
      <c r="H43" s="609">
        <f>[3]Summary!$D$122</f>
        <v>-9.9999999999999995E-7</v>
      </c>
      <c r="I43" s="596"/>
      <c r="J43" s="596"/>
      <c r="K43" s="596"/>
      <c r="L43" s="596"/>
      <c r="M43" s="596"/>
      <c r="N43" s="596"/>
      <c r="O43" s="596"/>
      <c r="P43" s="596"/>
    </row>
    <row r="44" spans="1:16" ht="15" customHeight="1">
      <c r="A44" s="596"/>
      <c r="B44" s="543" t="s">
        <v>98</v>
      </c>
      <c r="C44" s="571">
        <f>YR1991_93!B39+YR1994_96!B39+YR1997_99!B39+YR2000_02!B35+YR2003_05!B35+YR2006_08!B38+YR2009_11!B39+YR2012_14!B41+YR2015_17!B41+YR2018_20!B41+YR2021_23!B41+'2024-26 Contributions'!C43</f>
        <v>16252229.68</v>
      </c>
      <c r="D44" s="571">
        <f>YR1991_93!C39+YR1994_96!C39+YR1997_99!C39+YR2000_02!C35+YR2003_05!C35+YR2006_08!C38+YR2009_11!C39+YR2012_14!C41+YR2015_17!C41+YR2018_20!C41+YR2021_23!C41+'2024-26 Contributions'!D43</f>
        <v>15334995.279999999</v>
      </c>
      <c r="E44" s="571">
        <f>YR1991_93!D39+YR1994_96!D39+YR1997_99!D39+YR2000_02!D35+YR2003_05!D35+YR2006_08!D38+YR2009_11!D39+YR2012_14!D41+YR2015_17!D41+YR2018_20!D41+YR2021_23!D41+'2024-26 Contributions'!E43</f>
        <v>0</v>
      </c>
      <c r="F44" s="571">
        <f>YR1991_93!E39+YR1994_96!E39+YR1997_99!E39+YR2000_02!E35+YR2003_05!E35+YR2006_08!E38+YR2009_11!E39+YR2012_14!E41+YR2015_17!E41+YR2018_20!E41+YR2021_23!E41+'2024-26 Contributions'!F43</f>
        <v>0</v>
      </c>
      <c r="G44" s="571">
        <f>YR1991_93!F39+YR1994_96!F39+YR1997_99!F39+YR2000_02!F35+YR2003_05!F35+YR2006_08!F38+YR2009_11!F39+YR2012_14!F41+YR2015_17!F41+YR2018_20!F41+YR2021_23!F41+'2024-26 Contributions'!G43</f>
        <v>917234.39999999991</v>
      </c>
      <c r="H44" s="609">
        <f>[3]Summary!$D$123</f>
        <v>482201.52233455342</v>
      </c>
      <c r="I44" s="596"/>
      <c r="J44" s="596"/>
      <c r="K44" s="596"/>
      <c r="L44" s="596"/>
      <c r="M44" s="596"/>
      <c r="N44" s="596"/>
      <c r="O44" s="596"/>
      <c r="P44" s="596"/>
    </row>
    <row r="45" spans="1:16" ht="15" customHeight="1">
      <c r="A45" s="596"/>
      <c r="B45" s="543" t="s">
        <v>99</v>
      </c>
      <c r="C45" s="571">
        <f>YR1991_93!B40+YR1994_96!B40+YR1997_99!B40+YR2000_02!B36+YR2003_05!B36+YR2006_08!B39+YR2009_11!B40+YR2012_14!B42+YR2015_17!B42+YR2018_20!B42+YR2021_23!B42+'2024-26 Contributions'!C44</f>
        <v>45464493.649999999</v>
      </c>
      <c r="D45" s="571">
        <f>YR1991_93!C40+YR1994_96!C40+YR1997_99!C40+YR2000_02!C36+YR2003_05!C36+YR2006_08!C39+YR2009_11!C40+YR2012_14!C42+YR2015_17!C42+YR2018_20!C42+YR2021_23!C42+'2024-26 Contributions'!D44</f>
        <v>43448953.310000002</v>
      </c>
      <c r="E45" s="571">
        <f>YR1991_93!D40+YR1994_96!D40+YR1997_99!D40+YR2000_02!D36+YR2003_05!D36+YR2006_08!D39+YR2009_11!D40+YR2012_14!D42+YR2015_17!D42+YR2018_20!D42+YR2021_23!D42+'2024-26 Contributions'!E44</f>
        <v>0</v>
      </c>
      <c r="F45" s="571">
        <f>YR1991_93!E40+YR1994_96!E40+YR1997_99!E40+YR2000_02!E36+YR2003_05!E36+YR2006_08!E39+YR2009_11!E40+YR2012_14!E42+YR2015_17!E42+YR2018_20!E42+YR2021_23!E42+'2024-26 Contributions'!F44</f>
        <v>0</v>
      </c>
      <c r="G45" s="571">
        <f>YR1991_93!F40+YR1994_96!F40+YR1997_99!F40+YR2000_02!F36+YR2003_05!F36+YR2006_08!F39+YR2009_11!F40+YR2012_14!F42+YR2015_17!F42+YR2018_20!F42+YR2021_23!F42+'2024-26 Contributions'!G44</f>
        <v>2015540.3400000008</v>
      </c>
      <c r="H45" s="609">
        <f>[3]Summary!$D$124</f>
        <v>2024225.9409621567</v>
      </c>
      <c r="I45" s="596"/>
      <c r="J45" s="596"/>
      <c r="K45" s="596"/>
      <c r="L45" s="596"/>
      <c r="M45" s="596"/>
      <c r="N45" s="596"/>
      <c r="O45" s="596"/>
      <c r="P45" s="596"/>
    </row>
    <row r="46" spans="1:16" ht="15" customHeight="1">
      <c r="A46" s="596"/>
      <c r="B46" s="543" t="s">
        <v>100</v>
      </c>
      <c r="C46" s="571">
        <f>YR1994_96!B41</f>
        <v>16915</v>
      </c>
      <c r="D46" s="571">
        <f>YR1994_96!C41</f>
        <v>16915</v>
      </c>
      <c r="E46" s="571">
        <f>YR1994_96!D41</f>
        <v>0</v>
      </c>
      <c r="F46" s="571">
        <f>YR1994_96!E41</f>
        <v>0</v>
      </c>
      <c r="G46" s="571">
        <f>YR1994_96!F41</f>
        <v>0</v>
      </c>
      <c r="H46" s="609">
        <v>0</v>
      </c>
      <c r="I46" s="596"/>
      <c r="J46" s="596"/>
      <c r="K46" s="596"/>
      <c r="L46" s="596"/>
      <c r="M46" s="596"/>
      <c r="N46" s="596"/>
      <c r="O46" s="596"/>
      <c r="P46" s="596"/>
    </row>
    <row r="47" spans="1:16" ht="15" customHeight="1">
      <c r="A47" s="596"/>
      <c r="B47" s="543" t="s">
        <v>101</v>
      </c>
      <c r="C47" s="571">
        <f>YR1991_93!B42+YR1994_96!B42+YR1997_99!B42+YR2000_02!B37+YR2003_05!B37+YR2006_08!B40+YR2009_11!B41+YR2012_14!B43+YR2015_17!B43+YR2018_20!B43+YR2021_23!B43+'2024-26 Contributions'!C45</f>
        <v>34861874.969999999</v>
      </c>
      <c r="D47" s="571">
        <f>YR1991_93!C42+YR1994_96!C42+YR1997_99!C42+YR2000_02!C37+YR2003_05!C37+YR2006_08!C40+YR2009_11!C41+YR2012_14!C43+YR2015_17!C43+YR2018_20!C43+YR2021_23!C43+'2024-26 Contributions'!D45</f>
        <v>32264327.960000001</v>
      </c>
      <c r="E47" s="571">
        <f>YR1991_93!D42+YR1994_96!D42+YR1997_99!D42+YR2000_02!D37+YR2003_05!D37+YR2006_08!D40+YR2009_11!D41+YR2012_14!D43+YR2015_17!D43+YR2018_20!D43+YR2021_23!D43+'2024-26 Contributions'!E45</f>
        <v>113000</v>
      </c>
      <c r="F47" s="571">
        <f>YR1991_93!E42+YR1994_96!E42+YR1997_99!E42+YR2000_02!E37+YR2003_05!E37+YR2006_08!E40+YR2009_11!E41+YR2012_14!E43+YR2015_17!E43+YR2018_20!E43+YR2021_23!E43+'2024-26 Contributions'!F45</f>
        <v>0</v>
      </c>
      <c r="G47" s="571">
        <f>YR1991_93!F42+YR1994_96!F42+YR1997_99!F42+YR2000_02!F37+YR2003_05!F37+YR2006_08!F40+YR2009_11!F41+YR2012_14!F43+YR2015_17!F43+YR2018_20!F43+YR2021_23!F43+'2024-26 Contributions'!G45</f>
        <v>2484547.0099999998</v>
      </c>
      <c r="H47" s="609">
        <f>[3]Summary!$D$125</f>
        <v>1436466.6558757434</v>
      </c>
      <c r="I47" s="596"/>
      <c r="J47" s="596"/>
      <c r="K47" s="596"/>
      <c r="L47" s="596"/>
      <c r="M47" s="596"/>
      <c r="N47" s="596"/>
      <c r="O47" s="596"/>
      <c r="P47" s="596"/>
    </row>
    <row r="48" spans="1:16" ht="15" customHeight="1">
      <c r="A48" s="596"/>
      <c r="B48" s="543" t="s">
        <v>102</v>
      </c>
      <c r="C48" s="571">
        <f>YR1991_93!B43+YR1994_96!B43+YR1997_99!B43+YR2000_02!B38+YR2003_05!B38+YR2006_08!B41+YR2009_11!B42+YR2012_14!B44+YR2015_17!B44+YR2018_20!B44+YR2021_23!B44+'2024-26 Contributions'!C46</f>
        <v>25141701.460000001</v>
      </c>
      <c r="D48" s="571">
        <f>YR1991_93!C43+YR1994_96!C43+YR1997_99!C43+YR2000_02!C38+YR2003_05!C38+YR2006_08!C41+YR2009_11!C42+YR2012_14!C44+YR2015_17!C44+YR2018_20!C44+YR2021_23!C44+'2024-26 Contributions'!D46</f>
        <v>24046116.939999998</v>
      </c>
      <c r="E48" s="571">
        <f>YR1991_93!D43+YR1994_96!D43+YR1997_99!D43+YR2000_02!D38+YR2003_05!D38+YR2006_08!D41+YR2009_11!D42+YR2012_14!D44+YR2015_17!D44+YR2018_20!D44+YR2021_23!D44+'2024-26 Contributions'!E46</f>
        <v>47743</v>
      </c>
      <c r="F48" s="571">
        <f>YR1991_93!E43+YR1994_96!E43+YR1997_99!E43+YR2000_02!E38+YR2003_05!E38+YR2006_08!E41+YR2009_11!E42+YR2012_14!E44+YR2015_17!E44+YR2018_20!E44+YR2021_23!E44+'2024-26 Contributions'!F46</f>
        <v>0</v>
      </c>
      <c r="G48" s="571">
        <f>YR1991_93!F43+YR1994_96!F43+YR1997_99!F43+YR2000_02!F38+YR2003_05!F38+YR2006_08!F41+YR2009_11!F42+YR2012_14!F44+YR2015_17!F44+YR2018_20!F44+YR2021_23!F44+'2024-26 Contributions'!G46</f>
        <v>1047841.5200000009</v>
      </c>
      <c r="H48" s="609">
        <f>[4]Summary!$D$126</f>
        <v>268750.91781857901</v>
      </c>
      <c r="I48" s="596"/>
      <c r="J48" s="596"/>
      <c r="K48" s="596"/>
      <c r="L48" s="596"/>
      <c r="M48" s="596"/>
      <c r="N48" s="596"/>
      <c r="O48" s="596"/>
      <c r="P48" s="596"/>
    </row>
    <row r="49" spans="1:16" ht="15" customHeight="1">
      <c r="A49" s="596"/>
      <c r="B49" s="543" t="s">
        <v>103</v>
      </c>
      <c r="C49" s="571">
        <f>YR2006_08!B42+YR2009_11!B43+YR2012_14!B45+YR2015_17!B45+YR2018_20!B45+YR2021_23!B45+'2024-26 Contributions'!C47</f>
        <v>6574066.5499999998</v>
      </c>
      <c r="D49" s="571">
        <f>YR2006_08!C42+YR2009_11!C43+YR2012_14!C45+YR2015_17!C45+YR2018_20!C45+YR2021_23!C45+'2024-26 Contributions'!D47</f>
        <v>4548401.83</v>
      </c>
      <c r="E49" s="571">
        <f>YR2006_08!D42+YR2009_11!D43+YR2012_14!D45+YR2015_17!D45+YR2018_20!D45+YR2021_23!D45+'2024-26 Contributions'!E47</f>
        <v>0</v>
      </c>
      <c r="F49" s="571">
        <f>YR2006_08!E42+YR2009_11!E43+YR2012_14!E45+YR2015_17!E45+YR2018_20!E45+YR2021_23!E45+'2024-26 Contributions'!F47</f>
        <v>0</v>
      </c>
      <c r="G49" s="571">
        <f>YR2006_08!F42+YR2009_11!F43+YR2012_14!F45+YR2015_17!F45+YR2018_20!F45+YR2021_23!F45+'2024-26 Contributions'!G47</f>
        <v>2025664.72</v>
      </c>
      <c r="H49" s="609">
        <f>[3]Summary!$D$127</f>
        <v>-1285.7995563792647</v>
      </c>
      <c r="I49" s="596"/>
      <c r="J49" s="596"/>
      <c r="K49" s="596"/>
      <c r="L49" s="596"/>
      <c r="M49" s="596"/>
      <c r="N49" s="596"/>
      <c r="O49" s="596"/>
      <c r="P49" s="596"/>
    </row>
    <row r="50" spans="1:16" ht="15" customHeight="1">
      <c r="A50" s="596"/>
      <c r="B50" s="543" t="s">
        <v>104</v>
      </c>
      <c r="C50" s="571">
        <f>YR1991_93!B44+YR1994_96!B44+YR1997_99!B44+YR2000_02!B39+YR2003_05!B39+YR2006_08!B43+YR2009_11!B44+YR2012_14!B46+YR2015_17!B46+YR2018_20!B46+YR2021_23!B46+'2024-26 Contributions'!C48</f>
        <v>175663314.20999998</v>
      </c>
      <c r="D50" s="571">
        <f>YR1991_93!C44+YR1994_96!C44+YR1997_99!C44+YR2000_02!C39+YR2003_05!C39+YR2006_08!C43+YR2009_11!C44+YR2012_14!C46+YR2015_17!C46+YR2018_20!C46+YR2021_23!C46+'2024-26 Contributions'!D48</f>
        <v>44411441.07</v>
      </c>
      <c r="E50" s="571">
        <f>YR1991_93!D44+YR1994_96!D44+YR1997_99!D44+YR2000_02!D39+YR2003_05!D39+YR2006_08!D43+YR2009_11!D44+YR2012_14!D46+YR2015_17!D46+YR2018_20!D46+YR2021_23!D46+'2024-26 Contributions'!E48</f>
        <v>666676</v>
      </c>
      <c r="F50" s="571">
        <f>YR1991_93!E44+YR1994_96!E44+YR1997_99!E44+YR2000_02!E39+YR2003_05!E39+YR2006_08!E43+YR2009_11!E44+YR2012_14!E46+YR2015_17!E46+YR2018_20!E46+YR2021_23!E46+'2024-26 Contributions'!F48</f>
        <v>0</v>
      </c>
      <c r="G50" s="571">
        <f>YR1991_93!F44+YR1994_96!F44+YR1997_99!F44+YR2000_02!F39+YR2003_05!F39+YR2006_08!F43+YR2009_11!F44+YR2012_14!F46+YR2015_17!F46+YR2018_20!F46+YR2021_23!F46+'2024-26 Contributions'!G48</f>
        <v>130585197.14</v>
      </c>
      <c r="H50" s="609">
        <f>[3]Summary!$D$128</f>
        <v>6576264.6170411594</v>
      </c>
      <c r="I50" s="596"/>
      <c r="J50" s="596"/>
      <c r="K50" s="596"/>
      <c r="L50" s="596"/>
      <c r="M50" s="596"/>
      <c r="N50" s="596"/>
      <c r="O50" s="596"/>
      <c r="P50" s="596"/>
    </row>
    <row r="51" spans="1:16" ht="15" customHeight="1">
      <c r="A51" s="596"/>
      <c r="B51" s="543" t="s">
        <v>105</v>
      </c>
      <c r="C51" s="571">
        <f>YR2009_11!B45+YR2012_14!B47+YR2015_17!B47+YR2018_20!B47+YR2021_23!B47+'2024-26 Contributions'!C49</f>
        <v>89258.13</v>
      </c>
      <c r="D51" s="571">
        <f>YR2009_11!C45+YR2012_14!C47+YR2015_17!C47+YR2018_20!C47+YR2021_23!C47+'2024-26 Contributions'!D49</f>
        <v>83322.13</v>
      </c>
      <c r="E51" s="571">
        <f>YR2009_11!D45+YR2012_14!D47+YR2015_17!D47+YR2018_20!D47+YR2021_23!D47+'2024-26 Contributions'!E49</f>
        <v>0</v>
      </c>
      <c r="F51" s="571">
        <f>YR2009_11!E45+YR2012_14!E47+YR2015_17!E47+YR2018_20!E47+YR2021_23!E47+'2024-26 Contributions'!F49</f>
        <v>0</v>
      </c>
      <c r="G51" s="571">
        <f>YR2009_11!F45+YR2012_14!F47+YR2015_17!F47+YR2018_20!F47+YR2021_23!F47+'2024-26 Contributions'!G49</f>
        <v>5936</v>
      </c>
      <c r="H51" s="609">
        <f>[3]Summary!$D$129</f>
        <v>3429.0443625200414</v>
      </c>
      <c r="I51" s="596"/>
      <c r="J51" s="596"/>
      <c r="K51" s="596"/>
      <c r="L51" s="596"/>
      <c r="M51" s="596"/>
      <c r="N51" s="596"/>
      <c r="O51" s="596"/>
      <c r="P51" s="596"/>
    </row>
    <row r="52" spans="1:16" ht="15" customHeight="1">
      <c r="A52" s="596"/>
      <c r="B52" s="543" t="s">
        <v>106</v>
      </c>
      <c r="C52" s="571">
        <f>YR1991_93!B45+YR1994_96!B45</f>
        <v>531221</v>
      </c>
      <c r="D52" s="571">
        <f>YR1991_93!C45+YR1994_96!C45</f>
        <v>459245</v>
      </c>
      <c r="E52" s="571">
        <f>YR1991_93!D45+YR1994_96!D45</f>
        <v>71976</v>
      </c>
      <c r="F52" s="571">
        <f>YR1991_93!E45+YR1994_96!E45</f>
        <v>0</v>
      </c>
      <c r="G52" s="571">
        <f>YR1991_93!F45+YR1994_96!F45</f>
        <v>0</v>
      </c>
      <c r="H52" s="609">
        <v>0</v>
      </c>
      <c r="I52" s="596"/>
      <c r="J52" s="596"/>
      <c r="K52" s="596"/>
      <c r="L52" s="596"/>
      <c r="M52" s="596"/>
      <c r="N52" s="596"/>
      <c r="O52" s="596"/>
      <c r="P52" s="596"/>
    </row>
    <row r="53" spans="1:16" ht="15" customHeight="1">
      <c r="A53" s="596"/>
      <c r="B53" s="543" t="s">
        <v>107</v>
      </c>
      <c r="C53" s="571">
        <f>YR1991_93!B46+YR1994_96!B46+YR1997_99!B46+YR2000_02!B40+YR2003_05!B40+YR2006_08!B44+YR2009_11!B46+YR2012_14!B48+YR2015_17!B48+YR2018_20!B48+YR2021_23!B48+'2024-26 Contributions'!C50</f>
        <v>7040176.3399999999</v>
      </c>
      <c r="D53" s="571">
        <f>YR1991_93!C46+YR1994_96!C46+YR1997_99!C46+YR2000_02!C40+YR2003_05!C40+YR2006_08!C44+YR2009_11!C46+YR2012_14!C48+YR2015_17!C48+YR2018_20!C48+YR2021_23!C48+'2024-26 Contributions'!D50</f>
        <v>6563552.9499999993</v>
      </c>
      <c r="E53" s="571">
        <f>YR1991_93!D46+YR1994_96!D46+YR1997_99!D46+YR2000_02!D40+YR2003_05!D40+YR2006_08!D44+YR2009_11!D46+YR2012_14!D48+YR2015_17!D48+YR2018_20!D48+YR2021_23!D48+'2024-26 Contributions'!E50</f>
        <v>16523</v>
      </c>
      <c r="F53" s="571">
        <f>YR1991_93!E46+YR1994_96!E46+YR1997_99!E46+YR2000_02!E40+YR2003_05!E40+YR2006_08!E44+YR2009_11!E46+YR2012_14!E48+YR2015_17!E48+YR2018_20!E48+YR2021_23!E48+'2024-26 Contributions'!F50</f>
        <v>0</v>
      </c>
      <c r="G53" s="571">
        <f>YR1991_93!F46+YR1994_96!F46+YR1997_99!F46+YR2000_02!F40+YR2003_05!F40+YR2006_08!F44+YR2009_11!F46+YR2012_14!F48+YR2015_17!F48+YR2018_20!F48+YR2021_23!F48+'2024-26 Contributions'!G50</f>
        <v>460100.39000000013</v>
      </c>
      <c r="H53" s="609">
        <f>[3]Summary!$D$131</f>
        <v>183326.75934440293</v>
      </c>
      <c r="I53" s="596"/>
      <c r="J53" s="596"/>
      <c r="K53" s="596"/>
      <c r="L53" s="596"/>
      <c r="M53" s="596"/>
      <c r="N53" s="596"/>
      <c r="O53" s="596"/>
      <c r="P53" s="596"/>
    </row>
    <row r="54" spans="1:16" ht="15" customHeight="1">
      <c r="A54" s="596"/>
      <c r="B54" s="543" t="s">
        <v>108</v>
      </c>
      <c r="C54" s="571">
        <f>YR1991_93!B47+YR1994_96!B47+YR1997_99!B47+YR2000_02!B41+YR2003_05!B41+YR2006_08!B45+YR2009_11!B47+YR2012_14!B49+YR2015_17!B49+YR2018_20!B49+YR2021_23!B49+'2024-26 Contributions'!C51</f>
        <v>3999217.74</v>
      </c>
      <c r="D54" s="571">
        <f>YR1991_93!C47+YR1994_96!C47+YR1997_99!C47+YR2000_02!C41+YR2003_05!C41+YR2006_08!C45+YR2009_11!C47+YR2012_14!C49+YR2015_17!C49+YR2018_20!C49+YR2021_23!C49+'2024-26 Contributions'!D51</f>
        <v>3764714.83</v>
      </c>
      <c r="E54" s="571">
        <f>YR1991_93!D47+YR1994_96!D47+YR1997_99!D47+YR2000_02!D41+YR2003_05!D41+YR2006_08!D45+YR2009_11!D47+YR2012_14!D49+YR2015_17!D49+YR2018_20!D49+YR2021_23!D49+'2024-26 Contributions'!E51</f>
        <v>0</v>
      </c>
      <c r="F54" s="571">
        <f>YR1991_93!E47+YR1994_96!E47+YR1997_99!E47+YR2000_02!E41+YR2003_05!E41+YR2006_08!E45+YR2009_11!E47+YR2012_14!E49+YR2015_17!E49+YR2018_20!E49+YR2021_23!E49+'2024-26 Contributions'!F51</f>
        <v>0</v>
      </c>
      <c r="G54" s="571">
        <f>YR1991_93!F47+YR1994_96!F47+YR1997_99!F47+YR2000_02!F41+YR2003_05!F41+YR2006_08!F45+YR2009_11!F47+YR2012_14!F49+YR2015_17!F49+YR2018_20!F49+YR2021_23!F49+'2024-26 Contributions'!G51</f>
        <v>234502.91000000003</v>
      </c>
      <c r="H54" s="609">
        <f>[3]Summary!$D$130</f>
        <v>6037.1446589246661</v>
      </c>
      <c r="I54" s="596"/>
      <c r="J54" s="596"/>
      <c r="K54" s="596"/>
      <c r="L54" s="596"/>
      <c r="M54" s="596"/>
      <c r="N54" s="596"/>
      <c r="O54" s="596"/>
      <c r="P54" s="596"/>
    </row>
    <row r="55" spans="1:16" ht="15" customHeight="1">
      <c r="A55" s="596"/>
      <c r="B55" s="543" t="s">
        <v>109</v>
      </c>
      <c r="C55" s="571">
        <f>YR1991_93!B48+YR1994_96!B48+YR1997_99!B48</f>
        <v>3793691</v>
      </c>
      <c r="D55" s="571">
        <f>YR1991_93!C48+YR1994_96!C48+YR1997_99!C48</f>
        <v>3763691</v>
      </c>
      <c r="E55" s="571">
        <f>YR1991_93!D48+YR1994_96!D48+YR1997_99!D48</f>
        <v>30000</v>
      </c>
      <c r="F55" s="571">
        <f>YR1991_93!E48+YR1994_96!E48+YR1997_99!E48</f>
        <v>0</v>
      </c>
      <c r="G55" s="571">
        <f>YR1991_93!F48+YR1994_96!F48+YR1997_99!F48</f>
        <v>0</v>
      </c>
      <c r="H55" s="609">
        <v>0</v>
      </c>
      <c r="I55" s="596"/>
      <c r="J55" s="596"/>
      <c r="K55" s="596"/>
      <c r="L55" s="596"/>
      <c r="M55" s="596"/>
      <c r="N55" s="596"/>
      <c r="O55" s="596"/>
      <c r="P55" s="596"/>
    </row>
    <row r="56" spans="1:16" ht="15" customHeight="1">
      <c r="A56" s="596"/>
      <c r="B56" s="543" t="s">
        <v>110</v>
      </c>
      <c r="C56" s="571">
        <f>YR1991_93!B49+YR1994_96!B49+YR1997_99!B49+YR2000_02!B42+YR2003_05!B42+YR2006_08!B46+YR2009_11!B48+YR2012_14!B50+YR2015_17!B50+YR2018_20!B50+YR2021_23!B50+'2024-26 Contributions'!C52</f>
        <v>160014590.94999999</v>
      </c>
      <c r="D56" s="571">
        <f>YR1991_93!C49+YR1994_96!C49+YR1997_99!C49+YR2000_02!C42+YR2003_05!C42+YR2006_08!C46+YR2009_11!C48+YR2012_14!C50+YR2015_17!C50+YR2018_20!C50+YR2021_23!C50+'2024-26 Contributions'!D52</f>
        <v>147237284.01999998</v>
      </c>
      <c r="E56" s="571">
        <f>YR1991_93!D49+YR1994_96!D49+YR1997_99!D49+YR2000_02!D42+YR2003_05!D42+YR2006_08!D46+YR2009_11!D48+YR2012_14!D50+YR2015_17!D50+YR2018_20!D50+YR2021_23!D50+'2024-26 Contributions'!E52</f>
        <v>6442751.9000000004</v>
      </c>
      <c r="F56" s="571">
        <f>YR1991_93!E49+YR1994_96!E49+YR1997_99!E49+YR2000_02!E42+YR2003_05!E42+YR2006_08!E46+YR2009_11!E48+YR2012_14!E50+YR2015_17!E50+YR2018_20!E50+YR2021_23!E50+'2024-26 Contributions'!F52</f>
        <v>0</v>
      </c>
      <c r="G56" s="571">
        <f>YR1991_93!F49+YR1994_96!F49+YR1997_99!F49+YR2000_02!F42+YR2003_05!F42+YR2006_08!F46+YR2009_11!F48+YR2012_14!F50+YR2015_17!F50+YR2018_20!F50+YR2021_23!F50+'2024-26 Contributions'!G52</f>
        <v>6334555.0299999937</v>
      </c>
      <c r="H56" s="609">
        <f>[4]Summary!$D$132</f>
        <v>3123009.5305774738</v>
      </c>
      <c r="I56" s="596"/>
      <c r="J56" s="596"/>
      <c r="K56" s="596"/>
      <c r="L56" s="596"/>
      <c r="M56" s="596"/>
      <c r="N56" s="596"/>
      <c r="O56" s="596"/>
      <c r="P56" s="596"/>
    </row>
    <row r="57" spans="1:16" ht="15" customHeight="1">
      <c r="A57" s="596"/>
      <c r="B57" s="543" t="s">
        <v>111</v>
      </c>
      <c r="C57" s="571">
        <f>YR1991_93!B50+YR1994_96!B50+YR1997_99!B50+YR2000_02!B43+YR2003_05!B43+YR2006_08!B47+YR2009_11!B49+YR2012_14!B51+YR2015_17!B51+YR2018_20!B51+YR2021_23!B51+'2024-26 Contributions'!C53</f>
        <v>65779756.979999997</v>
      </c>
      <c r="D57" s="571">
        <f>YR1991_93!C50+YR1994_96!C50+YR1997_99!C50+YR2000_02!C43+YR2003_05!C43+YR2006_08!C47+YR2009_11!C49+YR2012_14!C51+YR2015_17!C51+YR2018_20!C51+YR2021_23!C51+'2024-26 Contributions'!D53</f>
        <v>61619956.989999995</v>
      </c>
      <c r="E57" s="571">
        <f>YR1991_93!D50+YR1994_96!D50+YR1997_99!D50+YR2000_02!D43+YR2003_05!D43+YR2006_08!D47+YR2009_11!D49+YR2012_14!D51+YR2015_17!D51+YR2018_20!D51+YR2021_23!D51+'2024-26 Contributions'!E53</f>
        <v>1574328</v>
      </c>
      <c r="F57" s="571">
        <f>YR1991_93!E50+YR1994_96!E50+YR1997_99!E50+YR2000_02!E43+YR2003_05!E43+YR2006_08!E47+YR2009_11!E49+YR2012_14!E51+YR2015_17!E51+YR2018_20!E51+YR2021_23!E51+'2024-26 Contributions'!F53</f>
        <v>0</v>
      </c>
      <c r="G57" s="571">
        <f>YR1991_93!F50+YR1994_96!F50+YR1997_99!F50+YR2000_02!F43+YR2003_05!F43+YR2006_08!F47+YR2009_11!F49+YR2012_14!F51+YR2015_17!F51+YR2018_20!F51+YR2021_23!F51+'2024-26 Contributions'!G53</f>
        <v>2585471.9900000002</v>
      </c>
      <c r="H57" s="609">
        <f>[3]Summary!$D$133</f>
        <v>874336.74799752771</v>
      </c>
      <c r="I57" s="596"/>
      <c r="J57" s="596"/>
      <c r="K57" s="596"/>
      <c r="L57" s="596"/>
      <c r="M57" s="596"/>
      <c r="N57" s="596"/>
      <c r="O57" s="596"/>
      <c r="P57" s="596"/>
    </row>
    <row r="58" spans="1:16" ht="15" customHeight="1">
      <c r="A58" s="596"/>
      <c r="B58" s="543" t="s">
        <v>112</v>
      </c>
      <c r="C58" s="571">
        <f>YR1991_93!B51+YR1994_96!B51+YR1997_99!B51+YR2000_02!B44+YR2003_05!B44+YR2006_08!B48+YR2009_11!B50+YR2012_14!B52+YR2015_17!B52+YR2018_20!B52+YR2021_23!B52+'2024-26 Contributions'!C54</f>
        <v>74211214.849999994</v>
      </c>
      <c r="D58" s="571">
        <f>YR1991_93!C51+YR1994_96!C51+YR1997_99!C51+YR2000_02!C44+YR2003_05!C44+YR2006_08!C48+YR2009_11!C50+YR2012_14!C52+YR2015_17!C52+YR2018_20!C52+YR2021_23!C52+'2024-26 Contributions'!D54</f>
        <v>68931823.770000011</v>
      </c>
      <c r="E58" s="571">
        <f>YR1991_93!D51+YR1994_96!D51+YR1997_99!D51+YR2000_02!D44+YR2003_05!D44+YR2006_08!D48+YR2009_11!D50+YR2012_14!D52+YR2015_17!D52+YR2018_20!D52+YR2021_23!D52+'2024-26 Contributions'!E54</f>
        <v>1913230</v>
      </c>
      <c r="F58" s="571">
        <f>YR1991_93!E51+YR1994_96!E51+YR1997_99!E51+YR2000_02!E44+YR2003_05!E44+YR2006_08!E48+YR2009_11!E50+YR2012_14!E52+YR2015_17!E52+YR2018_20!E52+YR2021_23!E52+'2024-26 Contributions'!F54</f>
        <v>0</v>
      </c>
      <c r="G58" s="571">
        <f>YR1991_93!F51+YR1994_96!F51+YR1997_99!F51+YR2000_02!F44+YR2003_05!F44+YR2006_08!F48+YR2009_11!F50+YR2012_14!F52+YR2015_17!F52+YR2018_20!F52+YR2021_23!F52+'2024-26 Contributions'!G54</f>
        <v>3366161.08</v>
      </c>
      <c r="H58" s="609">
        <f>[3]Summary!$D$134</f>
        <v>-2130301.7809921568</v>
      </c>
      <c r="I58" s="596"/>
      <c r="J58" s="596"/>
      <c r="K58" s="596"/>
      <c r="L58" s="596"/>
      <c r="M58" s="596"/>
      <c r="N58" s="596"/>
      <c r="O58" s="596"/>
      <c r="P58" s="596"/>
    </row>
    <row r="59" spans="1:16" ht="15" customHeight="1">
      <c r="A59" s="596"/>
      <c r="B59" s="543" t="s">
        <v>113</v>
      </c>
      <c r="C59" s="571">
        <f>YR1991_93!B52+YR1994_96!B52+YR1997_99!B52+YR2000_02!B45+YR2003_05!B45+YR2006_08!B49+YR2009_11!B51+YR2012_14!B53+YR2015_17!B53+YR2018_20!B53+YR2021_23!B53+'2024-26 Contributions'!C55</f>
        <v>204984.73</v>
      </c>
      <c r="D59" s="571">
        <f>YR1991_93!C52+YR1994_96!C52+YR1997_99!C52+YR2000_02!C45+YR2003_05!C45+YR2006_08!C49+YR2009_11!C51+YR2012_14!C53+YR2015_17!C53+YR2018_20!C53+YR2021_23!C53+'2024-26 Contributions'!D55</f>
        <v>49086</v>
      </c>
      <c r="E59" s="571">
        <f>YR1991_93!D52+YR1994_96!D52+YR1997_99!D52+YR2000_02!D45+YR2003_05!D45+YR2006_08!D49+YR2009_11!D51+YR2012_14!D53+YR2015_17!D53+YR2018_20!D53+YR2021_23!D53+'2024-26 Contributions'!E55</f>
        <v>0</v>
      </c>
      <c r="F59" s="571">
        <f>YR1991_93!E52+YR1994_96!E52+YR1997_99!E52+YR2000_02!E45+YR2003_05!E45+YR2006_08!E49+YR2009_11!E51+YR2012_14!E53+YR2015_17!E53+YR2018_20!E53+YR2021_23!E53+'2024-26 Contributions'!F55</f>
        <v>0</v>
      </c>
      <c r="G59" s="571">
        <f>YR1991_93!F52+YR1994_96!F52+YR1997_99!F52+YR2000_02!F45+YR2003_05!F45+YR2006_08!F49+YR2009_11!F51+YR2012_14!F53+YR2015_17!F53+YR2018_20!F53+YR2021_23!F53+'2024-26 Contributions'!G55</f>
        <v>155898.72999999998</v>
      </c>
      <c r="H59" s="609">
        <v>0</v>
      </c>
      <c r="I59" s="596"/>
      <c r="J59" s="596"/>
      <c r="K59" s="596"/>
      <c r="L59" s="596"/>
      <c r="M59" s="596"/>
      <c r="N59" s="596"/>
      <c r="O59" s="596"/>
      <c r="P59" s="596"/>
    </row>
    <row r="60" spans="1:16" ht="15" customHeight="1">
      <c r="A60" s="596"/>
      <c r="B60" s="543" t="s">
        <v>114</v>
      </c>
      <c r="C60" s="571">
        <f>YR1991_93!B53+YR1994_96!B53+YR1997_99!B53+YR2000_02!B46+YR2003_05!B46</f>
        <v>293245.01</v>
      </c>
      <c r="D60" s="571">
        <f>YR1991_93!C53+YR1994_96!C53+YR1997_99!C53+YR2000_02!C46+YR2003_05!C46</f>
        <v>5763.67</v>
      </c>
      <c r="E60" s="571">
        <f>YR1991_93!D53+YR1994_96!D53+YR1997_99!D53+YR2000_02!D46+YR2003_05!D46</f>
        <v>0</v>
      </c>
      <c r="F60" s="571">
        <f>YR1991_93!E53+YR1994_96!E53+YR1997_99!E53+YR2000_02!E46+YR2003_05!E46</f>
        <v>0</v>
      </c>
      <c r="G60" s="571">
        <f>YR1991_93!F53+YR1994_96!F53+YR1997_99!F53+YR2000_02!F46+YR2003_05!F46</f>
        <v>287481.34000000003</v>
      </c>
      <c r="H60" s="609">
        <v>0</v>
      </c>
      <c r="I60" s="596"/>
      <c r="J60" s="596"/>
      <c r="K60" s="596"/>
      <c r="L60" s="596"/>
      <c r="M60" s="596"/>
      <c r="N60" s="596"/>
      <c r="O60" s="596"/>
      <c r="P60" s="596"/>
    </row>
    <row r="61" spans="1:16" ht="15" customHeight="1">
      <c r="A61" s="596"/>
      <c r="B61" s="543" t="s">
        <v>115</v>
      </c>
      <c r="C61" s="571">
        <f>YR1991_93!B54+YR1994_96!B54+YR1997_99!B54+YR2000_02!B47+YR2003_05!B47+YR2006_08!B50+YR2009_11!B52+YR2012_14!B54+YR2015_17!B54+YR2018_20!B54+YR2021_23!B54+'2024-26 Contributions'!C56</f>
        <v>11650917.91</v>
      </c>
      <c r="D61" s="571">
        <f>YR1991_93!C54+YR1994_96!C54+YR1997_99!C54+YR2000_02!C47+YR2003_05!C47+YR2006_08!C50+YR2009_11!C52+YR2012_14!C54+YR2015_17!C54+YR2018_20!C54+YR2021_23!C54+'2024-26 Contributions'!D56</f>
        <v>1303750.1000000001</v>
      </c>
      <c r="E61" s="571">
        <f>YR1991_93!D54+YR1994_96!D54+YR1997_99!D54+YR2000_02!D47+YR2003_05!D47+YR2006_08!D50+YR2009_11!D52+YR2012_14!D54+YR2015_17!D54+YR2018_20!D54+YR2021_23!D54+'2024-26 Contributions'!E56</f>
        <v>0</v>
      </c>
      <c r="F61" s="571">
        <f>YR1991_93!E54+YR1994_96!E54+YR1997_99!E54+YR2000_02!E47+YR2003_05!E47+YR2006_08!E50+YR2009_11!E52+YR2012_14!E54+YR2015_17!E54+YR2018_20!E54+YR2021_23!E54+'2024-26 Contributions'!F56</f>
        <v>0</v>
      </c>
      <c r="G61" s="571">
        <f>YR1991_93!F54+YR1994_96!F54+YR1997_99!F54+YR2000_02!F47+YR2003_05!F47+YR2006_08!F50+YR2009_11!F52+YR2012_14!F54+YR2015_17!F54+YR2018_20!F54+YR2021_23!F54+'2024-26 Contributions'!G56</f>
        <v>10347167.810000001</v>
      </c>
      <c r="H61" s="609">
        <v>0</v>
      </c>
      <c r="I61" s="596"/>
      <c r="J61" s="596"/>
      <c r="K61" s="596"/>
      <c r="L61" s="596"/>
      <c r="M61" s="596"/>
      <c r="N61" s="596"/>
      <c r="O61" s="596"/>
      <c r="P61" s="596"/>
    </row>
    <row r="62" spans="1:16" ht="15" customHeight="1">
      <c r="A62" s="596"/>
      <c r="B62" s="543" t="s">
        <v>116</v>
      </c>
      <c r="C62" s="571">
        <f>YR1991_93!B55</f>
        <v>559639</v>
      </c>
      <c r="D62" s="571">
        <f>YR1991_93!C55</f>
        <v>559639</v>
      </c>
      <c r="E62" s="571">
        <f>YR1991_93!D55</f>
        <v>0</v>
      </c>
      <c r="F62" s="571">
        <f>YR1991_93!E55</f>
        <v>0</v>
      </c>
      <c r="G62" s="571">
        <f>YR1991_93!F55</f>
        <v>0</v>
      </c>
      <c r="H62" s="609">
        <v>0</v>
      </c>
      <c r="I62" s="596"/>
      <c r="J62" s="596"/>
      <c r="K62" s="596"/>
      <c r="L62" s="596"/>
      <c r="M62" s="596"/>
      <c r="N62" s="596"/>
      <c r="O62" s="596"/>
      <c r="P62" s="596"/>
    </row>
    <row r="63" spans="1:16" ht="15" customHeight="1">
      <c r="A63" s="596"/>
      <c r="B63" s="543" t="s">
        <v>117</v>
      </c>
      <c r="C63" s="571">
        <f>YR1991_93!B56+YR1994_96!B56+YR1997_99!B56+YR2000_02!B48+YR2003_05!B48+YR2006_08!B51+YR2009_11!B53+YR2012_14!B55+YR2015_17!B55+YR2018_20!B55+YR2021_23!B55+'2024-26 Contributions'!C57</f>
        <v>337524473.93000001</v>
      </c>
      <c r="D63" s="571">
        <f>YR1991_93!C56+YR1994_96!C56+YR1997_99!C56+YR2000_02!C48+YR2003_05!C48+YR2006_08!C51+YR2009_11!C53+YR2012_14!C55+YR2015_17!C55+YR2018_20!C55+YR2021_23!C55+'2024-26 Contributions'!D57</f>
        <v>323972746.15000004</v>
      </c>
      <c r="E63" s="571">
        <f>YR1991_93!D56+YR1994_96!D56+YR1997_99!D56+YR2000_02!D48+YR2003_05!D48+YR2006_08!D51+YR2009_11!D53+YR2012_14!D55+YR2015_17!D55+YR2018_20!D55+YR2021_23!D55+'2024-26 Contributions'!E57</f>
        <v>565000</v>
      </c>
      <c r="F63" s="571">
        <f>YR1991_93!E56+YR1994_96!E56+YR1997_99!E56+YR2000_02!E48+YR2003_05!E48+YR2006_08!E51+YR2009_11!E53+YR2012_14!E55+YR2015_17!E55+YR2018_20!E55+YR2021_23!E55+'2024-26 Contributions'!F57</f>
        <v>0</v>
      </c>
      <c r="G63" s="571">
        <f>YR1991_93!F56+YR1994_96!F56+YR1997_99!F56+YR2000_02!F48+YR2003_05!F48+YR2006_08!F51+YR2009_11!F53+YR2012_14!F55+YR2015_17!F55+YR2018_20!F55+YR2021_23!F55+'2024-26 Contributions'!G57</f>
        <v>12986727.779999994</v>
      </c>
      <c r="H63" s="609">
        <f>[3]Summary!$D$135</f>
        <v>1185228.5003438238</v>
      </c>
      <c r="I63" s="611"/>
      <c r="J63" s="596"/>
      <c r="K63" s="596"/>
      <c r="L63" s="596"/>
      <c r="M63" s="596"/>
      <c r="N63" s="596"/>
      <c r="O63" s="596"/>
      <c r="P63" s="596"/>
    </row>
    <row r="64" spans="1:16" ht="15" customHeight="1">
      <c r="A64" s="596"/>
      <c r="B64" s="543" t="s">
        <v>118</v>
      </c>
      <c r="C64" s="571">
        <f>YR1991_93!B57+YR1994_96!B57+YR1997_99!B57+YR2000_02!B49+YR2003_05!B49+YR2006_08!B52+YR2009_11!B54+YR2012_14!B56+YR2015_17!B56+YR2018_20!B56+YR2021_23!B56+'2024-26 Contributions'!C58</f>
        <v>1076541575.5899999</v>
      </c>
      <c r="D64" s="571">
        <f>YR1991_93!C57+YR1994_96!C57+YR1997_99!C57+YR2000_02!C49+YR2003_05!C49+YR2006_08!C52+YR2009_11!C54+YR2012_14!C56+YR2015_17!C56+YR2018_20!C56+YR2021_23!C56+'2024-26 Contributions'!D58</f>
        <v>1016430385</v>
      </c>
      <c r="E64" s="571">
        <f>YR1991_93!D57+YR1994_96!D57+YR1997_99!D57+YR2000_02!D49+YR2003_05!D49+YR2006_08!D52+YR2009_11!D54+YR2012_14!D56+YR2015_17!D56+YR2018_20!D56+YR2021_23!D56+'2024-26 Contributions'!E58</f>
        <v>21567191</v>
      </c>
      <c r="F64" s="571">
        <f>YR1991_93!E57+YR1994_96!E57+YR1997_99!E57+YR2000_02!E49+YR2003_05!E49+YR2006_08!E52+YR2009_11!E54+YR2012_14!E56+YR2015_17!E56+YR2018_20!E56+YR2021_23!E56+'2024-26 Contributions'!F58</f>
        <v>0</v>
      </c>
      <c r="G64" s="571">
        <f>YR1991_93!F57+YR1994_96!F57+YR1997_99!F57+YR2000_02!F49+YR2003_05!F49+YR2006_08!F52+YR2009_11!F54+YR2012_14!F56+YR2015_17!F56+YR2018_20!F56+YR2021_23!F56+'2024-26 Contributions'!G58</f>
        <v>38543999.589999899</v>
      </c>
      <c r="H64" s="609">
        <v>0</v>
      </c>
      <c r="I64" s="611"/>
      <c r="J64" s="611"/>
      <c r="K64" s="614"/>
      <c r="L64" s="596"/>
      <c r="M64" s="596"/>
      <c r="N64" s="596"/>
      <c r="O64" s="596"/>
      <c r="P64" s="596"/>
    </row>
    <row r="65" spans="1:16" ht="15" customHeight="1" thickBot="1">
      <c r="A65" s="596"/>
      <c r="B65" s="615" t="s">
        <v>119</v>
      </c>
      <c r="C65" s="616">
        <f>YR1991_93!B58+YR1994_96!B58+YR1997_99!B58+YR2000_02!B50+YR2003_05!B50+YR2006_08!B53+YR2009_11!B55+YR2012_14!B57+YR2015_17!B57+YR2018_20!B57+YR2021_23!B57+'2024-26 Contributions'!C59</f>
        <v>1336169</v>
      </c>
      <c r="D65" s="616">
        <f>YR1991_93!C58+YR1994_96!C58+YR1997_99!C58+YR2000_02!C50+YR2003_05!C50+YR2006_08!C53+YR2009_11!C55+YR2012_14!C57+YR2015_17!C57+YR2018_20!C57+YR2021_23!C57+'2024-26 Contributions'!D59</f>
        <v>472506</v>
      </c>
      <c r="E65" s="616">
        <f>YR1991_93!D58+YR1994_96!D58+YR1997_99!D58+YR2000_02!D50+YR2003_05!D50+YR2006_08!D53+YR2009_11!D55+YR2012_14!D57+YR2015_17!D57+YR2018_20!D57+YR2021_23!D57+'2024-26 Contributions'!E59</f>
        <v>0</v>
      </c>
      <c r="F65" s="616">
        <f>YR1991_93!E58+YR1994_96!E58+YR1997_99!E58+YR2000_02!E50+YR2003_05!E50+YR2006_08!E53+YR2009_11!E55+YR2012_14!E57+YR2015_17!E57+YR2018_20!E57+YR2021_23!E57+'2024-26 Contributions'!F59</f>
        <v>0</v>
      </c>
      <c r="G65" s="616">
        <f>YR1991_93!F58+YR1994_96!F58+YR1997_99!F58+YR2000_02!F50+YR2003_05!F50+YR2006_08!F53+YR2009_11!F55+YR2012_14!F57+YR2015_17!F57+YR2018_20!F57+YR2021_23!F57+'2024-26 Contributions'!G59</f>
        <v>863663</v>
      </c>
      <c r="H65" s="617">
        <v>0</v>
      </c>
      <c r="I65" s="596"/>
      <c r="J65" s="611"/>
      <c r="K65" s="614"/>
      <c r="L65" s="596"/>
      <c r="M65" s="596"/>
      <c r="N65" s="596"/>
      <c r="O65" s="596"/>
      <c r="P65" s="596"/>
    </row>
    <row r="66" spans="1:16" ht="15" customHeight="1" thickBot="1">
      <c r="A66" s="596"/>
      <c r="B66" s="618" t="s">
        <v>120</v>
      </c>
      <c r="C66" s="580">
        <f t="shared" ref="C66:H66" si="0">SUM(C11:C65)</f>
        <v>4792310473.6901188</v>
      </c>
      <c r="D66" s="580">
        <f t="shared" si="0"/>
        <v>4272742415.0782161</v>
      </c>
      <c r="E66" s="580">
        <f t="shared" si="0"/>
        <v>188759809.12</v>
      </c>
      <c r="F66" s="580">
        <f t="shared" si="0"/>
        <v>-0.10985664278268814</v>
      </c>
      <c r="G66" s="580">
        <f t="shared" si="0"/>
        <v>330808249.60175961</v>
      </c>
      <c r="H66" s="582">
        <f t="shared" si="0"/>
        <v>30045913.190725416</v>
      </c>
      <c r="I66" s="611"/>
      <c r="J66" s="610"/>
      <c r="K66" s="610"/>
      <c r="L66" s="610"/>
      <c r="M66" s="596"/>
      <c r="N66" s="596"/>
      <c r="O66" s="596"/>
      <c r="P66" s="596"/>
    </row>
    <row r="67" spans="1:16" ht="15" customHeight="1" thickBot="1">
      <c r="A67" s="596"/>
      <c r="B67" s="619" t="s">
        <v>121</v>
      </c>
      <c r="C67" s="578">
        <f>YR1994_96!B60+YR2006_08!B55+YR2009_11!B57+YR2012_14!B59+YR2015_17!B59+YR2018_20!B59+YR2021_23!B59</f>
        <v>50765644.399999999</v>
      </c>
      <c r="D67" s="578">
        <v>0</v>
      </c>
      <c r="E67" s="578">
        <v>0</v>
      </c>
      <c r="F67" s="578">
        <v>0</v>
      </c>
      <c r="G67" s="620">
        <f>C67-D67-E67-F67</f>
        <v>50765644.399999999</v>
      </c>
      <c r="H67" s="621">
        <v>0</v>
      </c>
      <c r="I67" s="611"/>
      <c r="J67" s="596"/>
      <c r="K67" s="610"/>
      <c r="L67" s="596"/>
      <c r="M67" s="596"/>
      <c r="N67" s="596"/>
      <c r="O67" s="596"/>
      <c r="P67" s="596"/>
    </row>
    <row r="68" spans="1:16" s="535" customFormat="1" ht="15" customHeight="1" thickBot="1">
      <c r="A68" s="622"/>
      <c r="B68" s="623" t="s">
        <v>122</v>
      </c>
      <c r="C68" s="580">
        <f>C66+C67</f>
        <v>4843076118.0901184</v>
      </c>
      <c r="D68" s="580">
        <f>D66+D67</f>
        <v>4272742415.0782161</v>
      </c>
      <c r="E68" s="580">
        <f>E66+E67</f>
        <v>188759809.12</v>
      </c>
      <c r="F68" s="580">
        <f>F66+F67</f>
        <v>-0.10985664278268814</v>
      </c>
      <c r="G68" s="589">
        <f>G66+G67</f>
        <v>381573894.00175959</v>
      </c>
      <c r="H68" s="590">
        <v>0</v>
      </c>
      <c r="I68" s="622"/>
      <c r="J68" s="624"/>
      <c r="K68" s="622"/>
      <c r="L68" s="622"/>
      <c r="M68" s="622"/>
      <c r="N68" s="622"/>
      <c r="O68" s="622"/>
      <c r="P68" s="622"/>
    </row>
    <row r="69" spans="1:16" ht="31.5" customHeight="1">
      <c r="A69" s="596"/>
      <c r="B69" s="787" t="s">
        <v>291</v>
      </c>
      <c r="C69" s="787"/>
      <c r="D69" s="787"/>
      <c r="E69" s="787"/>
      <c r="F69" s="787"/>
      <c r="G69" s="787"/>
      <c r="H69" s="787"/>
      <c r="I69" s="596"/>
      <c r="J69" s="596"/>
      <c r="K69" s="596"/>
      <c r="L69" s="596"/>
      <c r="M69" s="596"/>
      <c r="N69" s="596"/>
      <c r="O69" s="596"/>
      <c r="P69" s="596"/>
    </row>
    <row r="70" spans="1:16" ht="29.25" customHeight="1">
      <c r="A70" s="596"/>
      <c r="B70" s="787" t="s">
        <v>293</v>
      </c>
      <c r="C70" s="787"/>
      <c r="D70" s="787"/>
      <c r="E70" s="787"/>
      <c r="F70" s="787"/>
      <c r="G70" s="787"/>
      <c r="H70" s="787"/>
      <c r="I70" s="596"/>
      <c r="J70" s="596"/>
      <c r="K70" s="596"/>
      <c r="L70" s="596"/>
      <c r="M70" s="596"/>
      <c r="N70" s="596"/>
      <c r="O70" s="596"/>
      <c r="P70" s="596"/>
    </row>
    <row r="71" spans="1:16" s="548" customFormat="1" ht="29.25" customHeight="1">
      <c r="A71" s="625"/>
      <c r="B71" s="785" t="s">
        <v>292</v>
      </c>
      <c r="C71" s="785"/>
      <c r="D71" s="785"/>
      <c r="E71" s="785"/>
      <c r="F71" s="785"/>
      <c r="G71" s="785"/>
      <c r="H71" s="785"/>
      <c r="I71" s="625"/>
      <c r="J71" s="625"/>
      <c r="K71" s="625"/>
      <c r="L71" s="625"/>
      <c r="M71" s="625"/>
      <c r="N71" s="625"/>
      <c r="O71" s="625"/>
      <c r="P71" s="625"/>
    </row>
    <row r="72" spans="1:16" ht="15" customHeight="1">
      <c r="A72" s="596"/>
      <c r="B72" s="626"/>
      <c r="C72" s="627"/>
      <c r="D72" s="627"/>
      <c r="E72" s="627"/>
      <c r="F72" s="627"/>
      <c r="G72" s="627"/>
      <c r="H72" s="628"/>
      <c r="I72" s="596"/>
      <c r="J72" s="596"/>
      <c r="K72" s="596"/>
      <c r="L72" s="596"/>
      <c r="M72" s="596"/>
      <c r="N72" s="596"/>
      <c r="O72" s="596"/>
      <c r="P72" s="596"/>
    </row>
    <row r="73" spans="1:16" ht="15" customHeight="1">
      <c r="A73" s="596"/>
      <c r="B73" s="596"/>
      <c r="C73" s="629"/>
      <c r="D73" s="629"/>
      <c r="E73" s="629"/>
      <c r="F73" s="629"/>
      <c r="G73" s="629"/>
      <c r="H73" s="629"/>
      <c r="I73" s="596"/>
      <c r="J73" s="596"/>
      <c r="K73" s="596"/>
      <c r="L73" s="596"/>
      <c r="M73" s="596"/>
      <c r="N73" s="596"/>
      <c r="O73" s="596"/>
      <c r="P73" s="596"/>
    </row>
    <row r="74" spans="1:16" ht="15" customHeight="1">
      <c r="A74" s="596"/>
      <c r="B74" s="596"/>
      <c r="C74" s="630"/>
      <c r="D74" s="630"/>
      <c r="E74" s="630"/>
      <c r="F74" s="630"/>
      <c r="G74" s="630"/>
      <c r="H74" s="631"/>
      <c r="I74" s="596"/>
      <c r="J74" s="596"/>
      <c r="K74" s="596"/>
      <c r="L74" s="596"/>
      <c r="M74" s="596"/>
      <c r="N74" s="596"/>
      <c r="O74" s="596"/>
      <c r="P74" s="596"/>
    </row>
    <row r="75" spans="1:16" ht="15" customHeight="1">
      <c r="A75" s="596"/>
      <c r="B75" s="596"/>
      <c r="C75" s="598"/>
      <c r="D75" s="598"/>
      <c r="E75" s="598"/>
      <c r="F75" s="598"/>
      <c r="G75" s="598"/>
      <c r="H75" s="631"/>
      <c r="I75" s="596"/>
      <c r="J75" s="596"/>
      <c r="K75" s="596"/>
      <c r="L75" s="596"/>
      <c r="M75" s="596"/>
      <c r="N75" s="596"/>
      <c r="O75" s="596"/>
      <c r="P75" s="596"/>
    </row>
    <row r="76" spans="1:16" ht="15" customHeight="1">
      <c r="A76" s="596"/>
      <c r="B76" s="632"/>
      <c r="C76" s="598"/>
      <c r="D76" s="598"/>
      <c r="E76" s="598"/>
      <c r="F76" s="598"/>
      <c r="G76" s="598"/>
      <c r="H76" s="631"/>
      <c r="I76" s="596"/>
      <c r="J76" s="596"/>
      <c r="K76" s="596"/>
      <c r="L76" s="596"/>
      <c r="M76" s="596"/>
      <c r="N76" s="596"/>
      <c r="O76" s="596"/>
      <c r="P76" s="596"/>
    </row>
    <row r="77" spans="1:16" ht="15" customHeight="1">
      <c r="A77" s="596"/>
      <c r="B77" s="633"/>
      <c r="C77" s="598"/>
      <c r="D77" s="598"/>
      <c r="E77" s="598"/>
      <c r="F77" s="598"/>
      <c r="G77" s="598"/>
      <c r="H77" s="598"/>
      <c r="I77" s="596"/>
      <c r="J77" s="596"/>
      <c r="K77" s="596"/>
      <c r="L77" s="596"/>
      <c r="M77" s="596"/>
      <c r="N77" s="596"/>
      <c r="O77" s="596"/>
      <c r="P77" s="596"/>
    </row>
    <row r="78" spans="1:16" ht="15" customHeight="1">
      <c r="A78" s="596"/>
      <c r="B78" s="632"/>
      <c r="C78" s="634"/>
      <c r="D78" s="598"/>
      <c r="E78" s="630"/>
      <c r="F78" s="630"/>
      <c r="G78" s="630"/>
      <c r="H78" s="635"/>
      <c r="I78" s="596"/>
      <c r="J78" s="596"/>
      <c r="K78" s="596"/>
      <c r="L78" s="596"/>
      <c r="M78" s="596"/>
      <c r="N78" s="596"/>
      <c r="O78" s="596"/>
      <c r="P78" s="596"/>
    </row>
    <row r="79" spans="1:16" ht="15" customHeight="1">
      <c r="A79" s="596"/>
      <c r="B79" s="632"/>
      <c r="C79" s="634"/>
      <c r="D79" s="598"/>
      <c r="E79" s="630"/>
      <c r="F79" s="630"/>
      <c r="G79" s="630"/>
      <c r="H79" s="635"/>
      <c r="I79" s="596"/>
      <c r="J79" s="596"/>
      <c r="K79" s="596"/>
      <c r="L79" s="596"/>
      <c r="M79" s="596"/>
      <c r="N79" s="596"/>
      <c r="O79" s="596"/>
      <c r="P79" s="596"/>
    </row>
    <row r="80" spans="1:16" ht="15" customHeight="1">
      <c r="A80" s="596"/>
      <c r="B80" s="632"/>
      <c r="C80" s="634"/>
      <c r="D80" s="598"/>
      <c r="E80" s="598"/>
      <c r="F80" s="630"/>
      <c r="G80" s="598"/>
      <c r="H80" s="635"/>
      <c r="I80" s="596"/>
      <c r="J80" s="596"/>
      <c r="K80" s="596"/>
      <c r="L80" s="596"/>
      <c r="M80" s="596"/>
      <c r="N80" s="596"/>
      <c r="O80" s="596"/>
      <c r="P80" s="596"/>
    </row>
    <row r="81" spans="1:16" ht="15" customHeight="1">
      <c r="A81" s="596"/>
      <c r="B81" s="632"/>
      <c r="C81" s="634"/>
      <c r="D81" s="598"/>
      <c r="E81" s="598"/>
      <c r="F81" s="630"/>
      <c r="G81" s="598"/>
      <c r="H81" s="635"/>
      <c r="I81" s="596"/>
      <c r="J81" s="596"/>
      <c r="K81" s="596"/>
      <c r="L81" s="596"/>
      <c r="M81" s="596"/>
      <c r="N81" s="596"/>
      <c r="O81" s="596"/>
      <c r="P81" s="596"/>
    </row>
    <row r="82" spans="1:16" ht="15" customHeight="1">
      <c r="A82" s="596"/>
      <c r="B82" s="632"/>
      <c r="C82" s="634"/>
      <c r="D82" s="598"/>
      <c r="E82" s="598"/>
      <c r="F82" s="630"/>
      <c r="G82" s="598"/>
      <c r="H82" s="635"/>
      <c r="I82" s="596"/>
      <c r="J82" s="596"/>
      <c r="K82" s="596"/>
      <c r="L82" s="596"/>
      <c r="M82" s="596"/>
      <c r="N82" s="596"/>
      <c r="O82" s="596"/>
      <c r="P82" s="596"/>
    </row>
    <row r="83" spans="1:16" ht="15" customHeight="1">
      <c r="A83" s="596"/>
      <c r="B83" s="632"/>
      <c r="C83" s="634"/>
      <c r="D83" s="598"/>
      <c r="E83" s="598"/>
      <c r="F83" s="630"/>
      <c r="G83" s="598"/>
      <c r="H83" s="635"/>
      <c r="I83" s="596"/>
      <c r="J83" s="596"/>
      <c r="K83" s="596"/>
      <c r="L83" s="596"/>
      <c r="M83" s="596"/>
      <c r="N83" s="596"/>
      <c r="O83" s="596"/>
      <c r="P83" s="596"/>
    </row>
    <row r="84" spans="1:16" ht="15" customHeight="1">
      <c r="A84" s="596"/>
      <c r="B84" s="632"/>
      <c r="C84" s="634"/>
      <c r="D84" s="598"/>
      <c r="E84" s="598"/>
      <c r="F84" s="630"/>
      <c r="G84" s="598"/>
      <c r="H84" s="635"/>
      <c r="I84" s="596"/>
      <c r="J84" s="596"/>
      <c r="K84" s="596"/>
      <c r="L84" s="596"/>
      <c r="M84" s="596"/>
      <c r="N84" s="596"/>
      <c r="O84" s="596"/>
      <c r="P84" s="596"/>
    </row>
    <row r="85" spans="1:16" ht="15" customHeight="1">
      <c r="A85" s="596"/>
      <c r="B85" s="633"/>
      <c r="C85" s="634"/>
      <c r="D85" s="598"/>
      <c r="E85" s="598"/>
      <c r="F85" s="630"/>
      <c r="G85" s="598"/>
      <c r="H85" s="635"/>
      <c r="I85" s="596"/>
      <c r="J85" s="596"/>
      <c r="K85" s="596"/>
      <c r="L85" s="596"/>
      <c r="M85" s="596"/>
      <c r="N85" s="596"/>
      <c r="O85" s="596"/>
      <c r="P85" s="596"/>
    </row>
    <row r="86" spans="1:16" ht="15" customHeight="1">
      <c r="A86" s="596"/>
      <c r="B86" s="632"/>
      <c r="C86" s="634"/>
      <c r="D86" s="598"/>
      <c r="E86" s="598"/>
      <c r="F86" s="630"/>
      <c r="G86" s="598"/>
      <c r="H86" s="635"/>
      <c r="I86" s="596"/>
      <c r="J86" s="596"/>
      <c r="K86" s="596"/>
      <c r="L86" s="596"/>
      <c r="M86" s="596"/>
      <c r="N86" s="596"/>
      <c r="O86" s="596"/>
      <c r="P86" s="596"/>
    </row>
    <row r="87" spans="1:16" ht="15" customHeight="1">
      <c r="A87" s="596"/>
      <c r="B87" s="632"/>
      <c r="C87" s="634"/>
      <c r="D87" s="598"/>
      <c r="E87" s="630"/>
      <c r="F87" s="630"/>
      <c r="G87" s="598"/>
      <c r="H87" s="635"/>
      <c r="I87" s="596"/>
      <c r="J87" s="596"/>
      <c r="K87" s="596"/>
      <c r="L87" s="596"/>
      <c r="M87" s="596"/>
      <c r="N87" s="596"/>
      <c r="O87" s="596"/>
      <c r="P87" s="596"/>
    </row>
    <row r="88" spans="1:16" ht="15" customHeight="1">
      <c r="A88" s="596"/>
      <c r="B88" s="632"/>
      <c r="C88" s="634"/>
      <c r="D88" s="598"/>
      <c r="E88" s="598"/>
      <c r="F88" s="598"/>
      <c r="G88" s="598"/>
      <c r="H88" s="635"/>
      <c r="I88" s="596"/>
      <c r="J88" s="596"/>
      <c r="K88" s="596"/>
      <c r="L88" s="596"/>
      <c r="M88" s="596"/>
      <c r="N88" s="596"/>
      <c r="O88" s="596"/>
      <c r="P88" s="596"/>
    </row>
    <row r="89" spans="1:16" ht="15" customHeight="1">
      <c r="A89" s="596"/>
      <c r="B89" s="596"/>
      <c r="C89" s="598"/>
      <c r="D89" s="598"/>
      <c r="E89" s="598"/>
      <c r="F89" s="598"/>
      <c r="G89" s="598"/>
      <c r="H89" s="635"/>
      <c r="I89" s="596"/>
      <c r="J89" s="596"/>
      <c r="K89" s="596"/>
      <c r="L89" s="596"/>
      <c r="M89" s="596"/>
      <c r="N89" s="596"/>
      <c r="O89" s="596"/>
      <c r="P89" s="596"/>
    </row>
    <row r="90" spans="1:16" ht="15" customHeight="1">
      <c r="A90" s="596"/>
      <c r="B90" s="596"/>
      <c r="C90" s="598"/>
      <c r="D90" s="598"/>
      <c r="E90" s="598"/>
      <c r="F90" s="598"/>
      <c r="G90" s="598"/>
      <c r="H90" s="635"/>
      <c r="I90" s="596"/>
      <c r="J90" s="596"/>
      <c r="K90" s="596"/>
      <c r="L90" s="596"/>
      <c r="M90" s="596"/>
      <c r="N90" s="596"/>
      <c r="O90" s="596"/>
      <c r="P90" s="596"/>
    </row>
    <row r="91" spans="1:16" ht="15" customHeight="1">
      <c r="A91" s="596"/>
      <c r="B91" s="596"/>
      <c r="C91" s="598"/>
      <c r="D91" s="598"/>
      <c r="E91" s="598"/>
      <c r="F91" s="598"/>
      <c r="G91" s="598"/>
      <c r="H91" s="635"/>
      <c r="I91" s="596"/>
      <c r="J91" s="596"/>
      <c r="K91" s="596"/>
      <c r="L91" s="596"/>
      <c r="M91" s="596"/>
      <c r="N91" s="596"/>
      <c r="O91" s="596"/>
      <c r="P91" s="596"/>
    </row>
    <row r="92" spans="1:16" ht="15" customHeight="1">
      <c r="A92" s="596"/>
      <c r="B92" s="596"/>
      <c r="C92" s="598"/>
      <c r="D92" s="598"/>
      <c r="E92" s="598"/>
      <c r="F92" s="598"/>
      <c r="G92" s="598"/>
      <c r="H92" s="635"/>
      <c r="I92" s="596"/>
      <c r="J92" s="596"/>
      <c r="K92" s="596"/>
      <c r="L92" s="596"/>
      <c r="M92" s="596"/>
      <c r="N92" s="596"/>
      <c r="O92" s="596"/>
      <c r="P92" s="596"/>
    </row>
    <row r="93" spans="1:16" ht="15" customHeight="1">
      <c r="A93" s="596"/>
      <c r="B93" s="596"/>
      <c r="C93" s="598"/>
      <c r="D93" s="598"/>
      <c r="E93" s="598"/>
      <c r="F93" s="598"/>
      <c r="G93" s="598"/>
      <c r="H93" s="635"/>
      <c r="I93" s="596"/>
      <c r="J93" s="596"/>
      <c r="K93" s="596"/>
      <c r="L93" s="596"/>
      <c r="M93" s="596"/>
      <c r="N93" s="596"/>
      <c r="O93" s="596"/>
      <c r="P93" s="596"/>
    </row>
    <row r="94" spans="1:16" ht="15" customHeight="1">
      <c r="A94" s="596"/>
      <c r="B94" s="596"/>
      <c r="C94" s="598"/>
      <c r="D94" s="598"/>
      <c r="E94" s="598"/>
      <c r="F94" s="598"/>
      <c r="G94" s="598"/>
      <c r="H94" s="635"/>
      <c r="I94" s="596"/>
      <c r="J94" s="596"/>
      <c r="K94" s="596"/>
      <c r="L94" s="596"/>
      <c r="M94" s="596"/>
      <c r="N94" s="596"/>
      <c r="O94" s="596"/>
      <c r="P94" s="596"/>
    </row>
    <row r="95" spans="1:16" ht="15" customHeight="1">
      <c r="A95" s="596"/>
      <c r="B95" s="596"/>
      <c r="C95" s="598"/>
      <c r="D95" s="598"/>
      <c r="E95" s="598"/>
      <c r="F95" s="598"/>
      <c r="G95" s="598"/>
      <c r="H95" s="635"/>
      <c r="I95" s="596"/>
      <c r="J95" s="596"/>
      <c r="K95" s="596"/>
      <c r="L95" s="596"/>
      <c r="M95" s="596"/>
      <c r="N95" s="596"/>
      <c r="O95" s="596"/>
      <c r="P95" s="596"/>
    </row>
    <row r="96" spans="1:16" ht="15" customHeight="1">
      <c r="A96" s="596"/>
      <c r="B96" s="596"/>
      <c r="C96" s="598"/>
      <c r="D96" s="598"/>
      <c r="E96" s="598"/>
      <c r="F96" s="598"/>
      <c r="G96" s="598"/>
      <c r="H96" s="635"/>
      <c r="I96" s="596"/>
      <c r="J96" s="596"/>
      <c r="K96" s="596"/>
      <c r="L96" s="596"/>
      <c r="M96" s="596"/>
      <c r="N96" s="596"/>
      <c r="O96" s="596"/>
      <c r="P96" s="596"/>
    </row>
    <row r="97" spans="1:16" ht="15" customHeight="1">
      <c r="A97" s="596"/>
      <c r="B97" s="596"/>
      <c r="C97" s="598"/>
      <c r="D97" s="598"/>
      <c r="E97" s="598"/>
      <c r="F97" s="598"/>
      <c r="G97" s="598"/>
      <c r="H97" s="635"/>
      <c r="I97" s="596"/>
      <c r="J97" s="596"/>
      <c r="K97" s="596"/>
      <c r="L97" s="596"/>
      <c r="M97" s="596"/>
      <c r="N97" s="596"/>
      <c r="O97" s="596"/>
      <c r="P97" s="596"/>
    </row>
    <row r="98" spans="1:16" ht="15" customHeight="1">
      <c r="A98" s="596"/>
      <c r="B98" s="596"/>
      <c r="C98" s="598"/>
      <c r="D98" s="598"/>
      <c r="E98" s="598"/>
      <c r="F98" s="598"/>
      <c r="G98" s="598"/>
      <c r="H98" s="635"/>
      <c r="I98" s="596"/>
      <c r="J98" s="596"/>
      <c r="K98" s="596"/>
      <c r="L98" s="596"/>
      <c r="M98" s="596"/>
      <c r="N98" s="596"/>
      <c r="O98" s="596"/>
      <c r="P98" s="596"/>
    </row>
    <row r="99" spans="1:16" ht="15" customHeight="1">
      <c r="A99" s="596"/>
      <c r="B99" s="596"/>
      <c r="C99" s="598"/>
      <c r="D99" s="598"/>
      <c r="E99" s="598"/>
      <c r="F99" s="598"/>
      <c r="G99" s="598"/>
      <c r="H99" s="635"/>
      <c r="I99" s="596"/>
      <c r="J99" s="596"/>
      <c r="K99" s="596"/>
      <c r="L99" s="596"/>
      <c r="M99" s="596"/>
      <c r="N99" s="596"/>
      <c r="O99" s="596"/>
      <c r="P99" s="596"/>
    </row>
    <row r="100" spans="1:16" ht="15" customHeight="1">
      <c r="A100" s="596"/>
      <c r="B100" s="596"/>
      <c r="C100" s="598"/>
      <c r="D100" s="598"/>
      <c r="E100" s="598"/>
      <c r="F100" s="598"/>
      <c r="G100" s="598"/>
      <c r="H100" s="635"/>
      <c r="I100" s="596"/>
      <c r="J100" s="596"/>
      <c r="K100" s="596"/>
      <c r="L100" s="596"/>
      <c r="M100" s="596"/>
      <c r="N100" s="596"/>
      <c r="O100" s="596"/>
      <c r="P100" s="596"/>
    </row>
    <row r="101" spans="1:16" ht="15" customHeight="1">
      <c r="A101" s="596"/>
      <c r="B101" s="596"/>
      <c r="C101" s="598"/>
      <c r="D101" s="598"/>
      <c r="E101" s="598"/>
      <c r="F101" s="598"/>
      <c r="G101" s="598"/>
      <c r="H101" s="630"/>
      <c r="I101" s="596"/>
      <c r="J101" s="596"/>
      <c r="K101" s="596"/>
      <c r="L101" s="596"/>
      <c r="M101" s="596"/>
      <c r="N101" s="596"/>
      <c r="O101" s="596"/>
      <c r="P101" s="596"/>
    </row>
    <row r="102" spans="1:16" ht="15" customHeight="1">
      <c r="A102" s="596"/>
      <c r="B102" s="596"/>
      <c r="C102" s="598"/>
      <c r="D102" s="598"/>
      <c r="E102" s="598"/>
      <c r="F102" s="598"/>
      <c r="G102" s="598"/>
      <c r="H102" s="630"/>
      <c r="I102" s="596"/>
      <c r="J102" s="596"/>
      <c r="K102" s="596"/>
      <c r="L102" s="596"/>
      <c r="M102" s="596"/>
      <c r="N102" s="596"/>
      <c r="O102" s="596"/>
      <c r="P102" s="596"/>
    </row>
    <row r="103" spans="1:16" ht="15" customHeight="1">
      <c r="A103" s="596"/>
      <c r="B103" s="596"/>
      <c r="C103" s="598"/>
      <c r="D103" s="598"/>
      <c r="E103" s="598"/>
      <c r="F103" s="598"/>
      <c r="G103" s="598"/>
      <c r="H103" s="630"/>
      <c r="I103" s="596"/>
      <c r="J103" s="596"/>
      <c r="K103" s="596"/>
      <c r="L103" s="596"/>
      <c r="M103" s="596"/>
      <c r="N103" s="596"/>
      <c r="O103" s="596"/>
      <c r="P103" s="596"/>
    </row>
    <row r="104" spans="1:16" ht="15" customHeight="1">
      <c r="A104" s="596"/>
      <c r="B104" s="596"/>
      <c r="C104" s="598"/>
      <c r="D104" s="598"/>
      <c r="E104" s="598"/>
      <c r="F104" s="598"/>
      <c r="G104" s="598"/>
      <c r="H104" s="630"/>
      <c r="I104" s="596"/>
      <c r="J104" s="596"/>
      <c r="K104" s="596"/>
      <c r="L104" s="596"/>
      <c r="M104" s="596"/>
      <c r="N104" s="596"/>
      <c r="O104" s="596"/>
      <c r="P104" s="596"/>
    </row>
    <row r="105" spans="1:16" ht="15" customHeight="1">
      <c r="A105" s="596"/>
      <c r="B105" s="596"/>
      <c r="C105" s="598"/>
      <c r="D105" s="598"/>
      <c r="E105" s="598"/>
      <c r="F105" s="598"/>
      <c r="G105" s="598"/>
      <c r="H105" s="630"/>
      <c r="I105" s="596"/>
      <c r="J105" s="596"/>
      <c r="K105" s="596"/>
      <c r="L105" s="596"/>
      <c r="M105" s="596"/>
      <c r="N105" s="596"/>
      <c r="O105" s="596"/>
      <c r="P105" s="596"/>
    </row>
    <row r="106" spans="1:16" ht="15" customHeight="1">
      <c r="A106" s="596"/>
      <c r="B106" s="596"/>
      <c r="C106" s="598"/>
      <c r="D106" s="598"/>
      <c r="E106" s="598"/>
      <c r="F106" s="598"/>
      <c r="G106" s="598"/>
      <c r="H106" s="630"/>
      <c r="I106" s="596"/>
      <c r="J106" s="596"/>
      <c r="K106" s="596"/>
      <c r="L106" s="596"/>
      <c r="M106" s="596"/>
      <c r="N106" s="596"/>
      <c r="O106" s="596"/>
      <c r="P106" s="596"/>
    </row>
    <row r="107" spans="1:16" ht="15" customHeight="1">
      <c r="A107" s="596"/>
      <c r="B107" s="596"/>
      <c r="C107" s="598"/>
      <c r="D107" s="598"/>
      <c r="E107" s="598"/>
      <c r="F107" s="598"/>
      <c r="G107" s="598"/>
      <c r="H107" s="630"/>
      <c r="I107" s="596"/>
      <c r="J107" s="596"/>
      <c r="K107" s="596"/>
      <c r="L107" s="596"/>
      <c r="M107" s="596"/>
      <c r="N107" s="596"/>
      <c r="O107" s="596"/>
      <c r="P107" s="596"/>
    </row>
    <row r="108" spans="1:16" ht="15" customHeight="1">
      <c r="A108" s="596"/>
      <c r="B108" s="596"/>
      <c r="C108" s="598"/>
      <c r="D108" s="598"/>
      <c r="E108" s="598"/>
      <c r="F108" s="598"/>
      <c r="G108" s="598"/>
      <c r="H108" s="635"/>
      <c r="I108" s="596"/>
      <c r="J108" s="596"/>
      <c r="K108" s="596"/>
      <c r="L108" s="596"/>
      <c r="M108" s="596"/>
      <c r="N108" s="596"/>
      <c r="O108" s="596"/>
      <c r="P108" s="596"/>
    </row>
    <row r="109" spans="1:16" ht="15" customHeight="1">
      <c r="A109" s="596"/>
      <c r="B109" s="596"/>
      <c r="C109" s="598"/>
      <c r="D109" s="598"/>
      <c r="E109" s="598"/>
      <c r="F109" s="598"/>
      <c r="G109" s="598"/>
      <c r="H109" s="635"/>
      <c r="I109" s="596"/>
      <c r="J109" s="596"/>
      <c r="K109" s="596"/>
      <c r="L109" s="596"/>
      <c r="M109" s="596"/>
      <c r="N109" s="596"/>
      <c r="O109" s="596"/>
      <c r="P109" s="596"/>
    </row>
    <row r="110" spans="1:16" ht="15" customHeight="1">
      <c r="A110" s="596"/>
      <c r="B110" s="596"/>
      <c r="C110" s="598"/>
      <c r="D110" s="598"/>
      <c r="E110" s="598"/>
      <c r="F110" s="598"/>
      <c r="G110" s="598"/>
      <c r="H110" s="635"/>
      <c r="I110" s="596"/>
      <c r="J110" s="596"/>
      <c r="K110" s="596"/>
      <c r="L110" s="596"/>
      <c r="M110" s="596"/>
      <c r="N110" s="596"/>
      <c r="O110" s="596"/>
      <c r="P110" s="596"/>
    </row>
    <row r="111" spans="1:16" ht="15" customHeight="1">
      <c r="A111" s="596"/>
      <c r="B111" s="596"/>
      <c r="C111" s="598"/>
      <c r="D111" s="598"/>
      <c r="E111" s="598"/>
      <c r="F111" s="598"/>
      <c r="G111" s="598"/>
      <c r="H111" s="635"/>
      <c r="I111" s="596"/>
      <c r="J111" s="596"/>
      <c r="K111" s="596"/>
      <c r="L111" s="596"/>
      <c r="M111" s="596"/>
      <c r="N111" s="596"/>
      <c r="O111" s="596"/>
      <c r="P111" s="596"/>
    </row>
    <row r="112" spans="1:16" ht="15" customHeight="1">
      <c r="A112" s="596"/>
      <c r="B112" s="596"/>
      <c r="C112" s="598"/>
      <c r="D112" s="598"/>
      <c r="E112" s="598"/>
      <c r="F112" s="598"/>
      <c r="G112" s="598"/>
      <c r="H112" s="635"/>
      <c r="I112" s="596"/>
      <c r="J112" s="596"/>
      <c r="K112" s="596"/>
      <c r="L112" s="596"/>
      <c r="M112" s="596"/>
      <c r="N112" s="596"/>
      <c r="O112" s="596"/>
      <c r="P112" s="596"/>
    </row>
    <row r="113" spans="1:16" ht="15" customHeight="1">
      <c r="A113" s="596"/>
      <c r="B113" s="596"/>
      <c r="C113" s="598"/>
      <c r="D113" s="598"/>
      <c r="E113" s="598"/>
      <c r="F113" s="598"/>
      <c r="G113" s="598"/>
      <c r="H113" s="635"/>
      <c r="I113" s="596"/>
      <c r="J113" s="596"/>
      <c r="K113" s="596"/>
      <c r="L113" s="596"/>
      <c r="M113" s="596"/>
      <c r="N113" s="596"/>
      <c r="O113" s="596"/>
      <c r="P113" s="596"/>
    </row>
    <row r="114" spans="1:16" ht="15" customHeight="1">
      <c r="A114" s="596"/>
      <c r="B114" s="596"/>
      <c r="C114" s="598"/>
      <c r="D114" s="598"/>
      <c r="E114" s="598"/>
      <c r="F114" s="598"/>
      <c r="G114" s="598"/>
      <c r="H114" s="635"/>
      <c r="I114" s="596"/>
      <c r="J114" s="596"/>
      <c r="K114" s="596"/>
      <c r="L114" s="596"/>
      <c r="M114" s="596"/>
      <c r="N114" s="596"/>
      <c r="O114" s="596"/>
      <c r="P114" s="596"/>
    </row>
    <row r="115" spans="1:16" ht="15" customHeight="1">
      <c r="A115" s="596"/>
      <c r="B115" s="596"/>
      <c r="C115" s="598"/>
      <c r="D115" s="598"/>
      <c r="E115" s="598"/>
      <c r="F115" s="598"/>
      <c r="G115" s="598"/>
      <c r="H115" s="635"/>
      <c r="I115" s="596"/>
      <c r="J115" s="596"/>
      <c r="K115" s="596"/>
      <c r="L115" s="596"/>
      <c r="M115" s="596"/>
      <c r="N115" s="596"/>
      <c r="O115" s="596"/>
      <c r="P115" s="596"/>
    </row>
    <row r="116" spans="1:16" ht="15" customHeight="1">
      <c r="A116" s="596"/>
      <c r="B116" s="596"/>
      <c r="C116" s="598"/>
      <c r="D116" s="598"/>
      <c r="E116" s="598"/>
      <c r="F116" s="598"/>
      <c r="G116" s="598"/>
      <c r="H116" s="635"/>
      <c r="I116" s="596"/>
      <c r="J116" s="596"/>
      <c r="K116" s="596"/>
      <c r="L116" s="596"/>
      <c r="M116" s="596"/>
      <c r="N116" s="596"/>
      <c r="O116" s="596"/>
      <c r="P116" s="596"/>
    </row>
    <row r="117" spans="1:16" ht="15" customHeight="1">
      <c r="A117" s="596"/>
      <c r="B117" s="596"/>
      <c r="C117" s="598"/>
      <c r="D117" s="598"/>
      <c r="E117" s="598"/>
      <c r="F117" s="598"/>
      <c r="G117" s="598"/>
      <c r="H117" s="635"/>
      <c r="I117" s="596"/>
      <c r="J117" s="596"/>
      <c r="K117" s="596"/>
      <c r="L117" s="596"/>
      <c r="M117" s="596"/>
      <c r="N117" s="596"/>
      <c r="O117" s="596"/>
      <c r="P117" s="596"/>
    </row>
    <row r="118" spans="1:16" ht="15" customHeight="1">
      <c r="A118" s="596"/>
      <c r="B118" s="596"/>
      <c r="C118" s="598"/>
      <c r="D118" s="598"/>
      <c r="E118" s="598"/>
      <c r="F118" s="598"/>
      <c r="G118" s="598"/>
      <c r="H118" s="635"/>
      <c r="I118" s="596"/>
      <c r="J118" s="596"/>
      <c r="K118" s="596"/>
      <c r="L118" s="596"/>
      <c r="M118" s="596"/>
      <c r="N118" s="596"/>
      <c r="O118" s="596"/>
      <c r="P118" s="596"/>
    </row>
    <row r="119" spans="1:16" ht="15" customHeight="1">
      <c r="A119" s="596"/>
      <c r="B119" s="596"/>
      <c r="C119" s="598"/>
      <c r="D119" s="598"/>
      <c r="E119" s="598"/>
      <c r="F119" s="598"/>
      <c r="G119" s="598"/>
      <c r="H119" s="635"/>
      <c r="I119" s="596"/>
      <c r="J119" s="596"/>
      <c r="K119" s="596"/>
      <c r="L119" s="596"/>
      <c r="M119" s="596"/>
      <c r="N119" s="596"/>
      <c r="O119" s="596"/>
      <c r="P119" s="596"/>
    </row>
    <row r="120" spans="1:16" ht="15" customHeight="1">
      <c r="A120" s="596"/>
      <c r="B120" s="596"/>
      <c r="C120" s="598"/>
      <c r="D120" s="598"/>
      <c r="E120" s="598"/>
      <c r="F120" s="598"/>
      <c r="G120" s="598"/>
      <c r="H120" s="635"/>
      <c r="I120" s="596"/>
      <c r="J120" s="596"/>
      <c r="K120" s="596"/>
      <c r="L120" s="596"/>
      <c r="M120" s="596"/>
      <c r="N120" s="596"/>
      <c r="O120" s="596"/>
      <c r="P120" s="596"/>
    </row>
    <row r="121" spans="1:16" ht="15" customHeight="1">
      <c r="A121" s="596"/>
      <c r="B121" s="596"/>
      <c r="C121" s="598"/>
      <c r="D121" s="598"/>
      <c r="E121" s="598"/>
      <c r="F121" s="598"/>
      <c r="G121" s="598"/>
      <c r="H121" s="635"/>
      <c r="I121" s="596"/>
      <c r="J121" s="596"/>
      <c r="K121" s="596"/>
      <c r="L121" s="596"/>
      <c r="M121" s="596"/>
      <c r="N121" s="596"/>
      <c r="O121" s="596"/>
      <c r="P121" s="596"/>
    </row>
    <row r="122" spans="1:16" ht="15" customHeight="1">
      <c r="A122" s="596"/>
      <c r="B122" s="596"/>
      <c r="C122" s="598"/>
      <c r="D122" s="598"/>
      <c r="E122" s="598"/>
      <c r="F122" s="598"/>
      <c r="G122" s="598"/>
      <c r="H122" s="635"/>
      <c r="I122" s="596"/>
      <c r="J122" s="596"/>
      <c r="K122" s="596"/>
      <c r="L122" s="596"/>
      <c r="M122" s="596"/>
      <c r="N122" s="596"/>
      <c r="O122" s="596"/>
      <c r="P122" s="596"/>
    </row>
    <row r="123" spans="1:16" ht="15" customHeight="1">
      <c r="A123" s="596"/>
      <c r="B123" s="596"/>
      <c r="C123" s="598"/>
      <c r="D123" s="598"/>
      <c r="E123" s="598"/>
      <c r="F123" s="598"/>
      <c r="G123" s="598"/>
      <c r="H123" s="635"/>
      <c r="I123" s="596"/>
      <c r="J123" s="596"/>
      <c r="K123" s="596"/>
      <c r="L123" s="596"/>
      <c r="M123" s="596"/>
      <c r="N123" s="596"/>
      <c r="O123" s="596"/>
      <c r="P123" s="596"/>
    </row>
    <row r="124" spans="1:16" ht="15" customHeight="1">
      <c r="A124" s="596"/>
      <c r="B124" s="596"/>
      <c r="C124" s="598"/>
      <c r="D124" s="598"/>
      <c r="E124" s="598"/>
      <c r="F124" s="598"/>
      <c r="G124" s="598"/>
      <c r="H124" s="635"/>
      <c r="I124" s="596"/>
      <c r="J124" s="596"/>
      <c r="K124" s="596"/>
      <c r="L124" s="596"/>
      <c r="M124" s="596"/>
      <c r="N124" s="596"/>
      <c r="O124" s="596"/>
      <c r="P124" s="596"/>
    </row>
    <row r="125" spans="1:16" ht="15" customHeight="1">
      <c r="A125" s="596"/>
      <c r="B125" s="596"/>
      <c r="C125" s="598"/>
      <c r="D125" s="598"/>
      <c r="E125" s="598"/>
      <c r="F125" s="598"/>
      <c r="G125" s="598"/>
      <c r="H125" s="635"/>
      <c r="I125" s="596"/>
      <c r="J125" s="596"/>
      <c r="K125" s="596"/>
      <c r="L125" s="596"/>
      <c r="M125" s="596"/>
      <c r="N125" s="596"/>
      <c r="O125" s="596"/>
      <c r="P125" s="596"/>
    </row>
    <row r="126" spans="1:16" ht="15" customHeight="1">
      <c r="A126" s="596"/>
      <c r="B126" s="596"/>
      <c r="C126" s="598"/>
      <c r="D126" s="598"/>
      <c r="E126" s="598"/>
      <c r="F126" s="598"/>
      <c r="G126" s="598"/>
      <c r="H126" s="635"/>
      <c r="I126" s="596"/>
      <c r="J126" s="596"/>
      <c r="K126" s="596"/>
      <c r="L126" s="596"/>
      <c r="M126" s="596"/>
      <c r="N126" s="596"/>
      <c r="O126" s="596"/>
      <c r="P126" s="596"/>
    </row>
    <row r="127" spans="1:16" ht="15" customHeight="1">
      <c r="A127" s="596"/>
      <c r="B127" s="596"/>
      <c r="C127" s="598"/>
      <c r="D127" s="598"/>
      <c r="E127" s="598"/>
      <c r="F127" s="598"/>
      <c r="G127" s="598"/>
      <c r="H127" s="635"/>
      <c r="I127" s="596"/>
      <c r="J127" s="596"/>
      <c r="K127" s="596"/>
      <c r="L127" s="596"/>
      <c r="M127" s="596"/>
      <c r="N127" s="596"/>
      <c r="O127" s="596"/>
      <c r="P127" s="596"/>
    </row>
    <row r="128" spans="1:16" ht="15" customHeight="1">
      <c r="A128" s="596"/>
      <c r="B128" s="596"/>
      <c r="C128" s="598"/>
      <c r="D128" s="598"/>
      <c r="E128" s="598"/>
      <c r="F128" s="598"/>
      <c r="G128" s="598"/>
      <c r="H128" s="635"/>
      <c r="I128" s="596"/>
      <c r="J128" s="596"/>
      <c r="K128" s="596"/>
      <c r="L128" s="596"/>
      <c r="M128" s="596"/>
      <c r="N128" s="596"/>
      <c r="O128" s="596"/>
      <c r="P128" s="596"/>
    </row>
    <row r="129" spans="1:16" ht="15" customHeight="1">
      <c r="A129" s="596"/>
      <c r="B129" s="596"/>
      <c r="C129" s="598"/>
      <c r="D129" s="598"/>
      <c r="E129" s="598"/>
      <c r="F129" s="598"/>
      <c r="G129" s="598"/>
      <c r="H129" s="635"/>
      <c r="I129" s="596"/>
      <c r="J129" s="596"/>
      <c r="K129" s="596"/>
      <c r="L129" s="596"/>
      <c r="M129" s="596"/>
      <c r="N129" s="596"/>
      <c r="O129" s="596"/>
      <c r="P129" s="596"/>
    </row>
    <row r="130" spans="1:16" ht="15" customHeight="1">
      <c r="A130" s="596"/>
      <c r="B130" s="596"/>
      <c r="C130" s="598"/>
      <c r="D130" s="598"/>
      <c r="E130" s="598"/>
      <c r="F130" s="598"/>
      <c r="G130" s="598"/>
      <c r="H130" s="635"/>
      <c r="I130" s="596"/>
      <c r="J130" s="596"/>
      <c r="K130" s="596"/>
      <c r="L130" s="596"/>
      <c r="M130" s="596"/>
      <c r="N130" s="596"/>
      <c r="O130" s="596"/>
      <c r="P130" s="596"/>
    </row>
    <row r="131" spans="1:16" ht="15" customHeight="1">
      <c r="A131" s="596"/>
      <c r="B131" s="596"/>
      <c r="C131" s="598"/>
      <c r="D131" s="598"/>
      <c r="E131" s="598"/>
      <c r="F131" s="598"/>
      <c r="G131" s="598"/>
      <c r="H131" s="635"/>
      <c r="I131" s="596"/>
      <c r="J131" s="596"/>
      <c r="K131" s="596"/>
      <c r="L131" s="596"/>
      <c r="M131" s="596"/>
      <c r="N131" s="596"/>
      <c r="O131" s="596"/>
      <c r="P131" s="596"/>
    </row>
    <row r="132" spans="1:16" ht="15" customHeight="1">
      <c r="A132" s="596"/>
      <c r="B132" s="596"/>
      <c r="C132" s="598"/>
      <c r="D132" s="598"/>
      <c r="E132" s="598"/>
      <c r="F132" s="598"/>
      <c r="G132" s="598"/>
      <c r="H132" s="635"/>
      <c r="I132" s="596"/>
      <c r="J132" s="596"/>
      <c r="K132" s="596"/>
      <c r="L132" s="596"/>
      <c r="M132" s="596"/>
      <c r="N132" s="596"/>
      <c r="O132" s="596"/>
      <c r="P132" s="596"/>
    </row>
    <row r="133" spans="1:16" ht="15" customHeight="1">
      <c r="A133" s="596"/>
      <c r="B133" s="596"/>
      <c r="C133" s="598"/>
      <c r="D133" s="598"/>
      <c r="E133" s="598"/>
      <c r="F133" s="598"/>
      <c r="G133" s="598"/>
      <c r="H133" s="635"/>
      <c r="I133" s="596"/>
      <c r="J133" s="596"/>
      <c r="K133" s="596"/>
      <c r="L133" s="596"/>
      <c r="M133" s="596"/>
      <c r="N133" s="596"/>
      <c r="O133" s="596"/>
      <c r="P133" s="596"/>
    </row>
    <row r="134" spans="1:16" ht="15" customHeight="1">
      <c r="A134" s="596"/>
      <c r="B134" s="596"/>
      <c r="C134" s="598"/>
      <c r="D134" s="598"/>
      <c r="E134" s="598"/>
      <c r="F134" s="598"/>
      <c r="G134" s="598"/>
      <c r="H134" s="635"/>
      <c r="I134" s="596"/>
      <c r="J134" s="596"/>
      <c r="K134" s="596"/>
      <c r="L134" s="596"/>
      <c r="M134" s="596"/>
      <c r="N134" s="596"/>
      <c r="O134" s="596"/>
      <c r="P134" s="596"/>
    </row>
    <row r="135" spans="1:16" ht="15" customHeight="1">
      <c r="A135" s="596"/>
      <c r="B135" s="596"/>
      <c r="C135" s="598"/>
      <c r="D135" s="598"/>
      <c r="E135" s="598"/>
      <c r="F135" s="598"/>
      <c r="G135" s="598"/>
      <c r="H135" s="635"/>
      <c r="I135" s="596"/>
      <c r="J135" s="596"/>
      <c r="K135" s="596"/>
      <c r="L135" s="596"/>
      <c r="M135" s="596"/>
      <c r="N135" s="596"/>
      <c r="O135" s="596"/>
      <c r="P135" s="596"/>
    </row>
    <row r="136" spans="1:16" ht="15" customHeight="1">
      <c r="A136" s="596"/>
      <c r="B136" s="596"/>
      <c r="C136" s="598"/>
      <c r="D136" s="598"/>
      <c r="E136" s="598"/>
      <c r="F136" s="598"/>
      <c r="G136" s="598"/>
      <c r="H136" s="635"/>
      <c r="I136" s="596"/>
      <c r="J136" s="596"/>
      <c r="K136" s="596"/>
      <c r="L136" s="596"/>
      <c r="M136" s="596"/>
      <c r="N136" s="596"/>
      <c r="O136" s="596"/>
      <c r="P136" s="596"/>
    </row>
    <row r="137" spans="1:16" ht="15" customHeight="1">
      <c r="H137" s="538"/>
    </row>
    <row r="138" spans="1:16" ht="15" customHeight="1">
      <c r="H138" s="538"/>
    </row>
    <row r="139" spans="1:16" ht="15" customHeight="1">
      <c r="H139" s="538"/>
    </row>
    <row r="140" spans="1:16" ht="15" customHeight="1">
      <c r="H140" s="538"/>
    </row>
    <row r="141" spans="1:16" ht="15" customHeight="1">
      <c r="H141" s="538"/>
    </row>
    <row r="142" spans="1:16" ht="15" customHeight="1">
      <c r="H142" s="538"/>
    </row>
    <row r="143" spans="1:16" ht="15" customHeight="1">
      <c r="H143" s="538"/>
    </row>
    <row r="144" spans="1:16" ht="15" customHeight="1">
      <c r="H144" s="538"/>
    </row>
    <row r="145" spans="8:8" ht="15" customHeight="1">
      <c r="H145" s="538"/>
    </row>
    <row r="146" spans="8:8" ht="15" customHeight="1">
      <c r="H146" s="538"/>
    </row>
    <row r="147" spans="8:8" ht="15" customHeight="1">
      <c r="H147" s="538"/>
    </row>
  </sheetData>
  <mergeCells count="6">
    <mergeCell ref="B71:H71"/>
    <mergeCell ref="B6:H6"/>
    <mergeCell ref="B7:H7"/>
    <mergeCell ref="B8:H8"/>
    <mergeCell ref="B69:H69"/>
    <mergeCell ref="B70:H70"/>
  </mergeCells>
  <printOptions horizontalCentered="1"/>
  <pageMargins left="0.11811023622047245" right="0.11811023622047245" top="0.27559055118110237" bottom="0.19685039370078741" header="0.27559055118110237" footer="0.11811023622047245"/>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FD52-1D54-4B53-B2E5-067601194DAD}">
  <dimension ref="A1:F59"/>
  <sheetViews>
    <sheetView topLeftCell="A40" workbookViewId="0">
      <selection activeCell="L68" sqref="L68"/>
    </sheetView>
  </sheetViews>
  <sheetFormatPr defaultRowHeight="14.5"/>
  <cols>
    <col min="1" max="1" width="24.26953125" customWidth="1"/>
    <col min="2" max="2" width="16.36328125" customWidth="1"/>
    <col min="3" max="3" width="14.7265625" customWidth="1"/>
    <col min="4" max="4" width="16" customWidth="1"/>
    <col min="5" max="5" width="14.7265625" customWidth="1"/>
    <col min="6" max="6" width="15.54296875" customWidth="1"/>
  </cols>
  <sheetData>
    <row r="1" spans="1:6" ht="15" customHeight="1">
      <c r="F1" s="261" t="str">
        <f>[1]Status!C1</f>
        <v>UNEP/OzL.Pro/ExCom/94/3</v>
      </c>
    </row>
    <row r="2" spans="1:6" ht="15" customHeight="1">
      <c r="F2" s="3" t="s">
        <v>184</v>
      </c>
    </row>
    <row r="3" spans="1:6" ht="15" customHeight="1">
      <c r="F3" s="3"/>
    </row>
    <row r="4" spans="1:6">
      <c r="A4" s="818" t="s">
        <v>2</v>
      </c>
      <c r="B4" s="818"/>
      <c r="C4" s="818"/>
      <c r="D4" s="818"/>
      <c r="E4" s="818"/>
      <c r="F4" s="818"/>
    </row>
    <row r="5" spans="1:6">
      <c r="A5" s="819" t="s">
        <v>180</v>
      </c>
      <c r="B5" s="819"/>
      <c r="C5" s="819"/>
      <c r="D5" s="819"/>
      <c r="E5" s="819"/>
      <c r="F5" s="819"/>
    </row>
    <row r="6" spans="1:6" ht="15" thickBot="1">
      <c r="A6" s="820" t="str">
        <f>[1]Status!A6</f>
        <v>As at 24/05/2024</v>
      </c>
      <c r="B6" s="820"/>
      <c r="C6" s="820"/>
      <c r="D6" s="820"/>
      <c r="E6" s="820"/>
      <c r="F6" s="820"/>
    </row>
    <row r="7" spans="1:6" ht="39.5" thickBot="1">
      <c r="A7" s="262" t="s">
        <v>59</v>
      </c>
      <c r="B7" s="263" t="s">
        <v>60</v>
      </c>
      <c r="C7" s="263" t="s">
        <v>61</v>
      </c>
      <c r="D7" s="263" t="s">
        <v>62</v>
      </c>
      <c r="E7" s="263" t="s">
        <v>63</v>
      </c>
      <c r="F7" s="264" t="s">
        <v>64</v>
      </c>
    </row>
    <row r="8" spans="1:6" ht="15" customHeight="1" thickBot="1">
      <c r="A8" s="265" t="s">
        <v>124</v>
      </c>
      <c r="B8" s="266">
        <f>'YR2003'!B8+'YR2004'!B8+'YR2005'!B8</f>
        <v>9452416.7400000002</v>
      </c>
      <c r="C8" s="266">
        <f>'YR2003'!C8+'YR2004'!C8+'YR2005'!C8-1</f>
        <v>9452416.5800000001</v>
      </c>
      <c r="D8" s="266">
        <f>'YR2003'!D8+'YR2004'!D8+'YR2005'!D8</f>
        <v>0</v>
      </c>
      <c r="E8" s="266">
        <f>'YR2003'!E8+'YR2004'!E8+'YR2005'!E8</f>
        <v>0</v>
      </c>
      <c r="F8" s="268">
        <f t="shared" ref="F8:F50" si="0">B8-C8-D8-E8</f>
        <v>0.16000000014901161</v>
      </c>
    </row>
    <row r="9" spans="1:6" ht="15" thickBot="1">
      <c r="A9" s="269" t="s">
        <v>67</v>
      </c>
      <c r="B9" s="266">
        <f>'YR2003'!B9+'YR2004'!B9+'YR2005'!B9</f>
        <v>5498539.9799999995</v>
      </c>
      <c r="C9" s="266">
        <f>'YR2003'!C9+'YR2004'!C9+'YR2005'!C9</f>
        <v>5498539.9799999995</v>
      </c>
      <c r="D9" s="266">
        <f>'YR2003'!D9+'YR2004'!D9+'YR2005'!D9</f>
        <v>0</v>
      </c>
      <c r="E9" s="266">
        <f>'YR2003'!E9+'YR2004'!E9+'YR2005'!E9</f>
        <v>0</v>
      </c>
      <c r="F9" s="268">
        <f t="shared" si="0"/>
        <v>0</v>
      </c>
    </row>
    <row r="10" spans="1:6" ht="15" thickBot="1">
      <c r="A10" s="271" t="s">
        <v>68</v>
      </c>
      <c r="B10" s="266">
        <f>'YR2003'!B10+'YR2004'!B10+'YR2005'!B10</f>
        <v>23054.674946801581</v>
      </c>
      <c r="C10" s="266">
        <f>'YR2003'!C10+'YR2004'!C10+'YR2005'!C10</f>
        <v>0</v>
      </c>
      <c r="D10" s="266">
        <f>'YR2003'!D10+'YR2004'!D10+'YR2005'!D10</f>
        <v>0</v>
      </c>
      <c r="E10" s="266">
        <f>'YR2003'!E10+'YR2004'!E10+'YR2005'!E10</f>
        <v>0</v>
      </c>
      <c r="F10" s="268">
        <f t="shared" si="0"/>
        <v>23054.674946801581</v>
      </c>
    </row>
    <row r="11" spans="1:6" ht="15" thickBot="1">
      <c r="A11" s="269" t="s">
        <v>69</v>
      </c>
      <c r="B11" s="266">
        <f>'YR2003'!B11+'YR2004'!B11+'YR2005'!B11</f>
        <v>109509.72</v>
      </c>
      <c r="C11" s="266">
        <f>'YR2003'!C11+'YR2004'!C11+'YR2005'!C11</f>
        <v>0</v>
      </c>
      <c r="D11" s="266">
        <f>'YR2003'!D11+'YR2004'!D11+'YR2005'!D11</f>
        <v>0</v>
      </c>
      <c r="E11" s="266">
        <f>'YR2003'!E11+'YR2004'!E11+'YR2005'!E11</f>
        <v>0</v>
      </c>
      <c r="F11" s="268">
        <f t="shared" si="0"/>
        <v>109509.72</v>
      </c>
    </row>
    <row r="12" spans="1:6" ht="15" thickBot="1">
      <c r="A12" s="269" t="s">
        <v>70</v>
      </c>
      <c r="B12" s="266">
        <f>'YR2003'!B12+'YR2004'!B12+'YR2005'!B12</f>
        <v>6559055.0099999998</v>
      </c>
      <c r="C12" s="266">
        <f>'YR2003'!C12+'YR2004'!C12+'YR2005'!C12</f>
        <v>6559055.3399999999</v>
      </c>
      <c r="D12" s="266">
        <f>'YR2003'!D12+'YR2004'!D12+'YR2005'!D12</f>
        <v>0</v>
      </c>
      <c r="E12" s="266">
        <f>'YR2003'!E12+'YR2004'!E12+'YR2005'!E12</f>
        <v>0</v>
      </c>
      <c r="F12" s="268">
        <f t="shared" si="0"/>
        <v>-0.33000000007450581</v>
      </c>
    </row>
    <row r="13" spans="1:6" ht="15" thickBot="1">
      <c r="A13" s="269" t="s">
        <v>71</v>
      </c>
      <c r="B13" s="266">
        <f>'YR2003'!B13+'YR2004'!B13+'YR2005'!B13</f>
        <v>74927.700000000012</v>
      </c>
      <c r="C13" s="266">
        <f>'YR2003'!C13+'YR2004'!C13+'YR2005'!C13</f>
        <v>74927.700000000012</v>
      </c>
      <c r="D13" s="266">
        <f>'YR2003'!D13+'YR2004'!D13+'YR2005'!D13</f>
        <v>0</v>
      </c>
      <c r="E13" s="266">
        <f>'YR2003'!E13+'YR2004'!E13+'YR2005'!E13</f>
        <v>0</v>
      </c>
      <c r="F13" s="268">
        <f t="shared" si="0"/>
        <v>0</v>
      </c>
    </row>
    <row r="14" spans="1:6" ht="15" thickBot="1">
      <c r="A14" s="269" t="s">
        <v>125</v>
      </c>
      <c r="B14" s="266">
        <f>'YR2003'!B14+'YR2004'!B14+'YR2005'!B14</f>
        <v>14864501.669999998</v>
      </c>
      <c r="C14" s="266">
        <f>'YR2003'!C14+'YR2004'!C14+'YR2005'!C14</f>
        <v>13594192.220000001</v>
      </c>
      <c r="D14" s="266">
        <f>'YR2003'!D14+'YR2004'!D14+'YR2005'!D14</f>
        <v>1270310.1000000001</v>
      </c>
      <c r="E14" s="266">
        <f>'YR2003'!E14+'YR2004'!E14+'YR2005'!E14</f>
        <v>0</v>
      </c>
      <c r="F14" s="268">
        <f t="shared" si="0"/>
        <v>-0.65000000270083547</v>
      </c>
    </row>
    <row r="15" spans="1:6" ht="15" thickBot="1">
      <c r="A15" s="269" t="s">
        <v>75</v>
      </c>
      <c r="B15" s="266">
        <f>'YR2003'!B15+'YR2004'!B15+'YR2005'!B15</f>
        <v>991351.02</v>
      </c>
      <c r="C15" s="266">
        <f>'YR2003'!C15+'YR2004'!C15+'YR2005'!C15</f>
        <v>925260.68000000017</v>
      </c>
      <c r="D15" s="266">
        <f>'YR2003'!D15+'YR2004'!D15+'YR2005'!D15</f>
        <v>66090</v>
      </c>
      <c r="E15" s="266">
        <f>'YR2003'!E15+'YR2004'!E15+'YR2005'!E15</f>
        <v>0</v>
      </c>
      <c r="F15" s="268">
        <f t="shared" si="0"/>
        <v>0.33999999985098839</v>
      </c>
    </row>
    <row r="16" spans="1:6" ht="15" thickBot="1">
      <c r="A16" s="269" t="s">
        <v>76</v>
      </c>
      <c r="B16" s="266">
        <f>'YR2003'!B16+'YR2004'!B16+'YR2005'!B16</f>
        <v>4351569.9000000004</v>
      </c>
      <c r="C16" s="266">
        <f>'YR2003'!C16+'YR2004'!C16+'YR2005'!C16</f>
        <v>4351569.5999999996</v>
      </c>
      <c r="D16" s="266">
        <f>'YR2003'!D16+'YR2004'!D16+'YR2005'!D16</f>
        <v>0</v>
      </c>
      <c r="E16" s="266">
        <f>'YR2003'!E16+'YR2004'!E16+'YR2005'!E16</f>
        <v>0</v>
      </c>
      <c r="F16" s="268">
        <f t="shared" si="0"/>
        <v>0.30000000074505806</v>
      </c>
    </row>
    <row r="17" spans="1:6" ht="15" thickBot="1">
      <c r="A17" s="269" t="s">
        <v>77</v>
      </c>
      <c r="B17" s="266">
        <f>'YR2003'!B17+'YR2004'!B17+'YR2005'!B17</f>
        <v>57636.69</v>
      </c>
      <c r="C17" s="266">
        <f>'YR2003'!C17+'YR2004'!C17+'YR2005'!C17</f>
        <v>57636.229999999996</v>
      </c>
      <c r="D17" s="266">
        <f>'YR2003'!D17+'YR2004'!D17+'YR2005'!D17</f>
        <v>0</v>
      </c>
      <c r="E17" s="266">
        <f>'YR2003'!E17+'YR2004'!E17+'YR2005'!E17</f>
        <v>0</v>
      </c>
      <c r="F17" s="268">
        <f t="shared" si="0"/>
        <v>0.46000000000640284</v>
      </c>
    </row>
    <row r="18" spans="1:6" ht="15" thickBot="1">
      <c r="A18" s="269" t="s">
        <v>78</v>
      </c>
      <c r="B18" s="266">
        <f>'YR2003'!B18+'YR2004'!B18+'YR2005'!B18</f>
        <v>3031689.75</v>
      </c>
      <c r="C18" s="266">
        <f>'YR2003'!C18+'YR2004'!C18+'YR2005'!C18</f>
        <v>3031689.5</v>
      </c>
      <c r="D18" s="266">
        <f>'YR2003'!D18+'YR2004'!D18+'YR2005'!D18</f>
        <v>0</v>
      </c>
      <c r="E18" s="266">
        <f>'YR2003'!E18+'YR2004'!E18+'YR2005'!E18</f>
        <v>0</v>
      </c>
      <c r="F18" s="268">
        <f t="shared" si="0"/>
        <v>0.25</v>
      </c>
    </row>
    <row r="19" spans="1:6" ht="15" thickBot="1">
      <c r="A19" s="269" t="s">
        <v>126</v>
      </c>
      <c r="B19" s="266">
        <f>'YR2003'!B19+'YR2004'!B19+'YR2005'!B19</f>
        <v>37556066</v>
      </c>
      <c r="C19" s="266">
        <f>'YR2003'!C19+'YR2004'!C19+'YR2005'!C19</f>
        <v>33209077</v>
      </c>
      <c r="D19" s="266">
        <f>'YR2003'!D19+'YR2004'!D19+'YR2005'!D19</f>
        <v>4403689</v>
      </c>
      <c r="E19" s="266">
        <f>'YR2003'!E19+'YR2004'!E19+'YR2005'!E19</f>
        <v>0</v>
      </c>
      <c r="F19" s="268">
        <f t="shared" si="0"/>
        <v>-56700</v>
      </c>
    </row>
    <row r="20" spans="1:6" ht="15" thickBot="1">
      <c r="A20" s="269" t="s">
        <v>127</v>
      </c>
      <c r="B20" s="266">
        <f>'YR2003'!B20+'YR2004'!B20+'YR2005'!B20</f>
        <v>56743318.710000001</v>
      </c>
      <c r="C20" s="266">
        <f>'YR2003'!C20+'YR2004'!C20+'YR2005'!C20</f>
        <v>46753040.350000001</v>
      </c>
      <c r="D20" s="266">
        <f>'YR2003'!D20+'YR2004'!D20+'YR2005'!D20</f>
        <v>9990279</v>
      </c>
      <c r="E20" s="266">
        <f>'YR2003'!E20+'YR2004'!E20+'YR2005'!E20</f>
        <v>4.999999888241291E-2</v>
      </c>
      <c r="F20" s="268">
        <f t="shared" si="0"/>
        <v>-0.68999999947845936</v>
      </c>
    </row>
    <row r="21" spans="1:6" ht="15" thickBot="1">
      <c r="A21" s="269" t="s">
        <v>81</v>
      </c>
      <c r="B21" s="266">
        <f>'YR2003'!B21+'YR2004'!B21+'YR2005'!B21</f>
        <v>3129672.12</v>
      </c>
      <c r="C21" s="266">
        <f>'YR2003'!C21+'YR2004'!C21+'YR2005'!C21</f>
        <v>4208790.74</v>
      </c>
      <c r="D21" s="266">
        <f>'YR2003'!D21+'YR2004'!D21+'YR2005'!D21</f>
        <v>0</v>
      </c>
      <c r="E21" s="266">
        <f>'YR2003'!E21+'YR2004'!E21+'YR2005'!E21</f>
        <v>0</v>
      </c>
      <c r="F21" s="268">
        <f t="shared" si="0"/>
        <v>-1079118.6200000001</v>
      </c>
    </row>
    <row r="22" spans="1:6" ht="15" thickBot="1">
      <c r="A22" s="269" t="s">
        <v>83</v>
      </c>
      <c r="B22" s="266">
        <f>'YR2003'!B22+'YR2004'!B22+'YR2005'!B22</f>
        <v>697403.94</v>
      </c>
      <c r="C22" s="266">
        <f>'YR2003'!C22+'YR2004'!C22+'YR2005'!C22</f>
        <v>650909.93999999994</v>
      </c>
      <c r="D22" s="266">
        <f>'YR2003'!D22+'YR2004'!D22+'YR2005'!D22</f>
        <v>46494</v>
      </c>
      <c r="E22" s="266">
        <f>'YR2003'!E22+'YR2004'!E22+'YR2005'!E22</f>
        <v>0</v>
      </c>
      <c r="F22" s="268">
        <f t="shared" si="0"/>
        <v>0</v>
      </c>
    </row>
    <row r="23" spans="1:6" ht="15" thickBot="1">
      <c r="A23" s="269" t="s">
        <v>84</v>
      </c>
      <c r="B23" s="266">
        <f>'YR2003'!B23+'YR2004'!B23+'YR2005'!B23</f>
        <v>190201.08000000002</v>
      </c>
      <c r="C23" s="266">
        <f>'YR2003'!C23+'YR2004'!C23+'YR2005'!C23</f>
        <v>190201.08000000002</v>
      </c>
      <c r="D23" s="266">
        <f>'YR2003'!D23+'YR2004'!D23+'YR2005'!D23</f>
        <v>0</v>
      </c>
      <c r="E23" s="266">
        <f>'YR2003'!E23+'YR2004'!E23+'YR2005'!E23</f>
        <v>0</v>
      </c>
      <c r="F23" s="268">
        <f t="shared" si="0"/>
        <v>0</v>
      </c>
    </row>
    <row r="24" spans="1:6" ht="15" thickBot="1">
      <c r="A24" s="269" t="s">
        <v>128</v>
      </c>
      <c r="B24" s="266">
        <f>'YR2003'!B24+'YR2004'!B24+'YR2005'!B24</f>
        <v>1711809.5999999999</v>
      </c>
      <c r="C24" s="266">
        <f>'YR2003'!C24+'YR2004'!C24+'YR2005'!C24</f>
        <v>1711809.4</v>
      </c>
      <c r="D24" s="266">
        <f>'YR2003'!D24+'YR2004'!D24+'YR2005'!D24</f>
        <v>0</v>
      </c>
      <c r="E24" s="266">
        <f>'YR2003'!E24+'YR2004'!E24+'YR2005'!E24</f>
        <v>0</v>
      </c>
      <c r="F24" s="268">
        <f t="shared" si="0"/>
        <v>0.19999999995343387</v>
      </c>
    </row>
    <row r="25" spans="1:6" ht="15" thickBot="1">
      <c r="A25" s="269" t="s">
        <v>86</v>
      </c>
      <c r="B25" s="266">
        <f>'YR2003'!B25+'YR2004'!B25+'YR2005'!B25</f>
        <v>2409213.54</v>
      </c>
      <c r="C25" s="266">
        <f>'YR2003'!C25+'YR2004'!C25+'YR2005'!C25</f>
        <v>70024</v>
      </c>
      <c r="D25" s="266">
        <f>'YR2003'!D25+'YR2004'!D25+'YR2005'!D25</f>
        <v>0</v>
      </c>
      <c r="E25" s="266">
        <f>'YR2003'!E25+'YR2004'!E25+'YR2005'!E25</f>
        <v>0</v>
      </c>
      <c r="F25" s="268">
        <f t="shared" si="0"/>
        <v>2339189.54</v>
      </c>
    </row>
    <row r="26" spans="1:6" ht="15" thickBot="1">
      <c r="A26" s="269" t="s">
        <v>87</v>
      </c>
      <c r="B26" s="266">
        <f>'YR2003'!B26+'YR2004'!B26+'YR2005'!B26</f>
        <v>29417765.219999999</v>
      </c>
      <c r="C26" s="266">
        <f>'YR2003'!C26+'YR2004'!C26+'YR2005'!C26</f>
        <v>24947765.219999999</v>
      </c>
      <c r="D26" s="266">
        <f>'YR2003'!D26+'YR2004'!D26+'YR2005'!D26</f>
        <v>4470000</v>
      </c>
      <c r="E26" s="266">
        <f>'YR2003'!E26+'YR2004'!E26+'YR2005'!E26</f>
        <v>0</v>
      </c>
      <c r="F26" s="268">
        <f t="shared" si="0"/>
        <v>0</v>
      </c>
    </row>
    <row r="27" spans="1:6" ht="15" thickBot="1">
      <c r="A27" s="269" t="s">
        <v>129</v>
      </c>
      <c r="B27" s="266">
        <f>'YR2003'!B27+'YR2004'!B27+'YR2005'!B27</f>
        <v>104280000</v>
      </c>
      <c r="C27" s="266">
        <f>'YR2003'!C27+'YR2004'!C27+'YR2005'!C27</f>
        <v>94065778</v>
      </c>
      <c r="D27" s="266">
        <f>'YR2003'!D27+'YR2004'!D27+'YR2005'!D27</f>
        <v>10214222</v>
      </c>
      <c r="E27" s="266">
        <f>'YR2003'!E27+'YR2004'!E27+'YR2005'!E27</f>
        <v>0</v>
      </c>
      <c r="F27" s="268">
        <f t="shared" si="0"/>
        <v>0</v>
      </c>
    </row>
    <row r="28" spans="1:6" ht="15" thickBot="1">
      <c r="A28" s="25" t="s">
        <v>89</v>
      </c>
      <c r="B28" s="266">
        <f>'YR2003'!B28+'YR2004'!B28+'YR2005'!B28</f>
        <v>0</v>
      </c>
      <c r="C28" s="266">
        <f>'YR2003'!C28+'YR2004'!C28+'YR2005'!C28</f>
        <v>0</v>
      </c>
      <c r="D28" s="266">
        <f>'YR2003'!D28+'YR2004'!D28+'YR2005'!D28</f>
        <v>0</v>
      </c>
      <c r="E28" s="266">
        <f>'YR2003'!E28+'YR2004'!E28+'YR2005'!E28</f>
        <v>0</v>
      </c>
      <c r="F28" s="268">
        <f t="shared" si="0"/>
        <v>0</v>
      </c>
    </row>
    <row r="29" spans="1:6" ht="15" thickBot="1">
      <c r="A29" s="269" t="s">
        <v>91</v>
      </c>
      <c r="B29" s="266">
        <f>'YR2003'!B29+'YR2004'!B29+'YR2005'!B29</f>
        <v>57636.69</v>
      </c>
      <c r="C29" s="266">
        <f>'YR2003'!C29+'YR2004'!C29+'YR2005'!C29</f>
        <v>57636.229999999996</v>
      </c>
      <c r="D29" s="266">
        <f>'YR2003'!D29+'YR2004'!D29+'YR2005'!D29</f>
        <v>0</v>
      </c>
      <c r="E29" s="266">
        <f>'YR2003'!E29+'YR2004'!E29+'YR2005'!E29</f>
        <v>0</v>
      </c>
      <c r="F29" s="268">
        <f t="shared" si="0"/>
        <v>0.46000000000640284</v>
      </c>
    </row>
    <row r="30" spans="1:6" ht="15" thickBot="1">
      <c r="A30" s="269" t="s">
        <v>92</v>
      </c>
      <c r="B30" s="266">
        <f>'YR2003'!B30+'YR2004'!B30+'YR2005'!B30</f>
        <v>34582.020000000004</v>
      </c>
      <c r="C30" s="266">
        <f>'YR2003'!C30+'YR2004'!C30+'YR2005'!C30</f>
        <v>34581.68</v>
      </c>
      <c r="D30" s="266">
        <f>'YR2003'!D30+'YR2004'!D30+'YR2005'!D30</f>
        <v>0</v>
      </c>
      <c r="E30" s="266">
        <f>'YR2003'!E30+'YR2004'!E30+'YR2005'!E30</f>
        <v>0</v>
      </c>
      <c r="F30" s="268">
        <f t="shared" si="0"/>
        <v>0.3400000000037835</v>
      </c>
    </row>
    <row r="31" spans="1:6" ht="15" thickBot="1">
      <c r="A31" s="269" t="s">
        <v>93</v>
      </c>
      <c r="B31" s="266">
        <f>'YR2003'!B31+'YR2004'!B31+'YR2005'!B31</f>
        <v>97982.37</v>
      </c>
      <c r="C31" s="266">
        <f>'YR2003'!C31+'YR2004'!C31+'YR2005'!C31</f>
        <v>0</v>
      </c>
      <c r="D31" s="266">
        <f>'YR2003'!D31+'YR2004'!D31+'YR2005'!D31</f>
        <v>0</v>
      </c>
      <c r="E31" s="266">
        <f>'YR2003'!E31+'YR2004'!E31+'YR2005'!E31</f>
        <v>0</v>
      </c>
      <c r="F31" s="268">
        <f t="shared" si="0"/>
        <v>97982.37</v>
      </c>
    </row>
    <row r="32" spans="1:6" ht="15" thickBot="1">
      <c r="A32" s="269" t="s">
        <v>94</v>
      </c>
      <c r="B32" s="266">
        <f>'YR2003'!B32+'YR2004'!B32+'YR2005'!B32</f>
        <v>461093.49</v>
      </c>
      <c r="C32" s="266">
        <f>'YR2003'!C32+'YR2004'!C32+'YR2005'!C32</f>
        <v>461093.49</v>
      </c>
      <c r="D32" s="266">
        <f>'YR2003'!D32+'YR2004'!D32+'YR2005'!D32</f>
        <v>0</v>
      </c>
      <c r="E32" s="266">
        <f>'YR2003'!E32+'YR2004'!E32+'YR2005'!E32</f>
        <v>0</v>
      </c>
      <c r="F32" s="268">
        <f t="shared" si="0"/>
        <v>0</v>
      </c>
    </row>
    <row r="33" spans="1:6" ht="15" thickBot="1">
      <c r="A33" s="269" t="s">
        <v>96</v>
      </c>
      <c r="B33" s="266">
        <f>'YR2003'!B33+'YR2004'!B33+'YR2005'!B33</f>
        <v>23054.670000000002</v>
      </c>
      <c r="C33" s="266">
        <f>'YR2003'!C33+'YR2004'!C33+'YR2005'!C33</f>
        <v>23074.670000000002</v>
      </c>
      <c r="D33" s="266">
        <f>'YR2003'!D33+'YR2004'!D33+'YR2005'!D33</f>
        <v>0</v>
      </c>
      <c r="E33" s="266">
        <f>'YR2003'!E33+'YR2004'!E33+'YR2005'!E33</f>
        <v>0</v>
      </c>
      <c r="F33" s="268">
        <f t="shared" si="0"/>
        <v>-20</v>
      </c>
    </row>
    <row r="34" spans="1:6" ht="15" thickBot="1">
      <c r="A34" s="269" t="s">
        <v>97</v>
      </c>
      <c r="B34" s="266">
        <f>'YR2003'!B34+'YR2004'!B34+'YR2005'!B34</f>
        <v>10092183.959999999</v>
      </c>
      <c r="C34" s="266">
        <f>'YR2003'!C34+'YR2004'!C34+'YR2005'!C34</f>
        <v>10092183.959999999</v>
      </c>
      <c r="D34" s="266">
        <f>'YR2003'!D34+'YR2004'!D34+'YR2005'!D34</f>
        <v>0</v>
      </c>
      <c r="E34" s="266">
        <f>'YR2003'!E34+'YR2004'!E34+'YR2005'!E34</f>
        <v>0</v>
      </c>
      <c r="F34" s="268">
        <f t="shared" si="0"/>
        <v>0</v>
      </c>
    </row>
    <row r="35" spans="1:6" ht="15" thickBot="1">
      <c r="A35" s="269" t="s">
        <v>98</v>
      </c>
      <c r="B35" s="266">
        <f>'YR2003'!B35+'YR2004'!B35+'YR2005'!B35</f>
        <v>1400571.51</v>
      </c>
      <c r="C35" s="266">
        <f>'YR2003'!C35+'YR2004'!C35+'YR2005'!C35</f>
        <v>1400571.51</v>
      </c>
      <c r="D35" s="266">
        <f>'YR2003'!D35+'YR2004'!D35+'YR2005'!D35</f>
        <v>0</v>
      </c>
      <c r="E35" s="266">
        <f>'YR2003'!E35+'YR2004'!E35+'YR2005'!E35</f>
        <v>0</v>
      </c>
      <c r="F35" s="268">
        <f t="shared" si="0"/>
        <v>0</v>
      </c>
    </row>
    <row r="36" spans="1:6" ht="15" thickBot="1">
      <c r="A36" s="269" t="s">
        <v>99</v>
      </c>
      <c r="B36" s="266">
        <f>'YR2003'!B36+'YR2004'!B36+'YR2005'!B36</f>
        <v>3757912.0200000005</v>
      </c>
      <c r="C36" s="266">
        <f>'YR2003'!C36+'YR2004'!C36+'YR2005'!C36</f>
        <v>3757911.6799999997</v>
      </c>
      <c r="D36" s="266">
        <f>'YR2003'!D36+'YR2004'!D36+'YR2005'!D36</f>
        <v>0</v>
      </c>
      <c r="E36" s="266">
        <f>'YR2003'!E36+'YR2004'!E36+'YR2005'!E36</f>
        <v>0</v>
      </c>
      <c r="F36" s="268">
        <f t="shared" si="0"/>
        <v>0.34000000078231096</v>
      </c>
    </row>
    <row r="37" spans="1:6" ht="15" thickBot="1">
      <c r="A37" s="269" t="s">
        <v>101</v>
      </c>
      <c r="B37" s="266">
        <f>'YR2003'!B37+'YR2004'!B37+'YR2005'!B37</f>
        <v>1838610.33</v>
      </c>
      <c r="C37" s="266">
        <f>'YR2003'!C37+'YR2004'!C37+'YR2005'!C37</f>
        <v>1838610.1099999999</v>
      </c>
      <c r="D37" s="266">
        <f>'YR2003'!D37+'YR2004'!D37+'YR2005'!D37</f>
        <v>0</v>
      </c>
      <c r="E37" s="266">
        <f>'YR2003'!E37+'YR2004'!E37+'YR2005'!E37</f>
        <v>0</v>
      </c>
      <c r="F37" s="268">
        <f t="shared" si="0"/>
        <v>0.22000000020489097</v>
      </c>
    </row>
    <row r="38" spans="1:6" ht="15" thickBot="1">
      <c r="A38" s="269" t="s">
        <v>102</v>
      </c>
      <c r="B38" s="266">
        <f>'YR2003'!B38+'YR2004'!B38+'YR2005'!B38</f>
        <v>2685869.64</v>
      </c>
      <c r="C38" s="266">
        <f>'YR2003'!C38+'YR2004'!C38+'YR2005'!C38</f>
        <v>2638126.6399999997</v>
      </c>
      <c r="D38" s="266">
        <f>'YR2003'!D38+'YR2004'!D38+'YR2005'!D38</f>
        <v>47743</v>
      </c>
      <c r="E38" s="266">
        <f>'YR2003'!E38+'YR2004'!E38+'YR2005'!E38</f>
        <v>0</v>
      </c>
      <c r="F38" s="268">
        <f t="shared" si="0"/>
        <v>4.6566128730773926E-10</v>
      </c>
    </row>
    <row r="39" spans="1:6" ht="15" thickBot="1">
      <c r="A39" s="269" t="s">
        <v>104</v>
      </c>
      <c r="B39" s="266">
        <f>'YR2003'!B39+'YR2004'!B39+'YR2005'!B39</f>
        <v>6916402.4700000007</v>
      </c>
      <c r="C39" s="266">
        <f>'YR2003'!C39+'YR2004'!C39+'YR2005'!C39</f>
        <v>0</v>
      </c>
      <c r="D39" s="266">
        <f>'YR2003'!D39+'YR2004'!D39+'YR2005'!D39</f>
        <v>0</v>
      </c>
      <c r="E39" s="266">
        <f>'YR2003'!E39+'YR2004'!E39+'YR2005'!E39</f>
        <v>0</v>
      </c>
      <c r="F39" s="268">
        <f t="shared" si="0"/>
        <v>6916402.4700000007</v>
      </c>
    </row>
    <row r="40" spans="1:6" ht="15" thickBot="1">
      <c r="A40" s="273" t="s">
        <v>107</v>
      </c>
      <c r="B40" s="266">
        <f>'YR2003'!B40+'YR2004'!B40+'YR2005'!B40</f>
        <v>247838.18</v>
      </c>
      <c r="C40" s="266">
        <f>'YR2003'!C40+'YR2004'!C40+'YR2005'!C40</f>
        <v>231315.18</v>
      </c>
      <c r="D40" s="266">
        <f>'YR2003'!D40+'YR2004'!D40+'YR2005'!D40</f>
        <v>16523</v>
      </c>
      <c r="E40" s="266">
        <f>'YR2003'!E40+'YR2004'!E40+'YR2005'!E40</f>
        <v>0</v>
      </c>
      <c r="F40" s="268">
        <f t="shared" si="0"/>
        <v>0</v>
      </c>
    </row>
    <row r="41" spans="1:6" ht="15" thickBot="1">
      <c r="A41" s="269" t="s">
        <v>108</v>
      </c>
      <c r="B41" s="266">
        <f>'YR2003'!B41+'YR2004'!B41+'YR2005'!B41</f>
        <v>466857.18</v>
      </c>
      <c r="C41" s="266">
        <f>'YR2003'!C41+'YR2004'!C41+'YR2005'!C41</f>
        <v>466857.06</v>
      </c>
      <c r="D41" s="266">
        <f>'YR2003'!D41+'YR2004'!D41+'YR2005'!D41</f>
        <v>0</v>
      </c>
      <c r="E41" s="266">
        <f>'YR2003'!E41+'YR2004'!E41+'YR2005'!E41</f>
        <v>0</v>
      </c>
      <c r="F41" s="268">
        <f t="shared" si="0"/>
        <v>0.11999999999534339</v>
      </c>
    </row>
    <row r="42" spans="1:6" ht="15" thickBot="1">
      <c r="A42" s="269" t="s">
        <v>110</v>
      </c>
      <c r="B42" s="266">
        <f>'YR2003'!B42+'YR2004'!B42+'YR2005'!B42</f>
        <v>14633954.939999998</v>
      </c>
      <c r="C42" s="266">
        <f>'YR2003'!C42+'YR2004'!C42+'YR2005'!C42</f>
        <v>13069353.970000001</v>
      </c>
      <c r="D42" s="266">
        <f>'YR2003'!D42+'YR2004'!D42+'YR2005'!D42</f>
        <v>1560201</v>
      </c>
      <c r="E42" s="266">
        <f>'YR2003'!E42+'YR2004'!E42+'YR2005'!E42</f>
        <v>0</v>
      </c>
      <c r="F42" s="268">
        <f t="shared" si="0"/>
        <v>4399.9699999969453</v>
      </c>
    </row>
    <row r="43" spans="1:6" ht="15" thickBot="1">
      <c r="A43" s="269" t="s">
        <v>130</v>
      </c>
      <c r="B43" s="266">
        <f>'YR2003'!B43+'YR2004'!B43+'YR2005'!B43</f>
        <v>5965397.4199999999</v>
      </c>
      <c r="C43" s="266">
        <f>'YR2003'!C43+'YR2004'!C43+'YR2005'!C43</f>
        <v>5533585.4299999997</v>
      </c>
      <c r="D43" s="266">
        <f>'YR2003'!D43+'YR2004'!D43+'YR2005'!D43</f>
        <v>431812</v>
      </c>
      <c r="E43" s="266">
        <f>'YR2003'!E43+'YR2004'!E43+'YR2005'!E43</f>
        <v>0</v>
      </c>
      <c r="F43" s="268">
        <f t="shared" si="0"/>
        <v>-9.9999997764825821E-3</v>
      </c>
    </row>
    <row r="44" spans="1:6" ht="15" thickBot="1">
      <c r="A44" s="269" t="s">
        <v>112</v>
      </c>
      <c r="B44" s="266">
        <f>'YR2003'!B44+'YR2004'!B44+'YR2005'!B44</f>
        <v>7342913.9700000007</v>
      </c>
      <c r="C44" s="266">
        <f>'YR2003'!C44+'YR2004'!C44+'YR2005'!C44</f>
        <v>6653985.6799999997</v>
      </c>
      <c r="D44" s="266">
        <f>'YR2003'!D44+'YR2004'!D44+'YR2005'!D44</f>
        <v>978943</v>
      </c>
      <c r="E44" s="266">
        <f>'YR2003'!E44+'YR2004'!E44+'YR2005'!E44</f>
        <v>0</v>
      </c>
      <c r="F44" s="268">
        <f t="shared" si="0"/>
        <v>-290014.70999999903</v>
      </c>
    </row>
    <row r="45" spans="1:6" ht="15" thickBot="1">
      <c r="A45" s="269" t="s">
        <v>113</v>
      </c>
      <c r="B45" s="266">
        <f>'YR2003'!B45+'YR2004'!B45+'YR2005'!B45</f>
        <v>5763.66</v>
      </c>
      <c r="C45" s="266">
        <f>'YR2003'!C45+'YR2004'!C45+'YR2005'!C45</f>
        <v>0</v>
      </c>
      <c r="D45" s="266">
        <f>'YR2003'!D45+'YR2004'!D45+'YR2005'!D45</f>
        <v>0</v>
      </c>
      <c r="E45" s="266">
        <f>'YR2003'!E45+'YR2004'!E45+'YR2005'!E45</f>
        <v>0</v>
      </c>
      <c r="F45" s="268">
        <f t="shared" si="0"/>
        <v>5763.66</v>
      </c>
    </row>
    <row r="46" spans="1:6" ht="15" thickBot="1">
      <c r="A46" s="269" t="s">
        <v>181</v>
      </c>
      <c r="B46" s="266">
        <f>'YR2003'!B46+'YR2004'!B46+'YR2005'!B46</f>
        <v>17291.010000000002</v>
      </c>
      <c r="C46" s="266">
        <f>'YR2003'!C46+'YR2004'!C46+'YR2005'!C46</f>
        <v>5763.67</v>
      </c>
      <c r="D46" s="266">
        <f>'YR2003'!D46+'YR2004'!D46+'YR2005'!D46</f>
        <v>0</v>
      </c>
      <c r="E46" s="266">
        <f>'YR2003'!E46+'YR2004'!E46+'YR2005'!E46</f>
        <v>0</v>
      </c>
      <c r="F46" s="268">
        <f t="shared" si="0"/>
        <v>11527.340000000002</v>
      </c>
    </row>
    <row r="47" spans="1:6" ht="15" thickBot="1">
      <c r="A47" s="269" t="s">
        <v>115</v>
      </c>
      <c r="B47" s="266">
        <f>'YR2003'!B47+'YR2004'!B47+'YR2005'!B47</f>
        <v>305474.43</v>
      </c>
      <c r="C47" s="266">
        <f>'YR2003'!C47+'YR2004'!C47+'YR2005'!C47</f>
        <v>0</v>
      </c>
      <c r="D47" s="266">
        <f>'YR2003'!D47+'YR2004'!D47+'YR2005'!D47</f>
        <v>0</v>
      </c>
      <c r="E47" s="266">
        <f>'YR2003'!E47+'YR2004'!E47+'YR2005'!E47</f>
        <v>0</v>
      </c>
      <c r="F47" s="268">
        <f t="shared" si="0"/>
        <v>305474.43</v>
      </c>
    </row>
    <row r="48" spans="1:6" ht="15" thickBot="1">
      <c r="A48" s="269" t="s">
        <v>117</v>
      </c>
      <c r="B48" s="266">
        <f>'YR2003'!B48+'YR2004'!B48+'YR2005'!B48</f>
        <v>32155507.890000001</v>
      </c>
      <c r="C48" s="266">
        <f>'YR2003'!C48+'YR2004'!C48+'YR2005'!C48</f>
        <v>32155508.300000004</v>
      </c>
      <c r="D48" s="266">
        <f>'YR2003'!D48+'YR2004'!D48+'YR2005'!D48</f>
        <v>0</v>
      </c>
      <c r="E48" s="266">
        <f>'YR2003'!E48+'YR2004'!E48+'YR2005'!E48</f>
        <v>0</v>
      </c>
      <c r="F48" s="268">
        <f t="shared" si="0"/>
        <v>-0.41000000387430191</v>
      </c>
    </row>
    <row r="49" spans="1:6" ht="15" thickBot="1">
      <c r="A49" s="269" t="s">
        <v>118</v>
      </c>
      <c r="B49" s="266">
        <f>'YR2003'!B49+'YR2004'!B49+'YR2005'!B49</f>
        <v>104280000</v>
      </c>
      <c r="C49" s="266">
        <f>'YR2003'!C49+'YR2004'!C49+'YR2005'!C49</f>
        <v>93530000</v>
      </c>
      <c r="D49" s="266">
        <f>'YR2003'!D49+'YR2004'!D49+'YR2005'!D49</f>
        <v>10750000</v>
      </c>
      <c r="E49" s="266">
        <f>'YR2003'!E49+'YR2004'!E49+'YR2005'!E49</f>
        <v>0</v>
      </c>
      <c r="F49" s="268">
        <f t="shared" si="0"/>
        <v>0</v>
      </c>
    </row>
    <row r="50" spans="1:6" ht="15" thickBot="1">
      <c r="A50" s="274" t="s">
        <v>119</v>
      </c>
      <c r="B50" s="266">
        <f>'YR2003'!B50+'YR2004'!B50+'YR2005'!B50</f>
        <v>63400.350000000006</v>
      </c>
      <c r="C50" s="266">
        <f>'YR2003'!C50+'YR2004'!C50+'YR2005'!C50</f>
        <v>21133</v>
      </c>
      <c r="D50" s="266">
        <f>'YR2003'!D50+'YR2004'!D50+'YR2005'!D50</f>
        <v>0</v>
      </c>
      <c r="E50" s="266">
        <f>'YR2003'!E50+'YR2004'!E50+'YR2005'!E50</f>
        <v>0</v>
      </c>
      <c r="F50" s="268">
        <f t="shared" si="0"/>
        <v>42267.350000000006</v>
      </c>
    </row>
    <row r="51" spans="1:6" ht="15" thickBot="1">
      <c r="A51" s="278" t="s">
        <v>122</v>
      </c>
      <c r="B51" s="279">
        <f>SUM(B8:B50)</f>
        <v>474000001.26494682</v>
      </c>
      <c r="C51" s="280">
        <f>SUM(C8:C50)</f>
        <v>421323975.82000011</v>
      </c>
      <c r="D51" s="281">
        <f>SUM(D8:D50)</f>
        <v>44246306.100000001</v>
      </c>
      <c r="E51" s="282">
        <f>SUM(E8:E50)</f>
        <v>4.999999888241291E-2</v>
      </c>
      <c r="F51" s="282">
        <f>SUM(F8:F50)</f>
        <v>8429719.2949467972</v>
      </c>
    </row>
    <row r="52" spans="1:6">
      <c r="A52" s="150"/>
      <c r="B52" s="50"/>
      <c r="C52" s="50"/>
      <c r="D52" s="50"/>
      <c r="E52" s="50"/>
      <c r="F52" s="50"/>
    </row>
    <row r="53" spans="1:6">
      <c r="A53" s="150"/>
      <c r="B53" s="50"/>
      <c r="C53" s="50"/>
      <c r="D53" s="50"/>
      <c r="E53" s="50"/>
      <c r="F53" s="50"/>
    </row>
    <row r="54" spans="1:6">
      <c r="A54" s="150"/>
      <c r="B54" s="50"/>
      <c r="C54" s="50"/>
      <c r="D54" s="50"/>
      <c r="E54" s="50"/>
      <c r="F54" s="50"/>
    </row>
    <row r="55" spans="1:6">
      <c r="A55" s="56"/>
      <c r="B55" s="56"/>
      <c r="C55" s="56"/>
      <c r="D55" s="56"/>
      <c r="E55" s="56"/>
      <c r="F55" s="56"/>
    </row>
    <row r="56" spans="1:6" ht="15" thickBot="1">
      <c r="A56" s="50"/>
      <c r="B56" s="50"/>
      <c r="C56" s="50"/>
      <c r="D56" s="50"/>
      <c r="E56" s="50"/>
      <c r="F56" s="50"/>
    </row>
    <row r="57" spans="1:6" ht="15" thickBot="1">
      <c r="A57" s="42" t="s">
        <v>133</v>
      </c>
      <c r="B57" s="112">
        <f>B10+B11+B13+B15+B17+B22+B29+B31+B37+B39+B40+B41+B45+B46+B47+B50</f>
        <v>11971140.414946802</v>
      </c>
      <c r="C57" s="112">
        <f>C10+C11+C13+C15+C17+C22+C29+C31+C37+C39+C40+C41+C45+C46+C47+C50</f>
        <v>4330049.8</v>
      </c>
      <c r="D57" s="112">
        <f>D10+D11+D13+D15+D17+D22+D29+D31+D37+D39+D40+D41+D45+D46+D47+D50</f>
        <v>129107</v>
      </c>
      <c r="E57" s="112">
        <f>E10+E11+E13+E15+E17+E22+E29+E31+E37+E39+E40+E41+E45+E46+E47+E50</f>
        <v>0</v>
      </c>
      <c r="F57" s="113">
        <f>B57-C57-D57-E57</f>
        <v>7511983.6149468021</v>
      </c>
    </row>
    <row r="58" spans="1:6">
      <c r="A58" s="56"/>
      <c r="B58" s="56"/>
      <c r="C58" s="56"/>
      <c r="D58" s="56"/>
      <c r="E58" s="56"/>
      <c r="F58" s="56"/>
    </row>
    <row r="59" spans="1:6">
      <c r="A59" s="283"/>
      <c r="B59" s="90"/>
      <c r="C59" s="90"/>
      <c r="D59" s="90"/>
      <c r="E59" s="90"/>
      <c r="F59" s="90"/>
    </row>
  </sheetData>
  <mergeCells count="3">
    <mergeCell ref="A4:F4"/>
    <mergeCell ref="A5:F5"/>
    <mergeCell ref="A6:F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5AFB-C396-46B4-A074-49DB4E7F399C}">
  <dimension ref="A1:I63"/>
  <sheetViews>
    <sheetView workbookViewId="0">
      <selection activeCell="L68" sqref="L68"/>
    </sheetView>
  </sheetViews>
  <sheetFormatPr defaultRowHeight="14.5"/>
  <cols>
    <col min="1" max="1" width="24.36328125" customWidth="1"/>
    <col min="2" max="2" width="17.54296875" customWidth="1"/>
    <col min="3" max="3" width="16.26953125" customWidth="1"/>
    <col min="4" max="4" width="15.36328125" customWidth="1"/>
    <col min="5" max="5" width="15.26953125" customWidth="1"/>
    <col min="6" max="6" width="16.7265625" customWidth="1"/>
    <col min="8" max="8" width="15" customWidth="1"/>
  </cols>
  <sheetData>
    <row r="1" spans="1:6">
      <c r="A1" s="234" t="str">
        <f>[1]Status!C1</f>
        <v>UNEP/OzL.Pro/ExCom/94/3</v>
      </c>
    </row>
    <row r="2" spans="1:6">
      <c r="A2" s="284" t="s">
        <v>188</v>
      </c>
    </row>
    <row r="4" spans="1:6">
      <c r="A4" s="818" t="s">
        <v>2</v>
      </c>
      <c r="B4" s="818"/>
      <c r="C4" s="818"/>
      <c r="D4" s="818"/>
      <c r="E4" s="818"/>
      <c r="F4" s="818"/>
    </row>
    <row r="5" spans="1:6">
      <c r="A5" s="819" t="s">
        <v>183</v>
      </c>
      <c r="B5" s="819"/>
      <c r="C5" s="819"/>
      <c r="D5" s="819"/>
      <c r="E5" s="819"/>
      <c r="F5" s="819"/>
    </row>
    <row r="6" spans="1:6" ht="15" thickBot="1">
      <c r="A6" s="820" t="str">
        <f>[1]Status!A6</f>
        <v>As at 24/05/2024</v>
      </c>
      <c r="B6" s="820"/>
      <c r="C6" s="820"/>
      <c r="D6" s="820"/>
      <c r="E6" s="820"/>
      <c r="F6" s="820"/>
    </row>
    <row r="7" spans="1:6" ht="26.25" customHeight="1" thickBot="1">
      <c r="A7" s="285" t="s">
        <v>59</v>
      </c>
      <c r="B7" s="286" t="s">
        <v>60</v>
      </c>
      <c r="C7" s="286" t="s">
        <v>61</v>
      </c>
      <c r="D7" s="286" t="s">
        <v>62</v>
      </c>
      <c r="E7" s="286" t="s">
        <v>63</v>
      </c>
      <c r="F7" s="287" t="s">
        <v>64</v>
      </c>
    </row>
    <row r="8" spans="1:6" ht="18" customHeight="1">
      <c r="A8" s="265" t="s">
        <v>124</v>
      </c>
      <c r="B8" s="266">
        <v>3150805.58</v>
      </c>
      <c r="C8" s="267">
        <v>3150805.58</v>
      </c>
      <c r="D8" s="267"/>
      <c r="E8" s="267"/>
      <c r="F8" s="268">
        <f t="shared" ref="F8:F50" si="0">B8-C8-D8-E8</f>
        <v>0</v>
      </c>
    </row>
    <row r="9" spans="1:6" ht="18" customHeight="1">
      <c r="A9" s="269" t="s">
        <v>67</v>
      </c>
      <c r="B9" s="272">
        <v>1832846.66</v>
      </c>
      <c r="C9" s="270">
        <v>1832846.66</v>
      </c>
      <c r="D9" s="270"/>
      <c r="E9" s="270"/>
      <c r="F9" s="268">
        <f t="shared" si="0"/>
        <v>0</v>
      </c>
    </row>
    <row r="10" spans="1:6" ht="18" customHeight="1">
      <c r="A10" s="271" t="s">
        <v>68</v>
      </c>
      <c r="B10" s="272">
        <v>7684.8916489338599</v>
      </c>
      <c r="C10" s="270"/>
      <c r="D10" s="270"/>
      <c r="E10" s="270"/>
      <c r="F10" s="268">
        <f t="shared" si="0"/>
        <v>7684.8916489338599</v>
      </c>
    </row>
    <row r="11" spans="1:6" ht="18" customHeight="1">
      <c r="A11" s="269" t="s">
        <v>69</v>
      </c>
      <c r="B11" s="272">
        <v>36503.24</v>
      </c>
      <c r="C11" s="270"/>
      <c r="D11" s="270"/>
      <c r="E11" s="270"/>
      <c r="F11" s="268">
        <f t="shared" si="0"/>
        <v>36503.24</v>
      </c>
    </row>
    <row r="12" spans="1:6" ht="18" customHeight="1">
      <c r="A12" s="269" t="s">
        <v>70</v>
      </c>
      <c r="B12" s="272">
        <v>2186351.67</v>
      </c>
      <c r="C12" s="270">
        <v>2186351.67</v>
      </c>
      <c r="D12" s="270"/>
      <c r="E12" s="270"/>
      <c r="F12" s="268">
        <f t="shared" si="0"/>
        <v>0</v>
      </c>
    </row>
    <row r="13" spans="1:6" ht="18" customHeight="1">
      <c r="A13" s="269" t="s">
        <v>71</v>
      </c>
      <c r="B13" s="272">
        <v>24975.9</v>
      </c>
      <c r="C13" s="272">
        <f>24975.9</f>
        <v>24975.9</v>
      </c>
      <c r="D13" s="270"/>
      <c r="E13" s="270"/>
      <c r="F13" s="268">
        <f t="shared" si="0"/>
        <v>0</v>
      </c>
    </row>
    <row r="14" spans="1:6" ht="18" customHeight="1">
      <c r="A14" s="269" t="s">
        <v>125</v>
      </c>
      <c r="B14" s="272">
        <v>4954833.8899999997</v>
      </c>
      <c r="C14" s="270">
        <f>785692+300450.77+21617.15+3963867.1-294802+750+2000+732.9</f>
        <v>4780307.92</v>
      </c>
      <c r="D14" s="270">
        <f>70060+330413-222464-750-2000-732.9</f>
        <v>174526.1</v>
      </c>
      <c r="E14" s="270">
        <f>3963867.1-3963867.1</f>
        <v>0</v>
      </c>
      <c r="F14" s="268">
        <f t="shared" si="0"/>
        <v>-0.13000000026659109</v>
      </c>
    </row>
    <row r="15" spans="1:6" ht="18" customHeight="1">
      <c r="A15" s="269" t="s">
        <v>75</v>
      </c>
      <c r="B15" s="272">
        <v>330450.34000000003</v>
      </c>
      <c r="C15" s="270">
        <v>330450.34000000003</v>
      </c>
      <c r="D15" s="270"/>
      <c r="E15" s="270"/>
      <c r="F15" s="268">
        <f t="shared" si="0"/>
        <v>0</v>
      </c>
    </row>
    <row r="16" spans="1:6" ht="18" customHeight="1">
      <c r="A16" s="269" t="s">
        <v>76</v>
      </c>
      <c r="B16" s="272">
        <v>1450523.3</v>
      </c>
      <c r="C16" s="272">
        <v>1450523.3</v>
      </c>
      <c r="D16" s="270"/>
      <c r="E16" s="270"/>
      <c r="F16" s="268">
        <f t="shared" si="0"/>
        <v>0</v>
      </c>
    </row>
    <row r="17" spans="1:9" ht="18" customHeight="1">
      <c r="A17" s="269" t="s">
        <v>77</v>
      </c>
      <c r="B17" s="272">
        <v>19212.23</v>
      </c>
      <c r="C17" s="272">
        <v>19212.23</v>
      </c>
      <c r="D17" s="270"/>
      <c r="E17" s="270"/>
      <c r="F17" s="268">
        <f t="shared" si="0"/>
        <v>0</v>
      </c>
    </row>
    <row r="18" spans="1:9" ht="18" customHeight="1">
      <c r="A18" s="269" t="s">
        <v>78</v>
      </c>
      <c r="B18" s="272">
        <v>1010563.25</v>
      </c>
      <c r="C18" s="272">
        <v>1010563.25</v>
      </c>
      <c r="D18" s="270"/>
      <c r="E18" s="270"/>
      <c r="F18" s="268">
        <f t="shared" si="0"/>
        <v>0</v>
      </c>
    </row>
    <row r="19" spans="1:9" ht="18" customHeight="1">
      <c r="A19" s="269" t="s">
        <v>126</v>
      </c>
      <c r="B19" s="272">
        <v>12518688.5</v>
      </c>
      <c r="C19" s="288">
        <f>9924992.5+49074+436843</f>
        <v>10410909.5</v>
      </c>
      <c r="D19" s="288">
        <f>550001+1866000+177695+45765+45560-49074-436843</f>
        <v>2199104</v>
      </c>
      <c r="E19" s="270">
        <v>0</v>
      </c>
      <c r="F19" s="268">
        <f t="shared" si="0"/>
        <v>-91325</v>
      </c>
      <c r="H19" s="289">
        <v>-46318</v>
      </c>
      <c r="I19" s="289">
        <v>46318</v>
      </c>
    </row>
    <row r="20" spans="1:9" ht="18" customHeight="1">
      <c r="A20" s="269" t="s">
        <v>127</v>
      </c>
      <c r="B20" s="272">
        <v>18914439.57</v>
      </c>
      <c r="C20" s="270">
        <f>1260962.64+1260962.64+1260962.64+1260962.64+1260962.64+1260962.63+2058765</f>
        <v>9624540.8299999982</v>
      </c>
      <c r="D20" s="270">
        <f>918527+670454+414056+1527263+252587+1-2058765</f>
        <v>1724123</v>
      </c>
      <c r="E20" s="270">
        <f>7565775.83-1260962.64-1260962.64-1260962.64-1260962.64-1260962.64-1260962.63</f>
        <v>0</v>
      </c>
      <c r="F20" s="268">
        <f t="shared" si="0"/>
        <v>7565775.7400000021</v>
      </c>
    </row>
    <row r="21" spans="1:9" ht="18" customHeight="1">
      <c r="A21" s="269" t="s">
        <v>81</v>
      </c>
      <c r="B21" s="272">
        <v>1043224.04</v>
      </c>
      <c r="C21" s="270">
        <v>1501378.14</v>
      </c>
      <c r="D21" s="270"/>
      <c r="E21" s="270"/>
      <c r="F21" s="268">
        <f t="shared" si="0"/>
        <v>-458154.09999999986</v>
      </c>
    </row>
    <row r="22" spans="1:9" ht="18" customHeight="1">
      <c r="A22" s="269" t="s">
        <v>83</v>
      </c>
      <c r="B22" s="272">
        <v>232467.97</v>
      </c>
      <c r="C22" s="272">
        <v>232467.97</v>
      </c>
      <c r="D22" s="270"/>
      <c r="E22" s="270"/>
      <c r="F22" s="268">
        <f t="shared" si="0"/>
        <v>0</v>
      </c>
    </row>
    <row r="23" spans="1:9" ht="18" customHeight="1">
      <c r="A23" s="269" t="s">
        <v>84</v>
      </c>
      <c r="B23" s="272">
        <v>63400.36</v>
      </c>
      <c r="C23" s="272">
        <v>63400.36</v>
      </c>
      <c r="D23" s="270"/>
      <c r="E23" s="270"/>
      <c r="F23" s="268">
        <f t="shared" si="0"/>
        <v>0</v>
      </c>
    </row>
    <row r="24" spans="1:9" ht="18" customHeight="1">
      <c r="A24" s="269" t="s">
        <v>128</v>
      </c>
      <c r="B24" s="272">
        <v>570603.19999999995</v>
      </c>
      <c r="C24" s="270">
        <v>570603.19999999995</v>
      </c>
      <c r="D24" s="270"/>
      <c r="E24" s="270"/>
      <c r="F24" s="268">
        <f t="shared" si="0"/>
        <v>0</v>
      </c>
    </row>
    <row r="25" spans="1:9" ht="18" customHeight="1">
      <c r="A25" s="269" t="s">
        <v>86</v>
      </c>
      <c r="B25" s="272">
        <v>803071.18</v>
      </c>
      <c r="C25" s="270"/>
      <c r="D25" s="270"/>
      <c r="E25" s="270"/>
      <c r="F25" s="268">
        <f t="shared" si="0"/>
        <v>803071.18</v>
      </c>
    </row>
    <row r="26" spans="1:9" ht="18" customHeight="1">
      <c r="A26" s="269" t="s">
        <v>87</v>
      </c>
      <c r="B26" s="272">
        <v>9805921.7400000002</v>
      </c>
      <c r="C26" s="270">
        <f>7844737.39+1413553.83</f>
        <v>9258291.2199999988</v>
      </c>
      <c r="D26" s="270">
        <v>547630.52</v>
      </c>
      <c r="E26" s="270"/>
      <c r="F26" s="268">
        <f t="shared" si="0"/>
        <v>1.3969838619232178E-9</v>
      </c>
    </row>
    <row r="27" spans="1:9" ht="18" customHeight="1">
      <c r="A27" s="269" t="s">
        <v>129</v>
      </c>
      <c r="B27" s="272">
        <v>34760000</v>
      </c>
      <c r="C27" s="270">
        <f>34760000-2818307-3559500-791000+1654765</f>
        <v>29245958</v>
      </c>
      <c r="D27" s="270">
        <f>2818307+3559500+791000-1654765</f>
        <v>5514042</v>
      </c>
      <c r="E27" s="270"/>
      <c r="F27" s="268">
        <f t="shared" si="0"/>
        <v>0</v>
      </c>
    </row>
    <row r="28" spans="1:9">
      <c r="A28" s="25" t="s">
        <v>89</v>
      </c>
      <c r="B28" s="119">
        <v>0</v>
      </c>
      <c r="C28" s="45">
        <v>0</v>
      </c>
      <c r="D28" s="99"/>
      <c r="E28" s="99"/>
      <c r="F28" s="268">
        <f t="shared" si="0"/>
        <v>0</v>
      </c>
      <c r="H28" s="52"/>
      <c r="I28" s="52"/>
    </row>
    <row r="29" spans="1:9" ht="18" customHeight="1">
      <c r="A29" s="269" t="s">
        <v>91</v>
      </c>
      <c r="B29" s="272">
        <v>19212.23</v>
      </c>
      <c r="C29" s="270">
        <v>19212</v>
      </c>
      <c r="D29" s="270"/>
      <c r="E29" s="270"/>
      <c r="F29" s="268">
        <f t="shared" si="0"/>
        <v>0.22999999999956344</v>
      </c>
    </row>
    <row r="30" spans="1:9" ht="18" customHeight="1">
      <c r="A30" s="269" t="s">
        <v>92</v>
      </c>
      <c r="B30" s="272">
        <v>11527.34</v>
      </c>
      <c r="C30" s="272">
        <v>11527.34</v>
      </c>
      <c r="D30" s="270"/>
      <c r="E30" s="270"/>
      <c r="F30" s="268">
        <f t="shared" si="0"/>
        <v>0</v>
      </c>
    </row>
    <row r="31" spans="1:9" ht="18" customHeight="1">
      <c r="A31" s="269" t="s">
        <v>93</v>
      </c>
      <c r="B31" s="272">
        <v>32660.79</v>
      </c>
      <c r="C31" s="270"/>
      <c r="D31" s="270"/>
      <c r="E31" s="270"/>
      <c r="F31" s="268">
        <f t="shared" si="0"/>
        <v>32660.79</v>
      </c>
    </row>
    <row r="32" spans="1:9" ht="18" customHeight="1">
      <c r="A32" s="269" t="s">
        <v>94</v>
      </c>
      <c r="B32" s="272">
        <v>153697.82999999999</v>
      </c>
      <c r="C32" s="272">
        <v>153697.82999999999</v>
      </c>
      <c r="D32" s="270"/>
      <c r="E32" s="270"/>
      <c r="F32" s="268">
        <f t="shared" si="0"/>
        <v>0</v>
      </c>
    </row>
    <row r="33" spans="1:6" ht="18" customHeight="1">
      <c r="A33" s="269" t="s">
        <v>96</v>
      </c>
      <c r="B33" s="272">
        <v>7684.89</v>
      </c>
      <c r="C33" s="272">
        <v>7684.89</v>
      </c>
      <c r="D33" s="270"/>
      <c r="E33" s="270"/>
      <c r="F33" s="268">
        <f t="shared" si="0"/>
        <v>0</v>
      </c>
    </row>
    <row r="34" spans="1:6" ht="18" customHeight="1">
      <c r="A34" s="269" t="s">
        <v>97</v>
      </c>
      <c r="B34" s="272">
        <v>3364061.32</v>
      </c>
      <c r="C34" s="272">
        <v>3364061.32</v>
      </c>
      <c r="D34" s="270"/>
      <c r="E34" s="270">
        <f>3364061.32-3364061.32</f>
        <v>0</v>
      </c>
      <c r="F34" s="268">
        <f t="shared" si="0"/>
        <v>0</v>
      </c>
    </row>
    <row r="35" spans="1:6" ht="18" customHeight="1">
      <c r="A35" s="269" t="s">
        <v>98</v>
      </c>
      <c r="B35" s="272">
        <v>466857.17</v>
      </c>
      <c r="C35" s="272">
        <v>466857.17</v>
      </c>
      <c r="D35" s="270"/>
      <c r="E35" s="270"/>
      <c r="F35" s="268">
        <f t="shared" si="0"/>
        <v>0</v>
      </c>
    </row>
    <row r="36" spans="1:6" ht="18" customHeight="1">
      <c r="A36" s="269" t="s">
        <v>99</v>
      </c>
      <c r="B36" s="272">
        <v>1252637.3400000001</v>
      </c>
      <c r="C36" s="270">
        <v>1252637.3400000001</v>
      </c>
      <c r="D36" s="270"/>
      <c r="E36" s="270"/>
      <c r="F36" s="268">
        <f t="shared" si="0"/>
        <v>0</v>
      </c>
    </row>
    <row r="37" spans="1:6" ht="18" customHeight="1">
      <c r="A37" s="269" t="s">
        <v>101</v>
      </c>
      <c r="B37" s="272">
        <v>612870.11</v>
      </c>
      <c r="C37" s="272">
        <v>612870.11</v>
      </c>
      <c r="D37" s="270"/>
      <c r="E37" s="270"/>
      <c r="F37" s="268">
        <f t="shared" si="0"/>
        <v>0</v>
      </c>
    </row>
    <row r="38" spans="1:6" ht="18" customHeight="1">
      <c r="A38" s="269" t="s">
        <v>102</v>
      </c>
      <c r="B38" s="272">
        <v>895289.88</v>
      </c>
      <c r="C38" s="272">
        <f>793589.88+53765+192</f>
        <v>847546.88</v>
      </c>
      <c r="D38" s="270">
        <f>101700-53765-192</f>
        <v>47743</v>
      </c>
      <c r="E38" s="270"/>
      <c r="F38" s="268">
        <f t="shared" si="0"/>
        <v>0</v>
      </c>
    </row>
    <row r="39" spans="1:6" ht="18" customHeight="1">
      <c r="A39" s="269" t="s">
        <v>104</v>
      </c>
      <c r="B39" s="272">
        <v>2305467.4900000002</v>
      </c>
      <c r="C39" s="270"/>
      <c r="D39" s="270"/>
      <c r="E39" s="270"/>
      <c r="F39" s="268">
        <f t="shared" si="0"/>
        <v>2305467.4900000002</v>
      </c>
    </row>
    <row r="40" spans="1:6" ht="18" customHeight="1">
      <c r="A40" s="273" t="s">
        <v>107</v>
      </c>
      <c r="B40" s="272">
        <v>82612.59</v>
      </c>
      <c r="C40" s="272">
        <v>82612.59</v>
      </c>
      <c r="D40" s="270"/>
      <c r="E40" s="270"/>
      <c r="F40" s="268">
        <f t="shared" si="0"/>
        <v>0</v>
      </c>
    </row>
    <row r="41" spans="1:6" ht="18" customHeight="1">
      <c r="A41" s="269" t="s">
        <v>108</v>
      </c>
      <c r="B41" s="272">
        <v>155619.06</v>
      </c>
      <c r="C41" s="270">
        <v>155619.06</v>
      </c>
      <c r="D41" s="270"/>
      <c r="E41" s="270"/>
      <c r="F41" s="268">
        <f t="shared" si="0"/>
        <v>0</v>
      </c>
    </row>
    <row r="42" spans="1:6" ht="18" customHeight="1">
      <c r="A42" s="269" t="s">
        <v>110</v>
      </c>
      <c r="B42" s="272">
        <v>4877984.97</v>
      </c>
      <c r="C42" s="270">
        <f>4082143.97+240</f>
        <v>4082383.97</v>
      </c>
      <c r="D42" s="270">
        <f>655841+135600-240</f>
        <v>791201</v>
      </c>
      <c r="E42" s="270"/>
      <c r="F42" s="268">
        <f t="shared" si="0"/>
        <v>4399.9999999995343</v>
      </c>
    </row>
    <row r="43" spans="1:6" ht="18" customHeight="1">
      <c r="A43" s="269" t="s">
        <v>130</v>
      </c>
      <c r="B43" s="272">
        <v>1988465.71</v>
      </c>
      <c r="C43" s="270">
        <f>1590773+200000+6437+250860+94037</f>
        <v>2142107</v>
      </c>
      <c r="D43" s="270">
        <f>135035+23113+185320-250860-94037+1429</f>
        <v>0</v>
      </c>
      <c r="E43" s="270"/>
      <c r="F43" s="268">
        <f t="shared" si="0"/>
        <v>-153641.29000000004</v>
      </c>
    </row>
    <row r="44" spans="1:6" ht="18" customHeight="1">
      <c r="A44" s="269" t="s">
        <v>112</v>
      </c>
      <c r="B44" s="272">
        <v>2447637.9900000002</v>
      </c>
      <c r="C44" s="270">
        <f>305349+2142289</f>
        <v>2447638</v>
      </c>
      <c r="D44" s="270">
        <v>290015</v>
      </c>
      <c r="E44" s="270"/>
      <c r="F44" s="268">
        <f t="shared" si="0"/>
        <v>-290015.00999999978</v>
      </c>
    </row>
    <row r="45" spans="1:6" ht="18" customHeight="1">
      <c r="A45" s="269" t="s">
        <v>113</v>
      </c>
      <c r="B45" s="272">
        <v>1921.22</v>
      </c>
      <c r="C45" s="270"/>
      <c r="D45" s="270"/>
      <c r="E45" s="270"/>
      <c r="F45" s="268">
        <f t="shared" si="0"/>
        <v>1921.22</v>
      </c>
    </row>
    <row r="46" spans="1:6" ht="18" customHeight="1">
      <c r="A46" s="269" t="s">
        <v>181</v>
      </c>
      <c r="B46" s="272">
        <v>5763.67</v>
      </c>
      <c r="C46" s="272"/>
      <c r="D46" s="270"/>
      <c r="E46" s="270"/>
      <c r="F46" s="268">
        <f t="shared" si="0"/>
        <v>5763.67</v>
      </c>
    </row>
    <row r="47" spans="1:6" ht="18" customHeight="1">
      <c r="A47" s="269" t="s">
        <v>115</v>
      </c>
      <c r="B47" s="272">
        <v>101824.81</v>
      </c>
      <c r="C47" s="270"/>
      <c r="D47" s="270"/>
      <c r="E47" s="270"/>
      <c r="F47" s="268">
        <f t="shared" si="0"/>
        <v>101824.81</v>
      </c>
    </row>
    <row r="48" spans="1:6" ht="18" customHeight="1">
      <c r="A48" s="269" t="s">
        <v>117</v>
      </c>
      <c r="B48" s="272">
        <v>10718502.630000001</v>
      </c>
      <c r="C48" s="272">
        <v>10718502.630000001</v>
      </c>
      <c r="D48" s="270"/>
      <c r="E48" s="272"/>
      <c r="F48" s="268">
        <f t="shared" si="0"/>
        <v>0</v>
      </c>
    </row>
    <row r="49" spans="1:6" ht="18" customHeight="1">
      <c r="A49" s="269" t="s">
        <v>118</v>
      </c>
      <c r="B49" s="272">
        <v>34760000</v>
      </c>
      <c r="C49" s="270">
        <f>18000000-357038+4000000+427038+2500000+2500000+2315000</f>
        <v>29385000</v>
      </c>
      <c r="D49" s="270">
        <v>5375000</v>
      </c>
      <c r="E49" s="270">
        <f>7315000-2500000-2500000-2315000</f>
        <v>0</v>
      </c>
      <c r="F49" s="268">
        <f t="shared" si="0"/>
        <v>0</v>
      </c>
    </row>
    <row r="50" spans="1:6" ht="18" customHeight="1" thickBot="1">
      <c r="A50" s="274" t="s">
        <v>119</v>
      </c>
      <c r="B50" s="272">
        <v>21133.45</v>
      </c>
      <c r="C50" s="275"/>
      <c r="D50" s="276"/>
      <c r="E50" s="277"/>
      <c r="F50" s="268">
        <f t="shared" si="0"/>
        <v>21133.45</v>
      </c>
    </row>
    <row r="51" spans="1:6" ht="18" customHeight="1" thickBot="1">
      <c r="A51" s="278" t="s">
        <v>122</v>
      </c>
      <c r="B51" s="279">
        <f>SUM(B8:B50)</f>
        <v>158000000.0016489</v>
      </c>
      <c r="C51" s="280">
        <f>SUM(C8:C50)</f>
        <v>131443544.19999999</v>
      </c>
      <c r="D51" s="281">
        <f>SUM(D8:D50)</f>
        <v>16663384.620000001</v>
      </c>
      <c r="E51" s="282">
        <f>SUM(E8:E50)</f>
        <v>0</v>
      </c>
      <c r="F51" s="282">
        <f>SUM(F8:F50)</f>
        <v>9893071.1816489398</v>
      </c>
    </row>
    <row r="52" spans="1:6">
      <c r="A52" s="150"/>
      <c r="B52" s="50"/>
      <c r="C52" s="50"/>
      <c r="D52" s="50"/>
      <c r="E52" s="50"/>
      <c r="F52" s="50"/>
    </row>
    <row r="53" spans="1:6">
      <c r="A53" s="150"/>
      <c r="B53" s="50"/>
      <c r="C53" s="50"/>
      <c r="D53" s="50"/>
      <c r="E53" s="50"/>
      <c r="F53" s="50"/>
    </row>
    <row r="54" spans="1:6">
      <c r="A54" s="150"/>
      <c r="B54" s="50"/>
      <c r="C54" s="50"/>
      <c r="D54" s="50"/>
      <c r="E54" s="50"/>
      <c r="F54" s="50"/>
    </row>
    <row r="55" spans="1:6">
      <c r="A55" s="56"/>
      <c r="B55" s="56"/>
      <c r="C55" s="56"/>
      <c r="D55" s="56"/>
      <c r="E55" s="56"/>
      <c r="F55" s="56"/>
    </row>
    <row r="56" spans="1:6" ht="15" thickBot="1">
      <c r="A56" s="50"/>
      <c r="B56" s="50"/>
      <c r="C56" s="50"/>
      <c r="D56" s="50"/>
      <c r="E56" s="50"/>
      <c r="F56" s="50"/>
    </row>
    <row r="57" spans="1:6" ht="15" thickBot="1">
      <c r="A57" s="42" t="s">
        <v>133</v>
      </c>
      <c r="B57" s="112">
        <f>B10+B11+B13+B15+B17+B22+B29+B31+B37+B39+B40+B41+B45+B46+B47+B50</f>
        <v>3990379.9916489343</v>
      </c>
      <c r="C57" s="112">
        <f>C10+C11+C13+C15+C17+C22+C29+C31+C37+C39+C40+C41+C45+C46+C47+C50</f>
        <v>1477420.2000000002</v>
      </c>
      <c r="D57" s="112">
        <f>D10+D11+D13+D15+D17+D22+D29+D31+D37+D39+D40+D41+D45+D46+D47+D50</f>
        <v>0</v>
      </c>
      <c r="E57" s="112">
        <f>E10+E11+E13+E15+E17+E22+E29+E31+E37+E39+E40+E41+E45+E46+E47+E50</f>
        <v>0</v>
      </c>
      <c r="F57" s="113">
        <f>B57-C57-D57-E57</f>
        <v>2512959.7916489341</v>
      </c>
    </row>
    <row r="58" spans="1:6">
      <c r="A58" s="56"/>
      <c r="B58" s="56"/>
      <c r="C58" s="56"/>
      <c r="D58" s="56"/>
      <c r="E58" s="56"/>
      <c r="F58" s="56"/>
    </row>
    <row r="59" spans="1:6">
      <c r="A59" s="283"/>
      <c r="B59" s="56"/>
      <c r="C59" s="56"/>
      <c r="D59" s="56"/>
      <c r="E59" s="56"/>
      <c r="F59" s="56"/>
    </row>
    <row r="60" spans="1:6">
      <c r="A60" s="56"/>
      <c r="B60" s="56"/>
      <c r="C60" s="56"/>
      <c r="D60" s="56"/>
      <c r="E60" s="56"/>
      <c r="F60" s="56"/>
    </row>
    <row r="61" spans="1:6">
      <c r="A61" s="56"/>
      <c r="B61" s="56"/>
      <c r="C61" s="56"/>
      <c r="D61" s="56"/>
      <c r="E61" s="56"/>
      <c r="F61" s="56"/>
    </row>
    <row r="62" spans="1:6">
      <c r="A62" s="56"/>
      <c r="B62" s="56"/>
      <c r="C62" s="56"/>
      <c r="D62" s="56"/>
      <c r="E62" s="56"/>
      <c r="F62" s="56"/>
    </row>
    <row r="63" spans="1:6">
      <c r="A63" s="56"/>
      <c r="B63" s="56"/>
      <c r="C63" s="56"/>
      <c r="D63" s="56"/>
      <c r="E63" s="56"/>
      <c r="F63" s="56"/>
    </row>
  </sheetData>
  <mergeCells count="3">
    <mergeCell ref="A4:F4"/>
    <mergeCell ref="A5:F5"/>
    <mergeCell ref="A6:F6"/>
  </mergeCell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0D83-32BE-4493-A6F0-BF9742454B76}">
  <dimension ref="A1:I59"/>
  <sheetViews>
    <sheetView topLeftCell="A19" workbookViewId="0">
      <selection activeCell="L68" sqref="L68"/>
    </sheetView>
  </sheetViews>
  <sheetFormatPr defaultColWidth="9.7265625" defaultRowHeight="13"/>
  <cols>
    <col min="1" max="1" width="22.7265625" style="56" customWidth="1"/>
    <col min="2" max="2" width="16.7265625" style="56" customWidth="1"/>
    <col min="3" max="3" width="18.26953125" style="56" customWidth="1"/>
    <col min="4" max="4" width="15.26953125" style="56" customWidth="1"/>
    <col min="5" max="5" width="16.26953125" style="56" customWidth="1"/>
    <col min="6" max="6" width="18.54296875" style="56" customWidth="1"/>
    <col min="7" max="7" width="3" style="56" customWidth="1"/>
    <col min="8" max="16384" width="9.7265625" style="56"/>
  </cols>
  <sheetData>
    <row r="1" spans="1:7">
      <c r="B1" s="290"/>
      <c r="F1" s="291" t="str">
        <f>[1]Status!C1</f>
        <v>UNEP/OzL.Pro/ExCom/94/3</v>
      </c>
    </row>
    <row r="2" spans="1:7">
      <c r="B2" s="292"/>
      <c r="F2" s="291" t="s">
        <v>236</v>
      </c>
    </row>
    <row r="3" spans="1:7">
      <c r="B3" s="292"/>
      <c r="F3" s="291"/>
    </row>
    <row r="4" spans="1:7">
      <c r="A4" s="818" t="s">
        <v>2</v>
      </c>
      <c r="B4" s="818"/>
      <c r="C4" s="818"/>
      <c r="D4" s="818"/>
      <c r="E4" s="818"/>
      <c r="F4" s="818"/>
    </row>
    <row r="5" spans="1:7">
      <c r="A5" s="819" t="s">
        <v>185</v>
      </c>
      <c r="B5" s="819"/>
      <c r="C5" s="819"/>
      <c r="D5" s="819"/>
      <c r="E5" s="819"/>
      <c r="F5" s="819"/>
    </row>
    <row r="6" spans="1:7" ht="13.5" thickBot="1">
      <c r="A6" s="820" t="str">
        <f>[1]Status!A6</f>
        <v>As at 24/05/2024</v>
      </c>
      <c r="B6" s="820"/>
      <c r="C6" s="820"/>
      <c r="D6" s="820"/>
      <c r="E6" s="820"/>
      <c r="F6" s="820"/>
    </row>
    <row r="7" spans="1:7" ht="39.5" thickBot="1">
      <c r="A7" s="262" t="s">
        <v>59</v>
      </c>
      <c r="B7" s="263" t="s">
        <v>60</v>
      </c>
      <c r="C7" s="263" t="s">
        <v>61</v>
      </c>
      <c r="D7" s="263" t="s">
        <v>62</v>
      </c>
      <c r="E7" s="263" t="s">
        <v>63</v>
      </c>
      <c r="F7" s="264" t="s">
        <v>64</v>
      </c>
      <c r="G7" s="293"/>
    </row>
    <row r="8" spans="1:7" ht="18" customHeight="1">
      <c r="A8" s="265" t="s">
        <v>124</v>
      </c>
      <c r="B8" s="266">
        <v>3150805.58</v>
      </c>
      <c r="C8" s="267">
        <f>3058937+91869</f>
        <v>3150806</v>
      </c>
      <c r="D8" s="267"/>
      <c r="E8" s="267"/>
      <c r="F8" s="268">
        <f t="shared" ref="F8:F50" si="0">B8-C8-D8-E8</f>
        <v>-0.41999999992549419</v>
      </c>
      <c r="G8" s="294"/>
    </row>
    <row r="9" spans="1:7" ht="18" customHeight="1">
      <c r="A9" s="269" t="s">
        <v>67</v>
      </c>
      <c r="B9" s="272">
        <v>1832846.66</v>
      </c>
      <c r="C9" s="270">
        <v>1832846.66</v>
      </c>
      <c r="D9" s="270"/>
      <c r="E9" s="270"/>
      <c r="F9" s="268">
        <f t="shared" si="0"/>
        <v>0</v>
      </c>
      <c r="G9" s="294"/>
    </row>
    <row r="10" spans="1:7" ht="18" customHeight="1">
      <c r="A10" s="271" t="s">
        <v>68</v>
      </c>
      <c r="B10" s="272">
        <v>7684.8916489338599</v>
      </c>
      <c r="C10" s="270">
        <v>0</v>
      </c>
      <c r="D10" s="270"/>
      <c r="E10" s="270"/>
      <c r="F10" s="268">
        <f t="shared" si="0"/>
        <v>7684.8916489338599</v>
      </c>
      <c r="G10" s="294"/>
    </row>
    <row r="11" spans="1:7" ht="18" customHeight="1">
      <c r="A11" s="269" t="s">
        <v>69</v>
      </c>
      <c r="B11" s="272">
        <v>36503.24</v>
      </c>
      <c r="C11" s="270">
        <v>0</v>
      </c>
      <c r="D11" s="270"/>
      <c r="E11" s="270"/>
      <c r="F11" s="268">
        <f t="shared" si="0"/>
        <v>36503.24</v>
      </c>
      <c r="G11" s="294"/>
    </row>
    <row r="12" spans="1:7" ht="18" customHeight="1">
      <c r="A12" s="269" t="s">
        <v>70</v>
      </c>
      <c r="B12" s="272">
        <v>2186351.67</v>
      </c>
      <c r="C12" s="270">
        <v>2186351.67</v>
      </c>
      <c r="D12" s="270"/>
      <c r="E12" s="270"/>
      <c r="F12" s="268">
        <f t="shared" si="0"/>
        <v>0</v>
      </c>
      <c r="G12" s="294"/>
    </row>
    <row r="13" spans="1:7" ht="18" customHeight="1">
      <c r="A13" s="269" t="s">
        <v>71</v>
      </c>
      <c r="B13" s="272">
        <v>24975.9</v>
      </c>
      <c r="C13" s="270">
        <v>24975.9</v>
      </c>
      <c r="D13" s="270"/>
      <c r="E13" s="270"/>
      <c r="F13" s="268">
        <f t="shared" si="0"/>
        <v>0</v>
      </c>
      <c r="G13" s="294"/>
    </row>
    <row r="14" spans="1:7" ht="18" customHeight="1">
      <c r="A14" s="269" t="s">
        <v>125</v>
      </c>
      <c r="B14" s="272">
        <v>4954833.8899999997</v>
      </c>
      <c r="C14" s="270">
        <f>499078-61354+3963867+265918</f>
        <v>4667509</v>
      </c>
      <c r="D14" s="270">
        <f>214700+468125-395500</f>
        <v>287325</v>
      </c>
      <c r="E14" s="270">
        <f>3963867-3963867</f>
        <v>0</v>
      </c>
      <c r="F14" s="268">
        <f t="shared" si="0"/>
        <v>-0.11000000033527613</v>
      </c>
      <c r="G14" s="294"/>
    </row>
    <row r="15" spans="1:7" ht="18" customHeight="1">
      <c r="A15" s="269" t="s">
        <v>75</v>
      </c>
      <c r="B15" s="272">
        <v>330450.34000000003</v>
      </c>
      <c r="C15" s="270">
        <f>330450+330450-330450</f>
        <v>330450</v>
      </c>
      <c r="D15" s="270"/>
      <c r="E15" s="270"/>
      <c r="F15" s="268">
        <f t="shared" si="0"/>
        <v>0.34000000002561137</v>
      </c>
      <c r="G15" s="294"/>
    </row>
    <row r="16" spans="1:7" ht="18" customHeight="1">
      <c r="A16" s="269" t="s">
        <v>76</v>
      </c>
      <c r="B16" s="272">
        <v>1450523.3</v>
      </c>
      <c r="C16" s="272">
        <v>1450523.3</v>
      </c>
      <c r="D16" s="270"/>
      <c r="E16" s="270"/>
      <c r="F16" s="268">
        <f t="shared" si="0"/>
        <v>0</v>
      </c>
      <c r="G16" s="294"/>
    </row>
    <row r="17" spans="1:9" ht="18" customHeight="1">
      <c r="A17" s="269" t="s">
        <v>77</v>
      </c>
      <c r="B17" s="272">
        <v>19212.23</v>
      </c>
      <c r="C17" s="270">
        <v>19212</v>
      </c>
      <c r="D17" s="270"/>
      <c r="E17" s="270"/>
      <c r="F17" s="268">
        <f t="shared" si="0"/>
        <v>0.22999999999956344</v>
      </c>
      <c r="G17" s="294"/>
    </row>
    <row r="18" spans="1:9" ht="18" customHeight="1">
      <c r="A18" s="269" t="s">
        <v>78</v>
      </c>
      <c r="B18" s="272">
        <v>1010563.25</v>
      </c>
      <c r="C18" s="270">
        <v>1010563</v>
      </c>
      <c r="D18" s="270"/>
      <c r="E18" s="270"/>
      <c r="F18" s="268">
        <f t="shared" si="0"/>
        <v>0.25</v>
      </c>
      <c r="G18" s="294"/>
    </row>
    <row r="19" spans="1:9" ht="18" customHeight="1">
      <c r="A19" s="269" t="s">
        <v>126</v>
      </c>
      <c r="B19" s="272">
        <v>12518688.5</v>
      </c>
      <c r="C19" s="288">
        <f>10216005.5+46318+37643+14137</f>
        <v>10314103.5</v>
      </c>
      <c r="D19" s="288">
        <f>991683+1085000+226000-46318-37643-14137</f>
        <v>2204585</v>
      </c>
      <c r="E19" s="270">
        <v>0</v>
      </c>
      <c r="F19" s="268">
        <f t="shared" si="0"/>
        <v>0</v>
      </c>
      <c r="G19" s="294"/>
    </row>
    <row r="20" spans="1:9" ht="18" customHeight="1">
      <c r="A20" s="269" t="s">
        <v>80</v>
      </c>
      <c r="B20" s="272">
        <v>18914439.57</v>
      </c>
      <c r="C20" s="270">
        <f>6304813.19+6304813.19+3152406.6+3152406.59+1204445</f>
        <v>20118884.57</v>
      </c>
      <c r="D20" s="270">
        <f>1901368+1866181+33984-18645-1204445</f>
        <v>2578443</v>
      </c>
      <c r="E20" s="270">
        <f>18914439.57-6304813.19-6304813.19-3152406.6-3152406.59</f>
        <v>0</v>
      </c>
      <c r="F20" s="268">
        <f t="shared" si="0"/>
        <v>-3782888</v>
      </c>
      <c r="G20" s="294"/>
    </row>
    <row r="21" spans="1:9" ht="18" customHeight="1">
      <c r="A21" s="269" t="s">
        <v>81</v>
      </c>
      <c r="B21" s="272">
        <v>1043224.04</v>
      </c>
      <c r="C21" s="270">
        <v>1172560.25</v>
      </c>
      <c r="D21" s="270"/>
      <c r="E21" s="270"/>
      <c r="F21" s="268">
        <f t="shared" si="0"/>
        <v>-129336.20999999996</v>
      </c>
      <c r="G21" s="294"/>
    </row>
    <row r="22" spans="1:9" ht="18" customHeight="1">
      <c r="A22" s="269" t="s">
        <v>83</v>
      </c>
      <c r="B22" s="272">
        <v>232467.97</v>
      </c>
      <c r="C22" s="272">
        <v>232467.97</v>
      </c>
      <c r="D22" s="270"/>
      <c r="E22" s="270"/>
      <c r="F22" s="268">
        <f t="shared" si="0"/>
        <v>0</v>
      </c>
      <c r="G22" s="294"/>
    </row>
    <row r="23" spans="1:9" ht="18" customHeight="1">
      <c r="A23" s="269" t="s">
        <v>84</v>
      </c>
      <c r="B23" s="272">
        <v>63400.36</v>
      </c>
      <c r="C23" s="272">
        <v>63400.36</v>
      </c>
      <c r="D23" s="270"/>
      <c r="E23" s="270"/>
      <c r="F23" s="268">
        <f t="shared" si="0"/>
        <v>0</v>
      </c>
      <c r="G23" s="294"/>
    </row>
    <row r="24" spans="1:9" ht="18" customHeight="1">
      <c r="A24" s="269" t="s">
        <v>128</v>
      </c>
      <c r="B24" s="272">
        <v>570603.19999999995</v>
      </c>
      <c r="C24" s="270">
        <v>570603.19999999995</v>
      </c>
      <c r="D24" s="270"/>
      <c r="E24" s="270"/>
      <c r="F24" s="268">
        <f t="shared" si="0"/>
        <v>0</v>
      </c>
      <c r="G24" s="294"/>
    </row>
    <row r="25" spans="1:9" ht="18" customHeight="1">
      <c r="A25" s="269" t="s">
        <v>86</v>
      </c>
      <c r="B25" s="272">
        <v>803071.18</v>
      </c>
      <c r="C25" s="270"/>
      <c r="D25" s="270"/>
      <c r="E25" s="270"/>
      <c r="F25" s="268">
        <f t="shared" si="0"/>
        <v>803071.18</v>
      </c>
      <c r="G25" s="294"/>
    </row>
    <row r="26" spans="1:9" ht="18" customHeight="1">
      <c r="A26" s="269" t="s">
        <v>186</v>
      </c>
      <c r="B26" s="272">
        <v>9805921.7400000002</v>
      </c>
      <c r="C26" s="270">
        <v>7844737</v>
      </c>
      <c r="D26" s="270">
        <v>1961184.74</v>
      </c>
      <c r="E26" s="270"/>
      <c r="F26" s="268">
        <f t="shared" si="0"/>
        <v>2.3283064365386963E-10</v>
      </c>
      <c r="G26" s="294"/>
    </row>
    <row r="27" spans="1:9" ht="18" customHeight="1">
      <c r="A27" s="269" t="s">
        <v>129</v>
      </c>
      <c r="B27" s="272">
        <v>34760000</v>
      </c>
      <c r="C27" s="270">
        <v>30098098</v>
      </c>
      <c r="D27" s="270">
        <v>4661902</v>
      </c>
      <c r="E27" s="270"/>
      <c r="F27" s="268">
        <f t="shared" si="0"/>
        <v>0</v>
      </c>
      <c r="G27" s="294"/>
    </row>
    <row r="28" spans="1:9" customFormat="1" ht="14.5">
      <c r="A28" s="25" t="s">
        <v>89</v>
      </c>
      <c r="B28" s="119">
        <v>0</v>
      </c>
      <c r="C28" s="45">
        <v>0</v>
      </c>
      <c r="D28" s="99"/>
      <c r="E28" s="99"/>
      <c r="F28" s="268">
        <f t="shared" si="0"/>
        <v>0</v>
      </c>
      <c r="H28" s="52"/>
      <c r="I28" s="52"/>
    </row>
    <row r="29" spans="1:9" ht="18" customHeight="1">
      <c r="A29" s="269" t="s">
        <v>91</v>
      </c>
      <c r="B29" s="272">
        <v>19212.23</v>
      </c>
      <c r="C29" s="270">
        <v>19212</v>
      </c>
      <c r="D29" s="270"/>
      <c r="E29" s="270"/>
      <c r="F29" s="268">
        <f t="shared" si="0"/>
        <v>0.22999999999956344</v>
      </c>
      <c r="G29" s="294"/>
    </row>
    <row r="30" spans="1:9" ht="18" customHeight="1">
      <c r="A30" s="269" t="s">
        <v>92</v>
      </c>
      <c r="B30" s="272">
        <v>11527.34</v>
      </c>
      <c r="C30" s="272">
        <v>11527.34</v>
      </c>
      <c r="D30" s="270"/>
      <c r="E30" s="270"/>
      <c r="F30" s="268">
        <f t="shared" si="0"/>
        <v>0</v>
      </c>
      <c r="G30" s="294"/>
    </row>
    <row r="31" spans="1:9" ht="18" customHeight="1">
      <c r="A31" s="269" t="s">
        <v>93</v>
      </c>
      <c r="B31" s="272">
        <v>32660.79</v>
      </c>
      <c r="C31" s="272"/>
      <c r="D31" s="270"/>
      <c r="E31" s="270"/>
      <c r="F31" s="268">
        <f t="shared" si="0"/>
        <v>32660.79</v>
      </c>
      <c r="G31" s="294"/>
    </row>
    <row r="32" spans="1:9" ht="18" customHeight="1">
      <c r="A32" s="269" t="s">
        <v>94</v>
      </c>
      <c r="B32" s="272">
        <v>153697.82999999999</v>
      </c>
      <c r="C32" s="272">
        <v>153697.82999999999</v>
      </c>
      <c r="D32" s="270"/>
      <c r="E32" s="270"/>
      <c r="F32" s="268">
        <f t="shared" si="0"/>
        <v>0</v>
      </c>
      <c r="G32" s="294"/>
    </row>
    <row r="33" spans="1:7" ht="18" customHeight="1">
      <c r="A33" s="269" t="s">
        <v>96</v>
      </c>
      <c r="B33" s="272">
        <v>7684.89</v>
      </c>
      <c r="C33" s="272">
        <v>7684.89</v>
      </c>
      <c r="D33" s="270"/>
      <c r="E33" s="270"/>
      <c r="F33" s="268">
        <f t="shared" si="0"/>
        <v>0</v>
      </c>
      <c r="G33" s="294"/>
    </row>
    <row r="34" spans="1:7" ht="18" customHeight="1">
      <c r="A34" s="269" t="s">
        <v>97</v>
      </c>
      <c r="B34" s="272">
        <v>3364061.32</v>
      </c>
      <c r="C34" s="270">
        <v>3364061.32</v>
      </c>
      <c r="D34" s="270"/>
      <c r="E34" s="270">
        <f>6728122.64-3364061.32-3364061.32</f>
        <v>0</v>
      </c>
      <c r="F34" s="268">
        <f t="shared" si="0"/>
        <v>0</v>
      </c>
      <c r="G34" s="294"/>
    </row>
    <row r="35" spans="1:7" ht="18" customHeight="1">
      <c r="A35" s="269" t="s">
        <v>98</v>
      </c>
      <c r="B35" s="272">
        <v>466857.17</v>
      </c>
      <c r="C35" s="272">
        <v>466857.17</v>
      </c>
      <c r="D35" s="270"/>
      <c r="E35" s="270"/>
      <c r="F35" s="268">
        <f t="shared" si="0"/>
        <v>0</v>
      </c>
      <c r="G35" s="294"/>
    </row>
    <row r="36" spans="1:7" ht="18" customHeight="1">
      <c r="A36" s="269" t="s">
        <v>99</v>
      </c>
      <c r="B36" s="272">
        <v>1252637.3400000001</v>
      </c>
      <c r="C36" s="270">
        <v>1252637</v>
      </c>
      <c r="D36" s="270"/>
      <c r="E36" s="270"/>
      <c r="F36" s="268">
        <f t="shared" si="0"/>
        <v>0.34000000008381903</v>
      </c>
      <c r="G36" s="294"/>
    </row>
    <row r="37" spans="1:7" ht="18" customHeight="1">
      <c r="A37" s="269" t="s">
        <v>101</v>
      </c>
      <c r="B37" s="272">
        <v>612870.11</v>
      </c>
      <c r="C37" s="270">
        <v>612870</v>
      </c>
      <c r="D37" s="270"/>
      <c r="E37" s="270"/>
      <c r="F37" s="268">
        <f t="shared" si="0"/>
        <v>0.10999999998603016</v>
      </c>
      <c r="G37" s="294"/>
    </row>
    <row r="38" spans="1:7" ht="18" customHeight="1">
      <c r="A38" s="269" t="s">
        <v>102</v>
      </c>
      <c r="B38" s="272">
        <v>895289.88</v>
      </c>
      <c r="C38" s="270">
        <v>895289.88</v>
      </c>
      <c r="D38" s="270"/>
      <c r="E38" s="270"/>
      <c r="F38" s="268">
        <f t="shared" si="0"/>
        <v>0</v>
      </c>
      <c r="G38" s="294"/>
    </row>
    <row r="39" spans="1:7" ht="18" customHeight="1">
      <c r="A39" s="269" t="s">
        <v>104</v>
      </c>
      <c r="B39" s="272">
        <v>2305467.4900000002</v>
      </c>
      <c r="C39" s="270">
        <v>0</v>
      </c>
      <c r="D39" s="270"/>
      <c r="E39" s="270"/>
      <c r="F39" s="268">
        <f t="shared" si="0"/>
        <v>2305467.4900000002</v>
      </c>
      <c r="G39" s="294"/>
    </row>
    <row r="40" spans="1:7" ht="18" customHeight="1">
      <c r="A40" s="273" t="s">
        <v>107</v>
      </c>
      <c r="B40" s="272">
        <v>82612.59</v>
      </c>
      <c r="C40" s="272">
        <v>82612.59</v>
      </c>
      <c r="D40" s="270"/>
      <c r="E40" s="270"/>
      <c r="F40" s="268">
        <f t="shared" si="0"/>
        <v>0</v>
      </c>
      <c r="G40" s="294"/>
    </row>
    <row r="41" spans="1:7" ht="18" customHeight="1">
      <c r="A41" s="269" t="s">
        <v>108</v>
      </c>
      <c r="B41" s="272">
        <v>155619.06</v>
      </c>
      <c r="C41" s="270">
        <v>155619</v>
      </c>
      <c r="D41" s="270"/>
      <c r="E41" s="270"/>
      <c r="F41" s="268">
        <f t="shared" si="0"/>
        <v>5.9999999997671694E-2</v>
      </c>
      <c r="G41" s="294"/>
    </row>
    <row r="42" spans="1:7" ht="18" customHeight="1">
      <c r="A42" s="269" t="s">
        <v>110</v>
      </c>
      <c r="B42" s="272">
        <v>4877984.97</v>
      </c>
      <c r="C42" s="270">
        <f>3902388+975597-795841+26841</f>
        <v>4108985</v>
      </c>
      <c r="D42" s="270">
        <f>795841-26841</f>
        <v>769000</v>
      </c>
      <c r="E42" s="270"/>
      <c r="F42" s="268">
        <f t="shared" si="0"/>
        <v>-3.0000000260770321E-2</v>
      </c>
      <c r="G42" s="294"/>
    </row>
    <row r="43" spans="1:7" ht="18" customHeight="1">
      <c r="A43" s="269" t="s">
        <v>130</v>
      </c>
      <c r="B43" s="272">
        <v>1988466</v>
      </c>
      <c r="C43" s="270">
        <f>1590767.76+45966</f>
        <v>1636733.76</v>
      </c>
      <c r="D43" s="270">
        <f>26553+234362+42000-45966-1429</f>
        <v>255520</v>
      </c>
      <c r="E43" s="270"/>
      <c r="F43" s="268">
        <f t="shared" si="0"/>
        <v>96212.239999999991</v>
      </c>
      <c r="G43" s="294"/>
    </row>
    <row r="44" spans="1:7" ht="18" customHeight="1">
      <c r="A44" s="269" t="s">
        <v>112</v>
      </c>
      <c r="B44" s="272">
        <v>2447637.9900000002</v>
      </c>
      <c r="C44" s="270">
        <f>364691.18+1718255.63-18888.12-305349</f>
        <v>1758709.6899999997</v>
      </c>
      <c r="D44" s="270">
        <f>398913+290015</f>
        <v>688928</v>
      </c>
      <c r="E44" s="270"/>
      <c r="F44" s="268">
        <f t="shared" si="0"/>
        <v>0.30000000051222742</v>
      </c>
      <c r="G44" s="294"/>
    </row>
    <row r="45" spans="1:7" ht="18" customHeight="1">
      <c r="A45" s="269" t="s">
        <v>113</v>
      </c>
      <c r="B45" s="272">
        <v>1921.22</v>
      </c>
      <c r="C45" s="270">
        <v>0</v>
      </c>
      <c r="D45" s="270"/>
      <c r="E45" s="270"/>
      <c r="F45" s="268">
        <f t="shared" si="0"/>
        <v>1921.22</v>
      </c>
      <c r="G45" s="294"/>
    </row>
    <row r="46" spans="1:7" ht="18" customHeight="1">
      <c r="A46" s="269" t="s">
        <v>181</v>
      </c>
      <c r="B46" s="272">
        <v>5763.67</v>
      </c>
      <c r="C46" s="272">
        <f>5763.67</f>
        <v>5763.67</v>
      </c>
      <c r="D46" s="270"/>
      <c r="E46" s="270"/>
      <c r="F46" s="268">
        <f t="shared" si="0"/>
        <v>0</v>
      </c>
      <c r="G46" s="294"/>
    </row>
    <row r="47" spans="1:7" ht="18" customHeight="1">
      <c r="A47" s="269" t="s">
        <v>115</v>
      </c>
      <c r="B47" s="272">
        <v>101824.81</v>
      </c>
      <c r="C47" s="270">
        <v>0</v>
      </c>
      <c r="D47" s="270"/>
      <c r="E47" s="270"/>
      <c r="F47" s="268">
        <f t="shared" si="0"/>
        <v>101824.81</v>
      </c>
      <c r="G47" s="294"/>
    </row>
    <row r="48" spans="1:7" ht="18" customHeight="1">
      <c r="A48" s="269" t="s">
        <v>117</v>
      </c>
      <c r="B48" s="272">
        <v>10718502.630000001</v>
      </c>
      <c r="C48" s="272">
        <v>10718502.630000001</v>
      </c>
      <c r="D48" s="270"/>
      <c r="E48" s="272">
        <f>10718502.63-1786417.11-5359251.32-3572834.2</f>
        <v>0</v>
      </c>
      <c r="F48" s="268">
        <f t="shared" si="0"/>
        <v>0</v>
      </c>
      <c r="G48" s="294"/>
    </row>
    <row r="49" spans="1:7" ht="18" customHeight="1">
      <c r="A49" s="269" t="s">
        <v>118</v>
      </c>
      <c r="B49" s="272">
        <v>34760000</v>
      </c>
      <c r="C49" s="270">
        <f>1877367+18000000+2000000+1070895+357038+2000000+2000000+2079700</f>
        <v>29385000</v>
      </c>
      <c r="D49" s="270">
        <f>5375000</f>
        <v>5375000</v>
      </c>
      <c r="E49" s="270">
        <f>4920000-2000000+3159700-2000000-2000000-2079700</f>
        <v>0</v>
      </c>
      <c r="F49" s="268">
        <f t="shared" si="0"/>
        <v>0</v>
      </c>
      <c r="G49" s="294"/>
    </row>
    <row r="50" spans="1:7" ht="18" customHeight="1" thickBot="1">
      <c r="A50" s="274" t="s">
        <v>119</v>
      </c>
      <c r="B50" s="272">
        <v>21133.45</v>
      </c>
      <c r="C50" s="275">
        <v>0</v>
      </c>
      <c r="D50" s="276"/>
      <c r="E50" s="277"/>
      <c r="F50" s="268">
        <f t="shared" si="0"/>
        <v>21133.45</v>
      </c>
      <c r="G50" s="294"/>
    </row>
    <row r="51" spans="1:7" ht="18" customHeight="1" thickBot="1">
      <c r="A51" s="278" t="s">
        <v>122</v>
      </c>
      <c r="B51" s="279">
        <f>SUM(B8:B50)</f>
        <v>158000000.29164892</v>
      </c>
      <c r="C51" s="280">
        <f>SUM(C8:C50)</f>
        <v>139723856.14999998</v>
      </c>
      <c r="D51" s="281">
        <f>SUM(D8:D50)</f>
        <v>18781887.740000002</v>
      </c>
      <c r="E51" s="282">
        <f>SUM(E8:E50)</f>
        <v>0</v>
      </c>
      <c r="F51" s="282">
        <f>SUM(F8:F50)</f>
        <v>-505743.59835106501</v>
      </c>
      <c r="G51" s="294"/>
    </row>
    <row r="52" spans="1:7" ht="18" customHeight="1">
      <c r="A52" s="150" t="s">
        <v>187</v>
      </c>
      <c r="B52" s="50"/>
      <c r="C52" s="50"/>
      <c r="D52" s="50"/>
      <c r="E52" s="50"/>
      <c r="F52" s="50"/>
      <c r="G52" s="294"/>
    </row>
    <row r="53" spans="1:7" ht="14.25" customHeight="1">
      <c r="A53" s="150"/>
      <c r="B53" s="50"/>
      <c r="C53" s="50"/>
      <c r="D53" s="50"/>
      <c r="E53" s="50"/>
      <c r="F53" s="50"/>
      <c r="G53" s="294"/>
    </row>
    <row r="54" spans="1:7" ht="14.25" customHeight="1">
      <c r="A54" s="150"/>
      <c r="B54" s="50"/>
      <c r="C54" s="50"/>
      <c r="D54" s="50"/>
      <c r="E54" s="50"/>
      <c r="F54" s="50"/>
      <c r="G54" s="294"/>
    </row>
    <row r="55" spans="1:7" ht="14.25" customHeight="1"/>
    <row r="56" spans="1:7" ht="14.25" customHeight="1" thickBot="1">
      <c r="A56" s="50"/>
      <c r="B56" s="50"/>
      <c r="C56" s="50"/>
      <c r="D56" s="50"/>
      <c r="E56" s="50"/>
      <c r="F56" s="50"/>
      <c r="G56" s="294"/>
    </row>
    <row r="57" spans="1:7" ht="14.25" customHeight="1" thickBot="1">
      <c r="A57" s="42" t="s">
        <v>133</v>
      </c>
      <c r="B57" s="112">
        <f>B10+B11+B13+B15+B17+B22+B29+B31+B37+B39+B40+B41+B45+B46+B47+B50</f>
        <v>3990379.9916489343</v>
      </c>
      <c r="C57" s="112">
        <f>C10+C11+C13+C15+C17+C22+C29+C31+C37+C39+C40+C41+C45+C46+C47+C50</f>
        <v>1483183.1300000001</v>
      </c>
      <c r="D57" s="112">
        <f>D10+D11+D13+D15+D17+D22+D29+D31+D37+D39+D40+D41+D45+D46+D47+D50</f>
        <v>0</v>
      </c>
      <c r="E57" s="112">
        <f>E10+E11+E13+E15+E17+E22+E29+E31+E37+E39+E40+E41+E45+E46+E47+E50</f>
        <v>0</v>
      </c>
      <c r="F57" s="113">
        <f>B57-C57-D57-E57</f>
        <v>2507196.861648934</v>
      </c>
      <c r="G57" s="294"/>
    </row>
    <row r="58" spans="1:7" ht="14.25" customHeight="1">
      <c r="G58" s="294"/>
    </row>
    <row r="59" spans="1:7">
      <c r="A59" s="283"/>
    </row>
  </sheetData>
  <mergeCells count="3">
    <mergeCell ref="A4:F4"/>
    <mergeCell ref="A5:F5"/>
    <mergeCell ref="A6:F6"/>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CC4F-57F6-4F7F-A536-EA72037264A6}">
  <dimension ref="A1:I59"/>
  <sheetViews>
    <sheetView workbookViewId="0">
      <selection activeCell="L68" sqref="L68"/>
    </sheetView>
  </sheetViews>
  <sheetFormatPr defaultColWidth="9.7265625" defaultRowHeight="15.5"/>
  <cols>
    <col min="1" max="1" width="27" style="1" customWidth="1"/>
    <col min="2" max="2" width="18.54296875" style="1" customWidth="1"/>
    <col min="3" max="5" width="17.26953125" style="1" customWidth="1"/>
    <col min="6" max="6" width="17.26953125" style="296" customWidth="1"/>
    <col min="7" max="7" width="3" style="1" customWidth="1"/>
    <col min="8" max="16384" width="9.7265625" style="1"/>
  </cols>
  <sheetData>
    <row r="1" spans="1:7" ht="16.5" customHeight="1">
      <c r="A1" s="1" t="str">
        <f>[1]Status!C1</f>
        <v>UNEP/OzL.Pro/ExCom/94/3</v>
      </c>
      <c r="B1" s="295"/>
    </row>
    <row r="2" spans="1:7" ht="16.5" customHeight="1">
      <c r="A2" s="1" t="s">
        <v>192</v>
      </c>
      <c r="B2" s="7"/>
    </row>
    <row r="3" spans="1:7" ht="16.5" customHeight="1">
      <c r="B3" s="7"/>
      <c r="F3" s="297"/>
    </row>
    <row r="4" spans="1:7" ht="20.25" customHeight="1">
      <c r="A4" s="814" t="s">
        <v>2</v>
      </c>
      <c r="B4" s="814"/>
      <c r="C4" s="814"/>
      <c r="D4" s="814"/>
      <c r="E4" s="814"/>
      <c r="F4" s="814"/>
    </row>
    <row r="5" spans="1:7" ht="20.25" customHeight="1">
      <c r="A5" s="815" t="s">
        <v>189</v>
      </c>
      <c r="B5" s="815"/>
      <c r="C5" s="815"/>
      <c r="D5" s="815"/>
      <c r="E5" s="815"/>
      <c r="F5" s="815"/>
    </row>
    <row r="6" spans="1:7" ht="30" customHeight="1" thickBot="1">
      <c r="A6" s="825" t="str">
        <f>[1]Status!A6</f>
        <v>As at 24/05/2024</v>
      </c>
      <c r="B6" s="825"/>
      <c r="C6" s="825"/>
      <c r="D6" s="825"/>
      <c r="E6" s="825"/>
      <c r="F6" s="825"/>
    </row>
    <row r="7" spans="1:7" ht="35.25" customHeight="1" thickBot="1">
      <c r="A7" s="298" t="s">
        <v>59</v>
      </c>
      <c r="B7" s="299" t="s">
        <v>60</v>
      </c>
      <c r="C7" s="299" t="s">
        <v>61</v>
      </c>
      <c r="D7" s="299" t="s">
        <v>62</v>
      </c>
      <c r="E7" s="299" t="s">
        <v>63</v>
      </c>
      <c r="F7" s="300" t="s">
        <v>64</v>
      </c>
      <c r="G7" s="301"/>
    </row>
    <row r="8" spans="1:7" ht="18" customHeight="1">
      <c r="A8" s="177" t="s">
        <v>124</v>
      </c>
      <c r="B8" s="302">
        <v>3150805.58</v>
      </c>
      <c r="C8" s="303">
        <f>3150806</f>
        <v>3150806</v>
      </c>
      <c r="D8" s="303"/>
      <c r="E8" s="303">
        <v>0</v>
      </c>
      <c r="F8" s="304">
        <f t="shared" ref="F8:F50" si="0">B8-C8-D8-E8</f>
        <v>-0.41999999992549419</v>
      </c>
      <c r="G8" s="305"/>
    </row>
    <row r="9" spans="1:7" ht="18" customHeight="1">
      <c r="A9" s="12" t="s">
        <v>67</v>
      </c>
      <c r="B9" s="306">
        <v>1832846.66</v>
      </c>
      <c r="C9" s="306">
        <v>1832846.66</v>
      </c>
      <c r="D9" s="307">
        <v>0</v>
      </c>
      <c r="E9" s="307">
        <v>0</v>
      </c>
      <c r="F9" s="308">
        <f t="shared" si="0"/>
        <v>0</v>
      </c>
      <c r="G9" s="305"/>
    </row>
    <row r="10" spans="1:7" ht="18" customHeight="1">
      <c r="A10" s="185" t="s">
        <v>68</v>
      </c>
      <c r="B10" s="306">
        <v>7684.8916489338599</v>
      </c>
      <c r="C10" s="307">
        <v>0</v>
      </c>
      <c r="D10" s="307">
        <v>0</v>
      </c>
      <c r="E10" s="307">
        <v>0</v>
      </c>
      <c r="F10" s="308">
        <f t="shared" si="0"/>
        <v>7684.8916489338599</v>
      </c>
      <c r="G10" s="305"/>
    </row>
    <row r="11" spans="1:7" ht="18" customHeight="1">
      <c r="A11" s="12" t="s">
        <v>69</v>
      </c>
      <c r="B11" s="306">
        <v>36503.24</v>
      </c>
      <c r="C11" s="307"/>
      <c r="D11" s="307">
        <v>0</v>
      </c>
      <c r="E11" s="307">
        <v>0</v>
      </c>
      <c r="F11" s="308">
        <f t="shared" si="0"/>
        <v>36503.24</v>
      </c>
      <c r="G11" s="305"/>
    </row>
    <row r="12" spans="1:7" ht="18" customHeight="1">
      <c r="A12" s="12" t="s">
        <v>70</v>
      </c>
      <c r="B12" s="306">
        <v>2186351.67</v>
      </c>
      <c r="C12" s="307">
        <f>2186352</f>
        <v>2186352</v>
      </c>
      <c r="D12" s="307">
        <v>0</v>
      </c>
      <c r="E12" s="307">
        <v>0</v>
      </c>
      <c r="F12" s="308">
        <f t="shared" si="0"/>
        <v>-0.33000000007450581</v>
      </c>
      <c r="G12" s="305"/>
    </row>
    <row r="13" spans="1:7" ht="18" customHeight="1">
      <c r="A13" s="12" t="s">
        <v>71</v>
      </c>
      <c r="B13" s="306">
        <v>24975.9</v>
      </c>
      <c r="C13" s="307">
        <v>24975.9</v>
      </c>
      <c r="D13" s="307">
        <v>0</v>
      </c>
      <c r="E13" s="307">
        <v>0</v>
      </c>
      <c r="F13" s="308">
        <f t="shared" si="0"/>
        <v>0</v>
      </c>
      <c r="G13" s="305"/>
    </row>
    <row r="14" spans="1:7" ht="18" customHeight="1">
      <c r="A14" s="12" t="s">
        <v>125</v>
      </c>
      <c r="B14" s="306">
        <v>4954833.8899999997</v>
      </c>
      <c r="C14" s="307">
        <f>(275881.77-28902.47)+3963867+158374-222845</f>
        <v>4146375.3</v>
      </c>
      <c r="D14" s="307">
        <f>329960+478499</f>
        <v>808459</v>
      </c>
      <c r="E14" s="307">
        <v>0</v>
      </c>
      <c r="F14" s="308">
        <f t="shared" si="0"/>
        <v>-0.41000000014901161</v>
      </c>
      <c r="G14" s="305"/>
    </row>
    <row r="15" spans="1:7" ht="18" customHeight="1">
      <c r="A15" s="12" t="s">
        <v>75</v>
      </c>
      <c r="B15" s="306">
        <v>330450.34000000003</v>
      </c>
      <c r="C15" s="306">
        <f>330450.34-66090</f>
        <v>264360.34000000003</v>
      </c>
      <c r="D15" s="307">
        <v>66090</v>
      </c>
      <c r="E15" s="307">
        <v>0</v>
      </c>
      <c r="F15" s="308">
        <f t="shared" si="0"/>
        <v>0</v>
      </c>
      <c r="G15" s="305"/>
    </row>
    <row r="16" spans="1:7" ht="18" customHeight="1">
      <c r="A16" s="12" t="s">
        <v>76</v>
      </c>
      <c r="B16" s="306">
        <v>1450523.3</v>
      </c>
      <c r="C16" s="307">
        <v>1450523</v>
      </c>
      <c r="D16" s="307">
        <v>0</v>
      </c>
      <c r="E16" s="307">
        <v>0</v>
      </c>
      <c r="F16" s="308">
        <f t="shared" si="0"/>
        <v>0.30000000004656613</v>
      </c>
      <c r="G16" s="305"/>
    </row>
    <row r="17" spans="1:9" ht="18" customHeight="1">
      <c r="A17" s="12" t="s">
        <v>77</v>
      </c>
      <c r="B17" s="306">
        <v>19212.23</v>
      </c>
      <c r="C17" s="307">
        <v>19212</v>
      </c>
      <c r="D17" s="307">
        <v>0</v>
      </c>
      <c r="E17" s="307">
        <v>0</v>
      </c>
      <c r="F17" s="308">
        <f t="shared" si="0"/>
        <v>0.22999999999956344</v>
      </c>
      <c r="G17" s="305"/>
    </row>
    <row r="18" spans="1:9" ht="18" customHeight="1">
      <c r="A18" s="12" t="s">
        <v>78</v>
      </c>
      <c r="B18" s="306">
        <v>1010563.25</v>
      </c>
      <c r="C18" s="306">
        <v>1010563.25</v>
      </c>
      <c r="D18" s="307">
        <v>0</v>
      </c>
      <c r="E18" s="307"/>
      <c r="F18" s="308">
        <f t="shared" si="0"/>
        <v>0</v>
      </c>
      <c r="G18" s="305"/>
    </row>
    <row r="19" spans="1:9" ht="18" customHeight="1">
      <c r="A19" s="12" t="s">
        <v>79</v>
      </c>
      <c r="B19" s="306">
        <v>12518689</v>
      </c>
      <c r="C19" s="307">
        <v>12484064</v>
      </c>
      <c r="D19" s="307">
        <v>0</v>
      </c>
      <c r="E19" s="5">
        <v>0</v>
      </c>
      <c r="F19" s="308">
        <f>B19-C19-D19-E19</f>
        <v>34625</v>
      </c>
      <c r="G19" s="305"/>
    </row>
    <row r="20" spans="1:9" ht="18" customHeight="1">
      <c r="A20" s="12" t="s">
        <v>80</v>
      </c>
      <c r="B20" s="306">
        <v>18914439.57</v>
      </c>
      <c r="C20" s="307">
        <f>3900473+2404340.57+6304813.19+6304813.19-1904825</f>
        <v>17009614.950000003</v>
      </c>
      <c r="D20" s="307">
        <f>2969479+847393-33984+1904825</f>
        <v>5687713</v>
      </c>
      <c r="E20" s="307">
        <f>18914440-3900473-2404340.57-6304813.19-6304813.19</f>
        <v>4.999999888241291E-2</v>
      </c>
      <c r="F20" s="308">
        <f>B20-C20-D20-E20</f>
        <v>-3782888.4300000016</v>
      </c>
      <c r="G20" s="305"/>
    </row>
    <row r="21" spans="1:9" ht="18" customHeight="1">
      <c r="A21" s="12" t="s">
        <v>81</v>
      </c>
      <c r="B21" s="306">
        <v>1043224.04</v>
      </c>
      <c r="C21" s="307">
        <f>567054.44+967797.91</f>
        <v>1534852.35</v>
      </c>
      <c r="D21" s="307">
        <v>0</v>
      </c>
      <c r="E21" s="307">
        <v>0</v>
      </c>
      <c r="F21" s="308">
        <f t="shared" si="0"/>
        <v>-491628.31000000006</v>
      </c>
      <c r="G21" s="305"/>
    </row>
    <row r="22" spans="1:9" ht="18" customHeight="1">
      <c r="A22" s="12" t="s">
        <v>83</v>
      </c>
      <c r="B22" s="306">
        <v>232468</v>
      </c>
      <c r="C22" s="307">
        <f>186000+46468-46494</f>
        <v>185974</v>
      </c>
      <c r="D22" s="307">
        <v>46494</v>
      </c>
      <c r="E22" s="307">
        <v>0</v>
      </c>
      <c r="F22" s="308">
        <f t="shared" si="0"/>
        <v>0</v>
      </c>
      <c r="G22" s="305"/>
    </row>
    <row r="23" spans="1:9" ht="18" customHeight="1">
      <c r="A23" s="12" t="s">
        <v>84</v>
      </c>
      <c r="B23" s="306">
        <v>63400.36</v>
      </c>
      <c r="C23" s="306">
        <v>63400.36</v>
      </c>
      <c r="D23" s="307">
        <v>0</v>
      </c>
      <c r="E23" s="307">
        <v>0</v>
      </c>
      <c r="F23" s="308">
        <f t="shared" si="0"/>
        <v>0</v>
      </c>
      <c r="G23" s="305"/>
    </row>
    <row r="24" spans="1:9" ht="18" customHeight="1">
      <c r="A24" s="12" t="s">
        <v>128</v>
      </c>
      <c r="B24" s="306">
        <v>570603.19999999995</v>
      </c>
      <c r="C24" s="307">
        <v>570603</v>
      </c>
      <c r="D24" s="307">
        <v>0</v>
      </c>
      <c r="E24" s="307">
        <v>0</v>
      </c>
      <c r="F24" s="308">
        <f t="shared" si="0"/>
        <v>0.19999999995343387</v>
      </c>
      <c r="G24" s="305"/>
    </row>
    <row r="25" spans="1:9" ht="18" customHeight="1">
      <c r="A25" s="12" t="s">
        <v>86</v>
      </c>
      <c r="B25" s="306">
        <v>803071.18</v>
      </c>
      <c r="C25" s="307">
        <v>70024</v>
      </c>
      <c r="D25" s="307">
        <v>0</v>
      </c>
      <c r="E25" s="307">
        <v>0</v>
      </c>
      <c r="F25" s="308">
        <f t="shared" si="0"/>
        <v>733047.18</v>
      </c>
      <c r="G25" s="305"/>
    </row>
    <row r="26" spans="1:9" ht="18" customHeight="1">
      <c r="A26" s="12" t="s">
        <v>186</v>
      </c>
      <c r="B26" s="306">
        <v>9805921.7400000002</v>
      </c>
      <c r="C26" s="307">
        <v>7844737</v>
      </c>
      <c r="D26" s="307">
        <v>1961184.74</v>
      </c>
      <c r="E26" s="307">
        <v>0</v>
      </c>
      <c r="F26" s="308">
        <f t="shared" si="0"/>
        <v>2.3283064365386963E-10</v>
      </c>
      <c r="G26" s="305"/>
    </row>
    <row r="27" spans="1:9" ht="18" customHeight="1">
      <c r="A27" s="12" t="s">
        <v>88</v>
      </c>
      <c r="B27" s="306">
        <v>34760000</v>
      </c>
      <c r="C27" s="307">
        <v>34721722</v>
      </c>
      <c r="D27" s="307">
        <v>38278</v>
      </c>
      <c r="E27" s="307">
        <v>0</v>
      </c>
      <c r="F27" s="308">
        <f t="shared" si="0"/>
        <v>0</v>
      </c>
      <c r="G27" s="305"/>
    </row>
    <row r="28" spans="1:9" customFormat="1">
      <c r="A28" s="25" t="s">
        <v>89</v>
      </c>
      <c r="B28" s="119">
        <v>0</v>
      </c>
      <c r="C28" s="45">
        <v>0</v>
      </c>
      <c r="D28" s="99"/>
      <c r="E28" s="99"/>
      <c r="F28" s="308">
        <f t="shared" si="0"/>
        <v>0</v>
      </c>
      <c r="H28" s="52"/>
      <c r="I28" s="52"/>
    </row>
    <row r="29" spans="1:9" ht="18" customHeight="1">
      <c r="A29" s="12" t="s">
        <v>91</v>
      </c>
      <c r="B29" s="306">
        <v>19212.23</v>
      </c>
      <c r="C29" s="306">
        <v>19212.23</v>
      </c>
      <c r="D29" s="307">
        <v>0</v>
      </c>
      <c r="E29" s="307">
        <v>0</v>
      </c>
      <c r="F29" s="308">
        <f t="shared" si="0"/>
        <v>0</v>
      </c>
      <c r="G29" s="305"/>
    </row>
    <row r="30" spans="1:9" ht="18" customHeight="1">
      <c r="A30" s="12" t="s">
        <v>92</v>
      </c>
      <c r="B30" s="306">
        <v>11527.34</v>
      </c>
      <c r="C30" s="307">
        <v>11527</v>
      </c>
      <c r="D30" s="307">
        <v>0</v>
      </c>
      <c r="E30" s="307">
        <v>0</v>
      </c>
      <c r="F30" s="308">
        <f t="shared" si="0"/>
        <v>0.34000000000014552</v>
      </c>
      <c r="G30" s="305"/>
    </row>
    <row r="31" spans="1:9" ht="18" customHeight="1">
      <c r="A31" s="12" t="s">
        <v>93</v>
      </c>
      <c r="B31" s="306">
        <v>32660.79</v>
      </c>
      <c r="C31" s="306"/>
      <c r="D31" s="307">
        <v>0</v>
      </c>
      <c r="E31" s="307">
        <v>0</v>
      </c>
      <c r="F31" s="308">
        <f t="shared" si="0"/>
        <v>32660.79</v>
      </c>
      <c r="G31" s="305"/>
    </row>
    <row r="32" spans="1:9" ht="18" customHeight="1">
      <c r="A32" s="12" t="s">
        <v>94</v>
      </c>
      <c r="B32" s="306">
        <v>153697.82999999999</v>
      </c>
      <c r="C32" s="306">
        <v>153697.82999999999</v>
      </c>
      <c r="D32" s="307">
        <v>0</v>
      </c>
      <c r="E32" s="307">
        <v>0</v>
      </c>
      <c r="F32" s="308">
        <f t="shared" si="0"/>
        <v>0</v>
      </c>
      <c r="G32" s="305"/>
    </row>
    <row r="33" spans="1:7" ht="18" customHeight="1">
      <c r="A33" s="12" t="s">
        <v>96</v>
      </c>
      <c r="B33" s="306">
        <v>7684.89</v>
      </c>
      <c r="C33" s="307">
        <v>7704.89</v>
      </c>
      <c r="D33" s="307">
        <v>0</v>
      </c>
      <c r="E33" s="307">
        <v>0</v>
      </c>
      <c r="F33" s="308">
        <f t="shared" si="0"/>
        <v>-20</v>
      </c>
      <c r="G33" s="305"/>
    </row>
    <row r="34" spans="1:7" ht="18" customHeight="1">
      <c r="A34" s="12" t="s">
        <v>97</v>
      </c>
      <c r="B34" s="306">
        <v>3364061.32</v>
      </c>
      <c r="C34" s="307">
        <v>3364061.32</v>
      </c>
      <c r="D34" s="307">
        <v>0</v>
      </c>
      <c r="E34" s="307">
        <f>10092194-3364061-6728133</f>
        <v>0</v>
      </c>
      <c r="F34" s="308">
        <f t="shared" si="0"/>
        <v>0</v>
      </c>
      <c r="G34" s="305"/>
    </row>
    <row r="35" spans="1:7" ht="18" customHeight="1">
      <c r="A35" s="12" t="s">
        <v>98</v>
      </c>
      <c r="B35" s="306">
        <v>466857.17</v>
      </c>
      <c r="C35" s="306">
        <v>466857.17</v>
      </c>
      <c r="D35" s="307">
        <v>0</v>
      </c>
      <c r="E35" s="307">
        <v>0</v>
      </c>
      <c r="F35" s="308">
        <f t="shared" si="0"/>
        <v>0</v>
      </c>
      <c r="G35" s="305"/>
    </row>
    <row r="36" spans="1:7" ht="18" customHeight="1">
      <c r="A36" s="12" t="s">
        <v>99</v>
      </c>
      <c r="B36" s="306">
        <v>1252637.3400000001</v>
      </c>
      <c r="C36" s="306">
        <v>1252637.3400000001</v>
      </c>
      <c r="D36" s="307">
        <v>0</v>
      </c>
      <c r="E36" s="307">
        <v>0</v>
      </c>
      <c r="F36" s="308">
        <f t="shared" si="0"/>
        <v>0</v>
      </c>
      <c r="G36" s="305"/>
    </row>
    <row r="37" spans="1:7" ht="18" customHeight="1">
      <c r="A37" s="12" t="s">
        <v>101</v>
      </c>
      <c r="B37" s="306">
        <v>612870.11</v>
      </c>
      <c r="C37" s="307">
        <f>150000+462870</f>
        <v>612870</v>
      </c>
      <c r="D37" s="307">
        <v>0</v>
      </c>
      <c r="E37" s="307">
        <v>0</v>
      </c>
      <c r="F37" s="308">
        <f t="shared" si="0"/>
        <v>0.10999999998603016</v>
      </c>
      <c r="G37" s="305"/>
    </row>
    <row r="38" spans="1:7" ht="18" customHeight="1">
      <c r="A38" s="12" t="s">
        <v>102</v>
      </c>
      <c r="B38" s="306">
        <v>895289.88</v>
      </c>
      <c r="C38" s="307">
        <f>58843.5+3272.36+518616.36+314557.66</f>
        <v>895289.87999999989</v>
      </c>
      <c r="D38" s="307">
        <v>0</v>
      </c>
      <c r="E38" s="307">
        <v>0</v>
      </c>
      <c r="F38" s="308">
        <f t="shared" si="0"/>
        <v>1.1641532182693481E-10</v>
      </c>
      <c r="G38" s="305"/>
    </row>
    <row r="39" spans="1:7" ht="18" customHeight="1">
      <c r="A39" s="12" t="s">
        <v>104</v>
      </c>
      <c r="B39" s="306">
        <v>2305467.4900000002</v>
      </c>
      <c r="C39" s="307">
        <v>0</v>
      </c>
      <c r="D39" s="307">
        <v>0</v>
      </c>
      <c r="E39" s="307">
        <v>0</v>
      </c>
      <c r="F39" s="308">
        <f t="shared" si="0"/>
        <v>2305467.4900000002</v>
      </c>
      <c r="G39" s="305"/>
    </row>
    <row r="40" spans="1:7" ht="18" customHeight="1">
      <c r="A40" s="11" t="s">
        <v>107</v>
      </c>
      <c r="B40" s="306">
        <v>82613</v>
      </c>
      <c r="C40" s="307">
        <f>82613-16523</f>
        <v>66090</v>
      </c>
      <c r="D40" s="307">
        <v>16523</v>
      </c>
      <c r="E40" s="307">
        <v>0</v>
      </c>
      <c r="F40" s="308">
        <f t="shared" si="0"/>
        <v>0</v>
      </c>
      <c r="G40" s="305"/>
    </row>
    <row r="41" spans="1:7" ht="18" customHeight="1">
      <c r="A41" s="12" t="s">
        <v>108</v>
      </c>
      <c r="B41" s="306">
        <v>155619.06</v>
      </c>
      <c r="C41" s="307">
        <v>155619</v>
      </c>
      <c r="D41" s="307">
        <v>0</v>
      </c>
      <c r="E41" s="307">
        <v>0</v>
      </c>
      <c r="F41" s="308">
        <f t="shared" si="0"/>
        <v>5.9999999997671694E-2</v>
      </c>
      <c r="G41" s="305"/>
    </row>
    <row r="42" spans="1:7" ht="18" customHeight="1">
      <c r="A42" s="12" t="s">
        <v>110</v>
      </c>
      <c r="B42" s="306">
        <v>4877985</v>
      </c>
      <c r="C42" s="307">
        <f>3902388+975597</f>
        <v>4877985</v>
      </c>
      <c r="D42" s="307">
        <v>0</v>
      </c>
      <c r="E42" s="307">
        <v>0</v>
      </c>
      <c r="F42" s="308">
        <f t="shared" si="0"/>
        <v>0</v>
      </c>
      <c r="G42" s="305"/>
    </row>
    <row r="43" spans="1:7" ht="18" customHeight="1">
      <c r="A43" s="12" t="s">
        <v>130</v>
      </c>
      <c r="B43" s="306">
        <v>1988465.71</v>
      </c>
      <c r="C43" s="307">
        <f>1590772.67+49926+114046</f>
        <v>1754744.67</v>
      </c>
      <c r="D43" s="307">
        <f>49450+73450+217364-49926-114046</f>
        <v>176292</v>
      </c>
      <c r="E43" s="307"/>
      <c r="F43" s="308">
        <f t="shared" si="0"/>
        <v>57429.040000000037</v>
      </c>
      <c r="G43" s="305"/>
    </row>
    <row r="44" spans="1:7" ht="18" customHeight="1">
      <c r="A44" s="12" t="s">
        <v>112</v>
      </c>
      <c r="B44" s="306">
        <v>2447637.9900000002</v>
      </c>
      <c r="C44" s="307">
        <f>2428749.87+18888.12</f>
        <v>2447637.9900000002</v>
      </c>
      <c r="D44" s="307">
        <v>0</v>
      </c>
      <c r="E44" s="307">
        <v>0</v>
      </c>
      <c r="F44" s="308">
        <f t="shared" si="0"/>
        <v>0</v>
      </c>
      <c r="G44" s="305"/>
    </row>
    <row r="45" spans="1:7" ht="18" customHeight="1">
      <c r="A45" s="12" t="s">
        <v>113</v>
      </c>
      <c r="B45" s="306">
        <v>1921.22</v>
      </c>
      <c r="C45" s="307">
        <v>0</v>
      </c>
      <c r="D45" s="307">
        <v>0</v>
      </c>
      <c r="E45" s="307">
        <v>0</v>
      </c>
      <c r="F45" s="308">
        <f t="shared" si="0"/>
        <v>1921.22</v>
      </c>
      <c r="G45" s="305"/>
    </row>
    <row r="46" spans="1:7" ht="18" customHeight="1">
      <c r="A46" s="12" t="s">
        <v>181</v>
      </c>
      <c r="B46" s="306">
        <v>5763.67</v>
      </c>
      <c r="C46" s="307">
        <v>0</v>
      </c>
      <c r="D46" s="307">
        <v>0</v>
      </c>
      <c r="E46" s="307">
        <v>0</v>
      </c>
      <c r="F46" s="308">
        <f t="shared" si="0"/>
        <v>5763.67</v>
      </c>
      <c r="G46" s="305"/>
    </row>
    <row r="47" spans="1:7" ht="18" customHeight="1">
      <c r="A47" s="12" t="s">
        <v>115</v>
      </c>
      <c r="B47" s="306">
        <v>101824.81</v>
      </c>
      <c r="C47" s="307">
        <v>0</v>
      </c>
      <c r="D47" s="307">
        <v>0</v>
      </c>
      <c r="E47" s="307">
        <v>0</v>
      </c>
      <c r="F47" s="308">
        <f t="shared" si="0"/>
        <v>101824.81</v>
      </c>
      <c r="G47" s="305"/>
    </row>
    <row r="48" spans="1:7" ht="18" customHeight="1">
      <c r="A48" s="12" t="s">
        <v>117</v>
      </c>
      <c r="B48" s="306">
        <v>10718502.630000001</v>
      </c>
      <c r="C48" s="307">
        <f>2134436.88-348019+1786417.11+3572834.21+3572834.21-0.37</f>
        <v>10718503.040000001</v>
      </c>
      <c r="D48" s="307">
        <v>0</v>
      </c>
      <c r="E48" s="307">
        <f>8584066+348019-1786417-3572834-3572834</f>
        <v>0</v>
      </c>
      <c r="F48" s="308">
        <f>B48-C48-D48-E48</f>
        <v>-0.41000000014901161</v>
      </c>
      <c r="G48" s="305"/>
    </row>
    <row r="49" spans="1:9" ht="18" customHeight="1">
      <c r="A49" s="12" t="s">
        <v>118</v>
      </c>
      <c r="B49" s="306">
        <v>34760000</v>
      </c>
      <c r="C49" s="307">
        <f>1246098+3000000-543832+17000000+3000000+(5000000-1877366)+3000000+4935100</f>
        <v>34760000</v>
      </c>
      <c r="D49" s="307">
        <v>0</v>
      </c>
      <c r="E49" s="307">
        <v>0</v>
      </c>
      <c r="F49" s="308">
        <f>B49-C49-D49-E49</f>
        <v>0</v>
      </c>
      <c r="G49" s="305"/>
      <c r="I49" s="1" t="s">
        <v>190</v>
      </c>
    </row>
    <row r="50" spans="1:9" ht="18" customHeight="1" thickBot="1">
      <c r="A50" s="191" t="s">
        <v>119</v>
      </c>
      <c r="B50" s="306">
        <v>21133.45</v>
      </c>
      <c r="C50" s="309">
        <v>21133</v>
      </c>
      <c r="D50" s="309">
        <v>0</v>
      </c>
      <c r="E50" s="309">
        <v>0</v>
      </c>
      <c r="F50" s="310">
        <f t="shared" si="0"/>
        <v>0.4500000000007276</v>
      </c>
      <c r="G50" s="305"/>
      <c r="I50" s="1">
        <f>C49-3702266</f>
        <v>31057734</v>
      </c>
    </row>
    <row r="51" spans="1:9" ht="20.25" customHeight="1" thickBot="1">
      <c r="A51" s="218" t="s">
        <v>122</v>
      </c>
      <c r="B51" s="311">
        <f>SUM(B8:B50)</f>
        <v>158000000.97164893</v>
      </c>
      <c r="C51" s="13">
        <f>SUM(C8:C50)</f>
        <v>150156576.47000003</v>
      </c>
      <c r="D51" s="13">
        <f>SUM(D8:D50)</f>
        <v>8801033.7400000002</v>
      </c>
      <c r="E51" s="13">
        <f>SUM(E8:E50)</f>
        <v>4.999999888241291E-2</v>
      </c>
      <c r="F51" s="312">
        <f>SUM(F8:F50)</f>
        <v>-957609.28835106688</v>
      </c>
      <c r="G51" s="305"/>
    </row>
    <row r="52" spans="1:9">
      <c r="A52" s="313" t="s">
        <v>187</v>
      </c>
      <c r="B52" s="229"/>
      <c r="C52" s="229"/>
      <c r="D52" s="229"/>
      <c r="E52" s="229"/>
      <c r="F52" s="314"/>
      <c r="G52" s="305"/>
    </row>
    <row r="53" spans="1:9">
      <c r="A53" s="315"/>
      <c r="B53" s="229"/>
      <c r="C53" s="229"/>
      <c r="D53" s="229"/>
      <c r="E53" s="229"/>
      <c r="F53" s="314"/>
      <c r="G53" s="305"/>
      <c r="I53" s="307"/>
    </row>
    <row r="54" spans="1:9" ht="25.5" customHeight="1">
      <c r="A54" s="315"/>
      <c r="B54" s="229"/>
      <c r="C54" s="229"/>
      <c r="D54" s="229"/>
      <c r="E54" s="229"/>
      <c r="F54" s="314"/>
      <c r="G54" s="305"/>
    </row>
    <row r="56" spans="1:9" ht="16" thickBot="1">
      <c r="A56" s="229"/>
      <c r="B56" s="229"/>
      <c r="C56" s="229"/>
      <c r="D56" s="229"/>
      <c r="E56" s="229"/>
      <c r="F56" s="314"/>
      <c r="G56" s="305"/>
    </row>
    <row r="57" spans="1:9" ht="16.5" customHeight="1" thickBot="1">
      <c r="A57" s="316" t="s">
        <v>133</v>
      </c>
      <c r="B57" s="317">
        <f>B10+B11+B13+B15+B17+B22+B29+B31+B37+B39+B40+B41+B45+B46+B47+B50</f>
        <v>3990380.4316489347</v>
      </c>
      <c r="C57" s="317">
        <f>C10+C11+C13+C15+C17+C22+C29+C31+C37+C39+C40+C41+C45+C46+C47+C50</f>
        <v>1369446.47</v>
      </c>
      <c r="D57" s="317">
        <f>D10+D11+D13+D15+D17+D22+D29+D31+D37+D39+D40+D41+D45+D46+D47+D50</f>
        <v>129107</v>
      </c>
      <c r="E57" s="317">
        <f>E10+E11+E13+E15+E17+E22+E29+E31+E37+E39+E40+E41+E45+E46+E47+E50</f>
        <v>0</v>
      </c>
      <c r="F57" s="318">
        <f>B57-C57-D57-E57</f>
        <v>2491826.9616489345</v>
      </c>
      <c r="G57" s="305"/>
    </row>
    <row r="58" spans="1:9">
      <c r="G58" s="305"/>
    </row>
    <row r="59" spans="1:9">
      <c r="A59" s="319"/>
    </row>
  </sheetData>
  <mergeCells count="3">
    <mergeCell ref="A4:F4"/>
    <mergeCell ref="A5:F5"/>
    <mergeCell ref="A6:F6"/>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F8AC-F865-4C52-9410-17A7176C570D}">
  <dimension ref="A1:I58"/>
  <sheetViews>
    <sheetView topLeftCell="A23" workbookViewId="0">
      <selection activeCell="L68" sqref="L68"/>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1.7265625" style="1" customWidth="1"/>
    <col min="8" max="16384" width="9.7265625" style="1"/>
  </cols>
  <sheetData>
    <row r="1" spans="1:6" ht="16.5" customHeight="1">
      <c r="B1" s="295"/>
      <c r="F1" s="320" t="str">
        <f>[1]Status!C1</f>
        <v>UNEP/OzL.Pro/ExCom/94/3</v>
      </c>
    </row>
    <row r="2" spans="1:6" ht="16.5" customHeight="1">
      <c r="B2" s="7"/>
      <c r="F2" s="320" t="s">
        <v>195</v>
      </c>
    </row>
    <row r="3" spans="1:6" ht="16.5" customHeight="1">
      <c r="B3" s="7"/>
      <c r="F3" s="320"/>
    </row>
    <row r="4" spans="1:6" ht="20.25" customHeight="1">
      <c r="A4" s="321" t="s">
        <v>2</v>
      </c>
      <c r="B4" s="321"/>
      <c r="C4" s="321"/>
      <c r="D4" s="321"/>
      <c r="E4" s="321"/>
      <c r="F4" s="321"/>
    </row>
    <row r="5" spans="1:6" ht="20.25" customHeight="1">
      <c r="A5" s="322" t="s">
        <v>191</v>
      </c>
      <c r="B5" s="321"/>
      <c r="C5" s="321"/>
      <c r="D5" s="321"/>
      <c r="E5" s="321"/>
      <c r="F5" s="321"/>
    </row>
    <row r="6" spans="1:6" ht="30" customHeight="1" thickBot="1">
      <c r="A6" s="323" t="str">
        <f>[1]Status!A6</f>
        <v>As at 24/05/2024</v>
      </c>
      <c r="B6" s="321"/>
      <c r="C6" s="321"/>
      <c r="D6" s="321"/>
      <c r="E6" s="321"/>
      <c r="F6" s="321"/>
    </row>
    <row r="7" spans="1:6" ht="60.5" thickBot="1">
      <c r="A7" s="298" t="s">
        <v>59</v>
      </c>
      <c r="B7" s="299" t="s">
        <v>60</v>
      </c>
      <c r="C7" s="299" t="s">
        <v>61</v>
      </c>
      <c r="D7" s="299" t="s">
        <v>62</v>
      </c>
      <c r="E7" s="299" t="s">
        <v>63</v>
      </c>
      <c r="F7" s="324" t="s">
        <v>64</v>
      </c>
    </row>
    <row r="8" spans="1:6" ht="18" customHeight="1">
      <c r="A8" s="177" t="s">
        <v>124</v>
      </c>
      <c r="B8" s="303">
        <f>'YR2000'!B8+'YR2001'!B8+'YR2002'!B8</f>
        <v>7446783</v>
      </c>
      <c r="C8" s="303">
        <f>'YR2000'!C8+'YR2001'!C8+'YR2002'!C8+69300.25</f>
        <v>6913302.9900000002</v>
      </c>
      <c r="D8" s="303">
        <f>'YR2000'!D8+'YR2001'!D8+'YR2002'!D8</f>
        <v>533480</v>
      </c>
      <c r="E8" s="303">
        <f>'YR2000'!E8+'YR2001'!E8+'YR2002'!E8</f>
        <v>0</v>
      </c>
      <c r="F8" s="325">
        <f t="shared" ref="F8:F50" si="0">B8-C8-D8-E8</f>
        <v>9.9999997764825821E-3</v>
      </c>
    </row>
    <row r="9" spans="1:6" ht="18" customHeight="1">
      <c r="A9" s="12" t="s">
        <v>67</v>
      </c>
      <c r="B9" s="307">
        <f>'YR2000'!B9+'YR2001'!B9+'YR2002'!B9</f>
        <v>4728354</v>
      </c>
      <c r="C9" s="307">
        <f>'YR2000'!C9+'YR2001'!C9+'YR2002'!C9</f>
        <v>4728354</v>
      </c>
      <c r="D9" s="307">
        <f>'YR2000'!D9+'YR2001'!D9+'YR2002'!D9</f>
        <v>0</v>
      </c>
      <c r="E9" s="307">
        <f>'YR2000'!E9+'YR2001'!E9+'YR2002'!E9</f>
        <v>0</v>
      </c>
      <c r="F9" s="326">
        <f t="shared" si="0"/>
        <v>0</v>
      </c>
    </row>
    <row r="10" spans="1:6" ht="18" customHeight="1">
      <c r="A10" s="185" t="s">
        <v>68</v>
      </c>
      <c r="B10" s="307">
        <f>'YR2000'!B10+'YR2001'!B10+'YR2002'!B10</f>
        <v>110547</v>
      </c>
      <c r="C10" s="307">
        <f>'YR2000'!C10+'YR2001'!C10+'YR2002'!C10</f>
        <v>0</v>
      </c>
      <c r="D10" s="307">
        <f>'YR2000'!D10+'YR2001'!D10+'YR2002'!D10</f>
        <v>0</v>
      </c>
      <c r="E10" s="307">
        <f>'YR2000'!E10+'YR2001'!E10+'YR2002'!E10</f>
        <v>0</v>
      </c>
      <c r="F10" s="326">
        <f t="shared" si="0"/>
        <v>110547</v>
      </c>
    </row>
    <row r="11" spans="1:6" ht="18" customHeight="1">
      <c r="A11" s="12" t="s">
        <v>69</v>
      </c>
      <c r="B11" s="307">
        <f>'YR2000'!B11+'YR2001'!B11+'YR2002'!B11</f>
        <v>412035</v>
      </c>
      <c r="C11" s="307">
        <f>'YR2000'!C11+'YR2001'!C11+'YR2002'!C11</f>
        <v>0</v>
      </c>
      <c r="D11" s="307">
        <f>'YR2000'!D11+'YR2001'!D11+'YR2002'!D11</f>
        <v>0</v>
      </c>
      <c r="E11" s="307">
        <f>'YR2000'!E11+'YR2001'!E11+'YR2002'!E11</f>
        <v>0</v>
      </c>
      <c r="F11" s="326">
        <f t="shared" si="0"/>
        <v>412035</v>
      </c>
    </row>
    <row r="12" spans="1:6" ht="18" customHeight="1">
      <c r="A12" s="12" t="s">
        <v>70</v>
      </c>
      <c r="B12" s="307">
        <f>'YR2000'!B12+'YR2001'!B12+'YR2002'!B12</f>
        <v>5542377</v>
      </c>
      <c r="C12" s="307">
        <f>'YR2000'!C12+'YR2001'!C12+'YR2002'!C12</f>
        <v>5542377</v>
      </c>
      <c r="D12" s="307">
        <f>'YR2000'!D12+'YR2001'!D12+'YR2002'!D12</f>
        <v>0</v>
      </c>
      <c r="E12" s="307">
        <f>'YR2000'!E12+'YR2001'!E12+'YR2002'!E12</f>
        <v>0</v>
      </c>
      <c r="F12" s="326">
        <f t="shared" si="0"/>
        <v>0</v>
      </c>
    </row>
    <row r="13" spans="1:6" ht="18" customHeight="1">
      <c r="A13" s="12" t="s">
        <v>71</v>
      </c>
      <c r="B13" s="307">
        <f>'YR2000'!B13+'YR2001'!B13+'YR2002'!B13</f>
        <v>95472</v>
      </c>
      <c r="C13" s="307">
        <f>'YR2000'!C13+'YR2001'!C13+'YR2002'!C13</f>
        <v>95472</v>
      </c>
      <c r="D13" s="307">
        <f>'YR2000'!D13+'YR2001'!D13+'YR2002'!D13</f>
        <v>0</v>
      </c>
      <c r="E13" s="307">
        <f>'YR2000'!E13+'YR2001'!E13+'YR2002'!E13</f>
        <v>0</v>
      </c>
      <c r="F13" s="326">
        <f t="shared" si="0"/>
        <v>0</v>
      </c>
    </row>
    <row r="14" spans="1:6" ht="18" customHeight="1">
      <c r="A14" s="12" t="s">
        <v>125</v>
      </c>
      <c r="B14" s="307">
        <f>'YR2000'!B14+'YR2001'!B14+'YR2002'!B14</f>
        <v>13838352</v>
      </c>
      <c r="C14" s="307">
        <f>'YR2000'!C14+'YR2001'!C14+'YR2002'!C14</f>
        <v>11517099</v>
      </c>
      <c r="D14" s="307">
        <f>'YR2000'!D14+'YR2001'!D14+'YR2002'!D14</f>
        <v>2321253</v>
      </c>
      <c r="E14" s="307">
        <f>'YR2000'!E14+'YR2001'!E14+'YR2002'!E14</f>
        <v>0</v>
      </c>
      <c r="F14" s="326">
        <f t="shared" si="0"/>
        <v>0</v>
      </c>
    </row>
    <row r="15" spans="1:6" ht="18" customHeight="1">
      <c r="A15" s="12" t="s">
        <v>75</v>
      </c>
      <c r="B15" s="307">
        <f>'YR2000'!B15+'YR2001'!B15+'YR2002'!B15</f>
        <v>608004</v>
      </c>
      <c r="C15" s="307">
        <f>'YR2000'!C15+'YR2001'!C15+'YR2002'!C15</f>
        <v>608004</v>
      </c>
      <c r="D15" s="307">
        <f>'YR2000'!D15+'YR2001'!D15+'YR2002'!D15</f>
        <v>0</v>
      </c>
      <c r="E15" s="307">
        <f>'YR2000'!E15+'YR2001'!E15+'YR2002'!E15</f>
        <v>0</v>
      </c>
      <c r="F15" s="326">
        <f t="shared" si="0"/>
        <v>0</v>
      </c>
    </row>
    <row r="16" spans="1:6" ht="18" customHeight="1">
      <c r="A16" s="12" t="s">
        <v>76</v>
      </c>
      <c r="B16" s="307">
        <f>'YR2000'!B16+'YR2001'!B16+'YR2002'!B16</f>
        <v>3472149</v>
      </c>
      <c r="C16" s="307">
        <f>'YR2000'!C16+'YR2001'!C16+'YR2002'!C16</f>
        <v>3472149</v>
      </c>
      <c r="D16" s="307">
        <f>'YR2000'!D16+'YR2001'!D16+'YR2002'!D16</f>
        <v>0</v>
      </c>
      <c r="E16" s="307">
        <f>'YR2000'!E16+'YR2001'!E16+'YR2002'!E16</f>
        <v>0</v>
      </c>
      <c r="F16" s="326">
        <f t="shared" si="0"/>
        <v>0</v>
      </c>
    </row>
    <row r="17" spans="1:9" ht="18" customHeight="1">
      <c r="A17" s="12" t="s">
        <v>77</v>
      </c>
      <c r="B17" s="307">
        <f>'YR2000'!B17+'YR2001'!B17+'YR2002'!B17</f>
        <v>75372</v>
      </c>
      <c r="C17" s="307">
        <f>'YR2000'!C17+'YR2001'!C17+'YR2002'!C17</f>
        <v>75372</v>
      </c>
      <c r="D17" s="307">
        <f>'YR2000'!D17+'YR2001'!D17+'YR2002'!D17</f>
        <v>0</v>
      </c>
      <c r="E17" s="307">
        <f>'YR2000'!E17+'YR2001'!E17+'YR2002'!E17</f>
        <v>0</v>
      </c>
      <c r="F17" s="326">
        <f t="shared" si="0"/>
        <v>0</v>
      </c>
    </row>
    <row r="18" spans="1:9" ht="18" customHeight="1">
      <c r="A18" s="12" t="s">
        <v>78</v>
      </c>
      <c r="B18" s="307">
        <f>'YR2000'!B18+'YR2001'!B18+'YR2002'!B18</f>
        <v>2723451</v>
      </c>
      <c r="C18" s="307">
        <f>'YR2000'!C18+'YR2001'!C18+'YR2002'!C18</f>
        <v>2723451</v>
      </c>
      <c r="D18" s="307">
        <f>'YR2000'!D18+'YR2001'!D18+'YR2002'!D18</f>
        <v>0</v>
      </c>
      <c r="E18" s="307">
        <f>'YR2000'!E18+'YR2001'!E18+'YR2002'!E18</f>
        <v>0</v>
      </c>
      <c r="F18" s="326">
        <f t="shared" si="0"/>
        <v>0</v>
      </c>
    </row>
    <row r="19" spans="1:9" ht="18" customHeight="1">
      <c r="A19" s="12" t="s">
        <v>79</v>
      </c>
      <c r="B19" s="307">
        <f>'YR2000'!B19+'YR2001'!B19+'YR2002'!B19</f>
        <v>32862321</v>
      </c>
      <c r="C19" s="307">
        <f>'YR2000'!C19+'YR2001'!C19+'YR2002'!C19</f>
        <v>32122086</v>
      </c>
      <c r="D19" s="307">
        <f>'YR2000'!D19+'YR2001'!D19+'YR2002'!D19</f>
        <v>774860</v>
      </c>
      <c r="E19" s="307">
        <f>'YR2000'!E19+'YR2001'!E19+'YR2002'!E19</f>
        <v>0</v>
      </c>
      <c r="F19" s="326">
        <f t="shared" si="0"/>
        <v>-34625</v>
      </c>
    </row>
    <row r="20" spans="1:9" ht="18" customHeight="1">
      <c r="A20" s="12" t="s">
        <v>80</v>
      </c>
      <c r="B20" s="307">
        <f>'YR2000'!B20+'YR2001'!B20+'YR2002'!B20</f>
        <v>49283430</v>
      </c>
      <c r="C20" s="307">
        <f>'YR2000'!C20+'YR2001'!C20+'YR2002'!C20</f>
        <v>38064112</v>
      </c>
      <c r="D20" s="307">
        <f>'YR2000'!D20+'YR2001'!D20+'YR2002'!D20</f>
        <v>11219318</v>
      </c>
      <c r="E20" s="307">
        <f>'YR2000'!E20+'YR2001'!E20+'YR2002'!E20</f>
        <v>0</v>
      </c>
      <c r="F20" s="326">
        <f t="shared" si="0"/>
        <v>0</v>
      </c>
    </row>
    <row r="21" spans="1:9" ht="18" customHeight="1">
      <c r="A21" s="12" t="s">
        <v>81</v>
      </c>
      <c r="B21" s="307">
        <f>'YR2000'!B21+'YR2001'!B21+'YR2002'!B21</f>
        <v>1763712</v>
      </c>
      <c r="C21" s="307">
        <f>'YR2000'!C21+'YR2001'!C21+'YR2002'!C21</f>
        <v>1814083.29</v>
      </c>
      <c r="D21" s="307">
        <f>'YR2000'!D21+'YR2001'!D21+'YR2002'!D21</f>
        <v>0</v>
      </c>
      <c r="E21" s="307">
        <f>'YR2000'!E21+'YR2001'!E21+'YR2002'!E21</f>
        <v>0</v>
      </c>
      <c r="F21" s="326">
        <f t="shared" si="0"/>
        <v>-50371.290000000037</v>
      </c>
    </row>
    <row r="22" spans="1:9" ht="18" customHeight="1">
      <c r="A22" s="12" t="s">
        <v>83</v>
      </c>
      <c r="B22" s="307">
        <f>'YR2000'!B22+'YR2001'!B22+'YR2002'!B22</f>
        <v>602979</v>
      </c>
      <c r="C22" s="307">
        <f>'YR2000'!C22+'YR2001'!C22+'YR2002'!C22</f>
        <v>602979</v>
      </c>
      <c r="D22" s="307">
        <f>'YR2000'!D22+'YR2001'!D22+'YR2002'!D22</f>
        <v>0</v>
      </c>
      <c r="E22" s="307">
        <f>'YR2000'!E22+'YR2001'!E22+'YR2002'!E22</f>
        <v>0</v>
      </c>
      <c r="F22" s="326">
        <f t="shared" si="0"/>
        <v>0</v>
      </c>
    </row>
    <row r="23" spans="1:9" ht="18" customHeight="1">
      <c r="A23" s="12" t="s">
        <v>84</v>
      </c>
      <c r="B23" s="307">
        <f>'YR2000'!B23+'YR2001'!B23+'YR2002'!B23</f>
        <v>160794</v>
      </c>
      <c r="C23" s="307">
        <f>'YR2000'!C23+'YR2001'!C23+'YR2002'!C23</f>
        <v>160794</v>
      </c>
      <c r="D23" s="307">
        <f>'YR2000'!D23+'YR2001'!D23+'YR2002'!D23</f>
        <v>0</v>
      </c>
      <c r="E23" s="307">
        <f>'YR2000'!E23+'YR2001'!E23+'YR2002'!E23</f>
        <v>0</v>
      </c>
      <c r="F23" s="326">
        <f t="shared" si="0"/>
        <v>0</v>
      </c>
    </row>
    <row r="24" spans="1:9" ht="18" customHeight="1">
      <c r="A24" s="12" t="s">
        <v>85</v>
      </c>
      <c r="B24" s="307">
        <f>'YR2000'!B24+'YR2001'!B24+'YR2002'!B24</f>
        <v>1125558</v>
      </c>
      <c r="C24" s="307">
        <f>'YR2000'!C24+'YR2001'!C24+'YR2002'!C24</f>
        <v>1125558</v>
      </c>
      <c r="D24" s="307">
        <f>'YR2000'!D24+'YR2001'!D24+'YR2002'!D24</f>
        <v>0</v>
      </c>
      <c r="E24" s="307">
        <f>'YR2000'!E24+'YR2001'!E24+'YR2002'!E24</f>
        <v>0</v>
      </c>
      <c r="F24" s="326">
        <f t="shared" si="0"/>
        <v>0</v>
      </c>
    </row>
    <row r="25" spans="1:9" ht="18" customHeight="1">
      <c r="A25" s="12" t="s">
        <v>86</v>
      </c>
      <c r="B25" s="307">
        <f>'YR2000'!B25+'YR2001'!B25+'YR2002'!B25</f>
        <v>1733562</v>
      </c>
      <c r="C25" s="307">
        <f>'YR2000'!C25+'YR2001'!C25+'YR2002'!C25</f>
        <v>705345</v>
      </c>
      <c r="D25" s="307">
        <f>'YR2000'!D25+'YR2001'!D25+'YR2002'!D25</f>
        <v>38106</v>
      </c>
      <c r="E25" s="307">
        <f>'YR2000'!E25+'YR2001'!E25+'YR2002'!E25</f>
        <v>0</v>
      </c>
      <c r="F25" s="326">
        <f t="shared" si="0"/>
        <v>990111</v>
      </c>
    </row>
    <row r="26" spans="1:9" ht="18" customHeight="1">
      <c r="A26" s="12" t="s">
        <v>87</v>
      </c>
      <c r="B26" s="307">
        <f>'YR2000'!B26+'YR2001'!B26+'YR2002'!B26</f>
        <v>27294819</v>
      </c>
      <c r="C26" s="307">
        <f>'YR2000'!C26+'YR2001'!C26+'YR2002'!C26</f>
        <v>22072579.219999999</v>
      </c>
      <c r="D26" s="307">
        <f>'YR2000'!D26+'YR2001'!D26+'YR2002'!D26</f>
        <v>5222239.78</v>
      </c>
      <c r="E26" s="307">
        <f>'YR2000'!E26+'YR2001'!E26+'YR2002'!E26</f>
        <v>0</v>
      </c>
      <c r="F26" s="326">
        <f t="shared" si="0"/>
        <v>9.3132257461547852E-10</v>
      </c>
    </row>
    <row r="27" spans="1:9" ht="18" customHeight="1">
      <c r="A27" s="12" t="s">
        <v>88</v>
      </c>
      <c r="B27" s="307">
        <f>'YR2000'!B27+'YR2001'!B27+'YR2002'!B27</f>
        <v>100415994</v>
      </c>
      <c r="C27" s="307">
        <f>'YR2000'!C27+'YR2001'!C27+'YR2002'!C27</f>
        <v>98909847.530000001</v>
      </c>
      <c r="D27" s="307">
        <f>'YR2000'!D27+'YR2001'!D27+'YR2002'!D27</f>
        <v>1506149.47</v>
      </c>
      <c r="E27" s="307">
        <f>'YR2000'!E27+'YR2001'!E27+'YR2002'!E27</f>
        <v>0</v>
      </c>
      <c r="F27" s="326">
        <f t="shared" si="0"/>
        <v>-3.0000000011641532</v>
      </c>
    </row>
    <row r="28" spans="1:9" customFormat="1">
      <c r="A28" s="12" t="s">
        <v>89</v>
      </c>
      <c r="B28" s="307">
        <f>'YR2001'!B28+'YR2002'!B28</f>
        <v>0</v>
      </c>
      <c r="C28" s="307">
        <f>'YR2001'!C28+'YR2002'!C28</f>
        <v>0</v>
      </c>
      <c r="D28" s="307">
        <f>'YR2001'!D28+'YR2002'!D28</f>
        <v>0</v>
      </c>
      <c r="E28" s="307">
        <f>'YR2001'!E28+'YR2002'!E28</f>
        <v>0</v>
      </c>
      <c r="F28" s="326">
        <f t="shared" si="0"/>
        <v>0</v>
      </c>
      <c r="H28" s="52"/>
      <c r="I28" s="52"/>
    </row>
    <row r="29" spans="1:9" ht="18" customHeight="1">
      <c r="A29" s="12" t="s">
        <v>91</v>
      </c>
      <c r="B29" s="307">
        <f>'YR2000'!B28+'YR2001'!B29+'YR2002'!B29</f>
        <v>120597</v>
      </c>
      <c r="C29" s="307">
        <f>'YR2000'!C28+'YR2001'!C29+'YR2002'!C29</f>
        <v>120597</v>
      </c>
      <c r="D29" s="307">
        <f>'YR2000'!D28+'YR2001'!D29+'YR2002'!D29</f>
        <v>0</v>
      </c>
      <c r="E29" s="307">
        <f>'YR2000'!E28+'YR2001'!E29+'YR2002'!E29</f>
        <v>0</v>
      </c>
      <c r="F29" s="326">
        <f t="shared" si="0"/>
        <v>0</v>
      </c>
    </row>
    <row r="30" spans="1:9" ht="18" customHeight="1">
      <c r="A30" s="12" t="s">
        <v>92</v>
      </c>
      <c r="B30" s="307">
        <f>'YR2000'!B29+'YR2001'!B30+'YR2002'!B30</f>
        <v>30150</v>
      </c>
      <c r="C30" s="307">
        <f>'YR2000'!C29+'YR2001'!C30+'YR2002'!C30</f>
        <v>30150</v>
      </c>
      <c r="D30" s="307">
        <f>'YR2000'!D29+'YR2001'!D30+'YR2002'!D30</f>
        <v>0</v>
      </c>
      <c r="E30" s="307">
        <f>'YR2000'!E29+'YR2001'!E30+'YR2002'!E30</f>
        <v>0</v>
      </c>
      <c r="F30" s="326">
        <f t="shared" si="0"/>
        <v>0</v>
      </c>
    </row>
    <row r="31" spans="1:9" ht="18" customHeight="1">
      <c r="A31" s="12" t="s">
        <v>93</v>
      </c>
      <c r="B31" s="307">
        <f>'YR2000'!B30+'YR2001'!B31+'YR2002'!B31</f>
        <v>110547</v>
      </c>
      <c r="C31" s="307">
        <f>'YR2000'!C30+'YR2001'!C31+'YR2002'!C31</f>
        <v>0</v>
      </c>
      <c r="D31" s="307">
        <f>'YR2000'!D30+'YR2001'!D31+'YR2002'!D31</f>
        <v>0</v>
      </c>
      <c r="E31" s="307">
        <f>'YR2000'!E30+'YR2001'!E31+'YR2002'!E31</f>
        <v>0</v>
      </c>
      <c r="F31" s="326">
        <f t="shared" si="0"/>
        <v>110547</v>
      </c>
    </row>
    <row r="32" spans="1:9" ht="18" customHeight="1">
      <c r="A32" s="12" t="s">
        <v>94</v>
      </c>
      <c r="B32" s="307">
        <f>'YR2000'!B31+'YR2001'!B32+'YR2002'!B32</f>
        <v>341688</v>
      </c>
      <c r="C32" s="307">
        <f>'YR2000'!C31+'YR2001'!C32+'YR2002'!C32</f>
        <v>341688</v>
      </c>
      <c r="D32" s="307">
        <f>'YR2000'!D31+'YR2001'!D32+'YR2002'!D32</f>
        <v>0</v>
      </c>
      <c r="E32" s="307">
        <f>'YR2000'!E31+'YR2001'!E32+'YR2002'!E32</f>
        <v>0</v>
      </c>
      <c r="F32" s="326">
        <f t="shared" si="0"/>
        <v>0</v>
      </c>
    </row>
    <row r="33" spans="1:6" ht="18" customHeight="1">
      <c r="A33" s="12" t="s">
        <v>96</v>
      </c>
      <c r="B33" s="307">
        <f>'YR2000'!B32+'YR2001'!B33+'YR2002'!B33</f>
        <v>20100</v>
      </c>
      <c r="C33" s="307">
        <f>'YR2000'!C32+'YR2001'!C33+'YR2002'!C33</f>
        <v>20080</v>
      </c>
      <c r="D33" s="307">
        <f>'YR2000'!D32+'YR2001'!D33+'YR2002'!D33</f>
        <v>0</v>
      </c>
      <c r="E33" s="307">
        <f>'YR2000'!E32+'YR2001'!E33+'YR2002'!E33</f>
        <v>0</v>
      </c>
      <c r="F33" s="326">
        <f t="shared" si="0"/>
        <v>20</v>
      </c>
    </row>
    <row r="34" spans="1:6" ht="18" customHeight="1">
      <c r="A34" s="12" t="s">
        <v>97</v>
      </c>
      <c r="B34" s="307">
        <f>'YR2000'!B33+'YR2001'!B34+'YR2002'!B34</f>
        <v>8195481</v>
      </c>
      <c r="C34" s="307">
        <f>'YR2000'!C33+'YR2001'!C34+'YR2002'!C34</f>
        <v>8195481</v>
      </c>
      <c r="D34" s="307">
        <f>'YR2000'!D33+'YR2001'!D34+'YR2002'!D34</f>
        <v>0</v>
      </c>
      <c r="E34" s="307">
        <f>'YR2000'!E33+'YR2001'!E34+'YR2002'!E34</f>
        <v>0</v>
      </c>
      <c r="F34" s="326">
        <f t="shared" si="0"/>
        <v>0</v>
      </c>
    </row>
    <row r="35" spans="1:6" ht="18" customHeight="1">
      <c r="A35" s="12" t="s">
        <v>98</v>
      </c>
      <c r="B35" s="307">
        <f>'YR2000'!B34+'YR2001'!B35+'YR2002'!B35</f>
        <v>1110486</v>
      </c>
      <c r="C35" s="307">
        <f>'YR2000'!C34+'YR2001'!C35+'YR2002'!C35</f>
        <v>1110486</v>
      </c>
      <c r="D35" s="307">
        <f>'YR2000'!D34+'YR2001'!D35+'YR2002'!D35</f>
        <v>0</v>
      </c>
      <c r="E35" s="307">
        <f>'YR2000'!E34+'YR2001'!E35+'YR2002'!E35</f>
        <v>0</v>
      </c>
      <c r="F35" s="326">
        <f t="shared" si="0"/>
        <v>0</v>
      </c>
    </row>
    <row r="36" spans="1:6" ht="18" customHeight="1">
      <c r="A36" s="12" t="s">
        <v>99</v>
      </c>
      <c r="B36" s="307">
        <f>'YR2000'!B35+'YR2001'!B36+'YR2002'!B36</f>
        <v>3065139</v>
      </c>
      <c r="C36" s="307">
        <f>'YR2000'!C35+'YR2001'!C36+'YR2002'!C36</f>
        <v>3065139</v>
      </c>
      <c r="D36" s="307">
        <f>'YR2000'!D35+'YR2001'!D36+'YR2002'!D36</f>
        <v>0</v>
      </c>
      <c r="E36" s="307">
        <f>'YR2000'!E35+'YR2001'!E36+'YR2002'!E36</f>
        <v>0</v>
      </c>
      <c r="F36" s="326">
        <f t="shared" si="0"/>
        <v>0</v>
      </c>
    </row>
    <row r="37" spans="1:6" ht="18" customHeight="1">
      <c r="A37" s="12" t="s">
        <v>101</v>
      </c>
      <c r="B37" s="307">
        <f>'YR2000'!B36+'YR2001'!B37+'YR2002'!B37</f>
        <v>1040136</v>
      </c>
      <c r="C37" s="307">
        <f>'YR2000'!C36+'YR2001'!C37+'YR2002'!C37</f>
        <v>927136</v>
      </c>
      <c r="D37" s="307">
        <f>'YR2000'!D36+'YR2001'!D37+'YR2002'!D37</f>
        <v>113000</v>
      </c>
      <c r="E37" s="307">
        <f>'YR2000'!E36+'YR2001'!E37+'YR2002'!E37</f>
        <v>0</v>
      </c>
      <c r="F37" s="326">
        <f t="shared" si="0"/>
        <v>0</v>
      </c>
    </row>
    <row r="38" spans="1:6" ht="18" customHeight="1">
      <c r="A38" s="12" t="s">
        <v>102</v>
      </c>
      <c r="B38" s="307">
        <f>'YR2000'!B37+'YR2001'!B38+'YR2002'!B38</f>
        <v>2095350</v>
      </c>
      <c r="C38" s="307">
        <f>'YR2000'!C37+'YR2001'!C38+'YR2002'!C38</f>
        <v>2095350</v>
      </c>
      <c r="D38" s="307">
        <f>'YR2000'!D37+'YR2001'!D38+'YR2002'!D38</f>
        <v>0</v>
      </c>
      <c r="E38" s="307">
        <f>'YR2000'!E37+'YR2001'!E38+'YR2002'!E38</f>
        <v>0</v>
      </c>
      <c r="F38" s="326">
        <f t="shared" si="0"/>
        <v>0</v>
      </c>
    </row>
    <row r="39" spans="1:6" ht="18" customHeight="1">
      <c r="A39" s="12" t="s">
        <v>104</v>
      </c>
      <c r="B39" s="307">
        <f>'YR2000'!B38+'YR2001'!B39+'YR2002'!B39</f>
        <v>7471905</v>
      </c>
      <c r="C39" s="307">
        <f>'YR2000'!C38+'YR2001'!C39+'YR2002'!C39</f>
        <v>0</v>
      </c>
      <c r="D39" s="307">
        <f>'YR2000'!D38+'YR2001'!D39+'YR2002'!D39</f>
        <v>0</v>
      </c>
      <c r="E39" s="307">
        <f>'YR2000'!E38+'YR2001'!E39+'YR2002'!E39</f>
        <v>0</v>
      </c>
      <c r="F39" s="326">
        <f t="shared" si="0"/>
        <v>7471905</v>
      </c>
    </row>
    <row r="40" spans="1:6" ht="18" customHeight="1">
      <c r="A40" s="11" t="s">
        <v>107</v>
      </c>
      <c r="B40" s="307">
        <f>'YR2000'!B39+'YR2001'!B40+'YR2002'!B40</f>
        <v>195969</v>
      </c>
      <c r="C40" s="307">
        <f>'YR2000'!C39+'YR2001'!C40+'YR2002'!C40</f>
        <v>195969</v>
      </c>
      <c r="D40" s="307">
        <f>'YR2000'!D39+'YR2001'!D40+'YR2002'!D40</f>
        <v>0</v>
      </c>
      <c r="E40" s="307">
        <f>'YR2000'!E39+'YR2001'!E40+'YR2002'!E40</f>
        <v>0</v>
      </c>
      <c r="F40" s="326">
        <f t="shared" si="0"/>
        <v>0</v>
      </c>
    </row>
    <row r="41" spans="1:6" ht="18" customHeight="1">
      <c r="A41" s="12" t="s">
        <v>108</v>
      </c>
      <c r="B41" s="307">
        <f>'YR2000'!B40+'YR2001'!B41+'YR2002'!B41</f>
        <v>0</v>
      </c>
      <c r="C41" s="307">
        <f>'YR2000'!C40+'YR2001'!C41+'YR2002'!C41</f>
        <v>0</v>
      </c>
      <c r="D41" s="307">
        <f>'YR2000'!D40+'YR2001'!D41+'YR2002'!D41</f>
        <v>0</v>
      </c>
      <c r="E41" s="307">
        <f>'YR2000'!E40+'YR2001'!E41+'YR2002'!E41</f>
        <v>0</v>
      </c>
      <c r="F41" s="326">
        <f t="shared" si="0"/>
        <v>0</v>
      </c>
    </row>
    <row r="42" spans="1:6" ht="18" customHeight="1">
      <c r="A42" s="12" t="s">
        <v>110</v>
      </c>
      <c r="B42" s="307">
        <f>'YR2000'!B41+'YR2001'!B42+'YR2002'!B42</f>
        <v>13009257</v>
      </c>
      <c r="C42" s="307">
        <f>'YR2000'!C41+'YR2001'!C42+'YR2002'!C42</f>
        <v>13009257</v>
      </c>
      <c r="D42" s="307">
        <f>'YR2000'!D41+'YR2001'!D42+'YR2002'!D42</f>
        <v>0</v>
      </c>
      <c r="E42" s="307">
        <f>'YR2000'!E41+'YR2001'!E42+'YR2002'!E42</f>
        <v>0</v>
      </c>
      <c r="F42" s="326">
        <f t="shared" si="0"/>
        <v>0</v>
      </c>
    </row>
    <row r="43" spans="1:6" ht="18" customHeight="1">
      <c r="A43" s="12" t="s">
        <v>111</v>
      </c>
      <c r="B43" s="307">
        <f>'YR2000'!B42+'YR2001'!B43+'YR2002'!B43</f>
        <v>5446905</v>
      </c>
      <c r="C43" s="307">
        <f>'YR2000'!C42+'YR2001'!C43+'YR2002'!C43</f>
        <v>4735239</v>
      </c>
      <c r="D43" s="307">
        <f>'YR2000'!D42+'YR2001'!D43+'YR2002'!D43</f>
        <v>711666</v>
      </c>
      <c r="E43" s="307">
        <f>'YR2000'!E42+'YR2001'!E43+'YR2002'!E43</f>
        <v>0</v>
      </c>
      <c r="F43" s="326">
        <f t="shared" si="0"/>
        <v>0</v>
      </c>
    </row>
    <row r="44" spans="1:6" ht="18" customHeight="1">
      <c r="A44" s="12" t="s">
        <v>112</v>
      </c>
      <c r="B44" s="307">
        <f>'YR2000'!B43+'YR2001'!B44+'YR2002'!B44</f>
        <v>6105156</v>
      </c>
      <c r="C44" s="307">
        <f>'YR2000'!C43+'YR2001'!C44+'YR2002'!C44</f>
        <v>5953926</v>
      </c>
      <c r="D44" s="307">
        <f>'YR2000'!D43+'YR2001'!D44+'YR2002'!D44</f>
        <v>151230</v>
      </c>
      <c r="E44" s="307">
        <f>'YR2000'!E43+'YR2001'!E44+'YR2002'!E44</f>
        <v>0</v>
      </c>
      <c r="F44" s="326">
        <f t="shared" si="0"/>
        <v>0</v>
      </c>
    </row>
    <row r="45" spans="1:6" ht="18" customHeight="1">
      <c r="A45" s="12" t="s">
        <v>113</v>
      </c>
      <c r="B45" s="307">
        <f>'YR2000'!B44+'YR2001'!B45+'YR2002'!B45</f>
        <v>25125</v>
      </c>
      <c r="C45" s="307">
        <f>'YR2000'!C44+'YR2001'!C45+'YR2002'!C45</f>
        <v>0</v>
      </c>
      <c r="D45" s="307">
        <f>'YR2000'!D44+'YR2001'!D45+'YR2002'!D45</f>
        <v>0</v>
      </c>
      <c r="E45" s="307">
        <f>'YR2000'!E44+'YR2001'!E45+'YR2002'!E45</f>
        <v>0</v>
      </c>
      <c r="F45" s="326">
        <f t="shared" si="0"/>
        <v>25125</v>
      </c>
    </row>
    <row r="46" spans="1:6" ht="18" customHeight="1">
      <c r="A46" s="12" t="s">
        <v>181</v>
      </c>
      <c r="B46" s="307">
        <f>'YR2000'!B45+'YR2001'!B46+'YR2002'!B46</f>
        <v>40197</v>
      </c>
      <c r="C46" s="307">
        <f>'YR2000'!C45+'YR2001'!C46+'YR2002'!C46</f>
        <v>0</v>
      </c>
      <c r="D46" s="307">
        <f>'YR2000'!D45+'YR2001'!D46+'YR2002'!D46</f>
        <v>0</v>
      </c>
      <c r="E46" s="307">
        <f>'YR2000'!E45+'YR2001'!E46+'YR2002'!E46</f>
        <v>0</v>
      </c>
      <c r="F46" s="326">
        <f t="shared" si="0"/>
        <v>40197</v>
      </c>
    </row>
    <row r="47" spans="1:6" ht="18" customHeight="1">
      <c r="A47" s="12" t="s">
        <v>115</v>
      </c>
      <c r="B47" s="307">
        <f>'YR2000'!B46+'YR2001'!B47+'YR2002'!B47</f>
        <v>1517496</v>
      </c>
      <c r="C47" s="307">
        <f>'YR2000'!C46+'YR2001'!C47+'YR2002'!C47</f>
        <v>0</v>
      </c>
      <c r="D47" s="307">
        <f>'YR2000'!D46+'YR2001'!D47+'YR2002'!D47</f>
        <v>0</v>
      </c>
      <c r="E47" s="307">
        <f>'YR2000'!E46+'YR2001'!E47+'YR2002'!E47</f>
        <v>0</v>
      </c>
      <c r="F47" s="326">
        <f t="shared" si="0"/>
        <v>1517496</v>
      </c>
    </row>
    <row r="48" spans="1:6" ht="18" customHeight="1">
      <c r="A48" s="12" t="s">
        <v>117</v>
      </c>
      <c r="B48" s="307">
        <f>'YR2000'!B47+'YR2001'!B48+'YR2002'!B48</f>
        <v>25576332</v>
      </c>
      <c r="C48" s="307">
        <f>'YR2000'!C47+'YR2001'!C48+'YR2002'!C48</f>
        <v>25576332</v>
      </c>
      <c r="D48" s="307">
        <f>'YR2000'!D47+'YR2001'!D48+'YR2002'!D48</f>
        <v>0</v>
      </c>
      <c r="E48" s="307">
        <f>'YR2000'!E47+'YR2001'!E48+'YR2002'!E48</f>
        <v>0</v>
      </c>
      <c r="F48" s="326">
        <f t="shared" si="0"/>
        <v>0</v>
      </c>
    </row>
    <row r="49" spans="1:7" ht="18" customHeight="1">
      <c r="A49" s="12" t="s">
        <v>118</v>
      </c>
      <c r="B49" s="307">
        <f>'YR2000'!B48+'YR2001'!B49+'YR2002'!B49</f>
        <v>110000001</v>
      </c>
      <c r="C49" s="307">
        <f>'YR2000'!C48+'YR2001'!C49+'YR2002'!C49</f>
        <v>110000001</v>
      </c>
      <c r="D49" s="307">
        <f>'YR2000'!D48+'YR2001'!D49+'YR2002'!D49</f>
        <v>0</v>
      </c>
      <c r="E49" s="307">
        <f>'YR2000'!E48+'YR2001'!E49+'YR2002'!E49</f>
        <v>0</v>
      </c>
      <c r="F49" s="326">
        <f t="shared" si="0"/>
        <v>0</v>
      </c>
    </row>
    <row r="50" spans="1:7" ht="18" customHeight="1" thickBot="1">
      <c r="A50" s="191" t="s">
        <v>119</v>
      </c>
      <c r="B50" s="307">
        <f>'YR2000'!B49+'YR2001'!B50+'YR2002'!B50</f>
        <v>185919</v>
      </c>
      <c r="C50" s="307">
        <f>'YR2000'!C49+'YR2001'!C50+'YR2002'!C50</f>
        <v>61973</v>
      </c>
      <c r="D50" s="307">
        <f>'YR2000'!D49+'YR2001'!D50+'YR2002'!D50</f>
        <v>0</v>
      </c>
      <c r="E50" s="307">
        <f>'YR2000'!E49+'YR2001'!E50+'YR2002'!E50</f>
        <v>0</v>
      </c>
      <c r="F50" s="326">
        <f t="shared" si="0"/>
        <v>123946</v>
      </c>
    </row>
    <row r="51" spans="1:7" ht="20.25" customHeight="1" thickBot="1">
      <c r="A51" s="218" t="s">
        <v>122</v>
      </c>
      <c r="B51" s="13">
        <f>SUM(B8:B50)</f>
        <v>440000001</v>
      </c>
      <c r="C51" s="13">
        <f>SUM(C8:C50)</f>
        <v>406691769.03000003</v>
      </c>
      <c r="D51" s="13">
        <f>SUM(D8:D50)</f>
        <v>22591302.25</v>
      </c>
      <c r="E51" s="13">
        <f>SUM(E8:E50)</f>
        <v>0</v>
      </c>
      <c r="F51" s="13">
        <f>SUM(F8:F50)</f>
        <v>10716929.719999999</v>
      </c>
    </row>
    <row r="52" spans="1:7">
      <c r="A52" s="327"/>
      <c r="B52" s="229"/>
      <c r="C52" s="229"/>
      <c r="D52" s="229"/>
      <c r="E52" s="229"/>
      <c r="F52" s="229"/>
    </row>
    <row r="53" spans="1:7">
      <c r="A53" s="327"/>
      <c r="B53" s="328"/>
      <c r="C53" s="328"/>
      <c r="D53" s="328"/>
      <c r="E53" s="328"/>
      <c r="F53" s="328"/>
    </row>
    <row r="54" spans="1:7">
      <c r="A54" s="327"/>
      <c r="B54" s="328"/>
      <c r="C54" s="328"/>
      <c r="D54" s="328"/>
      <c r="E54" s="328"/>
      <c r="F54" s="328"/>
    </row>
    <row r="55" spans="1:7">
      <c r="A55" s="329"/>
    </row>
    <row r="56" spans="1:7" ht="16" thickBot="1">
      <c r="A56" s="330"/>
      <c r="B56" s="229"/>
      <c r="C56" s="229"/>
      <c r="D56" s="229"/>
      <c r="E56" s="229"/>
      <c r="F56" s="229"/>
    </row>
    <row r="57" spans="1:7" ht="16.5" customHeight="1" thickBot="1">
      <c r="A57" s="331" t="s">
        <v>133</v>
      </c>
      <c r="B57" s="317">
        <f>B10+B11+B13+B15+B17+B22+B29+B31+B37+B39+B40+B41+B45+B46+B47+B50</f>
        <v>12612300</v>
      </c>
      <c r="C57" s="317">
        <f>C10+C11+C13+C15+C17+C22+C29+C31+C37+C39+C40+C41+C45+C46+C47+C50</f>
        <v>2687502</v>
      </c>
      <c r="D57" s="317">
        <f>D10+D11+D13+D15+D17+D22+D29+D31+D37+D39+D40+D41+D45+D46+D47+D50</f>
        <v>113000</v>
      </c>
      <c r="E57" s="317">
        <f>E10+E11+E13+E15+E17+E22+E29+E31+E37+E39+E40+E41+E45+E46+E47+E50</f>
        <v>0</v>
      </c>
      <c r="F57" s="332">
        <f>B57-C57-D57-E57</f>
        <v>9811798</v>
      </c>
      <c r="G57" s="305"/>
    </row>
    <row r="58" spans="1:7">
      <c r="A58" s="229"/>
      <c r="B58" s="229"/>
      <c r="C58" s="229"/>
      <c r="D58" s="229"/>
      <c r="E58" s="229"/>
      <c r="F58" s="229"/>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0966-5E1D-4355-B832-629169B852EC}">
  <dimension ref="A1:I58"/>
  <sheetViews>
    <sheetView workbookViewId="0">
      <selection activeCell="L68" sqref="L68"/>
    </sheetView>
  </sheetViews>
  <sheetFormatPr defaultColWidth="9.7265625" defaultRowHeight="15.5"/>
  <cols>
    <col min="1" max="1" width="27" style="1" customWidth="1"/>
    <col min="2" max="6" width="17.26953125" style="1" customWidth="1"/>
    <col min="7" max="7" width="3" style="1" customWidth="1"/>
    <col min="8" max="16384" width="9.7265625" style="1"/>
  </cols>
  <sheetData>
    <row r="1" spans="1:7" ht="16.5" customHeight="1">
      <c r="A1" s="7" t="s">
        <v>258</v>
      </c>
      <c r="B1" s="295"/>
    </row>
    <row r="2" spans="1:7" ht="16.5" customHeight="1">
      <c r="A2" s="7" t="s">
        <v>197</v>
      </c>
      <c r="B2" s="7"/>
    </row>
    <row r="3" spans="1:7" ht="16.5" customHeight="1">
      <c r="B3" s="7"/>
      <c r="F3" s="320"/>
    </row>
    <row r="4" spans="1:7" ht="20.25" customHeight="1">
      <c r="A4" s="321" t="s">
        <v>2</v>
      </c>
      <c r="B4" s="321"/>
      <c r="C4" s="321"/>
      <c r="D4" s="321"/>
      <c r="E4" s="321"/>
      <c r="F4" s="321"/>
    </row>
    <row r="5" spans="1:7" ht="20.25" customHeight="1">
      <c r="A5" s="322" t="s">
        <v>193</v>
      </c>
      <c r="B5" s="321"/>
      <c r="C5" s="321"/>
      <c r="D5" s="321"/>
      <c r="E5" s="321"/>
      <c r="F5" s="321"/>
    </row>
    <row r="6" spans="1:7" ht="30" customHeight="1" thickBot="1">
      <c r="A6" s="323" t="str">
        <f>[1]Status!A6</f>
        <v>As at 24/05/2024</v>
      </c>
      <c r="B6" s="321"/>
      <c r="C6" s="321"/>
      <c r="D6" s="321"/>
      <c r="E6" s="321"/>
      <c r="F6" s="321"/>
    </row>
    <row r="7" spans="1:7" ht="35.25" customHeight="1" thickBot="1">
      <c r="A7" s="298" t="s">
        <v>59</v>
      </c>
      <c r="B7" s="299" t="s">
        <v>60</v>
      </c>
      <c r="C7" s="299" t="s">
        <v>61</v>
      </c>
      <c r="D7" s="299" t="s">
        <v>62</v>
      </c>
      <c r="E7" s="299" t="s">
        <v>63</v>
      </c>
      <c r="F7" s="324" t="s">
        <v>64</v>
      </c>
      <c r="G7" s="301"/>
    </row>
    <row r="8" spans="1:7" ht="18" customHeight="1">
      <c r="A8" s="177" t="s">
        <v>124</v>
      </c>
      <c r="B8" s="333">
        <v>2482261</v>
      </c>
      <c r="C8" s="333">
        <f>1940246+288692</f>
        <v>2228938</v>
      </c>
      <c r="D8" s="333">
        <v>184023</v>
      </c>
      <c r="E8" s="333">
        <v>0</v>
      </c>
      <c r="F8" s="334">
        <f t="shared" ref="F8:F50" si="0">B8-C8-D8-E8</f>
        <v>69300</v>
      </c>
      <c r="G8" s="305"/>
    </row>
    <row r="9" spans="1:7" ht="18" customHeight="1">
      <c r="A9" s="12" t="s">
        <v>67</v>
      </c>
      <c r="B9" s="335">
        <v>1576118</v>
      </c>
      <c r="C9" s="335">
        <f>1437101+139017</f>
        <v>1576118</v>
      </c>
      <c r="D9" s="335">
        <v>0</v>
      </c>
      <c r="E9" s="335">
        <v>0</v>
      </c>
      <c r="F9" s="180">
        <f t="shared" si="0"/>
        <v>0</v>
      </c>
      <c r="G9" s="305"/>
    </row>
    <row r="10" spans="1:7" ht="18" customHeight="1">
      <c r="A10" s="185" t="s">
        <v>68</v>
      </c>
      <c r="B10" s="335">
        <v>36849</v>
      </c>
      <c r="C10" s="335"/>
      <c r="D10" s="335">
        <v>0</v>
      </c>
      <c r="E10" s="335">
        <v>0</v>
      </c>
      <c r="F10" s="180">
        <f t="shared" si="0"/>
        <v>36849</v>
      </c>
      <c r="G10" s="305"/>
    </row>
    <row r="11" spans="1:7" ht="18" customHeight="1">
      <c r="A11" s="12" t="s">
        <v>69</v>
      </c>
      <c r="B11" s="335">
        <v>137345</v>
      </c>
      <c r="C11" s="335">
        <v>0</v>
      </c>
      <c r="D11" s="335">
        <v>0</v>
      </c>
      <c r="E11" s="335">
        <v>0</v>
      </c>
      <c r="F11" s="180">
        <f t="shared" si="0"/>
        <v>137345</v>
      </c>
      <c r="G11" s="305"/>
    </row>
    <row r="12" spans="1:7" ht="18" customHeight="1">
      <c r="A12" s="12" t="s">
        <v>70</v>
      </c>
      <c r="B12" s="335">
        <v>1847459</v>
      </c>
      <c r="C12" s="335">
        <f>1710909+136550</f>
        <v>1847459</v>
      </c>
      <c r="D12" s="335">
        <v>0</v>
      </c>
      <c r="E12" s="335">
        <v>0</v>
      </c>
      <c r="F12" s="180">
        <f t="shared" si="0"/>
        <v>0</v>
      </c>
      <c r="G12" s="305"/>
    </row>
    <row r="13" spans="1:7" ht="18" customHeight="1">
      <c r="A13" s="12" t="s">
        <v>71</v>
      </c>
      <c r="B13" s="335">
        <v>31824</v>
      </c>
      <c r="C13" s="335">
        <f>31824</f>
        <v>31824</v>
      </c>
      <c r="D13" s="335">
        <v>0</v>
      </c>
      <c r="E13" s="335">
        <v>0</v>
      </c>
      <c r="F13" s="180">
        <f t="shared" si="0"/>
        <v>0</v>
      </c>
      <c r="G13" s="305"/>
    </row>
    <row r="14" spans="1:7" ht="18" customHeight="1">
      <c r="A14" s="12" t="s">
        <v>194</v>
      </c>
      <c r="B14" s="335">
        <v>4612784</v>
      </c>
      <c r="C14" s="335">
        <f>613066+3690228-828765+30</f>
        <v>3474559</v>
      </c>
      <c r="D14" s="335">
        <f>1138255-30</f>
        <v>1138225</v>
      </c>
      <c r="E14" s="335">
        <f>3690228-3619394-70834</f>
        <v>0</v>
      </c>
      <c r="F14" s="180">
        <f t="shared" si="0"/>
        <v>0</v>
      </c>
      <c r="G14" s="305"/>
    </row>
    <row r="15" spans="1:7" ht="18" customHeight="1">
      <c r="A15" s="12" t="s">
        <v>75</v>
      </c>
      <c r="B15" s="335">
        <v>202668</v>
      </c>
      <c r="C15" s="335">
        <f>202668</f>
        <v>202668</v>
      </c>
      <c r="D15" s="335">
        <v>0</v>
      </c>
      <c r="E15" s="335">
        <v>0</v>
      </c>
      <c r="F15" s="180">
        <f t="shared" si="0"/>
        <v>0</v>
      </c>
      <c r="G15" s="305"/>
    </row>
    <row r="16" spans="1:7" ht="18" customHeight="1">
      <c r="A16" s="12" t="s">
        <v>76</v>
      </c>
      <c r="B16" s="335">
        <v>1157383</v>
      </c>
      <c r="C16" s="335">
        <f>1157383</f>
        <v>1157383</v>
      </c>
      <c r="D16" s="335">
        <v>0</v>
      </c>
      <c r="E16" s="335">
        <v>0</v>
      </c>
      <c r="F16" s="180">
        <f t="shared" si="0"/>
        <v>0</v>
      </c>
      <c r="G16" s="305"/>
    </row>
    <row r="17" spans="1:9" ht="18" customHeight="1">
      <c r="A17" s="12" t="s">
        <v>77</v>
      </c>
      <c r="B17" s="335">
        <v>25124</v>
      </c>
      <c r="C17" s="335">
        <f>12735+12389</f>
        <v>25124</v>
      </c>
      <c r="D17" s="335">
        <v>0</v>
      </c>
      <c r="E17" s="335">
        <v>0</v>
      </c>
      <c r="F17" s="180">
        <f t="shared" si="0"/>
        <v>0</v>
      </c>
      <c r="G17" s="305"/>
    </row>
    <row r="18" spans="1:9" ht="18" customHeight="1">
      <c r="A18" s="12" t="s">
        <v>78</v>
      </c>
      <c r="B18" s="335">
        <v>907817</v>
      </c>
      <c r="C18" s="335">
        <f>840494+67323</f>
        <v>907817</v>
      </c>
      <c r="D18" s="335">
        <v>0</v>
      </c>
      <c r="E18" s="335">
        <v>0</v>
      </c>
      <c r="F18" s="180">
        <f t="shared" si="0"/>
        <v>0</v>
      </c>
      <c r="G18" s="305"/>
    </row>
    <row r="19" spans="1:9" ht="18" customHeight="1">
      <c r="A19" s="12" t="s">
        <v>79</v>
      </c>
      <c r="B19" s="335">
        <v>10954107</v>
      </c>
      <c r="C19" s="335">
        <f>9922239-116111+1156086</f>
        <v>10962214</v>
      </c>
      <c r="D19" s="335">
        <f>1187874-1156086</f>
        <v>31788</v>
      </c>
      <c r="E19" s="335">
        <f>9922239-116111-9806128</f>
        <v>0</v>
      </c>
      <c r="F19" s="180">
        <f t="shared" si="0"/>
        <v>-39895</v>
      </c>
      <c r="G19" s="305"/>
    </row>
    <row r="20" spans="1:9" ht="18" customHeight="1">
      <c r="A20" s="12" t="s">
        <v>80</v>
      </c>
      <c r="B20" s="335">
        <v>16427810</v>
      </c>
      <c r="C20" s="335">
        <f>547595+3833156-3+1095187.69+1095187.31+4504898</f>
        <v>11076021</v>
      </c>
      <c r="D20" s="335">
        <f>9856687-4504898</f>
        <v>5351789</v>
      </c>
      <c r="E20" s="335">
        <f>5662119-3471744-1095187.69-1095187.31</f>
        <v>0</v>
      </c>
      <c r="F20" s="180">
        <f t="shared" si="0"/>
        <v>0</v>
      </c>
      <c r="G20" s="305"/>
    </row>
    <row r="21" spans="1:9" ht="18" customHeight="1">
      <c r="A21" s="12" t="s">
        <v>81</v>
      </c>
      <c r="B21" s="335">
        <v>587904</v>
      </c>
      <c r="C21" s="335">
        <f>206840.61+431434.68</f>
        <v>638275.29</v>
      </c>
      <c r="D21" s="335">
        <v>0</v>
      </c>
      <c r="E21" s="335">
        <v>0</v>
      </c>
      <c r="F21" s="180">
        <f t="shared" si="0"/>
        <v>-50371.290000000037</v>
      </c>
      <c r="G21" s="305"/>
    </row>
    <row r="22" spans="1:9" ht="18" customHeight="1">
      <c r="A22" s="12" t="s">
        <v>83</v>
      </c>
      <c r="B22" s="335">
        <v>200993</v>
      </c>
      <c r="C22" s="335">
        <v>200993</v>
      </c>
      <c r="D22" s="335">
        <v>0</v>
      </c>
      <c r="E22" s="335">
        <v>0</v>
      </c>
      <c r="F22" s="180">
        <f t="shared" si="0"/>
        <v>0</v>
      </c>
      <c r="G22" s="305"/>
    </row>
    <row r="23" spans="1:9" ht="18" customHeight="1">
      <c r="A23" s="12" t="s">
        <v>84</v>
      </c>
      <c r="B23" s="335">
        <v>53598</v>
      </c>
      <c r="C23" s="335">
        <f>42916+10682</f>
        <v>53598</v>
      </c>
      <c r="D23" s="335">
        <v>0</v>
      </c>
      <c r="E23" s="335">
        <v>0</v>
      </c>
      <c r="F23" s="180">
        <f t="shared" si="0"/>
        <v>0</v>
      </c>
      <c r="G23" s="305"/>
    </row>
    <row r="24" spans="1:9" ht="18" customHeight="1">
      <c r="A24" s="12" t="s">
        <v>85</v>
      </c>
      <c r="B24" s="335">
        <v>375186</v>
      </c>
      <c r="C24" s="335">
        <f>307709+67477</f>
        <v>375186</v>
      </c>
      <c r="D24" s="335">
        <v>0</v>
      </c>
      <c r="E24" s="335">
        <v>0</v>
      </c>
      <c r="F24" s="180">
        <f t="shared" si="0"/>
        <v>0</v>
      </c>
      <c r="G24" s="305"/>
    </row>
    <row r="25" spans="1:9" ht="18" customHeight="1">
      <c r="A25" s="12" t="s">
        <v>86</v>
      </c>
      <c r="B25" s="335">
        <v>577854</v>
      </c>
      <c r="C25" s="335">
        <v>0</v>
      </c>
      <c r="D25" s="335">
        <f>108130-70024</f>
        <v>38106</v>
      </c>
      <c r="E25" s="335">
        <v>0</v>
      </c>
      <c r="F25" s="180">
        <f t="shared" si="0"/>
        <v>539748</v>
      </c>
      <c r="G25" s="305"/>
    </row>
    <row r="26" spans="1:9" ht="18" customHeight="1">
      <c r="A26" s="12" t="s">
        <v>87</v>
      </c>
      <c r="B26" s="335">
        <v>9098273</v>
      </c>
      <c r="C26" s="335">
        <f>6546820+466979+134474</f>
        <v>7148273</v>
      </c>
      <c r="D26" s="335">
        <f>1950000</f>
        <v>1950000</v>
      </c>
      <c r="E26" s="335">
        <v>0</v>
      </c>
      <c r="F26" s="180">
        <f t="shared" si="0"/>
        <v>0</v>
      </c>
      <c r="G26" s="305"/>
    </row>
    <row r="27" spans="1:9" ht="18" customHeight="1">
      <c r="A27" s="12" t="s">
        <v>88</v>
      </c>
      <c r="B27" s="335">
        <v>33471998</v>
      </c>
      <c r="C27" s="335">
        <f>33471998-(294247+218090)+1038.53+68816</f>
        <v>33029515.530000001</v>
      </c>
      <c r="D27" s="335">
        <f>294247+218090-1038.53-68816</f>
        <v>442482.47</v>
      </c>
      <c r="E27" s="335">
        <v>0</v>
      </c>
      <c r="F27" s="180">
        <f t="shared" si="0"/>
        <v>-1.1641532182693481E-9</v>
      </c>
      <c r="G27" s="305"/>
    </row>
    <row r="28" spans="1:9" customFormat="1">
      <c r="A28" s="12" t="s">
        <v>89</v>
      </c>
      <c r="B28" s="336">
        <v>0</v>
      </c>
      <c r="C28" s="335">
        <v>0</v>
      </c>
      <c r="D28" s="99"/>
      <c r="E28" s="99"/>
      <c r="F28" s="180">
        <f t="shared" si="0"/>
        <v>0</v>
      </c>
      <c r="H28" s="52"/>
      <c r="I28" s="52"/>
    </row>
    <row r="29" spans="1:9" ht="18" customHeight="1">
      <c r="A29" s="12" t="s">
        <v>91</v>
      </c>
      <c r="B29" s="335">
        <v>40199</v>
      </c>
      <c r="C29" s="335">
        <f>5996+34203</f>
        <v>40199</v>
      </c>
      <c r="D29" s="335">
        <v>0</v>
      </c>
      <c r="E29" s="335">
        <v>0</v>
      </c>
      <c r="F29" s="180">
        <f t="shared" si="0"/>
        <v>0</v>
      </c>
      <c r="G29" s="305"/>
    </row>
    <row r="30" spans="1:9" ht="18" customHeight="1">
      <c r="A30" s="12" t="s">
        <v>92</v>
      </c>
      <c r="B30" s="335">
        <v>10050</v>
      </c>
      <c r="C30" s="335">
        <f>10050</f>
        <v>10050</v>
      </c>
      <c r="D30" s="335">
        <v>0</v>
      </c>
      <c r="E30" s="335">
        <v>0</v>
      </c>
      <c r="F30" s="180">
        <f t="shared" si="0"/>
        <v>0</v>
      </c>
      <c r="G30" s="305"/>
    </row>
    <row r="31" spans="1:9" ht="18" customHeight="1">
      <c r="A31" s="12" t="s">
        <v>93</v>
      </c>
      <c r="B31" s="335">
        <v>36849</v>
      </c>
      <c r="C31" s="335"/>
      <c r="D31" s="335">
        <v>0</v>
      </c>
      <c r="E31" s="335">
        <v>0</v>
      </c>
      <c r="F31" s="180">
        <f t="shared" si="0"/>
        <v>36849</v>
      </c>
      <c r="G31" s="305"/>
    </row>
    <row r="32" spans="1:9" ht="18" customHeight="1">
      <c r="A32" s="12" t="s">
        <v>94</v>
      </c>
      <c r="B32" s="335">
        <v>113896</v>
      </c>
      <c r="C32" s="335">
        <f>100531+13365</f>
        <v>113896</v>
      </c>
      <c r="D32" s="335">
        <v>0</v>
      </c>
      <c r="E32" s="335">
        <v>0</v>
      </c>
      <c r="F32" s="180">
        <f t="shared" si="0"/>
        <v>0</v>
      </c>
      <c r="G32" s="305"/>
    </row>
    <row r="33" spans="1:7" ht="18" customHeight="1">
      <c r="A33" s="12" t="s">
        <v>96</v>
      </c>
      <c r="B33" s="335">
        <v>6700</v>
      </c>
      <c r="C33" s="335">
        <v>6680</v>
      </c>
      <c r="D33" s="335">
        <v>0</v>
      </c>
      <c r="E33" s="335">
        <v>0</v>
      </c>
      <c r="F33" s="180">
        <f t="shared" si="0"/>
        <v>20</v>
      </c>
      <c r="G33" s="305"/>
    </row>
    <row r="34" spans="1:7" ht="18" customHeight="1">
      <c r="A34" s="12" t="s">
        <v>97</v>
      </c>
      <c r="B34" s="335">
        <v>2731827</v>
      </c>
      <c r="C34" s="335">
        <f>2731827</f>
        <v>2731827</v>
      </c>
      <c r="D34" s="335">
        <v>0</v>
      </c>
      <c r="E34" s="335">
        <f>0</f>
        <v>0</v>
      </c>
      <c r="F34" s="180">
        <f t="shared" si="0"/>
        <v>0</v>
      </c>
      <c r="G34" s="305"/>
    </row>
    <row r="35" spans="1:7" ht="18" customHeight="1">
      <c r="A35" s="12" t="s">
        <v>98</v>
      </c>
      <c r="B35" s="335">
        <v>370162</v>
      </c>
      <c r="C35" s="335">
        <f>370162</f>
        <v>370162</v>
      </c>
      <c r="D35" s="335">
        <v>0</v>
      </c>
      <c r="E35" s="335">
        <v>0</v>
      </c>
      <c r="F35" s="180">
        <f t="shared" si="0"/>
        <v>0</v>
      </c>
      <c r="G35" s="305"/>
    </row>
    <row r="36" spans="1:7" ht="18" customHeight="1">
      <c r="A36" s="12" t="s">
        <v>99</v>
      </c>
      <c r="B36" s="335">
        <v>1021713</v>
      </c>
      <c r="C36" s="335">
        <f>1130258-108545</f>
        <v>1021713</v>
      </c>
      <c r="D36" s="335">
        <v>0</v>
      </c>
      <c r="E36" s="335">
        <v>0</v>
      </c>
      <c r="F36" s="180">
        <f t="shared" si="0"/>
        <v>0</v>
      </c>
      <c r="G36" s="305"/>
    </row>
    <row r="37" spans="1:7" ht="18" customHeight="1">
      <c r="A37" s="12" t="s">
        <v>101</v>
      </c>
      <c r="B37" s="335">
        <v>346712</v>
      </c>
      <c r="C37" s="335">
        <v>346712</v>
      </c>
      <c r="D37" s="335">
        <v>0</v>
      </c>
      <c r="E37" s="335">
        <v>0</v>
      </c>
      <c r="F37" s="180">
        <f t="shared" si="0"/>
        <v>0</v>
      </c>
      <c r="G37" s="305"/>
    </row>
    <row r="38" spans="1:7" ht="18" customHeight="1">
      <c r="A38" s="12" t="s">
        <v>102</v>
      </c>
      <c r="B38" s="335">
        <v>698450</v>
      </c>
      <c r="C38" s="335">
        <f>295744.68+63313.27+339392.05</f>
        <v>698450</v>
      </c>
      <c r="D38" s="335">
        <v>0</v>
      </c>
      <c r="E38" s="335">
        <v>0</v>
      </c>
      <c r="F38" s="180">
        <f t="shared" si="0"/>
        <v>0</v>
      </c>
      <c r="G38" s="305"/>
    </row>
    <row r="39" spans="1:7" ht="18" customHeight="1">
      <c r="A39" s="12" t="s">
        <v>104</v>
      </c>
      <c r="B39" s="335">
        <v>2490635</v>
      </c>
      <c r="C39" s="335">
        <v>0</v>
      </c>
      <c r="D39" s="335">
        <v>0</v>
      </c>
      <c r="E39" s="335">
        <v>0</v>
      </c>
      <c r="F39" s="180">
        <f t="shared" si="0"/>
        <v>2490635</v>
      </c>
      <c r="G39" s="305"/>
    </row>
    <row r="40" spans="1:7" ht="18" customHeight="1">
      <c r="A40" s="11" t="s">
        <v>107</v>
      </c>
      <c r="B40" s="335">
        <v>65323</v>
      </c>
      <c r="C40" s="335">
        <v>65323</v>
      </c>
      <c r="D40" s="335">
        <v>0</v>
      </c>
      <c r="E40" s="335">
        <v>0</v>
      </c>
      <c r="F40" s="180">
        <f t="shared" si="0"/>
        <v>0</v>
      </c>
      <c r="G40" s="305"/>
    </row>
    <row r="41" spans="1:7" ht="18" customHeight="1">
      <c r="A41" s="12" t="s">
        <v>108</v>
      </c>
      <c r="B41" s="335">
        <v>0</v>
      </c>
      <c r="C41" s="335">
        <v>0</v>
      </c>
      <c r="D41" s="335">
        <v>0</v>
      </c>
      <c r="E41" s="335">
        <v>0</v>
      </c>
      <c r="F41" s="180">
        <f t="shared" si="0"/>
        <v>0</v>
      </c>
      <c r="G41" s="305"/>
    </row>
    <row r="42" spans="1:7" ht="18" customHeight="1">
      <c r="A42" s="12" t="s">
        <v>110</v>
      </c>
      <c r="B42" s="335">
        <v>4336419</v>
      </c>
      <c r="C42" s="335">
        <f>4336419</f>
        <v>4336419</v>
      </c>
      <c r="D42" s="335">
        <v>0</v>
      </c>
      <c r="E42" s="335">
        <v>0</v>
      </c>
      <c r="F42" s="180">
        <f t="shared" si="0"/>
        <v>0</v>
      </c>
      <c r="G42" s="305"/>
    </row>
    <row r="43" spans="1:7" ht="18" customHeight="1">
      <c r="A43" s="12" t="s">
        <v>130</v>
      </c>
      <c r="B43" s="335">
        <v>1815635</v>
      </c>
      <c r="C43" s="337">
        <f>1165014+287559-43604</f>
        <v>1408969</v>
      </c>
      <c r="D43" s="337">
        <f>16950+163716+226000</f>
        <v>406666</v>
      </c>
      <c r="E43" s="335">
        <v>0</v>
      </c>
      <c r="F43" s="180">
        <f t="shared" si="0"/>
        <v>0</v>
      </c>
      <c r="G43" s="305"/>
    </row>
    <row r="44" spans="1:7" ht="18" customHeight="1">
      <c r="A44" s="12" t="s">
        <v>112</v>
      </c>
      <c r="B44" s="335">
        <v>2035052</v>
      </c>
      <c r="C44" s="335">
        <f>((125285)+(15034))+((1890699)+(4034))</f>
        <v>2035052</v>
      </c>
      <c r="D44" s="335">
        <v>0</v>
      </c>
      <c r="E44" s="335">
        <v>0</v>
      </c>
      <c r="F44" s="180">
        <f t="shared" si="0"/>
        <v>0</v>
      </c>
      <c r="G44" s="305"/>
    </row>
    <row r="45" spans="1:7" ht="18" customHeight="1">
      <c r="A45" s="12" t="s">
        <v>113</v>
      </c>
      <c r="B45" s="335">
        <v>8375</v>
      </c>
      <c r="C45" s="335">
        <v>0</v>
      </c>
      <c r="D45" s="335">
        <v>0</v>
      </c>
      <c r="E45" s="335">
        <v>0</v>
      </c>
      <c r="F45" s="180">
        <f t="shared" si="0"/>
        <v>8375</v>
      </c>
      <c r="G45" s="305"/>
    </row>
    <row r="46" spans="1:7" ht="18" customHeight="1">
      <c r="A46" s="12" t="s">
        <v>181</v>
      </c>
      <c r="B46" s="335">
        <v>13399</v>
      </c>
      <c r="C46" s="335">
        <v>0</v>
      </c>
      <c r="D46" s="335">
        <v>0</v>
      </c>
      <c r="E46" s="335">
        <v>0</v>
      </c>
      <c r="F46" s="180">
        <f t="shared" si="0"/>
        <v>13399</v>
      </c>
      <c r="G46" s="305"/>
    </row>
    <row r="47" spans="1:7" ht="18" customHeight="1">
      <c r="A47" s="12" t="s">
        <v>115</v>
      </c>
      <c r="B47" s="335">
        <v>505832</v>
      </c>
      <c r="C47" s="335">
        <v>0</v>
      </c>
      <c r="D47" s="335">
        <v>0</v>
      </c>
      <c r="E47" s="335">
        <v>0</v>
      </c>
      <c r="F47" s="180">
        <f t="shared" si="0"/>
        <v>505832</v>
      </c>
      <c r="G47" s="305"/>
    </row>
    <row r="48" spans="1:7" ht="18" customHeight="1">
      <c r="A48" s="12" t="s">
        <v>117</v>
      </c>
      <c r="B48" s="335">
        <v>8525444</v>
      </c>
      <c r="C48" s="335">
        <f>7420453+1104991</f>
        <v>8525444</v>
      </c>
      <c r="D48" s="335">
        <v>0</v>
      </c>
      <c r="E48" s="335">
        <f>8390119+135325-7420453-1104991</f>
        <v>0</v>
      </c>
      <c r="F48" s="180">
        <f t="shared" si="0"/>
        <v>0</v>
      </c>
      <c r="G48" s="305"/>
    </row>
    <row r="49" spans="1:7" ht="18" customHeight="1">
      <c r="A49" s="12" t="s">
        <v>118</v>
      </c>
      <c r="B49" s="335">
        <v>36666667</v>
      </c>
      <c r="C49" s="335">
        <f>28666667+5000000-2000000+3000000+2000000</f>
        <v>36666667</v>
      </c>
      <c r="D49" s="335">
        <v>0</v>
      </c>
      <c r="E49" s="335">
        <f>8000000-3000000-3000000-2000000</f>
        <v>0</v>
      </c>
      <c r="F49" s="180">
        <f t="shared" si="0"/>
        <v>0</v>
      </c>
      <c r="G49" s="305"/>
    </row>
    <row r="50" spans="1:7" ht="18" customHeight="1" thickBot="1">
      <c r="A50" s="191" t="s">
        <v>119</v>
      </c>
      <c r="B50" s="335">
        <v>61973</v>
      </c>
      <c r="C50" s="335">
        <v>0</v>
      </c>
      <c r="D50" s="335">
        <v>0</v>
      </c>
      <c r="E50" s="335">
        <v>0</v>
      </c>
      <c r="F50" s="338">
        <f t="shared" si="0"/>
        <v>61973</v>
      </c>
      <c r="G50" s="305"/>
    </row>
    <row r="51" spans="1:7" ht="20.25" customHeight="1" thickBot="1">
      <c r="A51" s="218" t="s">
        <v>122</v>
      </c>
      <c r="B51" s="13">
        <f>SUM(B8:B50)</f>
        <v>146666667</v>
      </c>
      <c r="C51" s="13">
        <f>SUM(C8:C50)</f>
        <v>133313528.81999999</v>
      </c>
      <c r="D51" s="13">
        <f>SUM(D8:D50)</f>
        <v>9543079.4700000007</v>
      </c>
      <c r="E51" s="13">
        <f>SUM(E8:E50)</f>
        <v>0</v>
      </c>
      <c r="F51" s="339">
        <f>SUM(F8:F50)</f>
        <v>3810058.709999999</v>
      </c>
      <c r="G51" s="305"/>
    </row>
    <row r="52" spans="1:7">
      <c r="A52" s="315"/>
      <c r="B52" s="229"/>
      <c r="C52" s="229"/>
      <c r="D52" s="229"/>
      <c r="E52" s="229"/>
      <c r="F52" s="229"/>
      <c r="G52" s="305"/>
    </row>
    <row r="53" spans="1:7">
      <c r="A53" s="315"/>
      <c r="B53" s="229"/>
      <c r="C53" s="229"/>
      <c r="D53" s="229"/>
      <c r="E53" s="229"/>
      <c r="F53" s="229"/>
      <c r="G53" s="305"/>
    </row>
    <row r="54" spans="1:7" ht="20.25" customHeight="1">
      <c r="A54" s="315"/>
      <c r="B54" s="229"/>
      <c r="C54" s="229"/>
      <c r="D54" s="229"/>
      <c r="E54" s="229"/>
      <c r="F54" s="229"/>
      <c r="G54" s="305"/>
    </row>
    <row r="56" spans="1:7" ht="16" thickBot="1">
      <c r="A56" s="229"/>
      <c r="B56" s="229"/>
      <c r="C56" s="229"/>
      <c r="D56" s="229"/>
      <c r="E56" s="229"/>
      <c r="F56" s="229"/>
      <c r="G56" s="305"/>
    </row>
    <row r="57" spans="1:7" ht="16.5" customHeight="1" thickBot="1">
      <c r="A57" s="316" t="s">
        <v>133</v>
      </c>
      <c r="B57" s="317">
        <f>B10+B11+B13+B15+B17+B22+B29+B31+B37+B39+B40+B41+B45+B46+B47+B50</f>
        <v>4204100</v>
      </c>
      <c r="C57" s="317">
        <f>C10+C11+C13+C15+C17+C22+C29+C31+C37+C39+C40+C41+C45+C46+C47+C50</f>
        <v>912843</v>
      </c>
      <c r="D57" s="317">
        <f>D10+D11+D13+D15+D17+D22+D29+D31+D37+D39+D40+D41+D45+D46+D47+D50</f>
        <v>0</v>
      </c>
      <c r="E57" s="317">
        <f>E10+E11+E13+E15+E17+E22+E29+E31+E37+E39+E40+E41+E45+E46+E47+E50</f>
        <v>0</v>
      </c>
      <c r="F57" s="332">
        <f>B57-C57-D57-E57</f>
        <v>3291257</v>
      </c>
      <c r="G57" s="305"/>
    </row>
    <row r="58" spans="1:7">
      <c r="G58" s="305"/>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9486-8CFA-4274-A9E9-A87140374CA6}">
  <dimension ref="A1:I58"/>
  <sheetViews>
    <sheetView topLeftCell="A13" workbookViewId="0">
      <selection activeCell="L68" sqref="L68"/>
    </sheetView>
  </sheetViews>
  <sheetFormatPr defaultColWidth="9.7265625" defaultRowHeight="15.5"/>
  <cols>
    <col min="1" max="1" width="27" style="1" customWidth="1"/>
    <col min="2" max="6" width="17.26953125" style="1" customWidth="1"/>
    <col min="7" max="7" width="3" style="1" customWidth="1"/>
    <col min="8" max="16384" width="9.7265625" style="1"/>
  </cols>
  <sheetData>
    <row r="1" spans="1:7" ht="16.5" customHeight="1">
      <c r="B1" s="295"/>
      <c r="F1" s="320" t="str">
        <f>[1]Status!C1</f>
        <v>UNEP/OzL.Pro/ExCom/94/3</v>
      </c>
    </row>
    <row r="2" spans="1:7" ht="16.5" customHeight="1">
      <c r="B2" s="7"/>
      <c r="F2" s="320" t="s">
        <v>199</v>
      </c>
    </row>
    <row r="3" spans="1:7" ht="16.5" customHeight="1">
      <c r="B3" s="7"/>
      <c r="F3" s="320"/>
    </row>
    <row r="4" spans="1:7" ht="20.25" customHeight="1">
      <c r="A4" s="321" t="s">
        <v>2</v>
      </c>
      <c r="B4" s="321"/>
      <c r="C4" s="321"/>
      <c r="D4" s="321"/>
      <c r="E4" s="321"/>
      <c r="F4" s="321"/>
    </row>
    <row r="5" spans="1:7" ht="20.25" customHeight="1">
      <c r="A5" s="322" t="s">
        <v>196</v>
      </c>
      <c r="B5" s="321"/>
      <c r="C5" s="321"/>
      <c r="D5" s="321"/>
      <c r="E5" s="321"/>
      <c r="F5" s="321"/>
    </row>
    <row r="6" spans="1:7" ht="30" customHeight="1" thickBot="1">
      <c r="A6" s="323" t="str">
        <f>[1]Status!A6</f>
        <v>As at 24/05/2024</v>
      </c>
      <c r="B6" s="321"/>
      <c r="C6" s="321"/>
      <c r="D6" s="321"/>
      <c r="E6" s="321"/>
      <c r="F6" s="321"/>
    </row>
    <row r="7" spans="1:7" ht="35.25" customHeight="1" thickBot="1">
      <c r="A7" s="298" t="s">
        <v>59</v>
      </c>
      <c r="B7" s="299" t="s">
        <v>60</v>
      </c>
      <c r="C7" s="299" t="s">
        <v>61</v>
      </c>
      <c r="D7" s="299" t="s">
        <v>62</v>
      </c>
      <c r="E7" s="299" t="s">
        <v>63</v>
      </c>
      <c r="F7" s="324" t="s">
        <v>64</v>
      </c>
      <c r="G7" s="301"/>
    </row>
    <row r="8" spans="1:7" ht="18" customHeight="1">
      <c r="A8" s="177" t="s">
        <v>124</v>
      </c>
      <c r="B8" s="333">
        <v>2482261</v>
      </c>
      <c r="C8" s="340">
        <f>(460687.78+7589+1198533.17+299694.38)+(26626.86+525.74+291846.06+68900.75)</f>
        <v>2354403.7400000002</v>
      </c>
      <c r="D8" s="333">
        <f>127857</f>
        <v>127857</v>
      </c>
      <c r="E8" s="333">
        <v>0</v>
      </c>
      <c r="F8" s="334">
        <f t="shared" ref="F8:F50" si="0">B8-C8-D8-E8</f>
        <v>0.25999999977648258</v>
      </c>
      <c r="G8" s="305"/>
    </row>
    <row r="9" spans="1:7" ht="18" customHeight="1">
      <c r="A9" s="12" t="s">
        <v>67</v>
      </c>
      <c r="B9" s="335">
        <v>1576118</v>
      </c>
      <c r="C9" s="335">
        <f>1344465+231653</f>
        <v>1576118</v>
      </c>
      <c r="D9" s="335">
        <v>0</v>
      </c>
      <c r="E9" s="335">
        <v>0</v>
      </c>
      <c r="F9" s="180">
        <f t="shared" si="0"/>
        <v>0</v>
      </c>
      <c r="G9" s="305"/>
    </row>
    <row r="10" spans="1:7" ht="18" customHeight="1">
      <c r="A10" s="185" t="s">
        <v>68</v>
      </c>
      <c r="B10" s="335">
        <v>36849</v>
      </c>
      <c r="C10" s="335"/>
      <c r="D10" s="335">
        <v>0</v>
      </c>
      <c r="E10" s="335">
        <v>0</v>
      </c>
      <c r="F10" s="180">
        <f t="shared" si="0"/>
        <v>36849</v>
      </c>
      <c r="G10" s="305"/>
    </row>
    <row r="11" spans="1:7" ht="18" customHeight="1">
      <c r="A11" s="12" t="s">
        <v>69</v>
      </c>
      <c r="B11" s="335">
        <v>137345</v>
      </c>
      <c r="C11" s="335">
        <v>0</v>
      </c>
      <c r="D11" s="335">
        <v>0</v>
      </c>
      <c r="E11" s="335">
        <v>0</v>
      </c>
      <c r="F11" s="180">
        <f t="shared" si="0"/>
        <v>137345</v>
      </c>
      <c r="G11" s="305"/>
    </row>
    <row r="12" spans="1:7" ht="18" customHeight="1">
      <c r="A12" s="12" t="s">
        <v>70</v>
      </c>
      <c r="B12" s="335">
        <v>1847459</v>
      </c>
      <c r="C12" s="335">
        <f>1527915+319544</f>
        <v>1847459</v>
      </c>
      <c r="D12" s="335">
        <v>0</v>
      </c>
      <c r="E12" s="335">
        <v>0</v>
      </c>
      <c r="F12" s="180">
        <f t="shared" si="0"/>
        <v>0</v>
      </c>
      <c r="G12" s="305"/>
    </row>
    <row r="13" spans="1:7" ht="18" customHeight="1">
      <c r="A13" s="12" t="s">
        <v>71</v>
      </c>
      <c r="B13" s="335">
        <v>31824</v>
      </c>
      <c r="C13" s="335">
        <f>31824</f>
        <v>31824</v>
      </c>
      <c r="D13" s="335">
        <v>0</v>
      </c>
      <c r="E13" s="335">
        <v>0</v>
      </c>
      <c r="F13" s="180">
        <f t="shared" si="0"/>
        <v>0</v>
      </c>
      <c r="G13" s="305"/>
    </row>
    <row r="14" spans="1:7" ht="18" customHeight="1">
      <c r="A14" s="12" t="s">
        <v>125</v>
      </c>
      <c r="B14" s="335">
        <v>4612784</v>
      </c>
      <c r="C14" s="335">
        <v>4218583</v>
      </c>
      <c r="D14" s="335">
        <v>394201</v>
      </c>
      <c r="E14" s="335">
        <v>0</v>
      </c>
      <c r="F14" s="180">
        <f t="shared" si="0"/>
        <v>0</v>
      </c>
      <c r="G14" s="305"/>
    </row>
    <row r="15" spans="1:7" ht="18" customHeight="1">
      <c r="A15" s="12" t="s">
        <v>75</v>
      </c>
      <c r="B15" s="335">
        <v>202668</v>
      </c>
      <c r="C15" s="335">
        <f>177050+25618</f>
        <v>202668</v>
      </c>
      <c r="D15" s="335">
        <v>0</v>
      </c>
      <c r="E15" s="335">
        <v>0</v>
      </c>
      <c r="F15" s="180">
        <f t="shared" si="0"/>
        <v>0</v>
      </c>
      <c r="G15" s="305"/>
    </row>
    <row r="16" spans="1:7" ht="18" customHeight="1">
      <c r="A16" s="12" t="s">
        <v>76</v>
      </c>
      <c r="B16" s="335">
        <v>1157383</v>
      </c>
      <c r="C16" s="335">
        <f>926551+230832</f>
        <v>1157383</v>
      </c>
      <c r="D16" s="335">
        <v>0</v>
      </c>
      <c r="E16" s="335">
        <v>0</v>
      </c>
      <c r="F16" s="180">
        <f t="shared" si="0"/>
        <v>0</v>
      </c>
      <c r="G16" s="305"/>
    </row>
    <row r="17" spans="1:9" ht="18" customHeight="1">
      <c r="A17" s="12" t="s">
        <v>77</v>
      </c>
      <c r="B17" s="335">
        <v>25124</v>
      </c>
      <c r="C17" s="335">
        <f>25124</f>
        <v>25124</v>
      </c>
      <c r="D17" s="335">
        <v>0</v>
      </c>
      <c r="E17" s="335">
        <v>0</v>
      </c>
      <c r="F17" s="180">
        <f t="shared" si="0"/>
        <v>0</v>
      </c>
      <c r="G17" s="305"/>
    </row>
    <row r="18" spans="1:9" ht="18" customHeight="1">
      <c r="A18" s="12" t="s">
        <v>78</v>
      </c>
      <c r="B18" s="335">
        <v>907817</v>
      </c>
      <c r="C18" s="335">
        <f>766321+141496</f>
        <v>907817</v>
      </c>
      <c r="D18" s="335">
        <v>0</v>
      </c>
      <c r="E18" s="335">
        <v>0</v>
      </c>
      <c r="F18" s="180">
        <f t="shared" si="0"/>
        <v>0</v>
      </c>
      <c r="G18" s="305"/>
    </row>
    <row r="19" spans="1:9" ht="18" customHeight="1">
      <c r="A19" s="12" t="s">
        <v>79</v>
      </c>
      <c r="B19" s="335">
        <v>10954107</v>
      </c>
      <c r="C19" s="335">
        <f>10392435+65076+12703</f>
        <v>10470214</v>
      </c>
      <c r="D19" s="335">
        <f>561672-65076-12703</f>
        <v>483893</v>
      </c>
      <c r="E19" s="335">
        <f>10392435-10392435</f>
        <v>0</v>
      </c>
      <c r="F19" s="180">
        <f t="shared" si="0"/>
        <v>0</v>
      </c>
      <c r="G19" s="305"/>
    </row>
    <row r="20" spans="1:9" ht="18" customHeight="1">
      <c r="A20" s="12" t="s">
        <v>80</v>
      </c>
      <c r="B20" s="335">
        <v>16427810</v>
      </c>
      <c r="C20" s="335">
        <f>16427810-2695672</f>
        <v>13732138</v>
      </c>
      <c r="D20" s="335">
        <v>2695672</v>
      </c>
      <c r="E20" s="335">
        <f>16427810-3821310-6645064-7127474+1166038</f>
        <v>0</v>
      </c>
      <c r="F20" s="180">
        <f>B20-C20-D20-E20</f>
        <v>0</v>
      </c>
      <c r="G20" s="305"/>
    </row>
    <row r="21" spans="1:9" ht="18" customHeight="1">
      <c r="A21" s="12" t="s">
        <v>81</v>
      </c>
      <c r="B21" s="335">
        <v>587904</v>
      </c>
      <c r="C21" s="335">
        <f>528756+19458+39690</f>
        <v>587904</v>
      </c>
      <c r="D21" s="335">
        <v>0</v>
      </c>
      <c r="E21" s="335">
        <v>0</v>
      </c>
      <c r="F21" s="180">
        <f t="shared" si="0"/>
        <v>0</v>
      </c>
      <c r="G21" s="305"/>
    </row>
    <row r="22" spans="1:9" ht="18" customHeight="1">
      <c r="A22" s="12" t="s">
        <v>83</v>
      </c>
      <c r="B22" s="335">
        <v>200993</v>
      </c>
      <c r="C22" s="335">
        <v>200993</v>
      </c>
      <c r="D22" s="335">
        <v>0</v>
      </c>
      <c r="E22" s="335">
        <v>0</v>
      </c>
      <c r="F22" s="180">
        <f t="shared" si="0"/>
        <v>0</v>
      </c>
      <c r="G22" s="305"/>
    </row>
    <row r="23" spans="1:9" ht="18" customHeight="1">
      <c r="A23" s="12" t="s">
        <v>84</v>
      </c>
      <c r="B23" s="335">
        <v>53598</v>
      </c>
      <c r="C23" s="335">
        <f>33594+20004</f>
        <v>53598</v>
      </c>
      <c r="D23" s="335">
        <v>0</v>
      </c>
      <c r="E23" s="335">
        <v>0</v>
      </c>
      <c r="F23" s="180">
        <f t="shared" si="0"/>
        <v>0</v>
      </c>
      <c r="G23" s="305"/>
    </row>
    <row r="24" spans="1:9" ht="18" customHeight="1">
      <c r="A24" s="12" t="s">
        <v>85</v>
      </c>
      <c r="B24" s="335">
        <v>375186</v>
      </c>
      <c r="C24" s="335">
        <f>307204+67982</f>
        <v>375186</v>
      </c>
      <c r="D24" s="335">
        <v>0</v>
      </c>
      <c r="E24" s="335">
        <v>0</v>
      </c>
      <c r="F24" s="180">
        <f t="shared" si="0"/>
        <v>0</v>
      </c>
      <c r="G24" s="305"/>
    </row>
    <row r="25" spans="1:9" ht="18" customHeight="1">
      <c r="A25" s="12" t="s">
        <v>86</v>
      </c>
      <c r="B25" s="335">
        <v>577854</v>
      </c>
      <c r="C25" s="335">
        <f>100000</f>
        <v>100000</v>
      </c>
      <c r="D25" s="335">
        <v>0</v>
      </c>
      <c r="E25" s="335">
        <v>0</v>
      </c>
      <c r="F25" s="180">
        <f t="shared" si="0"/>
        <v>477854</v>
      </c>
      <c r="G25" s="305"/>
    </row>
    <row r="26" spans="1:9" ht="18" customHeight="1">
      <c r="A26" s="12" t="s">
        <v>87</v>
      </c>
      <c r="B26" s="335">
        <v>9098273</v>
      </c>
      <c r="C26" s="335">
        <f>(5874936+1403682)+(247189+17632)+21193.92+2604.3+78451</f>
        <v>7645688.2199999997</v>
      </c>
      <c r="D26" s="335">
        <f>1414794+140040-21193.92-2604.3-78451</f>
        <v>1452584.78</v>
      </c>
      <c r="E26" s="335">
        <v>0</v>
      </c>
      <c r="F26" s="180">
        <f t="shared" si="0"/>
        <v>2.3283064365386963E-10</v>
      </c>
      <c r="G26" s="305"/>
    </row>
    <row r="27" spans="1:9" ht="18" customHeight="1">
      <c r="A27" s="12" t="s">
        <v>88</v>
      </c>
      <c r="B27" s="335">
        <v>33471998</v>
      </c>
      <c r="C27" s="335">
        <f>33304193-84750+19542</f>
        <v>33238985</v>
      </c>
      <c r="D27" s="335">
        <f>148500+19305+(75000*1.13)-19542</f>
        <v>233013</v>
      </c>
      <c r="E27" s="335">
        <v>0</v>
      </c>
      <c r="F27" s="180">
        <f t="shared" si="0"/>
        <v>0</v>
      </c>
      <c r="G27" s="305"/>
    </row>
    <row r="28" spans="1:9" customFormat="1">
      <c r="A28" s="25" t="s">
        <v>89</v>
      </c>
      <c r="B28" s="119"/>
      <c r="C28" s="45">
        <v>0</v>
      </c>
      <c r="D28" s="99"/>
      <c r="E28" s="99"/>
      <c r="F28" s="180">
        <f t="shared" si="0"/>
        <v>0</v>
      </c>
      <c r="H28" s="52"/>
      <c r="I28" s="52"/>
    </row>
    <row r="29" spans="1:9" ht="18" customHeight="1">
      <c r="A29" s="12" t="s">
        <v>91</v>
      </c>
      <c r="B29" s="335">
        <v>40199</v>
      </c>
      <c r="C29" s="335">
        <f>6495+33704</f>
        <v>40199</v>
      </c>
      <c r="D29" s="335">
        <v>0</v>
      </c>
      <c r="E29" s="335">
        <v>0</v>
      </c>
      <c r="F29" s="180">
        <f t="shared" si="0"/>
        <v>0</v>
      </c>
      <c r="G29" s="305"/>
    </row>
    <row r="30" spans="1:9" ht="18" customHeight="1">
      <c r="A30" s="12" t="s">
        <v>92</v>
      </c>
      <c r="B30" s="335">
        <v>10050</v>
      </c>
      <c r="C30" s="335">
        <f>10050</f>
        <v>10050</v>
      </c>
      <c r="D30" s="335">
        <v>0</v>
      </c>
      <c r="E30" s="335">
        <v>0</v>
      </c>
      <c r="F30" s="180">
        <f t="shared" si="0"/>
        <v>0</v>
      </c>
      <c r="G30" s="305"/>
    </row>
    <row r="31" spans="1:9" ht="18" customHeight="1">
      <c r="A31" s="12" t="s">
        <v>93</v>
      </c>
      <c r="B31" s="335">
        <v>36849</v>
      </c>
      <c r="C31" s="335"/>
      <c r="D31" s="335">
        <v>0</v>
      </c>
      <c r="E31" s="335">
        <v>0</v>
      </c>
      <c r="F31" s="180">
        <f t="shared" si="0"/>
        <v>36849</v>
      </c>
      <c r="G31" s="305"/>
    </row>
    <row r="32" spans="1:9" ht="18" customHeight="1">
      <c r="A32" s="12" t="s">
        <v>94</v>
      </c>
      <c r="B32" s="335">
        <v>113896</v>
      </c>
      <c r="C32" s="335">
        <f>92844+21052</f>
        <v>113896</v>
      </c>
      <c r="D32" s="335">
        <v>0</v>
      </c>
      <c r="E32" s="335">
        <v>0</v>
      </c>
      <c r="F32" s="180">
        <f t="shared" si="0"/>
        <v>0</v>
      </c>
      <c r="G32" s="305"/>
    </row>
    <row r="33" spans="1:7" ht="18" customHeight="1">
      <c r="A33" s="12" t="s">
        <v>96</v>
      </c>
      <c r="B33" s="335">
        <v>6700</v>
      </c>
      <c r="C33" s="335">
        <f>6700</f>
        <v>6700</v>
      </c>
      <c r="D33" s="335">
        <v>0</v>
      </c>
      <c r="E33" s="335">
        <v>0</v>
      </c>
      <c r="F33" s="180">
        <f t="shared" si="0"/>
        <v>0</v>
      </c>
      <c r="G33" s="305"/>
    </row>
    <row r="34" spans="1:7" ht="18" customHeight="1">
      <c r="A34" s="12" t="s">
        <v>97</v>
      </c>
      <c r="B34" s="335">
        <v>2731827</v>
      </c>
      <c r="C34" s="335">
        <f>2731827</f>
        <v>2731827</v>
      </c>
      <c r="D34" s="335">
        <v>0</v>
      </c>
      <c r="E34" s="335">
        <v>0</v>
      </c>
      <c r="F34" s="180">
        <f t="shared" si="0"/>
        <v>0</v>
      </c>
      <c r="G34" s="305"/>
    </row>
    <row r="35" spans="1:7" ht="18" customHeight="1">
      <c r="A35" s="12" t="s">
        <v>98</v>
      </c>
      <c r="B35" s="335">
        <v>370162</v>
      </c>
      <c r="C35" s="335">
        <f>(57219+289678)+(8288+14977)</f>
        <v>370162</v>
      </c>
      <c r="D35" s="335">
        <v>0</v>
      </c>
      <c r="E35" s="335">
        <v>0</v>
      </c>
      <c r="F35" s="180">
        <f t="shared" si="0"/>
        <v>0</v>
      </c>
      <c r="G35" s="305"/>
    </row>
    <row r="36" spans="1:7" ht="18" customHeight="1">
      <c r="A36" s="12" t="s">
        <v>99</v>
      </c>
      <c r="B36" s="335">
        <v>1021713</v>
      </c>
      <c r="C36" s="335">
        <f>878286+143427</f>
        <v>1021713</v>
      </c>
      <c r="D36" s="335">
        <v>0</v>
      </c>
      <c r="E36" s="335">
        <v>0</v>
      </c>
      <c r="F36" s="180">
        <f t="shared" si="0"/>
        <v>0</v>
      </c>
      <c r="G36" s="305"/>
    </row>
    <row r="37" spans="1:7" ht="18" customHeight="1">
      <c r="A37" s="12" t="s">
        <v>101</v>
      </c>
      <c r="B37" s="335">
        <v>346712</v>
      </c>
      <c r="C37" s="335">
        <f>74930+158782</f>
        <v>233712</v>
      </c>
      <c r="D37" s="335">
        <f>100000+13000</f>
        <v>113000</v>
      </c>
      <c r="E37" s="335">
        <v>0</v>
      </c>
      <c r="F37" s="180">
        <f t="shared" si="0"/>
        <v>0</v>
      </c>
      <c r="G37" s="305"/>
    </row>
    <row r="38" spans="1:7" ht="18" customHeight="1">
      <c r="A38" s="12" t="s">
        <v>102</v>
      </c>
      <c r="B38" s="335">
        <v>698450</v>
      </c>
      <c r="C38" s="335">
        <f>(549077+113496)+(29343+6534)</f>
        <v>698450</v>
      </c>
      <c r="D38" s="335">
        <v>0</v>
      </c>
      <c r="E38" s="335">
        <v>0</v>
      </c>
      <c r="F38" s="180">
        <f t="shared" si="0"/>
        <v>0</v>
      </c>
      <c r="G38" s="305"/>
    </row>
    <row r="39" spans="1:7" ht="18" customHeight="1">
      <c r="A39" s="12" t="s">
        <v>104</v>
      </c>
      <c r="B39" s="335">
        <v>2490635</v>
      </c>
      <c r="C39" s="335">
        <v>0</v>
      </c>
      <c r="D39" s="335">
        <v>0</v>
      </c>
      <c r="E39" s="335">
        <v>0</v>
      </c>
      <c r="F39" s="180">
        <f t="shared" si="0"/>
        <v>2490635</v>
      </c>
      <c r="G39" s="305"/>
    </row>
    <row r="40" spans="1:7" ht="18" customHeight="1">
      <c r="A40" s="11" t="s">
        <v>107</v>
      </c>
      <c r="B40" s="335">
        <v>65323</v>
      </c>
      <c r="C40" s="335">
        <f>65323</f>
        <v>65323</v>
      </c>
      <c r="D40" s="335">
        <v>0</v>
      </c>
      <c r="E40" s="335">
        <v>0</v>
      </c>
      <c r="F40" s="180">
        <f t="shared" si="0"/>
        <v>0</v>
      </c>
      <c r="G40" s="305"/>
    </row>
    <row r="41" spans="1:7" ht="18" customHeight="1">
      <c r="A41" s="12" t="s">
        <v>108</v>
      </c>
      <c r="B41" s="335">
        <v>0</v>
      </c>
      <c r="C41" s="335">
        <v>0</v>
      </c>
      <c r="D41" s="335">
        <v>0</v>
      </c>
      <c r="E41" s="335">
        <v>0</v>
      </c>
      <c r="F41" s="180">
        <f t="shared" si="0"/>
        <v>0</v>
      </c>
      <c r="G41" s="305"/>
    </row>
    <row r="42" spans="1:7" ht="18" customHeight="1">
      <c r="A42" s="12" t="s">
        <v>110</v>
      </c>
      <c r="B42" s="335">
        <v>4336419</v>
      </c>
      <c r="C42" s="335">
        <f>4336419</f>
        <v>4336419</v>
      </c>
      <c r="D42" s="335">
        <v>0</v>
      </c>
      <c r="E42" s="335">
        <v>0</v>
      </c>
      <c r="F42" s="180">
        <f t="shared" si="0"/>
        <v>0</v>
      </c>
      <c r="G42" s="305"/>
    </row>
    <row r="43" spans="1:7" ht="18" customHeight="1">
      <c r="A43" s="12" t="s">
        <v>130</v>
      </c>
      <c r="B43" s="335">
        <v>1815635</v>
      </c>
      <c r="C43" s="335">
        <f>1173786+278787+58062</f>
        <v>1510635</v>
      </c>
      <c r="D43" s="335">
        <f>305000+0</f>
        <v>305000</v>
      </c>
      <c r="E43" s="335">
        <v>0</v>
      </c>
      <c r="F43" s="180">
        <f t="shared" si="0"/>
        <v>0</v>
      </c>
      <c r="G43" s="305"/>
    </row>
    <row r="44" spans="1:7" ht="18" customHeight="1">
      <c r="A44" s="12" t="s">
        <v>112</v>
      </c>
      <c r="B44" s="335">
        <v>2035052</v>
      </c>
      <c r="C44" s="335">
        <f>(69828+1746976)+(10172+136846)</f>
        <v>1963822</v>
      </c>
      <c r="D44" s="335">
        <f>71230</f>
        <v>71230</v>
      </c>
      <c r="E44" s="335">
        <v>0</v>
      </c>
      <c r="F44" s="180">
        <f t="shared" si="0"/>
        <v>0</v>
      </c>
      <c r="G44" s="305"/>
    </row>
    <row r="45" spans="1:7" ht="18" customHeight="1">
      <c r="A45" s="12" t="s">
        <v>113</v>
      </c>
      <c r="B45" s="335">
        <v>8375</v>
      </c>
      <c r="C45" s="335">
        <v>0</v>
      </c>
      <c r="D45" s="335">
        <v>0</v>
      </c>
      <c r="E45" s="335">
        <v>0</v>
      </c>
      <c r="F45" s="180">
        <f t="shared" si="0"/>
        <v>8375</v>
      </c>
      <c r="G45" s="305"/>
    </row>
    <row r="46" spans="1:7" ht="18" customHeight="1">
      <c r="A46" s="12" t="s">
        <v>181</v>
      </c>
      <c r="B46" s="335">
        <v>13399</v>
      </c>
      <c r="C46" s="335">
        <v>0</v>
      </c>
      <c r="D46" s="335">
        <v>0</v>
      </c>
      <c r="E46" s="335">
        <v>0</v>
      </c>
      <c r="F46" s="180">
        <f t="shared" si="0"/>
        <v>13399</v>
      </c>
      <c r="G46" s="305"/>
    </row>
    <row r="47" spans="1:7" ht="18" customHeight="1">
      <c r="A47" s="12" t="s">
        <v>115</v>
      </c>
      <c r="B47" s="335">
        <v>505832</v>
      </c>
      <c r="C47" s="335">
        <v>0</v>
      </c>
      <c r="D47" s="335">
        <v>0</v>
      </c>
      <c r="E47" s="335">
        <v>0</v>
      </c>
      <c r="F47" s="180">
        <f t="shared" si="0"/>
        <v>505832</v>
      </c>
      <c r="G47" s="305"/>
    </row>
    <row r="48" spans="1:7" ht="18" customHeight="1">
      <c r="A48" s="12" t="s">
        <v>117</v>
      </c>
      <c r="B48" s="335">
        <v>8525444</v>
      </c>
      <c r="C48" s="335">
        <f>1247708+1393507+173200+27401+5683628</f>
        <v>8525444</v>
      </c>
      <c r="D48" s="335">
        <v>0</v>
      </c>
      <c r="E48" s="335">
        <f>5593411+90217-5683628</f>
        <v>0</v>
      </c>
      <c r="F48" s="180">
        <f t="shared" si="0"/>
        <v>0</v>
      </c>
      <c r="G48" s="305"/>
    </row>
    <row r="49" spans="1:7" ht="18" customHeight="1">
      <c r="A49" s="12" t="s">
        <v>118</v>
      </c>
      <c r="B49" s="335">
        <v>36666667</v>
      </c>
      <c r="C49" s="335">
        <f>23125139-10159473+1406865+575861+12142475+3575800+3000000+3000000</f>
        <v>36666667</v>
      </c>
      <c r="D49" s="335">
        <v>0</v>
      </c>
      <c r="E49" s="335">
        <f>3000000-3000000</f>
        <v>0</v>
      </c>
      <c r="F49" s="180">
        <f t="shared" si="0"/>
        <v>0</v>
      </c>
      <c r="G49" s="305"/>
    </row>
    <row r="50" spans="1:7" ht="18" customHeight="1" thickBot="1">
      <c r="A50" s="191" t="s">
        <v>119</v>
      </c>
      <c r="B50" s="335">
        <v>61973</v>
      </c>
      <c r="C50" s="309">
        <v>0</v>
      </c>
      <c r="D50" s="335">
        <v>0</v>
      </c>
      <c r="E50" s="335">
        <v>0</v>
      </c>
      <c r="F50" s="338">
        <f t="shared" si="0"/>
        <v>61973</v>
      </c>
      <c r="G50" s="305"/>
    </row>
    <row r="51" spans="1:7" ht="20.25" customHeight="1" thickBot="1">
      <c r="A51" s="218" t="s">
        <v>122</v>
      </c>
      <c r="B51" s="13">
        <f>SUM(B8:B50)</f>
        <v>146666667</v>
      </c>
      <c r="C51" s="13">
        <f>SUM(C8:C50)</f>
        <v>137021104.96000001</v>
      </c>
      <c r="D51" s="13">
        <f>SUM(D8:D50)</f>
        <v>5876450.7800000003</v>
      </c>
      <c r="E51" s="13">
        <f>SUM(E8:E50)</f>
        <v>0</v>
      </c>
      <c r="F51" s="339">
        <f>SUM(F8:F50)</f>
        <v>3769111.26</v>
      </c>
      <c r="G51" s="305"/>
    </row>
    <row r="52" spans="1:7">
      <c r="A52" s="315"/>
      <c r="B52" s="229"/>
      <c r="C52" s="229"/>
      <c r="D52" s="229"/>
      <c r="E52" s="229"/>
      <c r="F52" s="229"/>
      <c r="G52" s="305"/>
    </row>
    <row r="53" spans="1:7">
      <c r="A53" s="315"/>
      <c r="B53" s="229"/>
      <c r="C53" s="229"/>
      <c r="D53" s="229"/>
      <c r="E53" s="229"/>
      <c r="F53" s="229"/>
      <c r="G53" s="305"/>
    </row>
    <row r="54" spans="1:7">
      <c r="A54" s="315"/>
      <c r="B54" s="229"/>
      <c r="C54" s="229"/>
      <c r="D54" s="229"/>
      <c r="E54" s="229"/>
      <c r="F54" s="229"/>
      <c r="G54" s="305"/>
    </row>
    <row r="56" spans="1:7" ht="16" thickBot="1">
      <c r="A56" s="229"/>
      <c r="B56" s="229"/>
      <c r="C56" s="229"/>
      <c r="D56" s="229"/>
      <c r="E56" s="229"/>
      <c r="F56" s="229"/>
      <c r="G56" s="305"/>
    </row>
    <row r="57" spans="1:7" ht="16.5" customHeight="1" thickBot="1">
      <c r="A57" s="316" t="s">
        <v>133</v>
      </c>
      <c r="B57" s="317">
        <f>B10+B11+B13+B15+B17+B22+B29+B31+B37+B39+B40+B41+B45+B46+B47+B50</f>
        <v>4204100</v>
      </c>
      <c r="C57" s="317">
        <f>C10+C11+C13+C15+C17+C22+C29+C31+C37+C39+C40+C41+C45+C46+C47+C50</f>
        <v>799843</v>
      </c>
      <c r="D57" s="317">
        <f>D10+D11+D13+D15+D17+D22+D29+D31+D37+D39+D40+D41+D45+D46+D47+D50</f>
        <v>113000</v>
      </c>
      <c r="E57" s="317">
        <f>E10+E11+E13+E15+E17+E22+E29+E31+E37+E39+E40+E41+E45+E46+E47+E50</f>
        <v>0</v>
      </c>
      <c r="F57" s="317">
        <f>F10+F11+F13+F15+F17+F22+F29+F31+F37+F39+F40+F41+F45+F46+F47+F50</f>
        <v>3291257</v>
      </c>
      <c r="G57" s="305"/>
    </row>
    <row r="58" spans="1:7">
      <c r="G58" s="305"/>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2650-60FB-4BCF-8019-CB3650F3CEF2}">
  <dimension ref="A1:K57"/>
  <sheetViews>
    <sheetView topLeftCell="A34" workbookViewId="0">
      <selection activeCell="L68" sqref="L68"/>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3" style="1" customWidth="1"/>
    <col min="8" max="16384" width="9.7265625" style="1"/>
  </cols>
  <sheetData>
    <row r="1" spans="1:7" ht="16.5" customHeight="1">
      <c r="A1" s="7" t="str">
        <f>[1]Status!C1</f>
        <v>UNEP/OzL.Pro/ExCom/94/3</v>
      </c>
      <c r="B1" s="295"/>
    </row>
    <row r="2" spans="1:7" ht="16.5" customHeight="1">
      <c r="A2" s="7" t="s">
        <v>207</v>
      </c>
      <c r="B2" s="7"/>
    </row>
    <row r="3" spans="1:7" ht="16.5" customHeight="1">
      <c r="B3" s="7"/>
      <c r="F3" s="320"/>
    </row>
    <row r="4" spans="1:7" ht="20.25" customHeight="1">
      <c r="A4" s="321" t="s">
        <v>2</v>
      </c>
      <c r="B4" s="321"/>
      <c r="C4" s="321"/>
      <c r="D4" s="321"/>
      <c r="E4" s="321"/>
      <c r="F4" s="321"/>
    </row>
    <row r="5" spans="1:7" ht="20.25" customHeight="1">
      <c r="A5" s="322" t="s">
        <v>198</v>
      </c>
      <c r="B5" s="321"/>
      <c r="C5" s="321"/>
      <c r="D5" s="321"/>
      <c r="E5" s="321"/>
      <c r="F5" s="321"/>
    </row>
    <row r="6" spans="1:7" ht="30" customHeight="1" thickBot="1">
      <c r="A6" s="323" t="str">
        <f>[1]Status!A6</f>
        <v>As at 24/05/2024</v>
      </c>
      <c r="B6" s="321"/>
      <c r="C6" s="321"/>
      <c r="D6" s="321"/>
      <c r="E6" s="321"/>
      <c r="F6" s="321"/>
    </row>
    <row r="7" spans="1:7" ht="35.25" customHeight="1" thickBot="1">
      <c r="A7" s="298" t="s">
        <v>59</v>
      </c>
      <c r="B7" s="299" t="s">
        <v>60</v>
      </c>
      <c r="C7" s="299" t="s">
        <v>61</v>
      </c>
      <c r="D7" s="299" t="s">
        <v>62</v>
      </c>
      <c r="E7" s="299" t="s">
        <v>63</v>
      </c>
      <c r="F7" s="324" t="s">
        <v>64</v>
      </c>
      <c r="G7" s="301"/>
    </row>
    <row r="8" spans="1:7" ht="18" customHeight="1">
      <c r="A8" s="177" t="s">
        <v>124</v>
      </c>
      <c r="B8" s="333">
        <v>2482261</v>
      </c>
      <c r="C8" s="333">
        <f>2114355.37+122205.63+24100</f>
        <v>2260661</v>
      </c>
      <c r="D8" s="333">
        <f>245700-24100</f>
        <v>221600</v>
      </c>
      <c r="E8" s="333">
        <v>0</v>
      </c>
      <c r="F8" s="334">
        <f t="shared" ref="F8:F49" si="0">+B8-C8-D8-E8</f>
        <v>0</v>
      </c>
      <c r="G8" s="305"/>
    </row>
    <row r="9" spans="1:7" ht="18" customHeight="1">
      <c r="A9" s="12" t="s">
        <v>67</v>
      </c>
      <c r="B9" s="335">
        <v>1576118</v>
      </c>
      <c r="C9" s="335">
        <f>1275385+300733</f>
        <v>1576118</v>
      </c>
      <c r="D9" s="335">
        <v>0</v>
      </c>
      <c r="E9" s="335">
        <v>0</v>
      </c>
      <c r="F9" s="180">
        <f t="shared" si="0"/>
        <v>0</v>
      </c>
      <c r="G9" s="305"/>
    </row>
    <row r="10" spans="1:7" ht="18" customHeight="1">
      <c r="A10" s="185" t="s">
        <v>68</v>
      </c>
      <c r="B10" s="335">
        <v>36849</v>
      </c>
      <c r="C10" s="335"/>
      <c r="D10" s="335">
        <v>0</v>
      </c>
      <c r="E10" s="335">
        <v>0</v>
      </c>
      <c r="F10" s="180">
        <f t="shared" si="0"/>
        <v>36849</v>
      </c>
      <c r="G10" s="305"/>
    </row>
    <row r="11" spans="1:7" ht="18" customHeight="1">
      <c r="A11" s="12" t="s">
        <v>69</v>
      </c>
      <c r="B11" s="335">
        <v>137345</v>
      </c>
      <c r="C11" s="335">
        <v>0</v>
      </c>
      <c r="D11" s="335">
        <v>0</v>
      </c>
      <c r="E11" s="335">
        <v>0</v>
      </c>
      <c r="F11" s="180">
        <f t="shared" si="0"/>
        <v>137345</v>
      </c>
      <c r="G11" s="305"/>
    </row>
    <row r="12" spans="1:7" ht="18" customHeight="1">
      <c r="A12" s="12" t="s">
        <v>70</v>
      </c>
      <c r="B12" s="335">
        <v>1847459</v>
      </c>
      <c r="C12" s="335">
        <f>1564829+282630</f>
        <v>1847459</v>
      </c>
      <c r="D12" s="335">
        <v>0</v>
      </c>
      <c r="E12" s="335">
        <v>0</v>
      </c>
      <c r="F12" s="180">
        <f t="shared" si="0"/>
        <v>0</v>
      </c>
      <c r="G12" s="305"/>
    </row>
    <row r="13" spans="1:7" ht="18" customHeight="1">
      <c r="A13" s="12" t="s">
        <v>71</v>
      </c>
      <c r="B13" s="335">
        <v>31824</v>
      </c>
      <c r="C13" s="335">
        <v>31824</v>
      </c>
      <c r="D13" s="335">
        <v>0</v>
      </c>
      <c r="E13" s="335">
        <v>0</v>
      </c>
      <c r="F13" s="180">
        <f t="shared" si="0"/>
        <v>0</v>
      </c>
      <c r="G13" s="305"/>
    </row>
    <row r="14" spans="1:7" ht="18" customHeight="1">
      <c r="A14" s="12" t="s">
        <v>125</v>
      </c>
      <c r="B14" s="335">
        <v>4612784</v>
      </c>
      <c r="C14" s="335">
        <f>3648666+175291</f>
        <v>3823957</v>
      </c>
      <c r="D14" s="335">
        <v>788827</v>
      </c>
      <c r="E14" s="335">
        <v>0</v>
      </c>
      <c r="F14" s="180">
        <f t="shared" si="0"/>
        <v>0</v>
      </c>
      <c r="G14" s="305"/>
    </row>
    <row r="15" spans="1:7" ht="18" customHeight="1">
      <c r="A15" s="12" t="s">
        <v>75</v>
      </c>
      <c r="B15" s="335">
        <v>202668</v>
      </c>
      <c r="C15" s="335">
        <f>188771+13897</f>
        <v>202668</v>
      </c>
      <c r="D15" s="335">
        <v>0</v>
      </c>
      <c r="E15" s="335">
        <v>0</v>
      </c>
      <c r="F15" s="180">
        <f t="shared" si="0"/>
        <v>0</v>
      </c>
      <c r="G15" s="305"/>
    </row>
    <row r="16" spans="1:7" ht="18" customHeight="1">
      <c r="A16" s="12" t="s">
        <v>76</v>
      </c>
      <c r="B16" s="335">
        <v>1157383</v>
      </c>
      <c r="C16" s="335">
        <f>1019235+138148</f>
        <v>1157383</v>
      </c>
      <c r="D16" s="335">
        <v>0</v>
      </c>
      <c r="E16" s="335">
        <v>0</v>
      </c>
      <c r="F16" s="180">
        <f>+B16-C16-D16-E16</f>
        <v>0</v>
      </c>
      <c r="G16" s="305"/>
    </row>
    <row r="17" spans="1:7" ht="18" customHeight="1">
      <c r="A17" s="12" t="s">
        <v>77</v>
      </c>
      <c r="B17" s="335">
        <v>25124</v>
      </c>
      <c r="C17" s="335">
        <v>25124</v>
      </c>
      <c r="D17" s="335">
        <v>0</v>
      </c>
      <c r="E17" s="335">
        <v>0</v>
      </c>
      <c r="F17" s="180">
        <f t="shared" si="0"/>
        <v>0</v>
      </c>
      <c r="G17" s="305"/>
    </row>
    <row r="18" spans="1:7" ht="18" customHeight="1">
      <c r="A18" s="12" t="s">
        <v>78</v>
      </c>
      <c r="B18" s="335">
        <v>907817</v>
      </c>
      <c r="C18" s="335">
        <f>791927+115890</f>
        <v>907817</v>
      </c>
      <c r="D18" s="335">
        <v>0</v>
      </c>
      <c r="E18" s="335">
        <v>0</v>
      </c>
      <c r="F18" s="180">
        <f t="shared" si="0"/>
        <v>0</v>
      </c>
      <c r="G18" s="305"/>
    </row>
    <row r="19" spans="1:7" ht="18" customHeight="1">
      <c r="A19" s="12" t="s">
        <v>79</v>
      </c>
      <c r="B19" s="335">
        <v>10954107</v>
      </c>
      <c r="C19" s="335">
        <f>10694928-5270</f>
        <v>10689658</v>
      </c>
      <c r="D19" s="335">
        <v>259179</v>
      </c>
      <c r="E19" s="335">
        <f>10694928-10694928</f>
        <v>0</v>
      </c>
      <c r="F19" s="180">
        <f t="shared" si="0"/>
        <v>5270</v>
      </c>
      <c r="G19" s="305"/>
    </row>
    <row r="20" spans="1:7" ht="18" customHeight="1">
      <c r="A20" s="12" t="s">
        <v>80</v>
      </c>
      <c r="B20" s="335">
        <v>16427810</v>
      </c>
      <c r="C20" s="335">
        <f>16427810-3171857</f>
        <v>13255953</v>
      </c>
      <c r="D20" s="335">
        <v>3171857</v>
      </c>
      <c r="E20" s="335">
        <v>0</v>
      </c>
      <c r="F20" s="180">
        <f t="shared" si="0"/>
        <v>0</v>
      </c>
      <c r="G20" s="305"/>
    </row>
    <row r="21" spans="1:7" ht="18" customHeight="1">
      <c r="A21" s="12" t="s">
        <v>81</v>
      </c>
      <c r="B21" s="335">
        <v>587904</v>
      </c>
      <c r="C21" s="335">
        <f>101763+287584+198557</f>
        <v>587904</v>
      </c>
      <c r="D21" s="335">
        <v>0</v>
      </c>
      <c r="E21" s="335">
        <v>0</v>
      </c>
      <c r="F21" s="180">
        <f t="shared" si="0"/>
        <v>0</v>
      </c>
      <c r="G21" s="305"/>
    </row>
    <row r="22" spans="1:7" ht="18" customHeight="1">
      <c r="A22" s="12" t="s">
        <v>83</v>
      </c>
      <c r="B22" s="335">
        <v>200993</v>
      </c>
      <c r="C22" s="335">
        <v>200993</v>
      </c>
      <c r="D22" s="335">
        <v>0</v>
      </c>
      <c r="E22" s="335">
        <v>0</v>
      </c>
      <c r="F22" s="180">
        <f t="shared" si="0"/>
        <v>0</v>
      </c>
      <c r="G22" s="305"/>
    </row>
    <row r="23" spans="1:7" ht="18" customHeight="1">
      <c r="A23" s="12" t="s">
        <v>84</v>
      </c>
      <c r="B23" s="335">
        <v>53598</v>
      </c>
      <c r="C23" s="335">
        <v>53598</v>
      </c>
      <c r="D23" s="335">
        <v>0</v>
      </c>
      <c r="E23" s="335">
        <v>0</v>
      </c>
      <c r="F23" s="180">
        <f t="shared" si="0"/>
        <v>0</v>
      </c>
      <c r="G23" s="305"/>
    </row>
    <row r="24" spans="1:7" ht="18" customHeight="1">
      <c r="A24" s="12" t="s">
        <v>85</v>
      </c>
      <c r="B24" s="335">
        <v>375186</v>
      </c>
      <c r="C24" s="335">
        <f>301807+73379</f>
        <v>375186</v>
      </c>
      <c r="D24" s="335">
        <v>0</v>
      </c>
      <c r="E24" s="335">
        <v>0</v>
      </c>
      <c r="F24" s="180">
        <f t="shared" si="0"/>
        <v>0</v>
      </c>
      <c r="G24" s="305"/>
    </row>
    <row r="25" spans="1:7" ht="18" customHeight="1">
      <c r="A25" s="12" t="s">
        <v>86</v>
      </c>
      <c r="B25" s="335">
        <v>577854</v>
      </c>
      <c r="C25" s="335">
        <f>390244+35077+70024+110000</f>
        <v>605345</v>
      </c>
      <c r="D25" s="335">
        <v>0</v>
      </c>
      <c r="E25" s="335">
        <v>0</v>
      </c>
      <c r="F25" s="180">
        <f t="shared" si="0"/>
        <v>-27491</v>
      </c>
      <c r="G25" s="305"/>
    </row>
    <row r="26" spans="1:7" ht="18" customHeight="1">
      <c r="A26" s="12" t="s">
        <v>87</v>
      </c>
      <c r="B26" s="335">
        <v>9098273</v>
      </c>
      <c r="C26" s="335">
        <f>5874936+1403682</f>
        <v>7278618</v>
      </c>
      <c r="D26" s="335">
        <f>1607825+211830</f>
        <v>1819655</v>
      </c>
      <c r="E26" s="335">
        <v>0</v>
      </c>
      <c r="F26" s="180">
        <f t="shared" si="0"/>
        <v>0</v>
      </c>
      <c r="G26" s="305"/>
    </row>
    <row r="27" spans="1:7" ht="18" customHeight="1">
      <c r="A27" s="12" t="s">
        <v>88</v>
      </c>
      <c r="B27" s="335">
        <v>33471998</v>
      </c>
      <c r="C27" s="335">
        <f>33471998+3-D27</f>
        <v>32641347</v>
      </c>
      <c r="D27" s="335">
        <f>350000+485833-5179</f>
        <v>830654</v>
      </c>
      <c r="E27" s="335">
        <v>0</v>
      </c>
      <c r="F27" s="180">
        <f t="shared" si="0"/>
        <v>-3</v>
      </c>
      <c r="G27" s="305"/>
    </row>
    <row r="28" spans="1:7" ht="18" customHeight="1">
      <c r="A28" s="12" t="s">
        <v>91</v>
      </c>
      <c r="B28" s="335">
        <v>40199</v>
      </c>
      <c r="C28" s="335">
        <f>6495+33704</f>
        <v>40199</v>
      </c>
      <c r="D28" s="335">
        <v>0</v>
      </c>
      <c r="E28" s="335">
        <v>0</v>
      </c>
      <c r="F28" s="180">
        <f t="shared" si="0"/>
        <v>0</v>
      </c>
      <c r="G28" s="305"/>
    </row>
    <row r="29" spans="1:7" ht="18" customHeight="1">
      <c r="A29" s="12" t="s">
        <v>92</v>
      </c>
      <c r="B29" s="335">
        <v>10050</v>
      </c>
      <c r="C29" s="335">
        <f>10025+25</f>
        <v>10050</v>
      </c>
      <c r="D29" s="335">
        <v>0</v>
      </c>
      <c r="E29" s="335">
        <v>0</v>
      </c>
      <c r="F29" s="180">
        <f t="shared" si="0"/>
        <v>0</v>
      </c>
      <c r="G29" s="305"/>
    </row>
    <row r="30" spans="1:7" ht="18" customHeight="1">
      <c r="A30" s="12" t="s">
        <v>93</v>
      </c>
      <c r="B30" s="335">
        <v>36849</v>
      </c>
      <c r="C30" s="335"/>
      <c r="D30" s="335">
        <v>0</v>
      </c>
      <c r="E30" s="335">
        <v>0</v>
      </c>
      <c r="F30" s="180">
        <f t="shared" si="0"/>
        <v>36849</v>
      </c>
      <c r="G30" s="305"/>
    </row>
    <row r="31" spans="1:7" ht="18" customHeight="1">
      <c r="A31" s="12" t="s">
        <v>94</v>
      </c>
      <c r="B31" s="335">
        <v>113896</v>
      </c>
      <c r="C31" s="335">
        <f>95592+18304</f>
        <v>113896</v>
      </c>
      <c r="D31" s="335">
        <v>0</v>
      </c>
      <c r="E31" s="335">
        <v>0</v>
      </c>
      <c r="F31" s="180">
        <f t="shared" si="0"/>
        <v>0</v>
      </c>
      <c r="G31" s="305"/>
    </row>
    <row r="32" spans="1:7" ht="18" customHeight="1">
      <c r="A32" s="12" t="s">
        <v>96</v>
      </c>
      <c r="B32" s="335">
        <v>6700</v>
      </c>
      <c r="C32" s="335">
        <f>5620-20+1100</f>
        <v>6700</v>
      </c>
      <c r="D32" s="335">
        <v>0</v>
      </c>
      <c r="E32" s="335">
        <v>0</v>
      </c>
      <c r="F32" s="180">
        <f t="shared" si="0"/>
        <v>0</v>
      </c>
      <c r="G32" s="305"/>
    </row>
    <row r="33" spans="1:11" ht="18" customHeight="1">
      <c r="A33" s="12" t="s">
        <v>97</v>
      </c>
      <c r="B33" s="335">
        <v>2731827</v>
      </c>
      <c r="C33" s="335">
        <f>2731827</f>
        <v>2731827</v>
      </c>
      <c r="D33" s="335">
        <v>0</v>
      </c>
      <c r="E33" s="335">
        <v>0</v>
      </c>
      <c r="F33" s="180">
        <f t="shared" si="0"/>
        <v>0</v>
      </c>
      <c r="G33" s="305"/>
    </row>
    <row r="34" spans="1:11" ht="18" customHeight="1">
      <c r="A34" s="12" t="s">
        <v>98</v>
      </c>
      <c r="B34" s="335">
        <v>370162</v>
      </c>
      <c r="C34" s="335">
        <f>13209+311790+45163</f>
        <v>370162</v>
      </c>
      <c r="D34" s="335">
        <v>0</v>
      </c>
      <c r="E34" s="335">
        <v>0</v>
      </c>
      <c r="F34" s="180">
        <f t="shared" si="0"/>
        <v>0</v>
      </c>
      <c r="G34" s="305"/>
    </row>
    <row r="35" spans="1:11" ht="18" customHeight="1">
      <c r="A35" s="12" t="s">
        <v>99</v>
      </c>
      <c r="B35" s="335">
        <v>1021713</v>
      </c>
      <c r="C35" s="335">
        <f>884274+137439</f>
        <v>1021713</v>
      </c>
      <c r="D35" s="335">
        <v>0</v>
      </c>
      <c r="E35" s="335">
        <v>0</v>
      </c>
      <c r="F35" s="180">
        <f t="shared" si="0"/>
        <v>0</v>
      </c>
      <c r="G35" s="305"/>
    </row>
    <row r="36" spans="1:11" ht="18" customHeight="1">
      <c r="A36" s="12" t="s">
        <v>101</v>
      </c>
      <c r="B36" s="335">
        <v>346712</v>
      </c>
      <c r="C36" s="335">
        <v>346712</v>
      </c>
      <c r="D36" s="335">
        <v>0</v>
      </c>
      <c r="E36" s="335">
        <v>0</v>
      </c>
      <c r="F36" s="180">
        <f t="shared" si="0"/>
        <v>0</v>
      </c>
      <c r="G36" s="305"/>
    </row>
    <row r="37" spans="1:11" ht="18" customHeight="1">
      <c r="A37" s="12" t="s">
        <v>102</v>
      </c>
      <c r="B37" s="335">
        <v>698450</v>
      </c>
      <c r="C37" s="335">
        <f>101405+111160+402655+83230</f>
        <v>698450</v>
      </c>
      <c r="D37" s="335">
        <v>0</v>
      </c>
      <c r="E37" s="335">
        <v>0</v>
      </c>
      <c r="F37" s="180">
        <f t="shared" si="0"/>
        <v>0</v>
      </c>
      <c r="G37" s="305"/>
    </row>
    <row r="38" spans="1:11" ht="18" customHeight="1">
      <c r="A38" s="12" t="s">
        <v>104</v>
      </c>
      <c r="B38" s="335">
        <v>2490635</v>
      </c>
      <c r="C38" s="335">
        <v>0</v>
      </c>
      <c r="D38" s="335">
        <v>0</v>
      </c>
      <c r="E38" s="335">
        <v>0</v>
      </c>
      <c r="F38" s="180">
        <f t="shared" si="0"/>
        <v>2490635</v>
      </c>
      <c r="G38" s="305"/>
    </row>
    <row r="39" spans="1:11" ht="18" customHeight="1">
      <c r="A39" s="11" t="s">
        <v>107</v>
      </c>
      <c r="B39" s="335">
        <v>65323</v>
      </c>
      <c r="C39" s="335">
        <v>65323</v>
      </c>
      <c r="D39" s="335">
        <v>0</v>
      </c>
      <c r="E39" s="335">
        <v>0</v>
      </c>
      <c r="F39" s="180">
        <f t="shared" si="0"/>
        <v>0</v>
      </c>
      <c r="G39" s="305"/>
    </row>
    <row r="40" spans="1:11" ht="18" customHeight="1">
      <c r="A40" s="12" t="s">
        <v>108</v>
      </c>
      <c r="B40" s="335">
        <v>0</v>
      </c>
      <c r="C40" s="335">
        <v>0</v>
      </c>
      <c r="D40" s="335">
        <v>0</v>
      </c>
      <c r="E40" s="335">
        <v>0</v>
      </c>
      <c r="F40" s="180">
        <f t="shared" si="0"/>
        <v>0</v>
      </c>
      <c r="G40" s="305"/>
    </row>
    <row r="41" spans="1:11" ht="18" customHeight="1">
      <c r="A41" s="12" t="s">
        <v>110</v>
      </c>
      <c r="B41" s="335">
        <v>4336419</v>
      </c>
      <c r="C41" s="335">
        <v>4336419</v>
      </c>
      <c r="D41" s="335">
        <v>0</v>
      </c>
      <c r="E41" s="335">
        <v>0</v>
      </c>
      <c r="F41" s="180">
        <f t="shared" si="0"/>
        <v>0</v>
      </c>
      <c r="G41" s="305"/>
    </row>
    <row r="42" spans="1:11" ht="18" customHeight="1">
      <c r="A42" s="12" t="s">
        <v>130</v>
      </c>
      <c r="B42" s="335">
        <v>1815635</v>
      </c>
      <c r="C42" s="335">
        <f>(1452508-99748)+(107103-7355)+363127</f>
        <v>1815635</v>
      </c>
      <c r="D42" s="335">
        <v>0</v>
      </c>
      <c r="E42" s="335">
        <v>0</v>
      </c>
      <c r="F42" s="180">
        <f t="shared" si="0"/>
        <v>0</v>
      </c>
      <c r="G42" s="305"/>
    </row>
    <row r="43" spans="1:11" ht="18" customHeight="1">
      <c r="A43" s="12" t="s">
        <v>112</v>
      </c>
      <c r="B43" s="335">
        <v>2035052</v>
      </c>
      <c r="C43" s="335">
        <f>(1714846+77147)+(151821+11238)</f>
        <v>1955052</v>
      </c>
      <c r="D43" s="335">
        <f>80000</f>
        <v>80000</v>
      </c>
      <c r="E43" s="335">
        <v>0</v>
      </c>
      <c r="F43" s="180">
        <f t="shared" si="0"/>
        <v>0</v>
      </c>
      <c r="G43" s="305"/>
    </row>
    <row r="44" spans="1:11" ht="18" customHeight="1">
      <c r="A44" s="12" t="s">
        <v>113</v>
      </c>
      <c r="B44" s="335">
        <v>8375</v>
      </c>
      <c r="C44" s="335">
        <v>0</v>
      </c>
      <c r="D44" s="335">
        <v>0</v>
      </c>
      <c r="E44" s="335">
        <v>0</v>
      </c>
      <c r="F44" s="180">
        <f t="shared" si="0"/>
        <v>8375</v>
      </c>
      <c r="G44" s="305"/>
    </row>
    <row r="45" spans="1:11" ht="18" customHeight="1">
      <c r="A45" s="12" t="s">
        <v>181</v>
      </c>
      <c r="B45" s="335">
        <v>13399</v>
      </c>
      <c r="C45" s="335">
        <v>0</v>
      </c>
      <c r="D45" s="335">
        <v>0</v>
      </c>
      <c r="E45" s="335">
        <v>0</v>
      </c>
      <c r="F45" s="180">
        <f t="shared" si="0"/>
        <v>13399</v>
      </c>
      <c r="G45" s="305"/>
    </row>
    <row r="46" spans="1:11" ht="18" customHeight="1">
      <c r="A46" s="12" t="s">
        <v>115</v>
      </c>
      <c r="B46" s="335">
        <v>505832</v>
      </c>
      <c r="C46" s="335">
        <v>0</v>
      </c>
      <c r="D46" s="335">
        <v>0</v>
      </c>
      <c r="E46" s="335">
        <v>0</v>
      </c>
      <c r="F46" s="180">
        <f t="shared" si="0"/>
        <v>505832</v>
      </c>
      <c r="G46" s="305"/>
    </row>
    <row r="47" spans="1:11" ht="18" customHeight="1">
      <c r="A47" s="12" t="s">
        <v>117</v>
      </c>
      <c r="B47" s="335">
        <v>8525444</v>
      </c>
      <c r="C47" s="335">
        <f>1258869+546273+716972+1247708+1393507+162038+68179+89484+173200+27401+2796705+45108</f>
        <v>8525444</v>
      </c>
      <c r="D47" s="335">
        <v>0</v>
      </c>
      <c r="E47" s="335">
        <v>0</v>
      </c>
      <c r="F47" s="180">
        <f t="shared" si="0"/>
        <v>0</v>
      </c>
      <c r="G47" s="305"/>
    </row>
    <row r="48" spans="1:11" ht="18" customHeight="1">
      <c r="A48" s="12" t="s">
        <v>118</v>
      </c>
      <c r="B48" s="335">
        <v>36666667</v>
      </c>
      <c r="C48" s="335">
        <f>11328778+153430+1450000+900000+1674986+10159473+2200000+2200000+2200000+2200000+2200000</f>
        <v>36666667</v>
      </c>
      <c r="D48" s="335">
        <v>0</v>
      </c>
      <c r="E48" s="335">
        <f>6600000-2200000-2200000-2200000</f>
        <v>0</v>
      </c>
      <c r="F48" s="180">
        <f t="shared" si="0"/>
        <v>0</v>
      </c>
      <c r="G48" s="305"/>
      <c r="K48" s="335">
        <f>2796705+45108</f>
        <v>2841813</v>
      </c>
    </row>
    <row r="49" spans="1:7" ht="18" customHeight="1" thickBot="1">
      <c r="A49" s="191" t="s">
        <v>119</v>
      </c>
      <c r="B49" s="335">
        <v>61973</v>
      </c>
      <c r="C49" s="335">
        <v>61973</v>
      </c>
      <c r="D49" s="335">
        <v>0</v>
      </c>
      <c r="E49" s="335">
        <v>0</v>
      </c>
      <c r="F49" s="338">
        <f t="shared" si="0"/>
        <v>0</v>
      </c>
      <c r="G49" s="305"/>
    </row>
    <row r="50" spans="1:7" ht="18" customHeight="1" thickBot="1">
      <c r="A50" s="218" t="s">
        <v>122</v>
      </c>
      <c r="B50" s="13">
        <f>SUM(B8:B49)</f>
        <v>146666667</v>
      </c>
      <c r="C50" s="13">
        <f>SUM(C8:C49)</f>
        <v>136287835</v>
      </c>
      <c r="D50" s="13">
        <f>SUM(D8:D49)</f>
        <v>7171772</v>
      </c>
      <c r="E50" s="13">
        <f>SUM(E8:E49)</f>
        <v>0</v>
      </c>
      <c r="F50" s="339">
        <f>SUM(F8:F49)</f>
        <v>3207060</v>
      </c>
      <c r="G50" s="305"/>
    </row>
    <row r="51" spans="1:7">
      <c r="A51" s="315"/>
      <c r="B51" s="229"/>
      <c r="C51" s="229"/>
      <c r="D51" s="229"/>
      <c r="E51" s="229"/>
      <c r="F51" s="229"/>
      <c r="G51" s="305"/>
    </row>
    <row r="52" spans="1:7">
      <c r="A52" s="315"/>
      <c r="B52" s="229"/>
      <c r="C52" s="229"/>
      <c r="D52" s="229"/>
      <c r="E52" s="229"/>
      <c r="F52" s="229"/>
      <c r="G52" s="305"/>
    </row>
    <row r="53" spans="1:7">
      <c r="A53" s="315"/>
      <c r="B53" s="229"/>
      <c r="C53" s="229"/>
      <c r="D53" s="229"/>
      <c r="E53" s="229"/>
      <c r="F53" s="229"/>
      <c r="G53" s="305"/>
    </row>
    <row r="55" spans="1:7" ht="16" thickBot="1">
      <c r="A55" s="229"/>
      <c r="B55" s="229"/>
      <c r="C55" s="229"/>
      <c r="D55" s="229"/>
      <c r="E55" s="229"/>
      <c r="F55" s="229"/>
      <c r="G55" s="305"/>
    </row>
    <row r="56" spans="1:7" ht="16.5" customHeight="1" thickBot="1">
      <c r="A56" s="316" t="s">
        <v>133</v>
      </c>
      <c r="B56" s="317">
        <f>B10+B11+B13+B15+B17+B22+B28+B30+B36+B38+B39+B40+B44+B45+B46+B49</f>
        <v>4204100</v>
      </c>
      <c r="C56" s="317">
        <f>C10+C11+C13+C15+C17+C22+C28+C30+C36+C38+C39+C40+C44+C45+C46+C49</f>
        <v>974816</v>
      </c>
      <c r="D56" s="317">
        <f>D10+D11+D13+D15+D17+D22+D28+D30+D36+D38+D39+D40+D44+D45+D46+D49</f>
        <v>0</v>
      </c>
      <c r="E56" s="317">
        <f>E10+E11+E13+E15+E17+E22+E28+E30+E36+E38+E39+E40+E44+E45+E46+E49</f>
        <v>0</v>
      </c>
      <c r="F56" s="317">
        <f>F10+F11+F13+F15+F17+F22+F28+F30+F36+F38+F39+F40+F44+F45+F46+F49</f>
        <v>3229284</v>
      </c>
      <c r="G56" s="305"/>
    </row>
    <row r="57" spans="1:7">
      <c r="G57" s="305"/>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BAC4-4C05-445D-B70E-8E63B2CCF46D}">
  <dimension ref="A1:O66"/>
  <sheetViews>
    <sheetView topLeftCell="A26" workbookViewId="0">
      <selection activeCell="L68" sqref="L68"/>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12.26953125" style="1" customWidth="1"/>
    <col min="8" max="8" width="15.26953125" style="10" hidden="1" customWidth="1"/>
    <col min="9" max="9" width="11.26953125" style="10" hidden="1" customWidth="1"/>
    <col min="10" max="10" width="0" style="1" hidden="1" customWidth="1"/>
    <col min="11" max="12" width="14.54296875" style="1" hidden="1" customWidth="1"/>
    <col min="13" max="13" width="13.54296875" style="1" hidden="1" customWidth="1"/>
    <col min="14" max="14" width="9.7265625" style="1" hidden="1" customWidth="1"/>
    <col min="15" max="15" width="13.54296875" style="1" hidden="1" customWidth="1"/>
    <col min="16" max="16384" width="9.7265625" style="1"/>
  </cols>
  <sheetData>
    <row r="1" spans="1:15" ht="16.5" customHeight="1">
      <c r="A1" s="1" t="str">
        <f>[1]Status!C1</f>
        <v>UNEP/OzL.Pro/ExCom/94/3</v>
      </c>
      <c r="B1" s="295"/>
    </row>
    <row r="2" spans="1:15" ht="16.5" customHeight="1">
      <c r="A2" s="1" t="s">
        <v>237</v>
      </c>
      <c r="B2" s="7"/>
    </row>
    <row r="3" spans="1:15" ht="16.5" customHeight="1">
      <c r="B3" s="7"/>
      <c r="F3" s="320"/>
    </row>
    <row r="4" spans="1:15" ht="20.25" customHeight="1">
      <c r="A4" s="321" t="s">
        <v>2</v>
      </c>
      <c r="B4" s="321"/>
      <c r="C4" s="321"/>
      <c r="D4" s="321"/>
      <c r="E4" s="321"/>
      <c r="F4" s="321"/>
    </row>
    <row r="5" spans="1:15" ht="20.25" customHeight="1">
      <c r="A5" s="322" t="s">
        <v>200</v>
      </c>
      <c r="B5" s="321"/>
      <c r="C5" s="321"/>
      <c r="D5" s="321"/>
      <c r="E5" s="321"/>
      <c r="F5" s="321"/>
    </row>
    <row r="6" spans="1:15" ht="30" customHeight="1" thickBot="1">
      <c r="A6" s="323" t="str">
        <f>[1]Status!A6</f>
        <v>As at 24/05/2024</v>
      </c>
      <c r="B6" s="321"/>
      <c r="C6" s="321"/>
      <c r="D6" s="321"/>
      <c r="E6" s="321"/>
      <c r="F6" s="321"/>
    </row>
    <row r="7" spans="1:15" ht="60.5" thickBot="1">
      <c r="A7" s="298" t="s">
        <v>59</v>
      </c>
      <c r="B7" s="299" t="s">
        <v>60</v>
      </c>
      <c r="C7" s="299" t="s">
        <v>61</v>
      </c>
      <c r="D7" s="299" t="s">
        <v>62</v>
      </c>
      <c r="E7" s="299" t="s">
        <v>63</v>
      </c>
      <c r="F7" s="324" t="s">
        <v>64</v>
      </c>
      <c r="J7" s="1" t="s">
        <v>59</v>
      </c>
      <c r="K7" s="1" t="s">
        <v>60</v>
      </c>
      <c r="L7" s="1" t="s">
        <v>61</v>
      </c>
      <c r="M7" s="1" t="s">
        <v>62</v>
      </c>
      <c r="N7" s="1" t="s">
        <v>63</v>
      </c>
      <c r="O7" s="1" t="s">
        <v>64</v>
      </c>
    </row>
    <row r="8" spans="1:15" ht="18" customHeight="1" thickBot="1">
      <c r="A8" s="177" t="s">
        <v>124</v>
      </c>
      <c r="B8" s="303">
        <f>'YR1997'!B8+'YR1998'!B8+'YR1999'!B8</f>
        <v>8158353</v>
      </c>
      <c r="C8" s="303">
        <f>'YR1997'!C8+'YR1998'!C8+'YR1999'!C8</f>
        <v>8158353</v>
      </c>
      <c r="D8" s="303">
        <f>'YR1997'!D8+'YR1998'!D8+'YR1999'!D8</f>
        <v>0</v>
      </c>
      <c r="E8" s="303">
        <f>'YR1997'!E8+'YR1998'!E8+'YR1999'!E8</f>
        <v>0</v>
      </c>
      <c r="F8" s="325">
        <f>B8-C8-D8-E8</f>
        <v>0</v>
      </c>
      <c r="H8" s="10">
        <f>C8-L8</f>
        <v>0</v>
      </c>
      <c r="I8" s="10">
        <f>D8-M8</f>
        <v>0</v>
      </c>
      <c r="J8" s="1" t="s">
        <v>124</v>
      </c>
      <c r="K8" s="10">
        <v>8158353</v>
      </c>
      <c r="L8" s="10">
        <v>8158353</v>
      </c>
      <c r="M8" s="10">
        <v>0</v>
      </c>
      <c r="N8" s="10">
        <v>0</v>
      </c>
      <c r="O8" s="10">
        <v>0</v>
      </c>
    </row>
    <row r="9" spans="1:15" ht="18" customHeight="1" thickBot="1">
      <c r="A9" s="12" t="s">
        <v>67</v>
      </c>
      <c r="B9" s="303">
        <f>'YR1997'!B9+'YR1998'!B9+'YR1999'!B9</f>
        <v>4768227</v>
      </c>
      <c r="C9" s="303">
        <f>'YR1997'!C9+'YR1998'!C9+'YR1999'!C9</f>
        <v>4753065</v>
      </c>
      <c r="D9" s="303">
        <f>'YR1997'!D9+'YR1998'!D9+'YR1999'!D9</f>
        <v>15162</v>
      </c>
      <c r="E9" s="303">
        <f>'YR1997'!E9+'YR1998'!E9+'YR1999'!E9</f>
        <v>0</v>
      </c>
      <c r="F9" s="326">
        <f>B9-C9-D9-E9</f>
        <v>0</v>
      </c>
      <c r="H9" s="10">
        <f t="shared" ref="H9:I65" si="0">C9-L9</f>
        <v>0</v>
      </c>
      <c r="I9" s="10">
        <f t="shared" si="0"/>
        <v>0</v>
      </c>
      <c r="J9" s="1" t="s">
        <v>67</v>
      </c>
      <c r="K9" s="10">
        <v>4768227</v>
      </c>
      <c r="L9" s="10">
        <v>4753065</v>
      </c>
      <c r="M9" s="10">
        <v>15162</v>
      </c>
      <c r="N9" s="10">
        <v>0</v>
      </c>
      <c r="O9" s="10">
        <v>0</v>
      </c>
    </row>
    <row r="10" spans="1:15" ht="18" customHeight="1" thickBot="1">
      <c r="A10" s="185" t="s">
        <v>68</v>
      </c>
      <c r="B10" s="303">
        <f>'YR1997'!B10+'YR1998'!B10+'YR1999'!B10</f>
        <v>647706</v>
      </c>
      <c r="C10" s="303">
        <v>248500.66999999998</v>
      </c>
      <c r="D10" s="303">
        <v>0</v>
      </c>
      <c r="E10" s="303">
        <v>0</v>
      </c>
      <c r="F10" s="326">
        <f t="shared" ref="F10:F57" si="1">B10-C10-D10-E10</f>
        <v>399205.33</v>
      </c>
      <c r="G10" s="341" t="s">
        <v>201</v>
      </c>
      <c r="H10" s="10">
        <f t="shared" si="0"/>
        <v>0</v>
      </c>
      <c r="I10" s="10">
        <f t="shared" si="0"/>
        <v>0</v>
      </c>
      <c r="J10" s="1" t="s">
        <v>68</v>
      </c>
      <c r="K10" s="10">
        <v>647706</v>
      </c>
      <c r="L10" s="342">
        <v>248500.66999999998</v>
      </c>
      <c r="M10" s="10">
        <v>0</v>
      </c>
      <c r="N10" s="10">
        <v>0</v>
      </c>
      <c r="O10" s="10">
        <v>399205.33</v>
      </c>
    </row>
    <row r="11" spans="1:15" ht="18" customHeight="1" thickBot="1">
      <c r="A11" s="12" t="s">
        <v>69</v>
      </c>
      <c r="B11" s="303">
        <f>'YR1997'!B11+'YR1998'!B11+'YR1999'!B11</f>
        <v>1612377</v>
      </c>
      <c r="C11" s="303">
        <f>'YR1997'!C11+'YR1998'!C11+'YR1999'!C11</f>
        <v>0</v>
      </c>
      <c r="D11" s="303">
        <f>'YR1997'!D11+'YR1998'!D11+'YR1999'!D11</f>
        <v>0</v>
      </c>
      <c r="E11" s="303">
        <f>'YR1997'!E11+'YR1998'!E11+'YR1999'!E11</f>
        <v>0</v>
      </c>
      <c r="F11" s="326">
        <f t="shared" si="1"/>
        <v>1612377</v>
      </c>
      <c r="H11" s="10">
        <f t="shared" si="0"/>
        <v>0</v>
      </c>
      <c r="I11" s="10">
        <f t="shared" si="0"/>
        <v>0</v>
      </c>
      <c r="J11" s="1" t="s">
        <v>69</v>
      </c>
      <c r="K11" s="10">
        <v>1612377</v>
      </c>
      <c r="L11" s="10">
        <v>0</v>
      </c>
      <c r="M11" s="10">
        <v>0</v>
      </c>
      <c r="N11" s="10">
        <v>0</v>
      </c>
      <c r="O11" s="10">
        <v>1612377</v>
      </c>
    </row>
    <row r="12" spans="1:15" ht="18" customHeight="1" thickBot="1">
      <c r="A12" s="12" t="s">
        <v>70</v>
      </c>
      <c r="B12" s="303">
        <f>'YR1997'!B12+'YR1998'!B12+'YR1999'!B12</f>
        <v>5553744</v>
      </c>
      <c r="C12" s="303">
        <f>'YR1997'!C12+'YR1998'!C12+'YR1999'!C12+108480</f>
        <v>5553744</v>
      </c>
      <c r="D12" s="303">
        <f>'YR1997'!D12+'YR1998'!D12+'YR1999'!D12-108480</f>
        <v>0</v>
      </c>
      <c r="E12" s="303">
        <f>'YR1997'!E12+'YR1998'!E12+'YR1999'!E12</f>
        <v>0</v>
      </c>
      <c r="F12" s="326">
        <f t="shared" si="1"/>
        <v>0</v>
      </c>
      <c r="H12" s="10">
        <f t="shared" si="0"/>
        <v>0</v>
      </c>
      <c r="I12" s="10">
        <f t="shared" si="0"/>
        <v>0</v>
      </c>
      <c r="J12" s="1" t="s">
        <v>202</v>
      </c>
      <c r="K12" s="10">
        <v>5553744</v>
      </c>
      <c r="L12" s="10">
        <v>5553744</v>
      </c>
      <c r="M12" s="10">
        <v>0</v>
      </c>
      <c r="N12" s="10">
        <v>0</v>
      </c>
      <c r="O12" s="10">
        <v>0</v>
      </c>
    </row>
    <row r="13" spans="1:15" ht="18" customHeight="1" thickBot="1">
      <c r="A13" s="12" t="s">
        <v>209</v>
      </c>
      <c r="B13" s="303">
        <f>'YR1997'!B13+'YR1998'!B13+'YR1999'!B13</f>
        <v>0</v>
      </c>
      <c r="C13" s="303">
        <f>'YR1997'!C13+'YR1998'!C13+'YR1999'!C13</f>
        <v>0</v>
      </c>
      <c r="D13" s="303">
        <f>'YR1997'!D13+'YR1998'!D13+'YR1999'!D13</f>
        <v>0</v>
      </c>
      <c r="E13" s="303">
        <f>'YR1997'!E13+'YR1998'!E13+'YR1999'!E13</f>
        <v>0</v>
      </c>
      <c r="F13" s="326"/>
      <c r="K13" s="10"/>
      <c r="L13" s="10"/>
      <c r="M13" s="10"/>
      <c r="N13" s="10"/>
      <c r="O13" s="10"/>
    </row>
    <row r="14" spans="1:15" ht="18" customHeight="1" thickBot="1">
      <c r="A14" s="12" t="s">
        <v>71</v>
      </c>
      <c r="B14" s="303">
        <f>'YR1997'!B14+'YR1998'!B14+'YR1999'!B14</f>
        <v>68000</v>
      </c>
      <c r="C14" s="303">
        <f>'YR1997'!C14+'YR1998'!C14+'YR1999'!C14</f>
        <v>68000</v>
      </c>
      <c r="D14" s="303">
        <f>'YR1997'!D14+'YR1998'!D14+'YR1999'!D14</f>
        <v>0</v>
      </c>
      <c r="E14" s="303">
        <f>'YR1997'!E14+'YR1998'!E14+'YR1999'!E14</f>
        <v>0</v>
      </c>
      <c r="F14" s="326">
        <f t="shared" si="1"/>
        <v>0</v>
      </c>
      <c r="H14" s="10">
        <f t="shared" si="0"/>
        <v>0</v>
      </c>
      <c r="I14" s="10">
        <f t="shared" si="0"/>
        <v>0</v>
      </c>
      <c r="J14" s="1" t="s">
        <v>71</v>
      </c>
      <c r="K14" s="10">
        <v>68000</v>
      </c>
      <c r="L14" s="10">
        <v>68000</v>
      </c>
      <c r="M14" s="10">
        <v>0</v>
      </c>
      <c r="N14" s="10">
        <v>0</v>
      </c>
      <c r="O14" s="10">
        <v>0</v>
      </c>
    </row>
    <row r="15" spans="1:15" ht="18" customHeight="1" thickBot="1">
      <c r="A15" s="12" t="s">
        <v>125</v>
      </c>
      <c r="B15" s="303">
        <f>'YR1997'!B15+'YR1998'!B15+'YR1999'!B15</f>
        <v>17102223</v>
      </c>
      <c r="C15" s="303">
        <f>'YR1997'!C15+'YR1998'!C15+'YR1999'!C15</f>
        <v>15062418</v>
      </c>
      <c r="D15" s="303">
        <f>'YR1997'!D15+'YR1998'!D15+'YR1999'!D15</f>
        <v>2039805</v>
      </c>
      <c r="E15" s="303">
        <f>'YR1997'!E15+'YR1998'!E15+'YR1999'!E15</f>
        <v>0</v>
      </c>
      <c r="F15" s="326">
        <f t="shared" si="1"/>
        <v>0</v>
      </c>
      <c r="H15" s="10">
        <f t="shared" si="0"/>
        <v>0.3899999987334013</v>
      </c>
      <c r="I15" s="10">
        <f t="shared" si="0"/>
        <v>0</v>
      </c>
      <c r="J15" s="1" t="s">
        <v>125</v>
      </c>
      <c r="K15" s="10">
        <v>17102223</v>
      </c>
      <c r="L15" s="10">
        <v>15062417.610000001</v>
      </c>
      <c r="M15" s="10">
        <v>2039805</v>
      </c>
      <c r="N15" s="10">
        <v>0</v>
      </c>
      <c r="O15" s="10">
        <v>0.3899999987334013</v>
      </c>
    </row>
    <row r="16" spans="1:15" ht="18" customHeight="1" thickBot="1">
      <c r="A16" s="12" t="s">
        <v>74</v>
      </c>
      <c r="B16" s="303">
        <f>'YR1997'!B16+'YR1998'!B16+'YR1999'!B16</f>
        <v>0</v>
      </c>
      <c r="C16" s="303">
        <f>'YR1997'!C16+'YR1998'!C16+'YR1999'!C16</f>
        <v>0</v>
      </c>
      <c r="D16" s="303">
        <f>'YR1997'!D16+'YR1998'!D16+'YR1999'!D16</f>
        <v>0</v>
      </c>
      <c r="E16" s="303">
        <f>'YR1997'!E16+'YR1998'!E16+'YR1999'!E16</f>
        <v>0</v>
      </c>
      <c r="F16" s="326">
        <f t="shared" si="1"/>
        <v>0</v>
      </c>
      <c r="K16" s="10"/>
      <c r="L16" s="10"/>
      <c r="M16" s="10"/>
      <c r="N16" s="10"/>
      <c r="O16" s="10"/>
    </row>
    <row r="17" spans="1:15" ht="18" customHeight="1" thickBot="1">
      <c r="A17" s="12" t="s">
        <v>75</v>
      </c>
      <c r="B17" s="303">
        <f>'YR1997'!B17+'YR1998'!B17+'YR1999'!B17</f>
        <v>1332440</v>
      </c>
      <c r="C17" s="303">
        <f>'YR1997'!C17+'YR1998'!C17+'YR1999'!C17</f>
        <v>1332440</v>
      </c>
      <c r="D17" s="303">
        <f>'YR1997'!D17+'YR1998'!D17+'YR1999'!D17</f>
        <v>0</v>
      </c>
      <c r="E17" s="303">
        <f>'YR1997'!E17+'YR1998'!E17+'YR1999'!E17</f>
        <v>0</v>
      </c>
      <c r="F17" s="326">
        <f t="shared" si="1"/>
        <v>0</v>
      </c>
      <c r="H17" s="10">
        <f t="shared" si="0"/>
        <v>0</v>
      </c>
      <c r="I17" s="10">
        <f t="shared" si="0"/>
        <v>0</v>
      </c>
      <c r="J17" s="1" t="s">
        <v>75</v>
      </c>
      <c r="K17" s="10">
        <v>1332440</v>
      </c>
      <c r="L17" s="10">
        <v>1332440</v>
      </c>
      <c r="M17" s="10">
        <v>0</v>
      </c>
      <c r="N17" s="10">
        <v>0</v>
      </c>
      <c r="O17" s="10">
        <v>0</v>
      </c>
    </row>
    <row r="18" spans="1:15" ht="18" customHeight="1" thickBot="1">
      <c r="A18" s="12" t="s">
        <v>76</v>
      </c>
      <c r="B18" s="303">
        <f>'YR1997'!B18+'YR1998'!B18+'YR1999'!B18</f>
        <v>3955149</v>
      </c>
      <c r="C18" s="303">
        <f>'YR1997'!C18+'YR1998'!C18+'YR1999'!C18</f>
        <v>3955149</v>
      </c>
      <c r="D18" s="303">
        <f>'YR1997'!D18+'YR1998'!D18+'YR1999'!D18</f>
        <v>0</v>
      </c>
      <c r="E18" s="303">
        <f>'YR1997'!E18+'YR1998'!E18+'YR1999'!E18</f>
        <v>0</v>
      </c>
      <c r="F18" s="326">
        <f t="shared" si="1"/>
        <v>0</v>
      </c>
      <c r="H18" s="10">
        <f t="shared" si="0"/>
        <v>0</v>
      </c>
      <c r="I18" s="10">
        <f t="shared" si="0"/>
        <v>0</v>
      </c>
      <c r="J18" s="1" t="s">
        <v>76</v>
      </c>
      <c r="K18" s="10">
        <v>3955149</v>
      </c>
      <c r="L18" s="10">
        <v>3955149</v>
      </c>
      <c r="M18" s="10">
        <v>0</v>
      </c>
      <c r="N18" s="10">
        <v>0</v>
      </c>
      <c r="O18" s="10">
        <v>0</v>
      </c>
    </row>
    <row r="19" spans="1:15" ht="18" customHeight="1" thickBot="1">
      <c r="A19" s="12" t="s">
        <v>77</v>
      </c>
      <c r="B19" s="303">
        <f>'YR1997'!B19+'YR1998'!B19+'YR1999'!B19</f>
        <v>0</v>
      </c>
      <c r="C19" s="303">
        <f>'YR1997'!C19+'YR1998'!C19+'YR1999'!C19</f>
        <v>0</v>
      </c>
      <c r="D19" s="303">
        <f>'YR1997'!D19+'YR1998'!D19+'YR1999'!D19</f>
        <v>0</v>
      </c>
      <c r="E19" s="303">
        <f>'YR1997'!E19+'YR1998'!E19+'YR1999'!E19</f>
        <v>0</v>
      </c>
      <c r="F19" s="326">
        <f t="shared" si="1"/>
        <v>0</v>
      </c>
      <c r="H19" s="10">
        <f t="shared" si="0"/>
        <v>0</v>
      </c>
      <c r="I19" s="10">
        <f t="shared" si="0"/>
        <v>0</v>
      </c>
      <c r="J19" s="1" t="s">
        <v>77</v>
      </c>
      <c r="K19" s="10">
        <v>0</v>
      </c>
      <c r="L19" s="10">
        <v>0</v>
      </c>
      <c r="M19" s="10">
        <v>0</v>
      </c>
      <c r="N19" s="10">
        <v>0</v>
      </c>
      <c r="O19" s="10">
        <v>0</v>
      </c>
    </row>
    <row r="20" spans="1:15" ht="18" customHeight="1" thickBot="1">
      <c r="A20" s="12" t="s">
        <v>78</v>
      </c>
      <c r="B20" s="303">
        <f>'YR1997'!B20+'YR1998'!B20+'YR1999'!B20</f>
        <v>3403908</v>
      </c>
      <c r="C20" s="303">
        <f>'YR1997'!C20+'YR1998'!C20+'YR1999'!C20+103927+52712</f>
        <v>3185045</v>
      </c>
      <c r="D20" s="303">
        <f>'YR1997'!D20+'YR1998'!D20+'YR1999'!D20-52712</f>
        <v>218863</v>
      </c>
      <c r="E20" s="303">
        <f>'YR1997'!E20+'YR1998'!E20+'YR1999'!E20</f>
        <v>0</v>
      </c>
      <c r="F20" s="326">
        <f t="shared" si="1"/>
        <v>0</v>
      </c>
      <c r="G20" s="341" t="s">
        <v>203</v>
      </c>
      <c r="H20" s="10">
        <f t="shared" si="0"/>
        <v>76855</v>
      </c>
      <c r="I20" s="10">
        <f t="shared" si="0"/>
        <v>-76855</v>
      </c>
      <c r="J20" s="1" t="s">
        <v>78</v>
      </c>
      <c r="K20" s="10">
        <v>3403908</v>
      </c>
      <c r="L20" s="10">
        <v>3108190</v>
      </c>
      <c r="M20" s="10">
        <v>295718</v>
      </c>
      <c r="N20" s="10">
        <v>0</v>
      </c>
      <c r="O20" s="10">
        <v>0</v>
      </c>
    </row>
    <row r="21" spans="1:15" ht="18" customHeight="1" thickBot="1">
      <c r="A21" s="12" t="s">
        <v>79</v>
      </c>
      <c r="B21" s="303">
        <f>'YR1997'!B21+'YR1998'!B21+'YR1999'!B21</f>
        <v>35320710</v>
      </c>
      <c r="C21" s="303">
        <f>2874845.7+20572620+718898.31+1847409.25-269965+4318435+103155+196214+1696+200961+87847+300531+27982</f>
        <v>30980629.259999998</v>
      </c>
      <c r="D21" s="303">
        <f>5258467-103155-196214-1696-200961-87847-300531-27982</f>
        <v>4340081</v>
      </c>
      <c r="E21" s="303">
        <v>0</v>
      </c>
      <c r="F21" s="326">
        <f t="shared" si="1"/>
        <v>-0.25999999791383743</v>
      </c>
      <c r="G21" s="341" t="s">
        <v>204</v>
      </c>
      <c r="H21" s="10">
        <f t="shared" si="0"/>
        <v>328513</v>
      </c>
      <c r="I21" s="10">
        <f t="shared" si="0"/>
        <v>-328513</v>
      </c>
      <c r="J21" s="1" t="s">
        <v>79</v>
      </c>
      <c r="K21" s="10">
        <v>35320710</v>
      </c>
      <c r="L21" s="10">
        <v>30652116.259999998</v>
      </c>
      <c r="M21" s="10">
        <v>4668594</v>
      </c>
      <c r="N21" s="10">
        <v>0</v>
      </c>
      <c r="O21" s="10">
        <v>-0.25999999791383743</v>
      </c>
    </row>
    <row r="22" spans="1:15" ht="18" customHeight="1" thickBot="1">
      <c r="A22" s="12" t="s">
        <v>210</v>
      </c>
      <c r="B22" s="303">
        <f>'YR1997'!B22+'YR1998'!B22+'YR1999'!B22</f>
        <v>0</v>
      </c>
      <c r="C22" s="303">
        <f>'YR1997'!C22+'YR1998'!C22+'YR1999'!C22</f>
        <v>0</v>
      </c>
      <c r="D22" s="303">
        <f>'YR1997'!D22+'YR1998'!D22+'YR1999'!D22</f>
        <v>0</v>
      </c>
      <c r="E22" s="303">
        <f>'YR1997'!E22+'YR1998'!E22+'YR1999'!E22</f>
        <v>0</v>
      </c>
      <c r="F22" s="326">
        <f t="shared" ref="F22" si="2">B22-C22-D22-E22</f>
        <v>0</v>
      </c>
      <c r="G22" s="341"/>
      <c r="K22" s="10"/>
      <c r="L22" s="10"/>
      <c r="M22" s="10"/>
      <c r="N22" s="10"/>
      <c r="O22" s="10"/>
    </row>
    <row r="23" spans="1:15" ht="18" customHeight="1" thickBot="1">
      <c r="A23" s="12" t="s">
        <v>80</v>
      </c>
      <c r="B23" s="303">
        <f>'YR1997'!B23+'YR1998'!B23+'YR1999'!B23</f>
        <v>49845885</v>
      </c>
      <c r="C23" s="303">
        <f>'YR1997'!C23+'YR1998'!C23+'YR1999'!C23+2215374</f>
        <v>39979888</v>
      </c>
      <c r="D23" s="303">
        <f>'YR1997'!D23+'YR1998'!D23+'YR1999'!D23</f>
        <v>9865997</v>
      </c>
      <c r="E23" s="303">
        <f>'YR1997'!E23+'YR1998'!E23+'YR1999'!E23-2215374</f>
        <v>0</v>
      </c>
      <c r="F23" s="326">
        <f t="shared" si="1"/>
        <v>0</v>
      </c>
      <c r="G23" s="341" t="s">
        <v>204</v>
      </c>
      <c r="H23" s="10">
        <f t="shared" si="0"/>
        <v>103180</v>
      </c>
      <c r="I23" s="10">
        <f t="shared" si="0"/>
        <v>-103180</v>
      </c>
      <c r="J23" s="1" t="s">
        <v>80</v>
      </c>
      <c r="K23" s="10">
        <v>49845885</v>
      </c>
      <c r="L23" s="10">
        <v>39876708</v>
      </c>
      <c r="M23" s="10">
        <v>9969177</v>
      </c>
      <c r="N23" s="10">
        <v>0</v>
      </c>
      <c r="O23" s="10">
        <v>0</v>
      </c>
    </row>
    <row r="24" spans="1:15" ht="18" customHeight="1" thickBot="1">
      <c r="A24" s="12" t="s">
        <v>81</v>
      </c>
      <c r="B24" s="303">
        <f>'YR1997'!B24+'YR1998'!B24+'YR1999'!B24</f>
        <v>2094711</v>
      </c>
      <c r="C24" s="303">
        <f>'YR1997'!C24+'YR1998'!C24+'YR1999'!C24</f>
        <v>2094711</v>
      </c>
      <c r="D24" s="303">
        <f>'YR1997'!D24+'YR1998'!D24+'YR1999'!D24</f>
        <v>0</v>
      </c>
      <c r="E24" s="303">
        <f>'YR1997'!E24+'YR1998'!E24+'YR1999'!E24</f>
        <v>0</v>
      </c>
      <c r="F24" s="326">
        <f t="shared" si="1"/>
        <v>0</v>
      </c>
      <c r="H24" s="10">
        <f t="shared" si="0"/>
        <v>0.23999999999068677</v>
      </c>
      <c r="I24" s="10">
        <f t="shared" si="0"/>
        <v>0</v>
      </c>
      <c r="J24" s="1" t="s">
        <v>81</v>
      </c>
      <c r="K24" s="10">
        <v>2094711</v>
      </c>
      <c r="L24" s="10">
        <v>2094710.76</v>
      </c>
      <c r="M24" s="10">
        <v>0</v>
      </c>
      <c r="N24" s="10">
        <v>0</v>
      </c>
      <c r="O24" s="10">
        <v>0.23999999999068677</v>
      </c>
    </row>
    <row r="25" spans="1:15" ht="18" customHeight="1" thickBot="1">
      <c r="A25" s="12" t="s">
        <v>83</v>
      </c>
      <c r="B25" s="303">
        <f>'YR1997'!B25+'YR1998'!B25+'YR1999'!B25</f>
        <v>771735</v>
      </c>
      <c r="C25" s="303">
        <f>'YR1997'!C25+'YR1998'!C25+'YR1999'!C25</f>
        <v>771735</v>
      </c>
      <c r="D25" s="303">
        <f>'YR1997'!D25+'YR1998'!D25+'YR1999'!D25</f>
        <v>0</v>
      </c>
      <c r="E25" s="303">
        <f>'YR1997'!E25+'YR1998'!E25+'YR1999'!E25</f>
        <v>0</v>
      </c>
      <c r="F25" s="326">
        <f t="shared" si="1"/>
        <v>0</v>
      </c>
      <c r="H25" s="10">
        <f t="shared" si="0"/>
        <v>0</v>
      </c>
      <c r="I25" s="10">
        <f t="shared" si="0"/>
        <v>0</v>
      </c>
      <c r="J25" s="1" t="s">
        <v>83</v>
      </c>
      <c r="K25" s="10">
        <v>771735</v>
      </c>
      <c r="L25" s="10">
        <v>771735</v>
      </c>
      <c r="M25" s="10">
        <v>0</v>
      </c>
      <c r="N25" s="10">
        <v>0</v>
      </c>
      <c r="O25" s="10">
        <v>0</v>
      </c>
    </row>
    <row r="26" spans="1:15" ht="18" customHeight="1" thickBot="1">
      <c r="A26" s="12" t="s">
        <v>84</v>
      </c>
      <c r="B26" s="303">
        <f>'YR1997'!B26+'YR1998'!B26+'YR1999'!B26</f>
        <v>165372</v>
      </c>
      <c r="C26" s="303">
        <f>'YR1997'!C26+'YR1998'!C26+'YR1999'!C26</f>
        <v>165372</v>
      </c>
      <c r="D26" s="303">
        <f>'YR1997'!D26+'YR1998'!D26+'YR1999'!D26</f>
        <v>0</v>
      </c>
      <c r="E26" s="303">
        <f>'YR1997'!E26+'YR1998'!E26+'YR1999'!E26</f>
        <v>0</v>
      </c>
      <c r="F26" s="326">
        <f t="shared" si="1"/>
        <v>0</v>
      </c>
      <c r="H26" s="10">
        <f t="shared" si="0"/>
        <v>0</v>
      </c>
      <c r="I26" s="10">
        <f t="shared" si="0"/>
        <v>0</v>
      </c>
      <c r="J26" s="1" t="s">
        <v>84</v>
      </c>
      <c r="K26" s="10">
        <v>165372</v>
      </c>
      <c r="L26" s="10">
        <v>165372</v>
      </c>
      <c r="M26" s="10">
        <v>0</v>
      </c>
      <c r="N26" s="10">
        <v>0</v>
      </c>
      <c r="O26" s="10">
        <v>0</v>
      </c>
    </row>
    <row r="27" spans="1:15" ht="18" customHeight="1" thickBot="1">
      <c r="A27" s="12" t="s">
        <v>85</v>
      </c>
      <c r="B27" s="303">
        <f>'YR1997'!B27+'YR1998'!B27+'YR1999'!B27</f>
        <v>1157604</v>
      </c>
      <c r="C27" s="303">
        <f>'YR1997'!C27+'YR1998'!C27+'YR1999'!C27</f>
        <v>1157604</v>
      </c>
      <c r="D27" s="303">
        <f>'YR1997'!D27+'YR1998'!D27+'YR1999'!D27</f>
        <v>0</v>
      </c>
      <c r="E27" s="303">
        <f>'YR1997'!E27+'YR1998'!E27+'YR1999'!E27</f>
        <v>0</v>
      </c>
      <c r="F27" s="326">
        <f t="shared" si="1"/>
        <v>0</v>
      </c>
      <c r="H27" s="10">
        <f t="shared" si="0"/>
        <v>0</v>
      </c>
      <c r="I27" s="10">
        <f t="shared" si="0"/>
        <v>0</v>
      </c>
      <c r="J27" s="1" t="s">
        <v>85</v>
      </c>
      <c r="K27" s="10">
        <v>1157604</v>
      </c>
      <c r="L27" s="10">
        <v>1157604</v>
      </c>
      <c r="M27" s="10">
        <v>0</v>
      </c>
      <c r="N27" s="10">
        <v>0</v>
      </c>
      <c r="O27" s="10">
        <v>0</v>
      </c>
    </row>
    <row r="28" spans="1:15" ht="18" customHeight="1" thickBot="1">
      <c r="A28" s="12" t="s">
        <v>86</v>
      </c>
      <c r="B28" s="303">
        <f>'YR1997'!B28+'YR1998'!B28+'YR1999'!B28</f>
        <v>1474566</v>
      </c>
      <c r="C28" s="303">
        <f>'YR1997'!C28+'YR1998'!C28+'YR1999'!C28</f>
        <v>1474566</v>
      </c>
      <c r="D28" s="303">
        <f>'YR1997'!D28+'YR1998'!D28+'YR1999'!D28</f>
        <v>0</v>
      </c>
      <c r="E28" s="303">
        <f>'YR1997'!E28+'YR1998'!E28+'YR1999'!E28</f>
        <v>0</v>
      </c>
      <c r="F28" s="326">
        <f t="shared" si="1"/>
        <v>0</v>
      </c>
      <c r="H28" s="10">
        <f t="shared" si="0"/>
        <v>0</v>
      </c>
      <c r="I28" s="10">
        <f t="shared" si="0"/>
        <v>0</v>
      </c>
      <c r="J28" s="1" t="s">
        <v>86</v>
      </c>
      <c r="K28" s="10">
        <v>1474566</v>
      </c>
      <c r="L28" s="10">
        <v>1474566</v>
      </c>
      <c r="M28" s="10">
        <v>0</v>
      </c>
      <c r="N28" s="10">
        <v>0</v>
      </c>
      <c r="O28" s="10">
        <v>0</v>
      </c>
    </row>
    <row r="29" spans="1:15" ht="18" customHeight="1" thickBot="1">
      <c r="A29" s="12" t="s">
        <v>87</v>
      </c>
      <c r="B29" s="303">
        <f>'YR1997'!B29+'YR1998'!B29+'YR1999'!B29</f>
        <v>28650705</v>
      </c>
      <c r="C29" s="303">
        <f>'YR1997'!C29+'YR1998'!C29+'YR1999'!C29</f>
        <v>28650705</v>
      </c>
      <c r="D29" s="303">
        <f>'YR1997'!D29+'YR1998'!D29+'YR1999'!D29</f>
        <v>0</v>
      </c>
      <c r="E29" s="303">
        <f>'YR1997'!E29+'YR1998'!E29+'YR1999'!E29</f>
        <v>0</v>
      </c>
      <c r="F29" s="326">
        <f t="shared" si="1"/>
        <v>0</v>
      </c>
      <c r="H29" s="10">
        <f t="shared" si="0"/>
        <v>0</v>
      </c>
      <c r="I29" s="10">
        <f t="shared" si="0"/>
        <v>0</v>
      </c>
      <c r="J29" s="1" t="s">
        <v>87</v>
      </c>
      <c r="K29" s="10">
        <v>28650705</v>
      </c>
      <c r="L29" s="10">
        <v>28650705</v>
      </c>
      <c r="M29" s="10">
        <v>0</v>
      </c>
      <c r="N29" s="10">
        <v>0</v>
      </c>
      <c r="O29" s="10">
        <v>0</v>
      </c>
    </row>
    <row r="30" spans="1:15" ht="18" customHeight="1" thickBot="1">
      <c r="A30" s="12" t="s">
        <v>88</v>
      </c>
      <c r="B30" s="303">
        <f>'YR1997'!B30+'YR1998'!B30+'YR1999'!B30</f>
        <v>85083909</v>
      </c>
      <c r="C30" s="303">
        <f>'YR1997'!C30+'YR1998'!C30+'YR1999'!C30+34935.8+12615</f>
        <v>82397959.799999997</v>
      </c>
      <c r="D30" s="303">
        <f>'YR1997'!D30+'YR1998'!D30+'YR1999'!D30-34935.8-12615</f>
        <v>2685949.2</v>
      </c>
      <c r="E30" s="303">
        <f>'YR1997'!E30+'YR1998'!E30+'YR1999'!E30</f>
        <v>0</v>
      </c>
      <c r="F30" s="326">
        <f t="shared" si="1"/>
        <v>2.7939677238464355E-9</v>
      </c>
      <c r="G30" s="341" t="s">
        <v>205</v>
      </c>
      <c r="H30" s="10">
        <f t="shared" si="0"/>
        <v>12615</v>
      </c>
      <c r="I30" s="10">
        <f t="shared" si="0"/>
        <v>-12615</v>
      </c>
      <c r="J30" s="1" t="s">
        <v>88</v>
      </c>
      <c r="K30" s="10">
        <v>85083909</v>
      </c>
      <c r="L30" s="10">
        <v>82385344.799999997</v>
      </c>
      <c r="M30" s="10">
        <v>2698564.2</v>
      </c>
      <c r="N30" s="10">
        <v>0</v>
      </c>
      <c r="O30" s="10">
        <v>2.7939677238464355E-9</v>
      </c>
    </row>
    <row r="31" spans="1:15" ht="18" customHeight="1" thickBot="1">
      <c r="A31" s="12" t="s">
        <v>90</v>
      </c>
      <c r="B31" s="303">
        <f>'YR1997'!B31+'YR1998'!B31+'YR1999'!B31</f>
        <v>0</v>
      </c>
      <c r="C31" s="303">
        <f>'YR1997'!C31+'YR1998'!C31+'YR1999'!C31</f>
        <v>0</v>
      </c>
      <c r="D31" s="303">
        <f>'YR1997'!D31+'YR1998'!D31+'YR1999'!D31</f>
        <v>0</v>
      </c>
      <c r="E31" s="303">
        <f>'YR1997'!E31+'YR1998'!E31+'YR1999'!E31</f>
        <v>0</v>
      </c>
      <c r="F31" s="326">
        <f t="shared" si="1"/>
        <v>0</v>
      </c>
      <c r="G31" s="341"/>
      <c r="K31" s="10"/>
      <c r="L31" s="10"/>
      <c r="M31" s="10"/>
      <c r="N31" s="10"/>
      <c r="O31" s="10"/>
    </row>
    <row r="32" spans="1:15" ht="18" customHeight="1" thickBot="1">
      <c r="A32" s="12" t="s">
        <v>91</v>
      </c>
      <c r="B32" s="303">
        <f>'YR1997'!B32+'YR1998'!B32+'YR1999'!B32</f>
        <v>139131</v>
      </c>
      <c r="C32" s="303">
        <f>'YR1997'!C32+'YR1998'!C32+'YR1999'!C32</f>
        <v>139131</v>
      </c>
      <c r="D32" s="303">
        <f>'YR1997'!D32+'YR1998'!D32+'YR1999'!D32</f>
        <v>0</v>
      </c>
      <c r="E32" s="303">
        <f>'YR1997'!E32+'YR1998'!E32+'YR1999'!E32</f>
        <v>0</v>
      </c>
      <c r="F32" s="326">
        <f t="shared" si="1"/>
        <v>0</v>
      </c>
      <c r="H32" s="10">
        <f t="shared" si="0"/>
        <v>0</v>
      </c>
      <c r="I32" s="10">
        <f t="shared" si="0"/>
        <v>0</v>
      </c>
      <c r="J32" s="1" t="s">
        <v>91</v>
      </c>
      <c r="K32" s="10">
        <v>139131</v>
      </c>
      <c r="L32" s="10">
        <v>139131</v>
      </c>
      <c r="M32" s="10">
        <v>0</v>
      </c>
      <c r="N32" s="10">
        <v>0</v>
      </c>
      <c r="O32" s="10">
        <v>0</v>
      </c>
    </row>
    <row r="33" spans="1:15" ht="18" customHeight="1" thickBot="1">
      <c r="A33" s="12" t="s">
        <v>92</v>
      </c>
      <c r="B33" s="303">
        <f>'YR1997'!B33+'YR1998'!B33+'YR1999'!B33</f>
        <v>55125</v>
      </c>
      <c r="C33" s="303">
        <f>'YR1997'!C33+'YR1998'!C33+'YR1999'!C33</f>
        <v>55125</v>
      </c>
      <c r="D33" s="303">
        <f>'YR1997'!D33+'YR1998'!D33+'YR1999'!D33</f>
        <v>0</v>
      </c>
      <c r="E33" s="303">
        <f>'YR1997'!E33+'YR1998'!E33+'YR1999'!E33</f>
        <v>0</v>
      </c>
      <c r="F33" s="326">
        <f t="shared" si="1"/>
        <v>0</v>
      </c>
      <c r="H33" s="10">
        <f t="shared" si="0"/>
        <v>0</v>
      </c>
      <c r="I33" s="10">
        <f t="shared" si="0"/>
        <v>0</v>
      </c>
      <c r="J33" s="1" t="s">
        <v>92</v>
      </c>
      <c r="K33" s="10">
        <v>55125</v>
      </c>
      <c r="L33" s="10">
        <v>55125</v>
      </c>
      <c r="M33" s="10">
        <v>0</v>
      </c>
      <c r="N33" s="10">
        <v>0</v>
      </c>
      <c r="O33" s="10">
        <v>0</v>
      </c>
    </row>
    <row r="34" spans="1:15" ht="18" customHeight="1" thickBot="1">
      <c r="A34" s="12" t="s">
        <v>93</v>
      </c>
      <c r="B34" s="303">
        <f>'YR1997'!B34+'YR1998'!B34+'YR1999'!B34</f>
        <v>259310</v>
      </c>
      <c r="C34" s="303">
        <f>'YR1997'!C34+'YR1998'!C34+'YR1999'!C34</f>
        <v>14975</v>
      </c>
      <c r="D34" s="303">
        <f>'YR1997'!D34+'YR1998'!D34+'YR1999'!D34</f>
        <v>0</v>
      </c>
      <c r="E34" s="303">
        <f>'YR1997'!E34+'YR1998'!E34+'YR1999'!E34</f>
        <v>0</v>
      </c>
      <c r="F34" s="326">
        <f t="shared" si="1"/>
        <v>244335</v>
      </c>
      <c r="G34" s="341"/>
      <c r="H34" s="10">
        <f t="shared" si="0"/>
        <v>-244335.00000000003</v>
      </c>
      <c r="I34" s="10">
        <f t="shared" si="0"/>
        <v>0</v>
      </c>
      <c r="J34" s="1" t="s">
        <v>93</v>
      </c>
      <c r="K34" s="10">
        <v>259310</v>
      </c>
      <c r="L34" s="10">
        <v>259310.00000000003</v>
      </c>
      <c r="M34" s="10">
        <v>0</v>
      </c>
      <c r="N34" s="10">
        <v>0</v>
      </c>
      <c r="O34" s="10">
        <v>-2.9103830456733704E-11</v>
      </c>
    </row>
    <row r="35" spans="1:15" ht="18" customHeight="1" thickBot="1">
      <c r="A35" s="12" t="s">
        <v>94</v>
      </c>
      <c r="B35" s="303">
        <f>'YR1997'!B35+'YR1998'!B35+'YR1999'!B35</f>
        <v>385869</v>
      </c>
      <c r="C35" s="303">
        <f>'YR1997'!C35+'YR1998'!C35+'YR1999'!C35</f>
        <v>385869</v>
      </c>
      <c r="D35" s="303">
        <f>'YR1997'!D35+'YR1998'!D35+'YR1999'!D35</f>
        <v>0</v>
      </c>
      <c r="E35" s="303">
        <f>'YR1997'!E35+'YR1998'!E35+'YR1999'!E35</f>
        <v>0</v>
      </c>
      <c r="F35" s="326">
        <f t="shared" si="1"/>
        <v>0</v>
      </c>
      <c r="H35" s="10">
        <f t="shared" si="0"/>
        <v>0</v>
      </c>
      <c r="I35" s="10">
        <f t="shared" si="0"/>
        <v>0</v>
      </c>
      <c r="J35" s="1" t="s">
        <v>94</v>
      </c>
      <c r="K35" s="10">
        <v>385869</v>
      </c>
      <c r="L35" s="10">
        <v>385869</v>
      </c>
      <c r="M35" s="10">
        <v>0</v>
      </c>
      <c r="N35" s="10">
        <v>0</v>
      </c>
      <c r="O35" s="10">
        <v>0</v>
      </c>
    </row>
    <row r="36" spans="1:15" ht="18" customHeight="1" thickBot="1">
      <c r="A36" s="12" t="s">
        <v>95</v>
      </c>
      <c r="B36" s="303">
        <f>'YR1997'!B36+'YR1998'!B36+'YR1999'!B36</f>
        <v>0</v>
      </c>
      <c r="C36" s="303">
        <f>'YR1997'!C36+'YR1998'!C36+'YR1999'!C36</f>
        <v>0</v>
      </c>
      <c r="D36" s="303">
        <f>'YR1997'!D36+'YR1998'!D36+'YR1999'!D36</f>
        <v>0</v>
      </c>
      <c r="E36" s="303">
        <f>'YR1997'!E36+'YR1998'!E36+'YR1999'!E36</f>
        <v>0</v>
      </c>
      <c r="F36" s="326">
        <f t="shared" ref="F36" si="3">B36-C36-D36-E36</f>
        <v>0</v>
      </c>
      <c r="K36" s="10"/>
      <c r="L36" s="10"/>
      <c r="M36" s="10"/>
      <c r="N36" s="10"/>
      <c r="O36" s="10"/>
    </row>
    <row r="37" spans="1:15" ht="18" customHeight="1" thickBot="1">
      <c r="A37" s="12" t="s">
        <v>96</v>
      </c>
      <c r="B37" s="303">
        <f>'YR1997'!B37+'YR1998'!B37+'YR1999'!B37</f>
        <v>55125</v>
      </c>
      <c r="C37" s="307">
        <v>55125</v>
      </c>
      <c r="D37" s="307">
        <v>0</v>
      </c>
      <c r="E37" s="307">
        <v>0</v>
      </c>
      <c r="F37" s="326">
        <f t="shared" si="1"/>
        <v>0</v>
      </c>
      <c r="H37" s="10">
        <f t="shared" si="0"/>
        <v>0</v>
      </c>
      <c r="I37" s="10">
        <f t="shared" si="0"/>
        <v>0</v>
      </c>
      <c r="J37" s="1" t="s">
        <v>96</v>
      </c>
      <c r="K37" s="10">
        <v>55125</v>
      </c>
      <c r="L37" s="10">
        <v>55125</v>
      </c>
      <c r="M37" s="10">
        <v>0</v>
      </c>
      <c r="N37" s="10">
        <v>0</v>
      </c>
      <c r="O37" s="10">
        <v>0</v>
      </c>
    </row>
    <row r="38" spans="1:15" ht="18" customHeight="1" thickBot="1">
      <c r="A38" s="12" t="s">
        <v>97</v>
      </c>
      <c r="B38" s="303">
        <f>'YR1997'!B38+'YR1998'!B38+'YR1999'!B38</f>
        <v>8750937</v>
      </c>
      <c r="C38" s="307">
        <v>8750937</v>
      </c>
      <c r="D38" s="307">
        <v>0</v>
      </c>
      <c r="E38" s="307">
        <v>0</v>
      </c>
      <c r="F38" s="326">
        <f t="shared" si="1"/>
        <v>0</v>
      </c>
      <c r="H38" s="10">
        <f t="shared" si="0"/>
        <v>0</v>
      </c>
      <c r="I38" s="10">
        <f t="shared" si="0"/>
        <v>0</v>
      </c>
      <c r="J38" s="1" t="s">
        <v>97</v>
      </c>
      <c r="K38" s="10">
        <v>8750937</v>
      </c>
      <c r="L38" s="10">
        <v>8750937</v>
      </c>
      <c r="M38" s="10">
        <v>0</v>
      </c>
      <c r="N38" s="10">
        <v>0</v>
      </c>
      <c r="O38" s="10">
        <v>0</v>
      </c>
    </row>
    <row r="39" spans="1:15" ht="18" customHeight="1" thickBot="1">
      <c r="A39" s="12" t="s">
        <v>98</v>
      </c>
      <c r="B39" s="303">
        <f>'YR1997'!B39+'YR1998'!B39+'YR1999'!B39</f>
        <v>1322976</v>
      </c>
      <c r="C39" s="307">
        <v>1322975.6000000001</v>
      </c>
      <c r="D39" s="307">
        <v>0</v>
      </c>
      <c r="E39" s="307">
        <v>0</v>
      </c>
      <c r="F39" s="326">
        <f t="shared" si="1"/>
        <v>0.39999999990686774</v>
      </c>
      <c r="H39" s="10">
        <f t="shared" si="0"/>
        <v>0</v>
      </c>
      <c r="I39" s="10">
        <f t="shared" si="0"/>
        <v>0</v>
      </c>
      <c r="J39" s="1" t="s">
        <v>98</v>
      </c>
      <c r="K39" s="10">
        <v>1322976</v>
      </c>
      <c r="L39" s="10">
        <v>1322975.6000000001</v>
      </c>
      <c r="M39" s="10">
        <v>0</v>
      </c>
      <c r="N39" s="10">
        <v>0</v>
      </c>
      <c r="O39" s="10">
        <v>0.39999999990686774</v>
      </c>
    </row>
    <row r="40" spans="1:15" ht="18" customHeight="1" thickBot="1">
      <c r="A40" s="12" t="s">
        <v>99</v>
      </c>
      <c r="B40" s="303">
        <f>'YR1997'!B40+'YR1998'!B40+'YR1999'!B40</f>
        <v>3086946</v>
      </c>
      <c r="C40" s="307">
        <v>3086946</v>
      </c>
      <c r="D40" s="307">
        <v>0</v>
      </c>
      <c r="E40" s="307">
        <v>0</v>
      </c>
      <c r="F40" s="326">
        <f t="shared" si="1"/>
        <v>0</v>
      </c>
      <c r="H40" s="10">
        <f t="shared" si="0"/>
        <v>0</v>
      </c>
      <c r="I40" s="10">
        <f t="shared" si="0"/>
        <v>0</v>
      </c>
      <c r="J40" s="1" t="s">
        <v>99</v>
      </c>
      <c r="K40" s="10">
        <v>3086946</v>
      </c>
      <c r="L40" s="10">
        <v>3086946</v>
      </c>
      <c r="M40" s="10">
        <v>0</v>
      </c>
      <c r="N40" s="10">
        <v>0</v>
      </c>
      <c r="O40" s="10">
        <v>0</v>
      </c>
    </row>
    <row r="41" spans="1:15" ht="18" customHeight="1" thickBot="1">
      <c r="A41" s="12" t="s">
        <v>100</v>
      </c>
      <c r="B41" s="303">
        <f>'YR1997'!B41+'YR1998'!B41+'YR1999'!B41</f>
        <v>0</v>
      </c>
      <c r="C41" s="303">
        <f>'YR1997'!C41+'YR1998'!C41+'YR1999'!C41</f>
        <v>0</v>
      </c>
      <c r="D41" s="303">
        <f>'YR1997'!D41+'YR1998'!D41+'YR1999'!D41</f>
        <v>0</v>
      </c>
      <c r="E41" s="303">
        <f>'YR1997'!E41+'YR1998'!E41+'YR1999'!E41</f>
        <v>0</v>
      </c>
      <c r="F41" s="326">
        <f t="shared" si="1"/>
        <v>0</v>
      </c>
      <c r="K41" s="10"/>
      <c r="L41" s="10"/>
      <c r="M41" s="10"/>
      <c r="N41" s="10"/>
      <c r="O41" s="10"/>
    </row>
    <row r="42" spans="1:15" ht="18" customHeight="1" thickBot="1">
      <c r="A42" s="12" t="s">
        <v>101</v>
      </c>
      <c r="B42" s="303">
        <f>'YR1997'!B42+'YR1998'!B42+'YR1999'!B42</f>
        <v>1860435</v>
      </c>
      <c r="C42" s="307">
        <v>1860435</v>
      </c>
      <c r="D42" s="307">
        <v>0</v>
      </c>
      <c r="E42" s="307">
        <v>0</v>
      </c>
      <c r="F42" s="326">
        <f t="shared" si="1"/>
        <v>0</v>
      </c>
      <c r="H42" s="10">
        <f t="shared" si="0"/>
        <v>0</v>
      </c>
      <c r="I42" s="10">
        <f t="shared" si="0"/>
        <v>0</v>
      </c>
      <c r="J42" s="1" t="s">
        <v>101</v>
      </c>
      <c r="K42" s="10">
        <v>1860435</v>
      </c>
      <c r="L42" s="10">
        <v>1860435</v>
      </c>
      <c r="M42" s="10">
        <v>0</v>
      </c>
      <c r="N42" s="10">
        <v>0</v>
      </c>
      <c r="O42" s="10">
        <v>0</v>
      </c>
    </row>
    <row r="43" spans="1:15" ht="18" customHeight="1" thickBot="1">
      <c r="A43" s="12" t="s">
        <v>102</v>
      </c>
      <c r="B43" s="303">
        <f>'YR1997'!B43+'YR1998'!B43+'YR1999'!B43</f>
        <v>1515909</v>
      </c>
      <c r="C43" s="307">
        <v>1515909</v>
      </c>
      <c r="D43" s="307">
        <v>0</v>
      </c>
      <c r="E43" s="307">
        <v>0</v>
      </c>
      <c r="F43" s="326">
        <f t="shared" si="1"/>
        <v>0</v>
      </c>
      <c r="H43" s="10">
        <f t="shared" si="0"/>
        <v>0</v>
      </c>
      <c r="I43" s="10">
        <f t="shared" si="0"/>
        <v>0</v>
      </c>
      <c r="J43" s="1" t="s">
        <v>102</v>
      </c>
      <c r="K43" s="10">
        <v>1515909</v>
      </c>
      <c r="L43" s="10">
        <v>1515909</v>
      </c>
      <c r="M43" s="10">
        <v>0</v>
      </c>
      <c r="N43" s="10">
        <v>0</v>
      </c>
      <c r="O43" s="10">
        <v>0</v>
      </c>
    </row>
    <row r="44" spans="1:15" ht="18" customHeight="1" thickBot="1">
      <c r="A44" s="12" t="s">
        <v>104</v>
      </c>
      <c r="B44" s="303">
        <f>'YR1997'!B44+'YR1998'!B44+'YR1999'!B44</f>
        <v>24530184</v>
      </c>
      <c r="C44" s="307">
        <v>0</v>
      </c>
      <c r="D44" s="307">
        <v>0</v>
      </c>
      <c r="E44" s="307">
        <v>0</v>
      </c>
      <c r="F44" s="326">
        <f t="shared" si="1"/>
        <v>24530184</v>
      </c>
      <c r="H44" s="10">
        <f t="shared" si="0"/>
        <v>0</v>
      </c>
      <c r="I44" s="10">
        <f t="shared" si="0"/>
        <v>0</v>
      </c>
      <c r="J44" s="1" t="s">
        <v>104</v>
      </c>
      <c r="K44" s="10">
        <v>24530184</v>
      </c>
      <c r="L44" s="10">
        <v>0</v>
      </c>
      <c r="M44" s="10">
        <v>0</v>
      </c>
      <c r="N44" s="10">
        <v>0</v>
      </c>
      <c r="O44" s="10">
        <v>24530184</v>
      </c>
    </row>
    <row r="45" spans="1:15" ht="18" customHeight="1" thickBot="1">
      <c r="A45" s="12" t="s">
        <v>106</v>
      </c>
      <c r="B45" s="303">
        <f>'YR1997'!B45+'YR1998'!B45+'YR1999'!B45</f>
        <v>0</v>
      </c>
      <c r="C45" s="303">
        <f>'YR1997'!C45+'YR1998'!C45+'YR1999'!C45</f>
        <v>0</v>
      </c>
      <c r="D45" s="303">
        <f>'YR1997'!D45+'YR1998'!D45+'YR1999'!D45</f>
        <v>0</v>
      </c>
      <c r="E45" s="303">
        <f>'YR1997'!E45+'YR1998'!E45+'YR1999'!E45</f>
        <v>0</v>
      </c>
      <c r="F45" s="326">
        <f t="shared" ref="F45" si="4">B45-C45-D45-E45</f>
        <v>0</v>
      </c>
      <c r="K45" s="10"/>
      <c r="L45" s="10"/>
      <c r="M45" s="10"/>
      <c r="N45" s="10"/>
      <c r="O45" s="10"/>
    </row>
    <row r="46" spans="1:15" ht="18" customHeight="1" thickBot="1">
      <c r="A46" s="11" t="s">
        <v>107</v>
      </c>
      <c r="B46" s="303">
        <v>454773</v>
      </c>
      <c r="C46" s="307">
        <v>454773</v>
      </c>
      <c r="D46" s="307">
        <v>0</v>
      </c>
      <c r="E46" s="307">
        <v>0</v>
      </c>
      <c r="F46" s="326">
        <f t="shared" si="1"/>
        <v>0</v>
      </c>
      <c r="H46" s="10">
        <f t="shared" si="0"/>
        <v>0</v>
      </c>
      <c r="I46" s="10">
        <f t="shared" si="0"/>
        <v>0</v>
      </c>
      <c r="J46" s="1" t="s">
        <v>107</v>
      </c>
      <c r="K46" s="10">
        <v>454773</v>
      </c>
      <c r="L46" s="10">
        <v>454773</v>
      </c>
      <c r="M46" s="10">
        <v>0</v>
      </c>
      <c r="N46" s="10">
        <v>0</v>
      </c>
      <c r="O46" s="10">
        <v>0</v>
      </c>
    </row>
    <row r="47" spans="1:15" ht="18" customHeight="1" thickBot="1">
      <c r="A47" s="12" t="s">
        <v>108</v>
      </c>
      <c r="B47" s="303">
        <f>'YR1997'!B47+'YR1998'!B47+'YR1999'!B47</f>
        <v>0</v>
      </c>
      <c r="C47" s="303">
        <f>'YR1997'!C47+'YR1998'!C47+'YR1999'!C47</f>
        <v>0</v>
      </c>
      <c r="D47" s="303">
        <f>'YR1997'!D47+'YR1998'!D47+'YR1999'!D47</f>
        <v>0</v>
      </c>
      <c r="E47" s="303">
        <f>'YR1997'!E47+'YR1998'!E47+'YR1999'!E47</f>
        <v>0</v>
      </c>
      <c r="F47" s="326">
        <f t="shared" si="1"/>
        <v>0</v>
      </c>
      <c r="H47" s="10">
        <f t="shared" si="0"/>
        <v>0</v>
      </c>
      <c r="I47" s="10">
        <f t="shared" si="0"/>
        <v>0</v>
      </c>
      <c r="J47" s="1" t="s">
        <v>108</v>
      </c>
      <c r="K47" s="10">
        <v>0</v>
      </c>
      <c r="L47" s="10">
        <v>0</v>
      </c>
      <c r="M47" s="10">
        <v>0</v>
      </c>
      <c r="N47" s="10">
        <v>0</v>
      </c>
      <c r="O47" s="10">
        <v>0</v>
      </c>
    </row>
    <row r="48" spans="1:15" ht="18" customHeight="1" thickBot="1">
      <c r="A48" s="12" t="s">
        <v>109</v>
      </c>
      <c r="B48" s="303">
        <f>'YR1997'!B48+'YR1998'!B48+'YR1999'!B48</f>
        <v>592583</v>
      </c>
      <c r="C48" s="307">
        <v>592583</v>
      </c>
      <c r="D48" s="307">
        <v>0</v>
      </c>
      <c r="E48" s="307">
        <v>0</v>
      </c>
      <c r="F48" s="326">
        <f t="shared" si="1"/>
        <v>0</v>
      </c>
      <c r="H48" s="10">
        <f t="shared" si="0"/>
        <v>0</v>
      </c>
      <c r="I48" s="10">
        <f t="shared" si="0"/>
        <v>0</v>
      </c>
      <c r="J48" s="1" t="s">
        <v>109</v>
      </c>
      <c r="K48" s="10">
        <v>592583</v>
      </c>
      <c r="L48" s="10">
        <v>592583</v>
      </c>
      <c r="M48" s="10">
        <v>0</v>
      </c>
      <c r="N48" s="10">
        <v>0</v>
      </c>
      <c r="O48" s="10">
        <v>0</v>
      </c>
    </row>
    <row r="49" spans="1:15" ht="18" customHeight="1" thickBot="1">
      <c r="A49" s="12" t="s">
        <v>110</v>
      </c>
      <c r="B49" s="303">
        <f>'YR1997'!B49+'YR1998'!B49+'YR1999'!B49</f>
        <v>13023048</v>
      </c>
      <c r="C49" s="307">
        <v>13023048</v>
      </c>
      <c r="D49" s="307">
        <v>0</v>
      </c>
      <c r="E49" s="307">
        <v>0</v>
      </c>
      <c r="F49" s="326">
        <f t="shared" si="1"/>
        <v>0</v>
      </c>
      <c r="H49" s="10">
        <f t="shared" si="0"/>
        <v>0</v>
      </c>
      <c r="I49" s="10">
        <f t="shared" si="0"/>
        <v>0</v>
      </c>
      <c r="J49" s="1" t="s">
        <v>110</v>
      </c>
      <c r="K49" s="10">
        <v>13023048</v>
      </c>
      <c r="L49" s="10">
        <v>13023048</v>
      </c>
      <c r="M49" s="10">
        <v>0</v>
      </c>
      <c r="N49" s="10">
        <v>0</v>
      </c>
      <c r="O49" s="10">
        <v>0</v>
      </c>
    </row>
    <row r="50" spans="1:15" ht="18" customHeight="1" thickBot="1">
      <c r="A50" s="12" t="s">
        <v>111</v>
      </c>
      <c r="B50" s="303">
        <f>'YR1997'!B50+'YR1998'!B50+'YR1999'!B50</f>
        <v>6766473</v>
      </c>
      <c r="C50" s="307">
        <v>6335623</v>
      </c>
      <c r="D50" s="307">
        <v>430850</v>
      </c>
      <c r="E50" s="307">
        <v>0</v>
      </c>
      <c r="F50" s="326">
        <f t="shared" si="1"/>
        <v>0</v>
      </c>
      <c r="H50" s="10">
        <f t="shared" si="0"/>
        <v>0</v>
      </c>
      <c r="I50" s="10">
        <f t="shared" si="0"/>
        <v>0</v>
      </c>
      <c r="J50" s="1" t="s">
        <v>111</v>
      </c>
      <c r="K50" s="10">
        <v>6766473</v>
      </c>
      <c r="L50" s="10">
        <v>6335623</v>
      </c>
      <c r="M50" s="10">
        <v>430850</v>
      </c>
      <c r="N50" s="10">
        <v>0</v>
      </c>
      <c r="O50" s="10">
        <v>0</v>
      </c>
    </row>
    <row r="51" spans="1:15" ht="18" customHeight="1" thickBot="1">
      <c r="A51" s="12" t="s">
        <v>112</v>
      </c>
      <c r="B51" s="303">
        <f>'YR1997'!B51+'YR1998'!B51+'YR1999'!B51</f>
        <v>6670005</v>
      </c>
      <c r="C51" s="307">
        <v>6636105</v>
      </c>
      <c r="D51" s="307">
        <v>33900</v>
      </c>
      <c r="E51" s="307">
        <v>0</v>
      </c>
      <c r="F51" s="326">
        <f t="shared" si="1"/>
        <v>0</v>
      </c>
      <c r="H51" s="10">
        <f t="shared" si="0"/>
        <v>0</v>
      </c>
      <c r="I51" s="10">
        <f t="shared" si="0"/>
        <v>0</v>
      </c>
      <c r="J51" s="1" t="s">
        <v>112</v>
      </c>
      <c r="K51" s="10">
        <v>6670005</v>
      </c>
      <c r="L51" s="10">
        <v>6636105</v>
      </c>
      <c r="M51" s="10">
        <v>33900</v>
      </c>
      <c r="N51" s="10">
        <v>0</v>
      </c>
      <c r="O51" s="10">
        <v>0</v>
      </c>
    </row>
    <row r="52" spans="1:15" ht="18" customHeight="1" thickBot="1">
      <c r="A52" s="12" t="s">
        <v>113</v>
      </c>
      <c r="B52" s="303">
        <f>'YR1997'!B52+'YR1998'!B52+'YR1999'!B52</f>
        <v>65746</v>
      </c>
      <c r="C52" s="307">
        <f>5333+1500+182+1000+671+9400+11671+11671+1619+1619+1550+1200+1670</f>
        <v>49086</v>
      </c>
      <c r="D52" s="307">
        <v>0</v>
      </c>
      <c r="E52" s="307">
        <v>0</v>
      </c>
      <c r="F52" s="326">
        <f t="shared" si="1"/>
        <v>16660</v>
      </c>
      <c r="H52" s="10">
        <f t="shared" si="0"/>
        <v>2870</v>
      </c>
      <c r="I52" s="10">
        <f t="shared" si="0"/>
        <v>0</v>
      </c>
      <c r="J52" s="1" t="s">
        <v>113</v>
      </c>
      <c r="K52" s="10">
        <v>65746</v>
      </c>
      <c r="L52" s="10">
        <v>46216</v>
      </c>
      <c r="M52" s="10">
        <v>0</v>
      </c>
      <c r="N52" s="10">
        <v>0</v>
      </c>
      <c r="O52" s="10">
        <v>19530</v>
      </c>
    </row>
    <row r="53" spans="1:15" ht="18" customHeight="1" thickBot="1">
      <c r="A53" s="12" t="s">
        <v>181</v>
      </c>
      <c r="B53" s="303">
        <f>'YR1997'!B53+'YR1998'!B53+'YR1999'!B53</f>
        <v>179154</v>
      </c>
      <c r="C53" s="307">
        <v>0</v>
      </c>
      <c r="D53" s="307">
        <v>0</v>
      </c>
      <c r="E53" s="307">
        <v>0</v>
      </c>
      <c r="F53" s="326">
        <f t="shared" si="1"/>
        <v>179154</v>
      </c>
      <c r="H53" s="10">
        <f t="shared" si="0"/>
        <v>0</v>
      </c>
      <c r="I53" s="10">
        <f t="shared" si="0"/>
        <v>0</v>
      </c>
      <c r="J53" s="1" t="s">
        <v>181</v>
      </c>
      <c r="K53" s="10">
        <v>179154</v>
      </c>
      <c r="L53" s="10">
        <v>0</v>
      </c>
      <c r="M53" s="10">
        <v>0</v>
      </c>
      <c r="N53" s="10">
        <v>0</v>
      </c>
      <c r="O53" s="10">
        <v>179154</v>
      </c>
    </row>
    <row r="54" spans="1:15" ht="18" customHeight="1" thickBot="1">
      <c r="A54" s="12" t="s">
        <v>115</v>
      </c>
      <c r="B54" s="303">
        <f>'YR1997'!B54+'YR1998'!B54+'YR1999'!B54</f>
        <v>5555291</v>
      </c>
      <c r="C54" s="307">
        <v>0</v>
      </c>
      <c r="D54" s="307">
        <v>0</v>
      </c>
      <c r="E54" s="307">
        <v>0</v>
      </c>
      <c r="F54" s="326">
        <f t="shared" si="1"/>
        <v>5555291</v>
      </c>
      <c r="H54" s="10">
        <f t="shared" si="0"/>
        <v>0</v>
      </c>
      <c r="I54" s="10">
        <f t="shared" si="0"/>
        <v>0</v>
      </c>
      <c r="J54" s="1" t="s">
        <v>115</v>
      </c>
      <c r="K54" s="10">
        <v>5555291</v>
      </c>
      <c r="L54" s="10">
        <v>0</v>
      </c>
      <c r="M54" s="10">
        <v>0</v>
      </c>
      <c r="N54" s="10">
        <v>0</v>
      </c>
      <c r="O54" s="10">
        <v>5555291</v>
      </c>
    </row>
    <row r="55" spans="1:15" ht="18" customHeight="1" thickBot="1">
      <c r="A55" s="12" t="s">
        <v>116</v>
      </c>
      <c r="B55" s="303">
        <f>'YR1997'!B55+'YR1998'!B55+'YR1999'!B55</f>
        <v>0</v>
      </c>
      <c r="C55" s="303">
        <f>'YR1997'!C55+'YR1998'!C55+'YR1999'!C55</f>
        <v>0</v>
      </c>
      <c r="D55" s="303">
        <f>'YR1997'!D55+'YR1998'!D55+'YR1999'!D55</f>
        <v>0</v>
      </c>
      <c r="E55" s="303">
        <f>'YR1997'!E55+'YR1998'!E55+'YR1999'!E55</f>
        <v>0</v>
      </c>
      <c r="F55" s="326">
        <f t="shared" ref="F55" si="5">B55-C55-D55-E55</f>
        <v>0</v>
      </c>
      <c r="K55" s="10"/>
      <c r="L55" s="10"/>
      <c r="M55" s="10"/>
      <c r="N55" s="10"/>
      <c r="O55" s="10"/>
    </row>
    <row r="56" spans="1:15" ht="18" customHeight="1" thickBot="1">
      <c r="A56" s="12" t="s">
        <v>117</v>
      </c>
      <c r="B56" s="303">
        <f>'YR1997'!B56+'YR1998'!B56+'YR1999'!B56</f>
        <v>29298411</v>
      </c>
      <c r="C56" s="307">
        <f>26043034+2690377</f>
        <v>28733411</v>
      </c>
      <c r="D56" s="307">
        <v>565000</v>
      </c>
      <c r="E56" s="307">
        <v>0</v>
      </c>
      <c r="F56" s="326">
        <f t="shared" si="1"/>
        <v>0</v>
      </c>
      <c r="H56" s="10">
        <f t="shared" si="0"/>
        <v>0</v>
      </c>
      <c r="I56" s="10">
        <f t="shared" si="0"/>
        <v>0</v>
      </c>
      <c r="J56" s="1" t="s">
        <v>117</v>
      </c>
      <c r="K56" s="10">
        <v>29298411</v>
      </c>
      <c r="L56" s="10">
        <v>28733411</v>
      </c>
      <c r="M56" s="10">
        <v>565000</v>
      </c>
      <c r="N56" s="10">
        <v>0</v>
      </c>
      <c r="O56" s="10">
        <v>0</v>
      </c>
    </row>
    <row r="57" spans="1:15" ht="18" customHeight="1" thickBot="1">
      <c r="A57" s="12" t="s">
        <v>118</v>
      </c>
      <c r="B57" s="303">
        <f>'YR1997'!B57+'YR1998'!B57+'YR1999'!B57</f>
        <v>116499999</v>
      </c>
      <c r="C57" s="307">
        <f>113858703+2000000</f>
        <v>115858703</v>
      </c>
      <c r="D57" s="307">
        <v>641296</v>
      </c>
      <c r="E57" s="307">
        <f>2000000-2000000</f>
        <v>0</v>
      </c>
      <c r="F57" s="326">
        <f t="shared" si="1"/>
        <v>0</v>
      </c>
      <c r="H57" s="10">
        <f t="shared" si="0"/>
        <v>0</v>
      </c>
      <c r="I57" s="10">
        <f t="shared" si="0"/>
        <v>0</v>
      </c>
      <c r="J57" s="1" t="s">
        <v>118</v>
      </c>
      <c r="K57" s="10">
        <v>116499999</v>
      </c>
      <c r="L57" s="10">
        <v>115858703</v>
      </c>
      <c r="M57" s="10">
        <v>641296</v>
      </c>
      <c r="N57" s="10">
        <v>0</v>
      </c>
      <c r="O57" s="10">
        <v>0</v>
      </c>
    </row>
    <row r="58" spans="1:15" ht="18" customHeight="1" thickBot="1">
      <c r="A58" s="191" t="s">
        <v>119</v>
      </c>
      <c r="B58" s="303">
        <f>'YR1997'!B58+'YR1998'!B58+'YR1999'!B58</f>
        <v>332255</v>
      </c>
      <c r="C58" s="307">
        <v>105500</v>
      </c>
      <c r="D58" s="307">
        <v>0</v>
      </c>
      <c r="E58" s="307">
        <v>0</v>
      </c>
      <c r="F58" s="326">
        <f>B58-C58-D58-E58</f>
        <v>226755</v>
      </c>
      <c r="H58" s="10">
        <f t="shared" si="0"/>
        <v>0</v>
      </c>
      <c r="I58" s="10">
        <f t="shared" si="0"/>
        <v>0</v>
      </c>
      <c r="J58" s="1" t="s">
        <v>119</v>
      </c>
      <c r="K58" s="10">
        <v>332255</v>
      </c>
      <c r="L58" s="10">
        <v>105500</v>
      </c>
      <c r="M58" s="10">
        <v>0</v>
      </c>
      <c r="N58" s="10">
        <v>0</v>
      </c>
      <c r="O58" s="10">
        <v>226755</v>
      </c>
    </row>
    <row r="59" spans="1:15" ht="20.25" customHeight="1" thickBot="1">
      <c r="A59" s="218" t="s">
        <v>122</v>
      </c>
      <c r="B59" s="13">
        <f>SUM(B8:B58)</f>
        <v>472567009</v>
      </c>
      <c r="C59" s="343">
        <f>SUM(C8:C58)</f>
        <v>418966144.33000004</v>
      </c>
      <c r="D59" s="343">
        <f>SUM(D8:D58)</f>
        <v>20836903.199999999</v>
      </c>
      <c r="E59" s="344">
        <f>SUM(E8:E58)</f>
        <v>0</v>
      </c>
      <c r="F59" s="339">
        <f>SUM(F8:F58)</f>
        <v>32763961.470000006</v>
      </c>
      <c r="H59" s="10">
        <f t="shared" si="0"/>
        <v>279698.62999999523</v>
      </c>
      <c r="I59" s="10">
        <f t="shared" si="0"/>
        <v>-521163</v>
      </c>
      <c r="J59" s="1" t="s">
        <v>122</v>
      </c>
      <c r="K59" s="10">
        <v>472567009</v>
      </c>
      <c r="L59" s="10">
        <v>418686445.70000005</v>
      </c>
      <c r="M59" s="10">
        <v>21358066.199999999</v>
      </c>
      <c r="N59" s="10">
        <v>0</v>
      </c>
      <c r="O59" s="10">
        <v>32522497.100000005</v>
      </c>
    </row>
    <row r="60" spans="1:15">
      <c r="A60" s="327"/>
      <c r="B60" s="229"/>
      <c r="C60" s="229"/>
      <c r="D60" s="229"/>
      <c r="E60" s="229"/>
      <c r="F60" s="229"/>
      <c r="H60" s="10">
        <f t="shared" si="0"/>
        <v>0</v>
      </c>
      <c r="I60" s="10">
        <f t="shared" si="0"/>
        <v>0</v>
      </c>
      <c r="K60" s="10"/>
      <c r="L60" s="10"/>
      <c r="M60" s="10"/>
      <c r="N60" s="10"/>
      <c r="O60" s="10"/>
    </row>
    <row r="61" spans="1:15">
      <c r="A61" s="327" t="s">
        <v>206</v>
      </c>
      <c r="B61" s="229"/>
      <c r="C61" s="229"/>
      <c r="D61" s="229"/>
      <c r="E61" s="229"/>
      <c r="F61" s="229"/>
      <c r="H61" s="10">
        <f t="shared" si="0"/>
        <v>0</v>
      </c>
      <c r="I61" s="10">
        <f t="shared" si="0"/>
        <v>0</v>
      </c>
      <c r="J61" s="1" t="s">
        <v>206</v>
      </c>
      <c r="K61" s="10"/>
      <c r="L61" s="10"/>
      <c r="M61" s="10"/>
      <c r="N61" s="10"/>
      <c r="O61" s="10"/>
    </row>
    <row r="62" spans="1:15">
      <c r="A62" s="327"/>
      <c r="B62" s="229"/>
      <c r="C62" s="229"/>
      <c r="D62" s="229"/>
      <c r="E62" s="229"/>
      <c r="F62" s="229"/>
      <c r="H62" s="10">
        <f t="shared" si="0"/>
        <v>0</v>
      </c>
      <c r="I62" s="10">
        <f t="shared" si="0"/>
        <v>0</v>
      </c>
      <c r="K62" s="10"/>
      <c r="L62" s="10"/>
      <c r="M62" s="10"/>
      <c r="N62" s="10"/>
      <c r="O62" s="10"/>
    </row>
    <row r="63" spans="1:15">
      <c r="A63" s="329"/>
      <c r="H63" s="10">
        <f t="shared" si="0"/>
        <v>0</v>
      </c>
      <c r="I63" s="10">
        <f t="shared" si="0"/>
        <v>0</v>
      </c>
      <c r="K63" s="10"/>
      <c r="L63" s="10"/>
      <c r="M63" s="10"/>
      <c r="N63" s="10"/>
      <c r="O63" s="10"/>
    </row>
    <row r="64" spans="1:15" ht="16" thickBot="1">
      <c r="A64" s="330"/>
      <c r="B64" s="229"/>
      <c r="C64" s="229"/>
      <c r="D64" s="229"/>
      <c r="E64" s="229"/>
      <c r="F64" s="229"/>
      <c r="H64" s="10">
        <f t="shared" si="0"/>
        <v>0</v>
      </c>
      <c r="I64" s="10">
        <f t="shared" si="0"/>
        <v>0</v>
      </c>
      <c r="K64" s="10"/>
      <c r="L64" s="10"/>
      <c r="M64" s="10"/>
      <c r="N64" s="10"/>
      <c r="O64" s="10"/>
    </row>
    <row r="65" spans="1:15" ht="16.5" customHeight="1" thickBot="1">
      <c r="A65" s="331" t="s">
        <v>133</v>
      </c>
      <c r="B65" s="317">
        <f>B10+B11+B14+B17+B19+B25+B32+B34+B42+B44+B46+B47+B52+B53+B54+B58</f>
        <v>37808537</v>
      </c>
      <c r="C65" s="317">
        <f>C10+C11+C14+C17+C19+C25+C32+C34+C42+C44+C46+C47+C52+C53+C54+C58</f>
        <v>5044575.67</v>
      </c>
      <c r="D65" s="317">
        <f>D10+D11+D14+D17+D19+D25+D32+D34+D42+D44+D46+D47+D52+D53+D54+D58</f>
        <v>0</v>
      </c>
      <c r="E65" s="317">
        <f>E10+E11+E14+E17+E19+E25+E32+E34+E42+E44+E46+E47+E52+E53+E54+E58</f>
        <v>0</v>
      </c>
      <c r="F65" s="332">
        <f>B65-C65-D65-E65</f>
        <v>32763961.329999998</v>
      </c>
      <c r="G65" s="305"/>
      <c r="H65" s="10">
        <f t="shared" si="0"/>
        <v>-241465</v>
      </c>
      <c r="I65" s="10">
        <f t="shared" si="0"/>
        <v>0</v>
      </c>
      <c r="J65" s="1" t="s">
        <v>133</v>
      </c>
      <c r="K65" s="10">
        <v>37808537</v>
      </c>
      <c r="L65" s="10">
        <v>5286040.67</v>
      </c>
      <c r="M65" s="10">
        <v>0</v>
      </c>
      <c r="N65" s="10">
        <v>0</v>
      </c>
      <c r="O65" s="10">
        <v>32522496.329999998</v>
      </c>
    </row>
    <row r="66" spans="1:15">
      <c r="A66" s="229"/>
      <c r="B66" s="229"/>
      <c r="C66" s="229"/>
      <c r="D66" s="229"/>
      <c r="E66" s="229"/>
      <c r="F66" s="229"/>
      <c r="K66" s="10"/>
      <c r="L66" s="10"/>
      <c r="M66" s="10"/>
      <c r="N66" s="10"/>
      <c r="O66" s="1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ECD10-22A4-4A04-BF27-B6085EF21B76}">
  <dimension ref="A1:F64"/>
  <sheetViews>
    <sheetView workbookViewId="0">
      <selection activeCell="L68" sqref="L68"/>
    </sheetView>
  </sheetViews>
  <sheetFormatPr defaultColWidth="9.7265625" defaultRowHeight="15.5"/>
  <cols>
    <col min="1" max="1" width="22.269531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16384" width="9.7265625" style="1"/>
  </cols>
  <sheetData>
    <row r="1" spans="1:6" ht="16.5" customHeight="1">
      <c r="A1" s="329"/>
      <c r="B1" s="295"/>
      <c r="F1" s="320" t="str">
        <f>[1]Status!C1</f>
        <v>UNEP/OzL.Pro/ExCom/94/3</v>
      </c>
    </row>
    <row r="2" spans="1:6" ht="16.5" customHeight="1">
      <c r="A2" s="329"/>
      <c r="B2" s="7"/>
      <c r="F2" s="320" t="s">
        <v>238</v>
      </c>
    </row>
    <row r="3" spans="1:6" ht="16.5" customHeight="1">
      <c r="B3" s="7"/>
      <c r="F3" s="320"/>
    </row>
    <row r="4" spans="1:6" ht="20.25" customHeight="1">
      <c r="A4" s="321" t="s">
        <v>2</v>
      </c>
      <c r="B4" s="321"/>
      <c r="C4" s="321"/>
      <c r="D4" s="321"/>
      <c r="E4" s="321"/>
      <c r="F4" s="321"/>
    </row>
    <row r="5" spans="1:6" ht="20.25" customHeight="1">
      <c r="A5" s="322" t="s">
        <v>208</v>
      </c>
      <c r="B5" s="321"/>
      <c r="C5" s="321"/>
      <c r="D5" s="321"/>
      <c r="E5" s="321"/>
      <c r="F5" s="321"/>
    </row>
    <row r="6" spans="1:6" ht="30" customHeight="1" thickBot="1">
      <c r="A6" s="323" t="str">
        <f>[1]Status!A6</f>
        <v>As at 24/05/2024</v>
      </c>
      <c r="B6" s="321"/>
      <c r="C6" s="321"/>
      <c r="D6" s="321"/>
      <c r="E6" s="321"/>
      <c r="F6" s="321"/>
    </row>
    <row r="7" spans="1:6" ht="60.5" thickBot="1">
      <c r="A7" s="345" t="s">
        <v>59</v>
      </c>
      <c r="B7" s="299" t="s">
        <v>60</v>
      </c>
      <c r="C7" s="299" t="s">
        <v>61</v>
      </c>
      <c r="D7" s="299" t="s">
        <v>62</v>
      </c>
      <c r="E7" s="299" t="s">
        <v>63</v>
      </c>
      <c r="F7" s="324" t="s">
        <v>64</v>
      </c>
    </row>
    <row r="8" spans="1:6" ht="18" customHeight="1">
      <c r="A8" s="346" t="s">
        <v>124</v>
      </c>
      <c r="B8" s="303">
        <v>2719451</v>
      </c>
      <c r="C8" s="303">
        <v>2719451</v>
      </c>
      <c r="D8" s="303">
        <v>0</v>
      </c>
      <c r="E8" s="303">
        <v>0</v>
      </c>
      <c r="F8" s="325">
        <f>B8-C8-D8-E8</f>
        <v>0</v>
      </c>
    </row>
    <row r="9" spans="1:6" ht="18" customHeight="1">
      <c r="A9" s="347" t="s">
        <v>67</v>
      </c>
      <c r="B9" s="307">
        <v>1589409</v>
      </c>
      <c r="C9" s="307">
        <v>1574247</v>
      </c>
      <c r="D9" s="307">
        <v>15162</v>
      </c>
      <c r="E9" s="307">
        <v>0</v>
      </c>
      <c r="F9" s="326">
        <f t="shared" ref="F9:F58" si="0">B9-C9-D9-E9</f>
        <v>0</v>
      </c>
    </row>
    <row r="10" spans="1:6" ht="18" customHeight="1">
      <c r="A10" s="348" t="s">
        <v>68</v>
      </c>
      <c r="B10" s="307">
        <v>215902</v>
      </c>
      <c r="C10" s="307">
        <v>0</v>
      </c>
      <c r="D10" s="307">
        <v>0</v>
      </c>
      <c r="E10" s="307">
        <v>0</v>
      </c>
      <c r="F10" s="326">
        <f t="shared" si="0"/>
        <v>215902</v>
      </c>
    </row>
    <row r="11" spans="1:6" ht="18" customHeight="1">
      <c r="A11" s="347" t="s">
        <v>69</v>
      </c>
      <c r="B11" s="307">
        <v>537459</v>
      </c>
      <c r="C11" s="307">
        <v>0</v>
      </c>
      <c r="D11" s="307">
        <v>0</v>
      </c>
      <c r="E11" s="307">
        <v>0</v>
      </c>
      <c r="F11" s="326">
        <f t="shared" si="0"/>
        <v>537459</v>
      </c>
    </row>
    <row r="12" spans="1:6" ht="18" customHeight="1">
      <c r="A12" s="347" t="s">
        <v>70</v>
      </c>
      <c r="B12" s="307">
        <v>1851248</v>
      </c>
      <c r="C12" s="307">
        <v>1742768</v>
      </c>
      <c r="D12" s="307">
        <v>108480</v>
      </c>
      <c r="E12" s="307">
        <v>0</v>
      </c>
      <c r="F12" s="326">
        <f t="shared" si="0"/>
        <v>0</v>
      </c>
    </row>
    <row r="13" spans="1:6" ht="18" customHeight="1">
      <c r="A13" s="347" t="s">
        <v>209</v>
      </c>
      <c r="B13" s="307">
        <v>0</v>
      </c>
      <c r="C13" s="307">
        <v>0</v>
      </c>
      <c r="D13" s="307">
        <v>0</v>
      </c>
      <c r="E13" s="307">
        <v>0</v>
      </c>
      <c r="F13" s="326">
        <f t="shared" si="0"/>
        <v>0</v>
      </c>
    </row>
    <row r="14" spans="1:6" ht="18" customHeight="1">
      <c r="A14" s="347" t="s">
        <v>71</v>
      </c>
      <c r="B14" s="307">
        <v>0</v>
      </c>
      <c r="C14" s="307">
        <v>0</v>
      </c>
      <c r="D14" s="307">
        <v>0</v>
      </c>
      <c r="E14" s="307">
        <v>0</v>
      </c>
      <c r="F14" s="326">
        <f t="shared" si="0"/>
        <v>0</v>
      </c>
    </row>
    <row r="15" spans="1:6" ht="18" customHeight="1">
      <c r="A15" s="347" t="s">
        <v>125</v>
      </c>
      <c r="B15" s="307">
        <v>5700741</v>
      </c>
      <c r="C15" s="307">
        <v>5070281</v>
      </c>
      <c r="D15" s="307">
        <v>630460</v>
      </c>
      <c r="E15" s="307">
        <v>0</v>
      </c>
      <c r="F15" s="326">
        <f t="shared" si="0"/>
        <v>0</v>
      </c>
    </row>
    <row r="16" spans="1:6" ht="18" customHeight="1">
      <c r="A16" s="347" t="s">
        <v>74</v>
      </c>
      <c r="B16" s="307">
        <v>0</v>
      </c>
      <c r="C16" s="307">
        <v>0</v>
      </c>
      <c r="D16" s="307">
        <v>0</v>
      </c>
      <c r="E16" s="307">
        <v>0</v>
      </c>
      <c r="F16" s="326">
        <f t="shared" si="0"/>
        <v>0</v>
      </c>
    </row>
    <row r="17" spans="1:6" ht="18" customHeight="1">
      <c r="A17" s="347" t="s">
        <v>75</v>
      </c>
      <c r="B17" s="307">
        <v>477741</v>
      </c>
      <c r="C17" s="307">
        <v>477741</v>
      </c>
      <c r="D17" s="307">
        <v>0</v>
      </c>
      <c r="E17" s="307">
        <v>0</v>
      </c>
      <c r="F17" s="326">
        <f t="shared" si="0"/>
        <v>0</v>
      </c>
    </row>
    <row r="18" spans="1:6" ht="18" customHeight="1">
      <c r="A18" s="347" t="s">
        <v>76</v>
      </c>
      <c r="B18" s="307">
        <v>1318383</v>
      </c>
      <c r="C18" s="307">
        <v>1318383</v>
      </c>
      <c r="D18" s="307">
        <v>0</v>
      </c>
      <c r="E18" s="307">
        <v>0</v>
      </c>
      <c r="F18" s="326">
        <f t="shared" si="0"/>
        <v>0</v>
      </c>
    </row>
    <row r="19" spans="1:6" ht="18" customHeight="1">
      <c r="A19" s="347" t="s">
        <v>77</v>
      </c>
      <c r="B19" s="307">
        <v>0</v>
      </c>
      <c r="C19" s="307">
        <v>0</v>
      </c>
      <c r="D19" s="307">
        <v>0</v>
      </c>
      <c r="E19" s="307">
        <v>0</v>
      </c>
      <c r="F19" s="326">
        <f t="shared" si="0"/>
        <v>0</v>
      </c>
    </row>
    <row r="20" spans="1:6" ht="18" customHeight="1">
      <c r="A20" s="347" t="s">
        <v>78</v>
      </c>
      <c r="B20" s="307">
        <v>1134636</v>
      </c>
      <c r="C20" s="307">
        <v>907709</v>
      </c>
      <c r="D20" s="307">
        <v>123000</v>
      </c>
      <c r="E20" s="307">
        <v>0</v>
      </c>
      <c r="F20" s="326">
        <f t="shared" si="0"/>
        <v>103927</v>
      </c>
    </row>
    <row r="21" spans="1:6" ht="18" customHeight="1">
      <c r="A21" s="347" t="s">
        <v>79</v>
      </c>
      <c r="B21" s="307">
        <v>11773570</v>
      </c>
      <c r="C21" s="307">
        <v>0</v>
      </c>
      <c r="D21" s="307">
        <v>2859581</v>
      </c>
      <c r="E21" s="307">
        <v>8843366</v>
      </c>
      <c r="F21" s="326">
        <f t="shared" si="0"/>
        <v>70623</v>
      </c>
    </row>
    <row r="22" spans="1:6" ht="18" customHeight="1">
      <c r="A22" s="347" t="s">
        <v>210</v>
      </c>
      <c r="B22" s="307">
        <v>0</v>
      </c>
      <c r="C22" s="307">
        <v>0</v>
      </c>
      <c r="D22" s="307">
        <v>0</v>
      </c>
      <c r="E22" s="307">
        <v>0</v>
      </c>
      <c r="F22" s="326">
        <f t="shared" si="0"/>
        <v>0</v>
      </c>
    </row>
    <row r="23" spans="1:6" ht="18" customHeight="1">
      <c r="A23" s="347" t="s">
        <v>80</v>
      </c>
      <c r="B23" s="307">
        <v>16615295</v>
      </c>
      <c r="C23" s="307">
        <f>8033014-101614</f>
        <v>7931400</v>
      </c>
      <c r="D23" s="307">
        <f>6366907+101614</f>
        <v>6468521</v>
      </c>
      <c r="E23" s="307">
        <v>2215374</v>
      </c>
      <c r="F23" s="326">
        <f t="shared" si="0"/>
        <v>0</v>
      </c>
    </row>
    <row r="24" spans="1:6" ht="18" customHeight="1">
      <c r="A24" s="347" t="s">
        <v>81</v>
      </c>
      <c r="B24" s="307">
        <v>698237</v>
      </c>
      <c r="C24" s="307">
        <v>698237</v>
      </c>
      <c r="D24" s="307">
        <v>0</v>
      </c>
      <c r="E24" s="307">
        <v>0</v>
      </c>
      <c r="F24" s="326">
        <f t="shared" si="0"/>
        <v>0</v>
      </c>
    </row>
    <row r="25" spans="1:6" ht="18" customHeight="1">
      <c r="A25" s="347" t="s">
        <v>83</v>
      </c>
      <c r="B25" s="307">
        <v>257245</v>
      </c>
      <c r="C25" s="307">
        <v>257245</v>
      </c>
      <c r="D25" s="307">
        <v>0</v>
      </c>
      <c r="E25" s="307">
        <v>0</v>
      </c>
      <c r="F25" s="326">
        <f t="shared" si="0"/>
        <v>0</v>
      </c>
    </row>
    <row r="26" spans="1:6" ht="18" customHeight="1">
      <c r="A26" s="347" t="s">
        <v>84</v>
      </c>
      <c r="B26" s="307">
        <v>55124</v>
      </c>
      <c r="C26" s="307">
        <v>55124</v>
      </c>
      <c r="D26" s="307">
        <v>0</v>
      </c>
      <c r="E26" s="307">
        <v>0</v>
      </c>
      <c r="F26" s="326">
        <f t="shared" si="0"/>
        <v>0</v>
      </c>
    </row>
    <row r="27" spans="1:6" ht="18" customHeight="1">
      <c r="A27" s="347" t="s">
        <v>85</v>
      </c>
      <c r="B27" s="307">
        <v>385868</v>
      </c>
      <c r="C27" s="307">
        <v>385868</v>
      </c>
      <c r="D27" s="307">
        <v>0</v>
      </c>
      <c r="E27" s="307">
        <v>0</v>
      </c>
      <c r="F27" s="326">
        <f t="shared" si="0"/>
        <v>0</v>
      </c>
    </row>
    <row r="28" spans="1:6" ht="18" customHeight="1">
      <c r="A28" s="347" t="s">
        <v>86</v>
      </c>
      <c r="B28" s="307">
        <v>491522</v>
      </c>
      <c r="C28" s="307">
        <v>491522</v>
      </c>
      <c r="D28" s="307">
        <v>0</v>
      </c>
      <c r="E28" s="307">
        <v>0</v>
      </c>
      <c r="F28" s="326">
        <f t="shared" si="0"/>
        <v>0</v>
      </c>
    </row>
    <row r="29" spans="1:6" ht="18" customHeight="1">
      <c r="A29" s="347" t="s">
        <v>87</v>
      </c>
      <c r="B29" s="307">
        <v>9550235</v>
      </c>
      <c r="C29" s="307">
        <v>9550235</v>
      </c>
      <c r="D29" s="307">
        <v>0</v>
      </c>
      <c r="E29" s="307">
        <v>0</v>
      </c>
      <c r="F29" s="326">
        <f t="shared" si="0"/>
        <v>0</v>
      </c>
    </row>
    <row r="30" spans="1:6" ht="18" customHeight="1">
      <c r="A30" s="347" t="s">
        <v>88</v>
      </c>
      <c r="B30" s="307">
        <v>28361303</v>
      </c>
      <c r="C30" s="349">
        <v>28361303</v>
      </c>
      <c r="D30" s="350">
        <v>0</v>
      </c>
      <c r="E30" s="350">
        <v>0</v>
      </c>
      <c r="F30" s="326">
        <f t="shared" si="0"/>
        <v>0</v>
      </c>
    </row>
    <row r="31" spans="1:6" ht="18" customHeight="1">
      <c r="A31" s="347" t="s">
        <v>90</v>
      </c>
      <c r="B31" s="307">
        <v>0</v>
      </c>
      <c r="C31" s="307">
        <v>0</v>
      </c>
      <c r="D31" s="307">
        <v>0</v>
      </c>
      <c r="E31" s="307">
        <v>0</v>
      </c>
      <c r="F31" s="326">
        <f t="shared" si="0"/>
        <v>0</v>
      </c>
    </row>
    <row r="32" spans="1:6" ht="18" customHeight="1">
      <c r="A32" s="347" t="s">
        <v>91</v>
      </c>
      <c r="B32" s="307">
        <v>139131</v>
      </c>
      <c r="C32" s="307">
        <v>139131</v>
      </c>
      <c r="D32" s="307">
        <v>0</v>
      </c>
      <c r="E32" s="307">
        <v>0</v>
      </c>
      <c r="F32" s="326">
        <f t="shared" si="0"/>
        <v>0</v>
      </c>
    </row>
    <row r="33" spans="1:6" ht="18" customHeight="1">
      <c r="A33" s="347" t="s">
        <v>92</v>
      </c>
      <c r="B33" s="307">
        <v>18375</v>
      </c>
      <c r="C33" s="307">
        <v>18375</v>
      </c>
      <c r="D33" s="307">
        <v>0</v>
      </c>
      <c r="E33" s="307">
        <v>0</v>
      </c>
      <c r="F33" s="326">
        <f t="shared" si="0"/>
        <v>0</v>
      </c>
    </row>
    <row r="34" spans="1:6" ht="18" customHeight="1">
      <c r="A34" s="347" t="s">
        <v>93</v>
      </c>
      <c r="B34" s="307">
        <v>156185</v>
      </c>
      <c r="C34" s="307">
        <v>0</v>
      </c>
      <c r="D34" s="307">
        <v>0</v>
      </c>
      <c r="E34" s="307">
        <v>0</v>
      </c>
      <c r="F34" s="326">
        <f t="shared" si="0"/>
        <v>156185</v>
      </c>
    </row>
    <row r="35" spans="1:6" ht="18" customHeight="1">
      <c r="A35" s="347" t="s">
        <v>94</v>
      </c>
      <c r="B35" s="307">
        <v>128623</v>
      </c>
      <c r="C35" s="307">
        <v>128623</v>
      </c>
      <c r="D35" s="307">
        <v>0</v>
      </c>
      <c r="E35" s="307">
        <v>0</v>
      </c>
      <c r="F35" s="326">
        <f t="shared" si="0"/>
        <v>0</v>
      </c>
    </row>
    <row r="36" spans="1:6" ht="18" customHeight="1">
      <c r="A36" s="347" t="s">
        <v>95</v>
      </c>
      <c r="B36" s="307">
        <v>0</v>
      </c>
      <c r="C36" s="307">
        <v>0</v>
      </c>
      <c r="D36" s="307">
        <v>0</v>
      </c>
      <c r="E36" s="307">
        <v>0</v>
      </c>
      <c r="F36" s="326">
        <f t="shared" si="0"/>
        <v>0</v>
      </c>
    </row>
    <row r="37" spans="1:6" ht="18" customHeight="1">
      <c r="A37" s="347" t="s">
        <v>96</v>
      </c>
      <c r="B37" s="307">
        <v>18375</v>
      </c>
      <c r="C37" s="307">
        <v>18375</v>
      </c>
      <c r="D37" s="307">
        <v>0</v>
      </c>
      <c r="E37" s="307">
        <v>0</v>
      </c>
      <c r="F37" s="326">
        <f t="shared" si="0"/>
        <v>0</v>
      </c>
    </row>
    <row r="38" spans="1:6" ht="18" customHeight="1">
      <c r="A38" s="347" t="s">
        <v>97</v>
      </c>
      <c r="B38" s="307">
        <v>2916979</v>
      </c>
      <c r="C38" s="307">
        <v>2916979</v>
      </c>
      <c r="D38" s="307">
        <v>0</v>
      </c>
      <c r="E38" s="307">
        <v>0</v>
      </c>
      <c r="F38" s="326">
        <f t="shared" si="0"/>
        <v>0</v>
      </c>
    </row>
    <row r="39" spans="1:6" ht="18" customHeight="1">
      <c r="A39" s="347" t="s">
        <v>98</v>
      </c>
      <c r="B39" s="307">
        <v>440992</v>
      </c>
      <c r="C39" s="307">
        <v>440992</v>
      </c>
      <c r="D39" s="307">
        <v>0</v>
      </c>
      <c r="E39" s="307">
        <v>0</v>
      </c>
      <c r="F39" s="326">
        <f t="shared" si="0"/>
        <v>0</v>
      </c>
    </row>
    <row r="40" spans="1:6" ht="18" customHeight="1">
      <c r="A40" s="347" t="s">
        <v>99</v>
      </c>
      <c r="B40" s="307">
        <v>1028982</v>
      </c>
      <c r="C40" s="307">
        <v>1028982</v>
      </c>
      <c r="D40" s="307">
        <v>0</v>
      </c>
      <c r="E40" s="307">
        <v>0</v>
      </c>
      <c r="F40" s="326">
        <f t="shared" si="0"/>
        <v>0</v>
      </c>
    </row>
    <row r="41" spans="1:6" ht="18" customHeight="1">
      <c r="A41" s="347" t="s">
        <v>100</v>
      </c>
      <c r="B41" s="307">
        <v>0</v>
      </c>
      <c r="C41" s="307">
        <v>0</v>
      </c>
      <c r="D41" s="307">
        <v>0</v>
      </c>
      <c r="E41" s="307">
        <v>0</v>
      </c>
      <c r="F41" s="326">
        <f t="shared" si="0"/>
        <v>0</v>
      </c>
    </row>
    <row r="42" spans="1:6" ht="18" customHeight="1">
      <c r="A42" s="347" t="s">
        <v>101</v>
      </c>
      <c r="B42" s="307">
        <v>620145</v>
      </c>
      <c r="C42" s="307">
        <v>620145</v>
      </c>
      <c r="D42" s="307">
        <v>0</v>
      </c>
      <c r="E42" s="307">
        <v>0</v>
      </c>
      <c r="F42" s="326">
        <f t="shared" si="0"/>
        <v>0</v>
      </c>
    </row>
    <row r="43" spans="1:6" ht="18" customHeight="1">
      <c r="A43" s="347" t="s">
        <v>102</v>
      </c>
      <c r="B43" s="307">
        <v>505303</v>
      </c>
      <c r="C43" s="307">
        <v>505303</v>
      </c>
      <c r="D43" s="307">
        <v>0</v>
      </c>
      <c r="E43" s="307">
        <v>0</v>
      </c>
      <c r="F43" s="326">
        <f t="shared" si="0"/>
        <v>0</v>
      </c>
    </row>
    <row r="44" spans="1:6" ht="18" customHeight="1">
      <c r="A44" s="347" t="s">
        <v>104</v>
      </c>
      <c r="B44" s="307">
        <v>8176728</v>
      </c>
      <c r="C44" s="307">
        <v>0</v>
      </c>
      <c r="D44" s="307">
        <v>0</v>
      </c>
      <c r="E44" s="307">
        <v>0</v>
      </c>
      <c r="F44" s="326">
        <f t="shared" si="0"/>
        <v>8176728</v>
      </c>
    </row>
    <row r="45" spans="1:6" ht="18" customHeight="1">
      <c r="A45" s="347" t="s">
        <v>106</v>
      </c>
      <c r="B45" s="307">
        <v>0</v>
      </c>
      <c r="C45" s="307">
        <v>0</v>
      </c>
      <c r="D45" s="307">
        <v>0</v>
      </c>
      <c r="E45" s="307">
        <v>0</v>
      </c>
      <c r="F45" s="326">
        <f t="shared" si="0"/>
        <v>0</v>
      </c>
    </row>
    <row r="46" spans="1:6" ht="18" customHeight="1">
      <c r="A46" s="351" t="s">
        <v>211</v>
      </c>
      <c r="B46" s="307">
        <v>151591</v>
      </c>
      <c r="C46" s="307">
        <v>151591</v>
      </c>
      <c r="D46" s="307">
        <v>0</v>
      </c>
      <c r="E46" s="307">
        <v>0</v>
      </c>
      <c r="F46" s="326">
        <f t="shared" si="0"/>
        <v>0</v>
      </c>
    </row>
    <row r="47" spans="1:6" ht="18" customHeight="1">
      <c r="A47" s="347" t="s">
        <v>108</v>
      </c>
      <c r="B47" s="307">
        <v>0</v>
      </c>
      <c r="C47" s="307">
        <v>0</v>
      </c>
      <c r="D47" s="307">
        <v>0</v>
      </c>
      <c r="E47" s="307">
        <v>0</v>
      </c>
      <c r="F47" s="326">
        <f t="shared" si="0"/>
        <v>0</v>
      </c>
    </row>
    <row r="48" spans="1:6" ht="18" customHeight="1">
      <c r="A48" s="347" t="s">
        <v>109</v>
      </c>
      <c r="B48" s="307">
        <v>0</v>
      </c>
      <c r="C48" s="307">
        <v>0</v>
      </c>
      <c r="D48" s="307">
        <v>0</v>
      </c>
      <c r="E48" s="307">
        <v>0</v>
      </c>
      <c r="F48" s="326">
        <f t="shared" si="0"/>
        <v>0</v>
      </c>
    </row>
    <row r="49" spans="1:6" ht="18" customHeight="1">
      <c r="A49" s="347" t="s">
        <v>110</v>
      </c>
      <c r="B49" s="307">
        <v>4341016</v>
      </c>
      <c r="C49" s="307">
        <v>4341016</v>
      </c>
      <c r="D49" s="307">
        <v>0</v>
      </c>
      <c r="E49" s="307">
        <v>0</v>
      </c>
      <c r="F49" s="326">
        <f t="shared" si="0"/>
        <v>0</v>
      </c>
    </row>
    <row r="50" spans="1:6" ht="18" customHeight="1">
      <c r="A50" s="347" t="s">
        <v>111</v>
      </c>
      <c r="B50" s="307">
        <v>2255491</v>
      </c>
      <c r="C50" s="307">
        <v>1824641</v>
      </c>
      <c r="D50" s="307">
        <v>430850</v>
      </c>
      <c r="E50" s="307">
        <v>0</v>
      </c>
      <c r="F50" s="326">
        <f t="shared" si="0"/>
        <v>0</v>
      </c>
    </row>
    <row r="51" spans="1:6" ht="18" customHeight="1">
      <c r="A51" s="347" t="s">
        <v>112</v>
      </c>
      <c r="B51" s="307">
        <v>2223335</v>
      </c>
      <c r="C51" s="307">
        <v>2223335</v>
      </c>
      <c r="D51" s="307">
        <v>0</v>
      </c>
      <c r="E51" s="307">
        <v>0</v>
      </c>
      <c r="F51" s="326">
        <f t="shared" si="0"/>
        <v>0</v>
      </c>
    </row>
    <row r="52" spans="1:6" ht="18" customHeight="1">
      <c r="A52" s="347" t="s">
        <v>113</v>
      </c>
      <c r="B52" s="307">
        <v>36749</v>
      </c>
      <c r="C52" s="307">
        <v>0</v>
      </c>
      <c r="D52" s="307">
        <v>0</v>
      </c>
      <c r="E52" s="307">
        <v>0</v>
      </c>
      <c r="F52" s="326">
        <f t="shared" si="0"/>
        <v>36749</v>
      </c>
    </row>
    <row r="53" spans="1:6" ht="18" customHeight="1">
      <c r="A53" s="347" t="s">
        <v>181</v>
      </c>
      <c r="B53" s="307">
        <v>59718</v>
      </c>
      <c r="C53" s="307">
        <v>0</v>
      </c>
      <c r="D53" s="307">
        <v>0</v>
      </c>
      <c r="E53" s="307">
        <v>0</v>
      </c>
      <c r="F53" s="326">
        <f t="shared" si="0"/>
        <v>59718</v>
      </c>
    </row>
    <row r="54" spans="1:6" ht="18" customHeight="1">
      <c r="A54" s="347" t="s">
        <v>115</v>
      </c>
      <c r="B54" s="307">
        <v>2094712</v>
      </c>
      <c r="C54" s="307">
        <v>0</v>
      </c>
      <c r="D54" s="307">
        <v>0</v>
      </c>
      <c r="E54" s="307">
        <v>0</v>
      </c>
      <c r="F54" s="326">
        <f t="shared" si="0"/>
        <v>2094712</v>
      </c>
    </row>
    <row r="55" spans="1:6" ht="18" customHeight="1">
      <c r="A55" s="347" t="s">
        <v>116</v>
      </c>
      <c r="B55" s="307">
        <v>0</v>
      </c>
      <c r="C55" s="307">
        <v>0</v>
      </c>
      <c r="D55" s="307">
        <v>0</v>
      </c>
      <c r="E55" s="307">
        <v>0</v>
      </c>
      <c r="F55" s="326">
        <f t="shared" si="0"/>
        <v>0</v>
      </c>
    </row>
    <row r="56" spans="1:6" ht="18" customHeight="1">
      <c r="A56" s="347" t="s">
        <v>117</v>
      </c>
      <c r="B56" s="307">
        <v>9766137</v>
      </c>
      <c r="C56" s="307">
        <v>1627690</v>
      </c>
      <c r="D56" s="307">
        <v>565000</v>
      </c>
      <c r="E56" s="307">
        <v>7573447</v>
      </c>
      <c r="F56" s="326">
        <f t="shared" si="0"/>
        <v>0</v>
      </c>
    </row>
    <row r="57" spans="1:6" ht="18" customHeight="1">
      <c r="A57" s="347" t="s">
        <v>118</v>
      </c>
      <c r="B57" s="307">
        <v>38833333</v>
      </c>
      <c r="C57" s="307">
        <v>39213037</v>
      </c>
      <c r="D57" s="307">
        <v>-379704</v>
      </c>
      <c r="E57" s="307">
        <v>0</v>
      </c>
      <c r="F57" s="326">
        <f t="shared" si="0"/>
        <v>0</v>
      </c>
    </row>
    <row r="58" spans="1:6" ht="18" customHeight="1" thickBot="1">
      <c r="A58" s="352" t="s">
        <v>119</v>
      </c>
      <c r="B58" s="335">
        <v>252652</v>
      </c>
      <c r="C58" s="335">
        <v>25897</v>
      </c>
      <c r="D58" s="335">
        <v>0</v>
      </c>
      <c r="E58" s="335">
        <v>0</v>
      </c>
      <c r="F58" s="353">
        <f t="shared" si="0"/>
        <v>226755</v>
      </c>
    </row>
    <row r="59" spans="1:6" ht="20.25" customHeight="1" thickBot="1">
      <c r="A59" s="354" t="s">
        <v>122</v>
      </c>
      <c r="B59" s="13">
        <f>SUM(B8:B58)</f>
        <v>157897921</v>
      </c>
      <c r="C59" s="343">
        <f>SUM(C8:C58)</f>
        <v>116765626</v>
      </c>
      <c r="D59" s="343">
        <f>SUM(D8:D58)</f>
        <v>10821350</v>
      </c>
      <c r="E59" s="344">
        <f>SUM(E8:E58)</f>
        <v>18632187</v>
      </c>
      <c r="F59" s="339">
        <f>SUM(F8:F58)</f>
        <v>11678758</v>
      </c>
    </row>
    <row r="60" spans="1:6">
      <c r="A60" s="315"/>
      <c r="B60" s="229"/>
      <c r="C60" s="229"/>
      <c r="D60" s="229"/>
      <c r="E60" s="229"/>
      <c r="F60" s="229"/>
    </row>
    <row r="61" spans="1:6">
      <c r="A61" s="315"/>
      <c r="B61" s="229"/>
      <c r="C61" s="229"/>
      <c r="D61" s="229"/>
      <c r="E61" s="229"/>
      <c r="F61" s="229"/>
    </row>
    <row r="62" spans="1:6">
      <c r="A62" s="229"/>
      <c r="B62" s="229"/>
      <c r="C62" s="229"/>
      <c r="D62" s="229"/>
      <c r="E62" s="229"/>
      <c r="F62" s="229"/>
    </row>
    <row r="63" spans="1:6">
      <c r="A63" s="229"/>
      <c r="B63" s="229"/>
      <c r="C63" s="229"/>
      <c r="D63" s="229"/>
      <c r="E63" s="229"/>
      <c r="F63" s="229"/>
    </row>
    <row r="64" spans="1:6">
      <c r="A64" s="229"/>
      <c r="B64" s="229"/>
      <c r="C64" s="229"/>
      <c r="D64" s="229"/>
      <c r="E64" s="229"/>
      <c r="F64" s="2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8955-F76F-4EB7-8CBB-4C4797AC9156}">
  <sheetPr>
    <pageSetUpPr fitToPage="1"/>
  </sheetPr>
  <dimension ref="A1:T150"/>
  <sheetViews>
    <sheetView zoomScale="90" zoomScaleNormal="90" workbookViewId="0">
      <selection activeCell="B8" sqref="B8:G8"/>
    </sheetView>
  </sheetViews>
  <sheetFormatPr defaultRowHeight="14.5"/>
  <cols>
    <col min="2" max="2" width="30.7265625" customWidth="1"/>
    <col min="3" max="7" width="20.7265625" customWidth="1"/>
    <col min="8" max="8" width="13.7265625" bestFit="1" customWidth="1"/>
    <col min="9" max="9" width="16.7265625" style="52" bestFit="1" customWidth="1"/>
    <col min="12" max="12" width="9.81640625" bestFit="1" customWidth="1"/>
  </cols>
  <sheetData>
    <row r="1" spans="1:20" ht="18" customHeight="1">
      <c r="A1" s="553"/>
      <c r="B1" s="788"/>
      <c r="C1" s="788"/>
      <c r="D1" s="555"/>
      <c r="E1" s="555"/>
      <c r="F1" s="792" t="s">
        <v>260</v>
      </c>
      <c r="G1" s="792"/>
      <c r="H1" s="553"/>
      <c r="I1" s="557"/>
      <c r="J1" s="553"/>
      <c r="K1" s="553"/>
      <c r="L1" s="553"/>
      <c r="M1" s="553"/>
      <c r="N1" s="553"/>
      <c r="O1" s="553"/>
      <c r="P1" s="553"/>
      <c r="Q1" s="553"/>
      <c r="R1" s="553"/>
      <c r="S1" s="553"/>
      <c r="T1" s="553"/>
    </row>
    <row r="2" spans="1:20" ht="18" customHeight="1">
      <c r="A2" s="553"/>
      <c r="B2" s="554"/>
      <c r="C2" s="555"/>
      <c r="D2" s="555"/>
      <c r="E2" s="555"/>
      <c r="F2" s="555"/>
      <c r="G2" s="556" t="s">
        <v>0</v>
      </c>
      <c r="H2" s="553"/>
      <c r="I2" s="557"/>
      <c r="J2" s="553"/>
      <c r="K2" s="553"/>
      <c r="L2" s="553"/>
      <c r="M2" s="553"/>
      <c r="N2" s="553"/>
      <c r="O2" s="553"/>
      <c r="P2" s="553"/>
      <c r="Q2" s="553"/>
      <c r="R2" s="553"/>
      <c r="S2" s="553"/>
      <c r="T2" s="553"/>
    </row>
    <row r="3" spans="1:20" ht="18" customHeight="1">
      <c r="A3" s="553"/>
      <c r="B3" s="558"/>
      <c r="C3" s="555"/>
      <c r="D3" s="555"/>
      <c r="E3" s="555"/>
      <c r="F3" s="555"/>
      <c r="G3" s="556" t="s">
        <v>287</v>
      </c>
      <c r="H3" s="553"/>
      <c r="I3" s="557"/>
      <c r="J3" s="553"/>
      <c r="K3" s="553"/>
      <c r="L3" s="553"/>
      <c r="M3" s="553"/>
      <c r="N3" s="553"/>
      <c r="O3" s="553"/>
      <c r="P3" s="553"/>
      <c r="Q3" s="553"/>
      <c r="R3" s="553"/>
      <c r="S3" s="553"/>
      <c r="T3" s="553"/>
    </row>
    <row r="4" spans="1:20" ht="15.75" customHeight="1">
      <c r="A4" s="553"/>
      <c r="B4" s="558"/>
      <c r="C4" s="555"/>
      <c r="D4" s="555"/>
      <c r="E4" s="555"/>
      <c r="F4" s="555"/>
      <c r="G4" s="555"/>
      <c r="H4" s="553"/>
      <c r="I4" s="557"/>
      <c r="J4" s="553"/>
      <c r="K4" s="553"/>
      <c r="L4" s="553"/>
      <c r="M4" s="553"/>
      <c r="N4" s="553"/>
      <c r="O4" s="553"/>
      <c r="P4" s="553"/>
      <c r="Q4" s="553"/>
      <c r="R4" s="553"/>
      <c r="S4" s="553"/>
      <c r="T4" s="553"/>
    </row>
    <row r="5" spans="1:20" ht="15.5">
      <c r="A5" s="553"/>
      <c r="B5" s="559"/>
      <c r="C5" s="555"/>
      <c r="D5" s="555"/>
      <c r="E5" s="555"/>
      <c r="F5" s="555"/>
      <c r="G5" s="555"/>
      <c r="H5" s="553"/>
      <c r="I5" s="557"/>
      <c r="J5" s="553"/>
      <c r="K5" s="553"/>
      <c r="L5" s="553"/>
      <c r="M5" s="553"/>
      <c r="N5" s="553"/>
      <c r="O5" s="553"/>
      <c r="P5" s="553"/>
      <c r="Q5" s="553"/>
      <c r="R5" s="553"/>
      <c r="S5" s="553"/>
      <c r="T5" s="553"/>
    </row>
    <row r="6" spans="1:20" ht="22.5" customHeight="1">
      <c r="A6" s="560"/>
      <c r="B6" s="789" t="s">
        <v>2</v>
      </c>
      <c r="C6" s="789"/>
      <c r="D6" s="789"/>
      <c r="E6" s="789"/>
      <c r="F6" s="789"/>
      <c r="G6" s="789"/>
      <c r="H6" s="553"/>
      <c r="I6" s="557"/>
      <c r="J6" s="553"/>
      <c r="K6" s="553"/>
      <c r="L6" s="553"/>
      <c r="M6" s="553"/>
      <c r="N6" s="553"/>
      <c r="O6" s="553"/>
      <c r="P6" s="553"/>
      <c r="Q6" s="553"/>
      <c r="R6" s="553"/>
      <c r="S6" s="553"/>
      <c r="T6" s="553"/>
    </row>
    <row r="7" spans="1:20" ht="16.5">
      <c r="A7" s="560"/>
      <c r="B7" s="790" t="s">
        <v>285</v>
      </c>
      <c r="C7" s="790"/>
      <c r="D7" s="790"/>
      <c r="E7" s="790"/>
      <c r="F7" s="790"/>
      <c r="G7" s="790"/>
      <c r="H7" s="553"/>
      <c r="I7" s="557"/>
      <c r="J7" s="553"/>
      <c r="K7" s="553"/>
      <c r="L7" s="553"/>
      <c r="M7" s="553"/>
      <c r="N7" s="553"/>
      <c r="O7" s="553"/>
      <c r="P7" s="553"/>
      <c r="Q7" s="553"/>
      <c r="R7" s="553"/>
      <c r="S7" s="553"/>
      <c r="T7" s="553"/>
    </row>
    <row r="8" spans="1:20" ht="16.5">
      <c r="A8" s="560"/>
      <c r="B8" s="791" t="str">
        <f>[1]Status!A6</f>
        <v>As at 24/05/2024</v>
      </c>
      <c r="C8" s="791"/>
      <c r="D8" s="791"/>
      <c r="E8" s="791"/>
      <c r="F8" s="791"/>
      <c r="G8" s="791"/>
      <c r="H8" s="553"/>
      <c r="I8" s="557"/>
      <c r="J8" s="553"/>
      <c r="K8" s="553"/>
      <c r="L8" s="553"/>
      <c r="M8" s="553"/>
      <c r="N8" s="553"/>
      <c r="O8" s="553"/>
      <c r="P8" s="553"/>
      <c r="Q8" s="553"/>
      <c r="R8" s="553"/>
      <c r="S8" s="553"/>
      <c r="T8" s="553"/>
    </row>
    <row r="9" spans="1:20" ht="17" thickBot="1">
      <c r="A9" s="553"/>
      <c r="B9" s="561"/>
      <c r="C9" s="561"/>
      <c r="D9" s="561"/>
      <c r="E9" s="561"/>
      <c r="F9" s="561"/>
      <c r="G9" s="561"/>
      <c r="H9" s="553"/>
      <c r="I9" s="557"/>
      <c r="J9" s="553"/>
      <c r="K9" s="553"/>
      <c r="L9" s="553"/>
      <c r="M9" s="553"/>
      <c r="N9" s="553"/>
      <c r="O9" s="553"/>
      <c r="P9" s="553"/>
      <c r="Q9" s="553"/>
      <c r="R9" s="553"/>
      <c r="S9" s="553"/>
      <c r="T9" s="553"/>
    </row>
    <row r="10" spans="1:20" ht="36.75" customHeight="1" thickBot="1">
      <c r="A10" s="553"/>
      <c r="B10" s="562" t="s">
        <v>59</v>
      </c>
      <c r="C10" s="563" t="s">
        <v>60</v>
      </c>
      <c r="D10" s="563" t="s">
        <v>61</v>
      </c>
      <c r="E10" s="564" t="s">
        <v>62</v>
      </c>
      <c r="F10" s="565" t="s">
        <v>63</v>
      </c>
      <c r="G10" s="566" t="s">
        <v>64</v>
      </c>
      <c r="H10" s="567"/>
      <c r="I10" s="568"/>
      <c r="J10" s="553"/>
      <c r="K10" s="553"/>
      <c r="L10" s="553"/>
      <c r="M10" s="553"/>
      <c r="N10" s="553"/>
      <c r="O10" s="553"/>
      <c r="P10" s="553"/>
      <c r="Q10" s="553"/>
      <c r="R10" s="553"/>
      <c r="S10" s="553"/>
      <c r="T10" s="553"/>
    </row>
    <row r="11" spans="1:20" ht="15.5">
      <c r="A11" s="553"/>
      <c r="B11" s="547" t="s">
        <v>65</v>
      </c>
      <c r="C11" s="569">
        <f>'YR2024'!C10</f>
        <v>14842</v>
      </c>
      <c r="D11" s="569">
        <f>'YR2024'!D10</f>
        <v>14842</v>
      </c>
      <c r="E11" s="569">
        <f>'YR2024'!E10</f>
        <v>0</v>
      </c>
      <c r="F11" s="569">
        <f>'YR2024'!F10</f>
        <v>0</v>
      </c>
      <c r="G11" s="570">
        <f>C11-D11-E11-F11</f>
        <v>0</v>
      </c>
      <c r="H11" s="567"/>
      <c r="I11" s="567"/>
      <c r="J11" s="553"/>
      <c r="K11" s="553"/>
      <c r="L11" s="553"/>
      <c r="M11" s="553"/>
      <c r="N11" s="553"/>
      <c r="O11" s="553"/>
      <c r="P11" s="553"/>
      <c r="Q11" s="553"/>
      <c r="R11" s="553"/>
      <c r="S11" s="553"/>
      <c r="T11" s="553"/>
    </row>
    <row r="12" spans="1:20" ht="15.5">
      <c r="A12" s="553"/>
      <c r="B12" s="547" t="s">
        <v>124</v>
      </c>
      <c r="C12" s="571">
        <f>'YR2024'!C11</f>
        <v>6266282</v>
      </c>
      <c r="D12" s="569">
        <f>'YR2024'!D11</f>
        <v>8225550.1679999996</v>
      </c>
      <c r="E12" s="569">
        <f>'YR2024'!E11</f>
        <v>0</v>
      </c>
      <c r="F12" s="569">
        <f>'YR2024'!F11</f>
        <v>0</v>
      </c>
      <c r="G12" s="572">
        <f t="shared" ref="G12:G59" si="0">C12-D12-E12-F12</f>
        <v>-1959268.1679999996</v>
      </c>
      <c r="H12" s="567"/>
      <c r="I12" s="567"/>
      <c r="J12" s="553"/>
      <c r="K12" s="553"/>
      <c r="L12" s="553"/>
      <c r="M12" s="553"/>
      <c r="N12" s="553"/>
      <c r="O12" s="553"/>
      <c r="P12" s="553"/>
      <c r="Q12" s="553"/>
      <c r="R12" s="553"/>
      <c r="S12" s="553"/>
      <c r="T12" s="553"/>
    </row>
    <row r="13" spans="1:20" ht="15.5">
      <c r="A13" s="553"/>
      <c r="B13" s="547" t="s">
        <v>67</v>
      </c>
      <c r="C13" s="571">
        <f>'YR2024'!C12</f>
        <v>2015540</v>
      </c>
      <c r="D13" s="569">
        <v>0</v>
      </c>
      <c r="E13" s="569">
        <f>'YR2024'!E12</f>
        <v>0</v>
      </c>
      <c r="F13" s="569">
        <f>'YR2024'!F12</f>
        <v>0</v>
      </c>
      <c r="G13" s="546">
        <f t="shared" si="0"/>
        <v>2015540</v>
      </c>
      <c r="H13" s="567"/>
      <c r="I13" s="567"/>
      <c r="J13" s="553"/>
      <c r="K13" s="553"/>
      <c r="L13" s="553"/>
      <c r="M13" s="553"/>
      <c r="N13" s="553"/>
      <c r="O13" s="553"/>
      <c r="P13" s="553"/>
      <c r="Q13" s="553"/>
      <c r="R13" s="553"/>
      <c r="S13" s="553"/>
      <c r="T13" s="553"/>
    </row>
    <row r="14" spans="1:20" ht="15.5">
      <c r="A14" s="553"/>
      <c r="B14" s="547" t="s">
        <v>68</v>
      </c>
      <c r="C14" s="571">
        <f>'YR2024'!C13</f>
        <v>89052</v>
      </c>
      <c r="D14" s="569">
        <v>0</v>
      </c>
      <c r="E14" s="569">
        <f>'YR2024'!E13</f>
        <v>0</v>
      </c>
      <c r="F14" s="569">
        <f>'YR2024'!F13</f>
        <v>0</v>
      </c>
      <c r="G14" s="573">
        <f t="shared" si="0"/>
        <v>89052</v>
      </c>
      <c r="H14" s="567"/>
      <c r="I14" s="567"/>
      <c r="J14" s="553"/>
      <c r="K14" s="553"/>
      <c r="L14" s="553"/>
      <c r="M14" s="553"/>
      <c r="N14" s="553"/>
      <c r="O14" s="553"/>
      <c r="P14" s="553"/>
      <c r="Q14" s="553"/>
      <c r="R14" s="553"/>
      <c r="S14" s="553"/>
      <c r="T14" s="553"/>
    </row>
    <row r="15" spans="1:20" ht="15.5">
      <c r="A15" s="553"/>
      <c r="B15" s="547" t="s">
        <v>69</v>
      </c>
      <c r="C15" s="569">
        <f>'YR2024'!C14</f>
        <v>121704</v>
      </c>
      <c r="D15" s="569">
        <v>0</v>
      </c>
      <c r="E15" s="569">
        <f>'YR2024'!E14</f>
        <v>0</v>
      </c>
      <c r="F15" s="569">
        <f>'YR2024'!F14</f>
        <v>0</v>
      </c>
      <c r="G15" s="546">
        <f t="shared" si="0"/>
        <v>121704</v>
      </c>
      <c r="H15" s="567"/>
      <c r="I15" s="567"/>
      <c r="J15" s="553"/>
      <c r="K15" s="553"/>
      <c r="L15" s="553"/>
      <c r="M15" s="553"/>
      <c r="N15" s="553"/>
      <c r="O15" s="553"/>
      <c r="P15" s="553"/>
      <c r="Q15" s="553"/>
      <c r="R15" s="553"/>
      <c r="S15" s="553"/>
      <c r="T15" s="553"/>
    </row>
    <row r="16" spans="1:20" ht="15.5">
      <c r="A16" s="553"/>
      <c r="B16" s="547" t="s">
        <v>70</v>
      </c>
      <c r="C16" s="571">
        <f>'YR2024'!C15</f>
        <v>2457831</v>
      </c>
      <c r="D16" s="569">
        <v>0</v>
      </c>
      <c r="E16" s="569">
        <f>'YR2024'!E15</f>
        <v>0</v>
      </c>
      <c r="F16" s="569">
        <f>'YR2024'!F15</f>
        <v>0</v>
      </c>
      <c r="G16" s="570">
        <f t="shared" si="0"/>
        <v>2457831</v>
      </c>
      <c r="H16" s="567"/>
      <c r="I16" s="567"/>
      <c r="J16" s="553"/>
      <c r="K16" s="553"/>
      <c r="L16" s="553"/>
      <c r="M16" s="553"/>
      <c r="N16" s="553"/>
      <c r="O16" s="553"/>
      <c r="P16" s="553"/>
      <c r="Q16" s="553"/>
      <c r="R16" s="553"/>
      <c r="S16" s="553"/>
      <c r="T16" s="553"/>
    </row>
    <row r="17" spans="1:20" ht="15.5">
      <c r="A17" s="553"/>
      <c r="B17" s="547" t="s">
        <v>71</v>
      </c>
      <c r="C17" s="571">
        <f>'YR2024'!C16</f>
        <v>166230</v>
      </c>
      <c r="D17" s="569">
        <v>0</v>
      </c>
      <c r="E17" s="569">
        <f>'YR2024'!E16</f>
        <v>0</v>
      </c>
      <c r="F17" s="569">
        <f>'YR2024'!F16</f>
        <v>0</v>
      </c>
      <c r="G17" s="572">
        <f>C17-D17-E17-F17</f>
        <v>166230</v>
      </c>
      <c r="H17" s="567"/>
      <c r="I17" s="567"/>
      <c r="J17" s="553"/>
      <c r="K17" s="553"/>
      <c r="L17" s="553"/>
      <c r="M17" s="553"/>
      <c r="N17" s="553"/>
      <c r="O17" s="553"/>
      <c r="P17" s="553"/>
      <c r="Q17" s="553"/>
      <c r="R17" s="553"/>
      <c r="S17" s="553"/>
      <c r="T17" s="553"/>
    </row>
    <row r="18" spans="1:20" ht="15.5">
      <c r="A18" s="553"/>
      <c r="B18" s="547" t="s">
        <v>125</v>
      </c>
      <c r="C18" s="571">
        <f>'YR2024'!C17</f>
        <v>7800942</v>
      </c>
      <c r="D18" s="569">
        <v>0</v>
      </c>
      <c r="E18" s="569">
        <f>'YR2024'!E17</f>
        <v>0</v>
      </c>
      <c r="F18" s="569">
        <f>'YR2024'!F17</f>
        <v>0</v>
      </c>
      <c r="G18" s="546">
        <f t="shared" si="0"/>
        <v>7800942</v>
      </c>
      <c r="H18" s="567"/>
      <c r="I18" s="567"/>
      <c r="J18" s="553"/>
      <c r="K18" s="553"/>
      <c r="L18" s="553"/>
      <c r="M18" s="553"/>
      <c r="N18" s="553"/>
      <c r="O18" s="553"/>
      <c r="P18" s="553"/>
      <c r="Q18" s="553"/>
      <c r="R18" s="553"/>
      <c r="S18" s="553"/>
      <c r="T18" s="553"/>
    </row>
    <row r="19" spans="1:20" ht="15.5">
      <c r="A19" s="553"/>
      <c r="B19" s="547" t="s">
        <v>73</v>
      </c>
      <c r="C19" s="569">
        <f>'YR2024'!C18</f>
        <v>270124</v>
      </c>
      <c r="D19" s="569">
        <v>0</v>
      </c>
      <c r="E19" s="569">
        <f>'YR2024'!E18</f>
        <v>0</v>
      </c>
      <c r="F19" s="569">
        <f>'YR2024'!F18</f>
        <v>0</v>
      </c>
      <c r="G19" s="573">
        <f t="shared" si="0"/>
        <v>270124</v>
      </c>
      <c r="H19" s="567"/>
      <c r="I19" s="567"/>
      <c r="J19" s="553"/>
      <c r="K19" s="553"/>
      <c r="L19" s="553"/>
      <c r="M19" s="553"/>
      <c r="N19" s="553"/>
      <c r="O19" s="553"/>
      <c r="P19" s="553"/>
      <c r="Q19" s="553"/>
      <c r="R19" s="553"/>
      <c r="S19" s="553"/>
      <c r="T19" s="553"/>
    </row>
    <row r="20" spans="1:20" ht="15.5">
      <c r="A20" s="553"/>
      <c r="B20" s="547" t="s">
        <v>74</v>
      </c>
      <c r="C20" s="571">
        <f>'YR2024'!C19</f>
        <v>106862</v>
      </c>
      <c r="D20" s="569">
        <v>0</v>
      </c>
      <c r="E20" s="569">
        <f>'YR2024'!E19</f>
        <v>0</v>
      </c>
      <c r="F20" s="569">
        <f>'YR2024'!F19</f>
        <v>0</v>
      </c>
      <c r="G20" s="572">
        <f t="shared" si="0"/>
        <v>106862</v>
      </c>
      <c r="H20" s="567"/>
      <c r="I20" s="567"/>
      <c r="J20" s="553"/>
      <c r="K20" s="553"/>
      <c r="L20" s="553"/>
      <c r="M20" s="553"/>
      <c r="N20" s="553"/>
      <c r="O20" s="553"/>
      <c r="P20" s="553"/>
      <c r="Q20" s="553"/>
      <c r="R20" s="553"/>
      <c r="S20" s="553"/>
      <c r="T20" s="553"/>
    </row>
    <row r="21" spans="1:20" ht="15.5">
      <c r="A21" s="553"/>
      <c r="B21" s="547" t="s">
        <v>75</v>
      </c>
      <c r="C21" s="571">
        <f>'YR2024'!C20</f>
        <v>1009254</v>
      </c>
      <c r="D21" s="569">
        <v>0</v>
      </c>
      <c r="E21" s="569">
        <f>'YR2024'!E20</f>
        <v>0</v>
      </c>
      <c r="F21" s="569">
        <f>'YR2024'!F20</f>
        <v>0</v>
      </c>
      <c r="G21" s="546">
        <f t="shared" si="0"/>
        <v>1009254</v>
      </c>
      <c r="H21" s="567"/>
      <c r="I21" s="567"/>
      <c r="J21" s="553"/>
      <c r="K21" s="553"/>
      <c r="L21" s="553"/>
      <c r="M21" s="553"/>
      <c r="N21" s="553"/>
      <c r="O21" s="553"/>
      <c r="P21" s="553"/>
      <c r="Q21" s="553"/>
      <c r="R21" s="553"/>
      <c r="S21" s="553"/>
      <c r="T21" s="553"/>
    </row>
    <row r="22" spans="1:20" ht="15.5">
      <c r="A22" s="553"/>
      <c r="B22" s="547" t="s">
        <v>76</v>
      </c>
      <c r="C22" s="571">
        <f>'YR2024'!C21</f>
        <v>1641522</v>
      </c>
      <c r="D22" s="569">
        <v>0</v>
      </c>
      <c r="E22" s="569">
        <f>'YR2024'!E21</f>
        <v>0</v>
      </c>
      <c r="F22" s="569">
        <f>'YR2024'!F21</f>
        <v>0</v>
      </c>
      <c r="G22" s="570">
        <f t="shared" si="0"/>
        <v>1641522</v>
      </c>
      <c r="H22" s="567"/>
      <c r="I22" s="567"/>
      <c r="J22" s="553"/>
      <c r="K22" s="553"/>
      <c r="L22" s="553"/>
      <c r="M22" s="553"/>
      <c r="N22" s="553"/>
      <c r="O22" s="553"/>
      <c r="P22" s="553"/>
      <c r="Q22" s="553"/>
      <c r="R22" s="553"/>
      <c r="S22" s="553"/>
      <c r="T22" s="553"/>
    </row>
    <row r="23" spans="1:20" ht="15.5">
      <c r="A23" s="553"/>
      <c r="B23" s="547" t="s">
        <v>77</v>
      </c>
      <c r="C23" s="569">
        <f>'YR2024'!C22</f>
        <v>130609</v>
      </c>
      <c r="D23" s="569">
        <v>0</v>
      </c>
      <c r="E23" s="569">
        <f>'YR2024'!E22</f>
        <v>0</v>
      </c>
      <c r="F23" s="569">
        <f>'YR2024'!F22</f>
        <v>0</v>
      </c>
      <c r="G23" s="572">
        <f t="shared" si="0"/>
        <v>130609</v>
      </c>
      <c r="H23" s="567"/>
      <c r="I23" s="567"/>
      <c r="J23" s="553"/>
      <c r="K23" s="553"/>
      <c r="L23" s="553"/>
      <c r="M23" s="553"/>
      <c r="N23" s="553"/>
      <c r="O23" s="553"/>
      <c r="P23" s="553"/>
      <c r="Q23" s="553"/>
      <c r="R23" s="553"/>
      <c r="S23" s="553"/>
      <c r="T23" s="553"/>
    </row>
    <row r="24" spans="1:20" ht="15.5">
      <c r="A24" s="553"/>
      <c r="B24" s="547" t="s">
        <v>78</v>
      </c>
      <c r="C24" s="571">
        <f>'YR2024'!C23</f>
        <v>1237821</v>
      </c>
      <c r="D24" s="569">
        <v>0</v>
      </c>
      <c r="E24" s="569">
        <f>'YR2024'!E23</f>
        <v>0</v>
      </c>
      <c r="F24" s="569">
        <f>'YR2024'!F23</f>
        <v>0</v>
      </c>
      <c r="G24" s="546">
        <f t="shared" si="0"/>
        <v>1237821</v>
      </c>
      <c r="H24" s="567"/>
      <c r="I24" s="567"/>
      <c r="J24" s="553"/>
      <c r="K24" s="553"/>
      <c r="L24" s="553"/>
      <c r="M24" s="553"/>
      <c r="N24" s="553"/>
      <c r="O24" s="553"/>
      <c r="P24" s="553"/>
      <c r="Q24" s="553"/>
      <c r="R24" s="553"/>
      <c r="S24" s="553"/>
      <c r="T24" s="553"/>
    </row>
    <row r="25" spans="1:20" ht="15.5">
      <c r="A25" s="553"/>
      <c r="B25" s="547" t="s">
        <v>126</v>
      </c>
      <c r="C25" s="571">
        <f>'YR2024'!C24</f>
        <v>12817530</v>
      </c>
      <c r="D25" s="569">
        <v>0</v>
      </c>
      <c r="E25" s="569">
        <f>'YR2024'!E24</f>
        <v>0</v>
      </c>
      <c r="F25" s="569">
        <f>'YR2024'!F24</f>
        <v>0</v>
      </c>
      <c r="G25" s="570">
        <f t="shared" si="0"/>
        <v>12817530</v>
      </c>
      <c r="H25" s="567"/>
      <c r="I25" s="567"/>
      <c r="J25" s="553"/>
      <c r="K25" s="553"/>
      <c r="L25" s="553"/>
      <c r="M25" s="553"/>
      <c r="N25" s="553"/>
      <c r="O25" s="553"/>
      <c r="P25" s="553"/>
      <c r="Q25" s="553"/>
      <c r="R25" s="553"/>
      <c r="S25" s="553"/>
      <c r="T25" s="553"/>
    </row>
    <row r="26" spans="1:20" ht="15.5">
      <c r="A26" s="553"/>
      <c r="B26" s="547" t="s">
        <v>127</v>
      </c>
      <c r="C26" s="571">
        <f>'YR2024'!C25</f>
        <v>18139862</v>
      </c>
      <c r="D26" s="569">
        <v>0</v>
      </c>
      <c r="E26" s="569">
        <f>'YR2024'!E25</f>
        <v>0</v>
      </c>
      <c r="F26" s="569">
        <f>'YR2024'!F25</f>
        <v>0</v>
      </c>
      <c r="G26" s="546">
        <f t="shared" si="0"/>
        <v>18139862</v>
      </c>
      <c r="H26" s="567"/>
      <c r="I26" s="568"/>
      <c r="J26" s="553"/>
      <c r="K26" s="553"/>
      <c r="L26" s="553"/>
      <c r="M26" s="553"/>
      <c r="N26" s="553"/>
      <c r="O26" s="553"/>
      <c r="P26" s="553"/>
      <c r="Q26" s="553"/>
      <c r="R26" s="553"/>
      <c r="S26" s="553"/>
      <c r="T26" s="553"/>
    </row>
    <row r="27" spans="1:20" ht="15.5">
      <c r="A27" s="553"/>
      <c r="B27" s="547" t="s">
        <v>81</v>
      </c>
      <c r="C27" s="569">
        <f>'YR2024'!C26</f>
        <v>964728</v>
      </c>
      <c r="D27" s="569">
        <v>0</v>
      </c>
      <c r="E27" s="569">
        <f>'YR2024'!E26</f>
        <v>0</v>
      </c>
      <c r="F27" s="569">
        <f>'YR2024'!F26</f>
        <v>0</v>
      </c>
      <c r="G27" s="546">
        <f t="shared" si="0"/>
        <v>964728</v>
      </c>
      <c r="H27" s="567"/>
      <c r="I27" s="567"/>
      <c r="J27" s="553"/>
      <c r="K27" s="553"/>
      <c r="L27" s="553"/>
      <c r="M27" s="553"/>
      <c r="N27" s="553"/>
      <c r="O27" s="553"/>
      <c r="P27" s="553"/>
      <c r="Q27" s="553"/>
      <c r="R27" s="553"/>
      <c r="S27" s="553"/>
      <c r="T27" s="553"/>
    </row>
    <row r="28" spans="1:20" ht="15.5">
      <c r="A28" s="553"/>
      <c r="B28" s="547" t="s">
        <v>82</v>
      </c>
      <c r="C28" s="571">
        <f>'YR2024'!C27</f>
        <v>2968</v>
      </c>
      <c r="D28" s="569">
        <v>0</v>
      </c>
      <c r="E28" s="569">
        <f>'YR2024'!E27</f>
        <v>0</v>
      </c>
      <c r="F28" s="569">
        <f>'YR2024'!F27</f>
        <v>0</v>
      </c>
      <c r="G28" s="570">
        <f t="shared" si="0"/>
        <v>2968</v>
      </c>
      <c r="H28" s="567"/>
      <c r="I28" s="567"/>
      <c r="J28" s="553"/>
      <c r="K28" s="553"/>
      <c r="L28" s="553"/>
      <c r="M28" s="553"/>
      <c r="N28" s="553"/>
      <c r="O28" s="553"/>
      <c r="P28" s="553"/>
      <c r="Q28" s="553"/>
      <c r="R28" s="553"/>
      <c r="S28" s="553"/>
      <c r="T28" s="553"/>
    </row>
    <row r="29" spans="1:20" ht="15.5">
      <c r="A29" s="553"/>
      <c r="B29" s="547" t="s">
        <v>83</v>
      </c>
      <c r="C29" s="571">
        <f>'YR2024'!C28</f>
        <v>676794</v>
      </c>
      <c r="D29" s="569">
        <v>0</v>
      </c>
      <c r="E29" s="569">
        <f>'YR2024'!E28</f>
        <v>0</v>
      </c>
      <c r="F29" s="569">
        <f>'YR2024'!F28</f>
        <v>0</v>
      </c>
      <c r="G29" s="572">
        <f t="shared" si="0"/>
        <v>676794</v>
      </c>
      <c r="H29" s="567"/>
      <c r="I29" s="567"/>
      <c r="J29" s="553"/>
      <c r="K29" s="553"/>
      <c r="L29" s="553"/>
      <c r="M29" s="553"/>
      <c r="N29" s="553"/>
      <c r="O29" s="553"/>
      <c r="P29" s="553"/>
      <c r="Q29" s="553"/>
      <c r="R29" s="553"/>
      <c r="S29" s="553"/>
      <c r="T29" s="553"/>
    </row>
    <row r="30" spans="1:20" ht="15.5">
      <c r="A30" s="553"/>
      <c r="B30" s="547" t="s">
        <v>84</v>
      </c>
      <c r="C30" s="571">
        <f>'YR2024'!C29</f>
        <v>106862</v>
      </c>
      <c r="D30" s="569">
        <v>0</v>
      </c>
      <c r="E30" s="569">
        <f>'YR2024'!E29</f>
        <v>0</v>
      </c>
      <c r="F30" s="569">
        <f>'YR2024'!F29</f>
        <v>0</v>
      </c>
      <c r="G30" s="546">
        <f t="shared" si="0"/>
        <v>106862</v>
      </c>
      <c r="H30" s="567"/>
      <c r="I30" s="567"/>
      <c r="J30" s="553"/>
      <c r="K30" s="553"/>
      <c r="L30" s="553"/>
      <c r="M30" s="553"/>
      <c r="N30" s="553"/>
      <c r="O30" s="553"/>
      <c r="P30" s="553"/>
      <c r="Q30" s="553"/>
      <c r="R30" s="553"/>
      <c r="S30" s="553"/>
      <c r="T30" s="553"/>
    </row>
    <row r="31" spans="1:20" ht="15.5">
      <c r="A31" s="553"/>
      <c r="B31" s="547" t="s">
        <v>128</v>
      </c>
      <c r="C31" s="569">
        <f>'YR2024'!C30</f>
        <v>1303125</v>
      </c>
      <c r="D31" s="569">
        <v>0</v>
      </c>
      <c r="E31" s="569">
        <f>'YR2024'!E30</f>
        <v>0</v>
      </c>
      <c r="F31" s="569">
        <f>'YR2024'!F30</f>
        <v>0</v>
      </c>
      <c r="G31" s="570">
        <f t="shared" si="0"/>
        <v>1303125</v>
      </c>
      <c r="H31" s="567"/>
      <c r="I31" s="567"/>
      <c r="J31" s="553"/>
      <c r="K31" s="553"/>
      <c r="L31" s="553"/>
      <c r="M31" s="553"/>
      <c r="N31" s="553"/>
      <c r="O31" s="553"/>
      <c r="P31" s="553"/>
      <c r="Q31" s="553"/>
      <c r="R31" s="553"/>
      <c r="S31" s="553"/>
      <c r="T31" s="553"/>
    </row>
    <row r="32" spans="1:20" ht="15.5">
      <c r="A32" s="553"/>
      <c r="B32" s="547" t="s">
        <v>86</v>
      </c>
      <c r="C32" s="571">
        <f>'YR2024'!C31</f>
        <v>1665270</v>
      </c>
      <c r="D32" s="569">
        <v>0</v>
      </c>
      <c r="E32" s="569">
        <f>'YR2024'!E31</f>
        <v>0</v>
      </c>
      <c r="F32" s="569">
        <f>'YR2024'!F31</f>
        <v>0</v>
      </c>
      <c r="G32" s="546">
        <f t="shared" si="0"/>
        <v>1665270</v>
      </c>
      <c r="H32" s="567"/>
      <c r="I32" s="567"/>
      <c r="J32" s="553"/>
      <c r="K32" s="553"/>
      <c r="L32" s="553"/>
      <c r="M32" s="553"/>
      <c r="N32" s="553"/>
      <c r="O32" s="553"/>
      <c r="P32" s="553"/>
      <c r="Q32" s="553"/>
      <c r="R32" s="553"/>
      <c r="S32" s="553"/>
      <c r="T32" s="553"/>
    </row>
    <row r="33" spans="1:20" ht="15.5">
      <c r="A33" s="553"/>
      <c r="B33" s="547" t="s">
        <v>87</v>
      </c>
      <c r="C33" s="571">
        <f>'YR2024'!C32</f>
        <v>9466212</v>
      </c>
      <c r="D33" s="569">
        <v>0</v>
      </c>
      <c r="E33" s="569">
        <f>'YR2024'!E32</f>
        <v>0</v>
      </c>
      <c r="F33" s="569">
        <f>'YR2024'!F32</f>
        <v>0</v>
      </c>
      <c r="G33" s="570">
        <f t="shared" si="0"/>
        <v>9466212</v>
      </c>
      <c r="H33" s="567"/>
      <c r="I33" s="567"/>
      <c r="J33" s="553"/>
      <c r="K33" s="553"/>
      <c r="L33" s="553"/>
      <c r="M33" s="553"/>
      <c r="N33" s="553"/>
      <c r="O33" s="553"/>
      <c r="P33" s="553"/>
      <c r="Q33" s="553"/>
      <c r="R33" s="553"/>
      <c r="S33" s="553"/>
      <c r="T33" s="553"/>
    </row>
    <row r="34" spans="1:20" ht="15.5">
      <c r="A34" s="553"/>
      <c r="B34" s="547" t="s">
        <v>129</v>
      </c>
      <c r="C34" s="571">
        <f>'YR2024'!C33</f>
        <v>23845117</v>
      </c>
      <c r="D34" s="569">
        <v>0</v>
      </c>
      <c r="E34" s="569">
        <f>'YR2024'!E33</f>
        <v>0</v>
      </c>
      <c r="F34" s="569">
        <f>'YR2024'!F33</f>
        <v>0</v>
      </c>
      <c r="G34" s="546">
        <f t="shared" si="0"/>
        <v>23845117</v>
      </c>
      <c r="H34" s="567"/>
      <c r="I34" s="568"/>
      <c r="J34" s="553"/>
      <c r="K34" s="553"/>
      <c r="L34" s="553"/>
      <c r="M34" s="553"/>
      <c r="N34" s="553"/>
      <c r="O34" s="553"/>
      <c r="P34" s="553"/>
      <c r="Q34" s="553"/>
      <c r="R34" s="553"/>
      <c r="S34" s="553"/>
      <c r="T34" s="553"/>
    </row>
    <row r="35" spans="1:20" ht="15.5">
      <c r="A35" s="553"/>
      <c r="B35" s="547" t="s">
        <v>89</v>
      </c>
      <c r="C35" s="569">
        <f>'YR2024'!C34</f>
        <v>394797</v>
      </c>
      <c r="D35" s="569">
        <v>0</v>
      </c>
      <c r="E35" s="569">
        <f>'YR2024'!E34</f>
        <v>0</v>
      </c>
      <c r="F35" s="569">
        <f>'YR2024'!F34</f>
        <v>0</v>
      </c>
      <c r="G35" s="573">
        <f t="shared" si="0"/>
        <v>394797</v>
      </c>
      <c r="H35" s="567"/>
      <c r="I35" s="567"/>
      <c r="J35" s="553"/>
      <c r="K35" s="553"/>
      <c r="L35" s="553"/>
      <c r="M35" s="553"/>
      <c r="N35" s="553"/>
      <c r="O35" s="553"/>
      <c r="P35" s="553"/>
      <c r="Q35" s="553"/>
      <c r="R35" s="553"/>
      <c r="S35" s="553"/>
      <c r="T35" s="553"/>
    </row>
    <row r="36" spans="1:20" ht="15.5">
      <c r="A36" s="553"/>
      <c r="B36" s="547" t="s">
        <v>91</v>
      </c>
      <c r="C36" s="571">
        <f>'YR2024'!C35</f>
        <v>148420</v>
      </c>
      <c r="D36" s="569">
        <v>0</v>
      </c>
      <c r="E36" s="569">
        <f>'YR2024'!E35</f>
        <v>0</v>
      </c>
      <c r="F36" s="569">
        <f>'YR2024'!F35</f>
        <v>0</v>
      </c>
      <c r="G36" s="573">
        <f t="shared" si="0"/>
        <v>148420</v>
      </c>
      <c r="H36" s="567"/>
      <c r="I36" s="567"/>
      <c r="J36" s="553"/>
      <c r="K36" s="553"/>
      <c r="L36" s="553"/>
      <c r="M36" s="553"/>
      <c r="N36" s="553"/>
      <c r="O36" s="553"/>
      <c r="P36" s="553"/>
      <c r="Q36" s="553"/>
      <c r="R36" s="553"/>
      <c r="S36" s="553"/>
      <c r="T36" s="553"/>
    </row>
    <row r="37" spans="1:20" ht="15.5">
      <c r="A37" s="553"/>
      <c r="B37" s="547" t="s">
        <v>92</v>
      </c>
      <c r="C37" s="571">
        <f>'YR2024'!C36</f>
        <v>29684</v>
      </c>
      <c r="D37" s="569">
        <v>0</v>
      </c>
      <c r="E37" s="569">
        <f>'YR2024'!E36</f>
        <v>0</v>
      </c>
      <c r="F37" s="569">
        <f>'YR2024'!F36</f>
        <v>0</v>
      </c>
      <c r="G37" s="572">
        <f t="shared" si="0"/>
        <v>29684</v>
      </c>
      <c r="H37" s="567"/>
      <c r="I37" s="567"/>
      <c r="J37" s="553"/>
      <c r="K37" s="553"/>
      <c r="L37" s="553"/>
      <c r="M37" s="553"/>
      <c r="N37" s="553"/>
      <c r="O37" s="553"/>
      <c r="P37" s="553"/>
      <c r="Q37" s="553"/>
      <c r="R37" s="553"/>
      <c r="S37" s="553"/>
      <c r="T37" s="553"/>
    </row>
    <row r="38" spans="1:20" ht="15.5">
      <c r="A38" s="553"/>
      <c r="B38" s="547" t="s">
        <v>93</v>
      </c>
      <c r="C38" s="571">
        <f>'YR2024'!C37</f>
        <v>228566</v>
      </c>
      <c r="D38" s="569">
        <v>0</v>
      </c>
      <c r="E38" s="569">
        <f>'YR2024'!E37</f>
        <v>0</v>
      </c>
      <c r="F38" s="569">
        <f>'YR2024'!F37</f>
        <v>0</v>
      </c>
      <c r="G38" s="572">
        <f t="shared" si="0"/>
        <v>228566</v>
      </c>
      <c r="H38" s="567"/>
      <c r="I38" s="567"/>
      <c r="J38" s="553"/>
      <c r="K38" s="553"/>
      <c r="L38" s="553"/>
      <c r="M38" s="553"/>
      <c r="N38" s="553"/>
      <c r="O38" s="553"/>
      <c r="P38" s="553"/>
      <c r="Q38" s="553"/>
      <c r="R38" s="553"/>
      <c r="S38" s="553"/>
      <c r="T38" s="553"/>
    </row>
    <row r="39" spans="1:20" ht="15.5">
      <c r="A39" s="553"/>
      <c r="B39" s="547" t="s">
        <v>94</v>
      </c>
      <c r="C39" s="569">
        <f>'YR2024'!C38</f>
        <v>201851</v>
      </c>
      <c r="D39" s="569">
        <v>0</v>
      </c>
      <c r="E39" s="569">
        <f>'YR2024'!E38</f>
        <v>0</v>
      </c>
      <c r="F39" s="569">
        <f>'YR2024'!F38</f>
        <v>0</v>
      </c>
      <c r="G39" s="546">
        <f t="shared" si="0"/>
        <v>201851</v>
      </c>
      <c r="H39" s="567"/>
      <c r="I39" s="567"/>
      <c r="J39" s="553"/>
      <c r="K39" s="553"/>
      <c r="L39" s="553"/>
      <c r="M39" s="553"/>
      <c r="N39" s="553"/>
      <c r="O39" s="553"/>
      <c r="P39" s="553"/>
      <c r="Q39" s="553"/>
      <c r="R39" s="553"/>
      <c r="S39" s="553"/>
      <c r="T39" s="553"/>
    </row>
    <row r="40" spans="1:20" ht="15.5">
      <c r="A40" s="553"/>
      <c r="B40" s="547" t="s">
        <v>95</v>
      </c>
      <c r="C40" s="571">
        <f>'YR2024'!C39</f>
        <v>56400</v>
      </c>
      <c r="D40" s="569">
        <v>0</v>
      </c>
      <c r="E40" s="569">
        <f>'YR2024'!E39</f>
        <v>0</v>
      </c>
      <c r="F40" s="569">
        <f>'YR2024'!F39</f>
        <v>0</v>
      </c>
      <c r="G40" s="546">
        <f t="shared" si="0"/>
        <v>56400</v>
      </c>
      <c r="H40" s="567"/>
      <c r="I40" s="567"/>
      <c r="J40" s="553"/>
      <c r="K40" s="553"/>
      <c r="L40" s="553"/>
      <c r="M40" s="553"/>
      <c r="N40" s="553"/>
      <c r="O40" s="553"/>
      <c r="P40" s="553"/>
      <c r="Q40" s="553"/>
      <c r="R40" s="553"/>
      <c r="S40" s="553"/>
      <c r="T40" s="553"/>
    </row>
    <row r="41" spans="1:20" ht="15.5">
      <c r="A41" s="553"/>
      <c r="B41" s="574" t="s">
        <v>96</v>
      </c>
      <c r="C41" s="571">
        <f>'YR2024'!C40</f>
        <v>32652</v>
      </c>
      <c r="D41" s="569">
        <v>0</v>
      </c>
      <c r="E41" s="569">
        <f>'YR2024'!E40</f>
        <v>0</v>
      </c>
      <c r="F41" s="569">
        <f>'YR2024'!F40</f>
        <v>0</v>
      </c>
      <c r="G41" s="573">
        <f t="shared" si="0"/>
        <v>32652</v>
      </c>
      <c r="H41" s="567"/>
      <c r="I41" s="567"/>
      <c r="J41" s="553"/>
      <c r="K41" s="553"/>
      <c r="L41" s="553"/>
      <c r="M41" s="553"/>
      <c r="N41" s="553"/>
      <c r="O41" s="553"/>
      <c r="P41" s="553"/>
      <c r="Q41" s="553"/>
      <c r="R41" s="553"/>
      <c r="S41" s="553"/>
      <c r="T41" s="553"/>
    </row>
    <row r="42" spans="1:20" ht="15.5">
      <c r="A42" s="553"/>
      <c r="B42" s="547" t="s">
        <v>97</v>
      </c>
      <c r="C42" s="571">
        <f>'YR2024'!C41</f>
        <v>4087480</v>
      </c>
      <c r="D42" s="569">
        <v>0</v>
      </c>
      <c r="E42" s="569">
        <f>'YR2024'!E41</f>
        <v>0</v>
      </c>
      <c r="F42" s="569">
        <f>'YR2024'!F41</f>
        <v>0</v>
      </c>
      <c r="G42" s="546">
        <f t="shared" si="0"/>
        <v>4087480</v>
      </c>
      <c r="H42" s="567"/>
      <c r="I42" s="567"/>
      <c r="J42" s="553"/>
      <c r="K42" s="553"/>
      <c r="L42" s="553"/>
      <c r="M42" s="553"/>
      <c r="N42" s="553"/>
      <c r="O42" s="553"/>
      <c r="P42" s="553"/>
      <c r="Q42" s="553"/>
      <c r="R42" s="553"/>
      <c r="S42" s="553"/>
      <c r="T42" s="553"/>
    </row>
    <row r="43" spans="1:20" ht="15.5">
      <c r="A43" s="553"/>
      <c r="B43" s="547" t="s">
        <v>98</v>
      </c>
      <c r="C43" s="569">
        <f>'YR2024'!C42</f>
        <v>917234</v>
      </c>
      <c r="D43" s="569">
        <v>0</v>
      </c>
      <c r="E43" s="569">
        <f>'YR2024'!E42</f>
        <v>0</v>
      </c>
      <c r="F43" s="569">
        <f>'YR2024'!F42</f>
        <v>0</v>
      </c>
      <c r="G43" s="546">
        <f t="shared" si="0"/>
        <v>917234</v>
      </c>
      <c r="H43" s="567"/>
      <c r="I43" s="567"/>
      <c r="J43" s="553"/>
      <c r="K43" s="553"/>
      <c r="L43" s="553"/>
      <c r="M43" s="553"/>
      <c r="N43" s="553"/>
      <c r="O43" s="553"/>
      <c r="P43" s="553"/>
      <c r="Q43" s="553"/>
      <c r="R43" s="553"/>
      <c r="S43" s="553"/>
      <c r="T43" s="553"/>
    </row>
    <row r="44" spans="1:20" ht="15.5">
      <c r="A44" s="553"/>
      <c r="B44" s="575" t="s">
        <v>99</v>
      </c>
      <c r="C44" s="571">
        <f>'YR2024'!C43</f>
        <v>2015540</v>
      </c>
      <c r="D44" s="569">
        <v>0</v>
      </c>
      <c r="E44" s="569">
        <f>'YR2024'!E43</f>
        <v>0</v>
      </c>
      <c r="F44" s="569">
        <f>'YR2024'!F43</f>
        <v>0</v>
      </c>
      <c r="G44" s="572">
        <f t="shared" si="0"/>
        <v>2015540</v>
      </c>
      <c r="H44" s="567"/>
      <c r="I44" s="567"/>
      <c r="J44" s="553"/>
      <c r="K44" s="553"/>
      <c r="L44" s="553"/>
      <c r="M44" s="553"/>
      <c r="N44" s="553"/>
      <c r="O44" s="553"/>
      <c r="P44" s="553"/>
      <c r="Q44" s="553"/>
      <c r="R44" s="553"/>
      <c r="S44" s="553"/>
      <c r="T44" s="553"/>
    </row>
    <row r="45" spans="1:20" ht="15.5">
      <c r="A45" s="553"/>
      <c r="B45" s="547" t="s">
        <v>101</v>
      </c>
      <c r="C45" s="571">
        <f>'YR2024'!C44</f>
        <v>2484547</v>
      </c>
      <c r="D45" s="569">
        <v>0</v>
      </c>
      <c r="E45" s="569">
        <f>'YR2024'!E44</f>
        <v>0</v>
      </c>
      <c r="F45" s="569">
        <f>'YR2024'!F44</f>
        <v>0</v>
      </c>
      <c r="G45" s="546">
        <f t="shared" si="0"/>
        <v>2484547</v>
      </c>
      <c r="H45" s="567"/>
      <c r="I45" s="567"/>
      <c r="J45" s="553"/>
      <c r="K45" s="553"/>
      <c r="L45" s="553"/>
      <c r="M45" s="553"/>
      <c r="N45" s="553"/>
      <c r="O45" s="553"/>
      <c r="P45" s="553"/>
      <c r="Q45" s="553"/>
      <c r="R45" s="553"/>
      <c r="S45" s="553"/>
      <c r="T45" s="553"/>
    </row>
    <row r="46" spans="1:20" ht="15.5">
      <c r="A46" s="553"/>
      <c r="B46" s="576" t="s">
        <v>102</v>
      </c>
      <c r="C46" s="571">
        <f>'YR2024'!C45</f>
        <v>1047843</v>
      </c>
      <c r="D46" s="569">
        <v>0</v>
      </c>
      <c r="E46" s="569">
        <f>'YR2024'!E45</f>
        <v>0</v>
      </c>
      <c r="F46" s="569">
        <f>'YR2024'!F45</f>
        <v>0</v>
      </c>
      <c r="G46" s="570">
        <f t="shared" si="0"/>
        <v>1047843</v>
      </c>
      <c r="H46" s="567"/>
      <c r="I46" s="567"/>
      <c r="J46" s="553"/>
      <c r="K46" s="553"/>
      <c r="L46" s="553"/>
      <c r="M46" s="553"/>
      <c r="N46" s="553"/>
      <c r="O46" s="553"/>
      <c r="P46" s="553"/>
      <c r="Q46" s="553"/>
      <c r="R46" s="553"/>
      <c r="S46" s="553"/>
      <c r="T46" s="553"/>
    </row>
    <row r="47" spans="1:20" ht="15.5">
      <c r="A47" s="553"/>
      <c r="B47" s="547" t="s">
        <v>103</v>
      </c>
      <c r="C47" s="569">
        <f>'YR2024'!C46</f>
        <v>926139</v>
      </c>
      <c r="D47" s="569">
        <v>0</v>
      </c>
      <c r="E47" s="569">
        <f>'YR2024'!E46</f>
        <v>0</v>
      </c>
      <c r="F47" s="569">
        <f>'YR2024'!F46</f>
        <v>0</v>
      </c>
      <c r="G47" s="546">
        <f t="shared" si="0"/>
        <v>926139</v>
      </c>
      <c r="H47" s="567"/>
      <c r="I47" s="567"/>
      <c r="J47" s="553"/>
      <c r="K47" s="553"/>
      <c r="L47" s="553"/>
      <c r="M47" s="553"/>
      <c r="N47" s="553"/>
      <c r="O47" s="553"/>
      <c r="P47" s="553"/>
      <c r="Q47" s="553"/>
      <c r="R47" s="553"/>
      <c r="S47" s="553"/>
      <c r="T47" s="553"/>
    </row>
    <row r="48" spans="1:20" ht="15.5">
      <c r="A48" s="553"/>
      <c r="B48" s="576" t="s">
        <v>104</v>
      </c>
      <c r="C48" s="571">
        <f>'YR2024'!C47</f>
        <v>5539025</v>
      </c>
      <c r="D48" s="569">
        <v>0</v>
      </c>
      <c r="E48" s="569">
        <f>'YR2024'!E47</f>
        <v>0</v>
      </c>
      <c r="F48" s="569">
        <f>'YR2024'!F47</f>
        <v>0</v>
      </c>
      <c r="G48" s="570">
        <f t="shared" si="0"/>
        <v>5539025</v>
      </c>
      <c r="H48" s="567"/>
      <c r="I48" s="567"/>
      <c r="J48" s="553"/>
      <c r="K48" s="553"/>
      <c r="L48" s="553"/>
      <c r="M48" s="553"/>
      <c r="N48" s="553"/>
      <c r="O48" s="553"/>
      <c r="P48" s="553"/>
      <c r="Q48" s="553"/>
      <c r="R48" s="553"/>
      <c r="S48" s="553"/>
      <c r="T48" s="553"/>
    </row>
    <row r="49" spans="1:20" ht="15.5">
      <c r="A49" s="553"/>
      <c r="B49" s="547" t="s">
        <v>105</v>
      </c>
      <c r="C49" s="571">
        <f>'YR2024'!C48</f>
        <v>5937</v>
      </c>
      <c r="D49" s="569">
        <v>0</v>
      </c>
      <c r="E49" s="569">
        <f>'YR2024'!E48</f>
        <v>0</v>
      </c>
      <c r="F49" s="569">
        <f>'YR2024'!F48</f>
        <v>0</v>
      </c>
      <c r="G49" s="546">
        <f t="shared" si="0"/>
        <v>5937</v>
      </c>
      <c r="H49" s="567"/>
      <c r="I49" s="567"/>
      <c r="J49" s="553"/>
      <c r="K49" s="553"/>
      <c r="L49" s="553"/>
      <c r="M49" s="553"/>
      <c r="N49" s="553"/>
      <c r="O49" s="553"/>
      <c r="P49" s="553"/>
      <c r="Q49" s="553"/>
      <c r="R49" s="553"/>
      <c r="S49" s="553"/>
      <c r="T49" s="553"/>
    </row>
    <row r="50" spans="1:20" ht="15.5">
      <c r="A50" s="553"/>
      <c r="B50" s="574" t="s">
        <v>107</v>
      </c>
      <c r="C50" s="571">
        <f>'YR2024'!C49</f>
        <v>460101</v>
      </c>
      <c r="D50" s="569">
        <v>0</v>
      </c>
      <c r="E50" s="569">
        <f>'YR2024'!E49</f>
        <v>0</v>
      </c>
      <c r="F50" s="569">
        <f>'YR2024'!F49</f>
        <v>0</v>
      </c>
      <c r="G50" s="573">
        <f t="shared" si="0"/>
        <v>460101</v>
      </c>
      <c r="H50" s="567"/>
      <c r="I50" s="567"/>
      <c r="J50" s="553"/>
      <c r="K50" s="553"/>
      <c r="L50" s="553"/>
      <c r="M50" s="553"/>
      <c r="N50" s="553"/>
      <c r="O50" s="553"/>
      <c r="P50" s="553"/>
      <c r="Q50" s="553"/>
      <c r="R50" s="553"/>
      <c r="S50" s="553"/>
      <c r="T50" s="553"/>
    </row>
    <row r="51" spans="1:20" ht="15.5">
      <c r="A51" s="553"/>
      <c r="B51" s="547" t="s">
        <v>108</v>
      </c>
      <c r="C51" s="569">
        <f>'YR2024'!C50</f>
        <v>234503</v>
      </c>
      <c r="D51" s="569">
        <v>0</v>
      </c>
      <c r="E51" s="569">
        <f>'YR2024'!E50</f>
        <v>0</v>
      </c>
      <c r="F51" s="569">
        <f>'YR2024'!F50</f>
        <v>0</v>
      </c>
      <c r="G51" s="546">
        <f t="shared" si="0"/>
        <v>234503</v>
      </c>
      <c r="H51" s="567"/>
      <c r="I51" s="567"/>
      <c r="J51" s="553"/>
      <c r="K51" s="553"/>
      <c r="L51" s="553"/>
      <c r="M51" s="553"/>
      <c r="N51" s="553"/>
      <c r="O51" s="553"/>
      <c r="P51" s="553"/>
      <c r="Q51" s="553"/>
      <c r="R51" s="553"/>
      <c r="S51" s="553"/>
      <c r="T51" s="553"/>
    </row>
    <row r="52" spans="1:20" ht="15.5">
      <c r="A52" s="553"/>
      <c r="B52" s="574" t="s">
        <v>110</v>
      </c>
      <c r="C52" s="571">
        <f>'YR2024'!C51</f>
        <v>6334555</v>
      </c>
      <c r="D52" s="569">
        <v>0</v>
      </c>
      <c r="E52" s="569">
        <f>'YR2024'!E51</f>
        <v>0</v>
      </c>
      <c r="F52" s="569">
        <f>'YR2024'!F51</f>
        <v>0</v>
      </c>
      <c r="G52" s="573">
        <f t="shared" si="0"/>
        <v>6334555</v>
      </c>
      <c r="H52" s="567"/>
      <c r="I52" s="567"/>
      <c r="J52" s="553"/>
      <c r="K52" s="553"/>
      <c r="L52" s="553"/>
      <c r="M52" s="553"/>
      <c r="N52" s="553"/>
      <c r="O52" s="553"/>
      <c r="P52" s="553"/>
      <c r="Q52" s="553"/>
      <c r="R52" s="553"/>
      <c r="S52" s="553"/>
      <c r="T52" s="553"/>
    </row>
    <row r="53" spans="1:20" ht="15.5">
      <c r="A53" s="553"/>
      <c r="B53" s="547" t="s">
        <v>130</v>
      </c>
      <c r="C53" s="571">
        <f>'YR2024'!C52</f>
        <v>2585472</v>
      </c>
      <c r="D53" s="569">
        <v>0</v>
      </c>
      <c r="E53" s="569">
        <f>'YR2024'!E52</f>
        <v>0</v>
      </c>
      <c r="F53" s="569">
        <f>'YR2024'!F52</f>
        <v>0</v>
      </c>
      <c r="G53" s="546">
        <f t="shared" si="0"/>
        <v>2585472</v>
      </c>
      <c r="H53" s="567"/>
      <c r="I53" s="567"/>
      <c r="J53" s="553"/>
      <c r="K53" s="553"/>
      <c r="L53" s="553"/>
      <c r="M53" s="553"/>
      <c r="N53" s="553"/>
      <c r="O53" s="553"/>
      <c r="P53" s="553"/>
      <c r="Q53" s="553"/>
      <c r="R53" s="553"/>
      <c r="S53" s="553"/>
      <c r="T53" s="553"/>
    </row>
    <row r="54" spans="1:20" ht="15.5">
      <c r="A54" s="553"/>
      <c r="B54" s="575" t="s">
        <v>112</v>
      </c>
      <c r="C54" s="571">
        <f>'YR2024'!C53</f>
        <v>3366160</v>
      </c>
      <c r="D54" s="569">
        <v>0</v>
      </c>
      <c r="E54" s="569">
        <f>'YR2024'!E53</f>
        <v>0</v>
      </c>
      <c r="F54" s="569">
        <f>'YR2024'!F53</f>
        <v>0</v>
      </c>
      <c r="G54" s="572">
        <f t="shared" si="0"/>
        <v>3366160</v>
      </c>
      <c r="H54" s="567"/>
      <c r="I54" s="567"/>
      <c r="J54" s="553"/>
      <c r="K54" s="553"/>
      <c r="L54" s="553"/>
      <c r="M54" s="553"/>
      <c r="N54" s="553"/>
      <c r="O54" s="553"/>
      <c r="P54" s="553"/>
      <c r="Q54" s="553"/>
      <c r="R54" s="553"/>
      <c r="S54" s="553"/>
      <c r="T54" s="553"/>
    </row>
    <row r="55" spans="1:20" ht="14.25" customHeight="1">
      <c r="A55" s="553"/>
      <c r="B55" s="577" t="s">
        <v>113</v>
      </c>
      <c r="C55" s="569">
        <f>'YR2024'!C54</f>
        <v>8905</v>
      </c>
      <c r="D55" s="569">
        <v>0</v>
      </c>
      <c r="E55" s="569">
        <f>'YR2024'!E54</f>
        <v>0</v>
      </c>
      <c r="F55" s="569">
        <f>'YR2024'!F54</f>
        <v>0</v>
      </c>
      <c r="G55" s="546">
        <f t="shared" si="0"/>
        <v>8905</v>
      </c>
      <c r="H55" s="567"/>
      <c r="I55" s="567"/>
      <c r="J55" s="553"/>
      <c r="K55" s="553"/>
      <c r="L55" s="553"/>
      <c r="M55" s="553"/>
      <c r="N55" s="553"/>
      <c r="O55" s="553"/>
      <c r="P55" s="553"/>
      <c r="Q55" s="553"/>
      <c r="R55" s="553"/>
      <c r="S55" s="553"/>
      <c r="T55" s="553"/>
    </row>
    <row r="56" spans="1:20" ht="15.5">
      <c r="A56" s="553"/>
      <c r="B56" s="547" t="s">
        <v>115</v>
      </c>
      <c r="C56" s="571">
        <f>'YR2024'!C55</f>
        <v>166230</v>
      </c>
      <c r="D56" s="569">
        <v>0</v>
      </c>
      <c r="E56" s="569">
        <f>'YR2024'!E55</f>
        <v>0</v>
      </c>
      <c r="F56" s="569">
        <f>'YR2024'!F55</f>
        <v>0</v>
      </c>
      <c r="G56" s="546">
        <f t="shared" si="0"/>
        <v>166230</v>
      </c>
      <c r="H56" s="567"/>
      <c r="I56" s="567"/>
      <c r="J56" s="553"/>
      <c r="K56" s="553"/>
      <c r="L56" s="553"/>
      <c r="M56" s="553"/>
      <c r="N56" s="553"/>
      <c r="O56" s="553"/>
      <c r="P56" s="553"/>
      <c r="Q56" s="553"/>
      <c r="R56" s="553"/>
      <c r="S56" s="553"/>
      <c r="T56" s="553"/>
    </row>
    <row r="57" spans="1:20" ht="15.5">
      <c r="A57" s="553"/>
      <c r="B57" s="574" t="s">
        <v>117</v>
      </c>
      <c r="C57" s="571">
        <f>'YR2024'!C56</f>
        <v>12986728</v>
      </c>
      <c r="D57" s="569">
        <v>0</v>
      </c>
      <c r="E57" s="569">
        <f>'YR2024'!E56</f>
        <v>0</v>
      </c>
      <c r="F57" s="569">
        <f>'YR2024'!F56</f>
        <v>0</v>
      </c>
      <c r="G57" s="573">
        <f t="shared" si="0"/>
        <v>12986728</v>
      </c>
      <c r="H57" s="567"/>
      <c r="I57" s="567"/>
      <c r="J57" s="553"/>
      <c r="K57" s="553"/>
      <c r="L57" s="553"/>
      <c r="M57" s="553"/>
      <c r="N57" s="553"/>
      <c r="O57" s="553"/>
      <c r="P57" s="553"/>
      <c r="Q57" s="553"/>
      <c r="R57" s="553"/>
      <c r="S57" s="553"/>
      <c r="T57" s="553"/>
    </row>
    <row r="58" spans="1:20" ht="15.5">
      <c r="A58" s="553"/>
      <c r="B58" s="575" t="s">
        <v>118</v>
      </c>
      <c r="C58" s="571">
        <f>'YR2024'!C57</f>
        <v>38544000</v>
      </c>
      <c r="D58" s="569">
        <v>0</v>
      </c>
      <c r="E58" s="569">
        <f>'YR2024'!E57</f>
        <v>0</v>
      </c>
      <c r="F58" s="569">
        <f>'YR2024'!F57</f>
        <v>0</v>
      </c>
      <c r="G58" s="572">
        <f>C58-D58-E58-F58</f>
        <v>38544000</v>
      </c>
      <c r="H58" s="567"/>
      <c r="I58" s="567"/>
      <c r="J58" s="553"/>
      <c r="K58" s="553"/>
      <c r="L58" s="553"/>
      <c r="M58" s="553"/>
      <c r="N58" s="553"/>
      <c r="O58" s="553"/>
      <c r="P58" s="553"/>
      <c r="Q58" s="553"/>
      <c r="R58" s="553"/>
      <c r="S58" s="553"/>
      <c r="T58" s="553"/>
    </row>
    <row r="59" spans="1:20" ht="16" thickBot="1">
      <c r="A59" s="553"/>
      <c r="B59" s="575" t="s">
        <v>119</v>
      </c>
      <c r="C59" s="578">
        <f>'YR2024'!C58</f>
        <v>80147</v>
      </c>
      <c r="D59" s="578">
        <v>0</v>
      </c>
      <c r="E59" s="578">
        <f>'YR2024'!E58</f>
        <v>0</v>
      </c>
      <c r="F59" s="578">
        <f>'YR2024'!F58</f>
        <v>0</v>
      </c>
      <c r="G59" s="572">
        <f t="shared" si="0"/>
        <v>80147</v>
      </c>
      <c r="H59" s="567"/>
      <c r="I59" s="567"/>
      <c r="J59" s="553"/>
      <c r="K59" s="553"/>
      <c r="L59" s="553"/>
      <c r="M59" s="553"/>
      <c r="N59" s="553"/>
      <c r="O59" s="553"/>
      <c r="P59" s="553"/>
      <c r="Q59" s="553"/>
      <c r="R59" s="553"/>
      <c r="S59" s="553"/>
      <c r="T59" s="553"/>
    </row>
    <row r="60" spans="1:20" ht="16" thickBot="1">
      <c r="A60" s="553"/>
      <c r="B60" s="579" t="s">
        <v>122</v>
      </c>
      <c r="C60" s="580">
        <f>SUM(C11:C59)</f>
        <v>175199999</v>
      </c>
      <c r="D60" s="580">
        <v>0</v>
      </c>
      <c r="E60" s="580">
        <f>SUM(E11:E59)</f>
        <v>0</v>
      </c>
      <c r="F60" s="581">
        <f>'YR2024'!F59</f>
        <v>0</v>
      </c>
      <c r="G60" s="582">
        <f>SUM(G11:G59)</f>
        <v>166959606.83200002</v>
      </c>
      <c r="H60" s="567"/>
      <c r="I60" s="583"/>
      <c r="J60" s="553"/>
      <c r="K60" s="553"/>
      <c r="L60" s="553"/>
      <c r="M60" s="553"/>
      <c r="N60" s="553"/>
      <c r="O60" s="553"/>
      <c r="P60" s="553"/>
      <c r="Q60" s="553"/>
      <c r="R60" s="553"/>
      <c r="S60" s="553"/>
      <c r="T60" s="553"/>
    </row>
    <row r="61" spans="1:20" ht="16" thickBot="1">
      <c r="A61" s="553"/>
      <c r="B61" s="584" t="s">
        <v>131</v>
      </c>
      <c r="C61" s="585">
        <v>0</v>
      </c>
      <c r="D61" s="586">
        <v>0</v>
      </c>
      <c r="E61" s="586">
        <v>0</v>
      </c>
      <c r="F61" s="586">
        <v>0</v>
      </c>
      <c r="G61" s="587">
        <f>C61-D61-E61-F61</f>
        <v>0</v>
      </c>
      <c r="H61" s="567"/>
      <c r="I61" s="567"/>
      <c r="J61" s="553"/>
      <c r="K61" s="553"/>
      <c r="L61" s="553"/>
      <c r="M61" s="553"/>
      <c r="N61" s="553"/>
      <c r="O61" s="553"/>
      <c r="P61" s="553"/>
      <c r="Q61" s="553"/>
      <c r="R61" s="553"/>
      <c r="S61" s="553"/>
      <c r="T61" s="553"/>
    </row>
    <row r="62" spans="1:20" ht="16" thickBot="1">
      <c r="A62" s="553"/>
      <c r="B62" s="588" t="s">
        <v>132</v>
      </c>
      <c r="C62" s="589">
        <f>C60+C61</f>
        <v>175199999</v>
      </c>
      <c r="D62" s="589">
        <f>D60+D61</f>
        <v>0</v>
      </c>
      <c r="E62" s="589">
        <f>E60+E61</f>
        <v>0</v>
      </c>
      <c r="F62" s="581">
        <f>'YR2024'!F61</f>
        <v>0</v>
      </c>
      <c r="G62" s="590">
        <f>G60+G61</f>
        <v>166959606.83200002</v>
      </c>
      <c r="H62" s="567"/>
      <c r="I62" s="567"/>
      <c r="J62" s="553"/>
      <c r="K62" s="553"/>
      <c r="L62" s="553"/>
      <c r="M62" s="553"/>
      <c r="N62" s="553"/>
      <c r="O62" s="553"/>
      <c r="P62" s="553"/>
      <c r="Q62" s="553"/>
      <c r="R62" s="553"/>
      <c r="S62" s="553"/>
      <c r="T62" s="553"/>
    </row>
    <row r="63" spans="1:20" ht="15" thickBot="1">
      <c r="A63" s="553"/>
      <c r="B63" s="591"/>
      <c r="C63" s="592"/>
      <c r="D63" s="592"/>
      <c r="E63" s="592"/>
      <c r="F63" s="592"/>
      <c r="G63" s="592"/>
      <c r="H63" s="553"/>
      <c r="I63" s="553"/>
      <c r="J63" s="553"/>
      <c r="K63" s="553"/>
      <c r="L63" s="553"/>
      <c r="M63" s="553"/>
      <c r="N63" s="553"/>
      <c r="O63" s="553"/>
      <c r="P63" s="553"/>
      <c r="Q63" s="553"/>
      <c r="R63" s="553"/>
      <c r="S63" s="553"/>
      <c r="T63" s="553"/>
    </row>
    <row r="64" spans="1:20" ht="16" thickBot="1">
      <c r="A64" s="553"/>
      <c r="B64" s="593" t="s">
        <v>133</v>
      </c>
      <c r="C64" s="581">
        <f>C14+C15+C17+C21+C23+C29+C35+C36+C38+C45+C48+C50+C51+C55+C56+C59</f>
        <v>11938884</v>
      </c>
      <c r="D64" s="581">
        <f>D14+D15+D17+D21+D23+D29+D35+D38+D45+D48+D50+D51+D55+D56+D59</f>
        <v>0</v>
      </c>
      <c r="E64" s="581">
        <f>E14+E15+E17+E21+E23+E28+E36+E38+E45+E48+E50+E51+E55+E56+E59</f>
        <v>0</v>
      </c>
      <c r="F64" s="581">
        <f>'YR2024'!F63</f>
        <v>0</v>
      </c>
      <c r="G64" s="594">
        <f>C64-D64-E64-F64</f>
        <v>11938884</v>
      </c>
      <c r="H64" s="553"/>
      <c r="I64" s="557"/>
      <c r="J64" s="553"/>
      <c r="K64" s="553"/>
      <c r="L64" s="553"/>
      <c r="M64" s="553"/>
      <c r="N64" s="553"/>
      <c r="O64" s="553"/>
      <c r="P64" s="553"/>
      <c r="Q64" s="553"/>
      <c r="R64" s="553"/>
      <c r="S64" s="553"/>
      <c r="T64" s="553"/>
    </row>
    <row r="65" spans="1:20">
      <c r="A65" s="553"/>
      <c r="B65" s="553"/>
      <c r="C65" s="595"/>
      <c r="D65" s="595"/>
      <c r="E65" s="595"/>
      <c r="F65" s="553"/>
      <c r="G65" s="553"/>
      <c r="H65" s="553"/>
      <c r="I65" s="557"/>
      <c r="J65" s="553"/>
      <c r="K65" s="553"/>
      <c r="L65" s="553"/>
      <c r="M65" s="553"/>
      <c r="N65" s="553"/>
      <c r="O65" s="553"/>
      <c r="P65" s="553"/>
      <c r="Q65" s="553"/>
      <c r="R65" s="553"/>
      <c r="S65" s="553"/>
      <c r="T65" s="553"/>
    </row>
    <row r="66" spans="1:20">
      <c r="A66" s="553"/>
      <c r="B66" s="553"/>
      <c r="C66" s="553"/>
      <c r="D66" s="553"/>
      <c r="E66" s="553"/>
      <c r="F66" s="553"/>
      <c r="G66" s="553"/>
      <c r="H66" s="553"/>
      <c r="I66" s="557"/>
      <c r="J66" s="553"/>
      <c r="K66" s="553"/>
      <c r="L66" s="553"/>
      <c r="M66" s="553"/>
      <c r="N66" s="553"/>
      <c r="O66" s="553"/>
      <c r="P66" s="553"/>
      <c r="Q66" s="553"/>
      <c r="R66" s="553"/>
      <c r="S66" s="553"/>
      <c r="T66" s="553"/>
    </row>
    <row r="67" spans="1:20">
      <c r="A67" s="553"/>
      <c r="B67" s="553"/>
      <c r="C67" s="553"/>
      <c r="D67" s="553"/>
      <c r="E67" s="553"/>
      <c r="F67" s="553"/>
      <c r="G67" s="553"/>
      <c r="H67" s="557"/>
      <c r="I67" s="557"/>
      <c r="J67" s="553"/>
      <c r="K67" s="553"/>
      <c r="L67" s="553"/>
      <c r="M67" s="553"/>
      <c r="N67" s="553"/>
      <c r="O67" s="553"/>
      <c r="P67" s="553"/>
      <c r="Q67" s="553"/>
      <c r="R67" s="553"/>
      <c r="S67" s="553"/>
      <c r="T67" s="553"/>
    </row>
    <row r="68" spans="1:20">
      <c r="A68" s="553"/>
      <c r="B68" s="553"/>
      <c r="C68" s="553"/>
      <c r="D68" s="553"/>
      <c r="E68" s="553"/>
      <c r="F68" s="553"/>
      <c r="G68" s="553"/>
      <c r="H68" s="553"/>
      <c r="I68" s="557"/>
      <c r="J68" s="553"/>
      <c r="K68" s="553"/>
      <c r="L68" s="553"/>
      <c r="M68" s="553"/>
      <c r="N68" s="553"/>
      <c r="O68" s="553"/>
      <c r="P68" s="553"/>
      <c r="Q68" s="553"/>
      <c r="R68" s="553"/>
      <c r="S68" s="553"/>
      <c r="T68" s="553"/>
    </row>
    <row r="69" spans="1:20">
      <c r="A69" s="553"/>
      <c r="B69" s="553"/>
      <c r="C69" s="553"/>
      <c r="D69" s="553"/>
      <c r="E69" s="553"/>
      <c r="F69" s="553"/>
      <c r="G69" s="553"/>
      <c r="H69" s="553"/>
      <c r="I69" s="557"/>
      <c r="J69" s="553"/>
      <c r="K69" s="553"/>
      <c r="L69" s="553"/>
      <c r="M69" s="553"/>
      <c r="N69" s="553"/>
      <c r="O69" s="553"/>
      <c r="P69" s="553"/>
      <c r="Q69" s="553"/>
      <c r="R69" s="553"/>
      <c r="S69" s="553"/>
      <c r="T69" s="553"/>
    </row>
    <row r="70" spans="1:20">
      <c r="A70" s="553"/>
      <c r="B70" s="553"/>
      <c r="C70" s="553"/>
      <c r="D70" s="553"/>
      <c r="E70" s="553"/>
      <c r="F70" s="557"/>
      <c r="G70" s="557"/>
      <c r="H70" s="557"/>
      <c r="I70" s="557"/>
      <c r="J70" s="553"/>
      <c r="K70" s="553"/>
      <c r="L70" s="553"/>
      <c r="M70" s="553"/>
      <c r="N70" s="553"/>
      <c r="O70" s="553"/>
      <c r="P70" s="553"/>
      <c r="Q70" s="553"/>
      <c r="R70" s="553"/>
      <c r="S70" s="553"/>
      <c r="T70" s="553"/>
    </row>
    <row r="71" spans="1:20">
      <c r="A71" s="553"/>
      <c r="B71" s="553"/>
      <c r="C71" s="553"/>
      <c r="D71" s="553"/>
      <c r="E71" s="553"/>
      <c r="F71" s="557"/>
      <c r="G71" s="557"/>
      <c r="H71" s="557"/>
      <c r="I71" s="557"/>
      <c r="J71" s="553"/>
      <c r="K71" s="553"/>
      <c r="L71" s="553"/>
      <c r="M71" s="553"/>
      <c r="N71" s="553"/>
      <c r="O71" s="553"/>
      <c r="P71" s="553"/>
      <c r="Q71" s="553"/>
      <c r="R71" s="553"/>
      <c r="S71" s="553"/>
      <c r="T71" s="553"/>
    </row>
    <row r="72" spans="1:20">
      <c r="A72" s="553"/>
      <c r="B72" s="553"/>
      <c r="C72" s="553"/>
      <c r="D72" s="553"/>
      <c r="E72" s="553"/>
      <c r="F72" s="553"/>
      <c r="G72" s="553"/>
      <c r="H72" s="553"/>
      <c r="I72" s="557"/>
      <c r="J72" s="553"/>
      <c r="K72" s="553"/>
      <c r="L72" s="553"/>
      <c r="M72" s="553"/>
      <c r="N72" s="553"/>
      <c r="O72" s="553"/>
      <c r="P72" s="553"/>
      <c r="Q72" s="553"/>
      <c r="R72" s="553"/>
      <c r="S72" s="553"/>
      <c r="T72" s="553"/>
    </row>
    <row r="73" spans="1:20">
      <c r="A73" s="553"/>
      <c r="B73" s="553"/>
      <c r="C73" s="553"/>
      <c r="D73" s="553"/>
      <c r="E73" s="553"/>
      <c r="F73" s="553"/>
      <c r="G73" s="553"/>
      <c r="H73" s="553"/>
      <c r="I73" s="557"/>
      <c r="J73" s="553"/>
      <c r="K73" s="553"/>
      <c r="L73" s="553"/>
      <c r="M73" s="553"/>
      <c r="N73" s="553"/>
      <c r="O73" s="553"/>
      <c r="P73" s="553"/>
      <c r="Q73" s="553"/>
      <c r="R73" s="553"/>
      <c r="S73" s="553"/>
      <c r="T73" s="553"/>
    </row>
    <row r="74" spans="1:20">
      <c r="A74" s="553"/>
      <c r="B74" s="553"/>
      <c r="C74" s="553"/>
      <c r="D74" s="553"/>
      <c r="E74" s="553"/>
      <c r="F74" s="553"/>
      <c r="G74" s="553"/>
      <c r="H74" s="553"/>
      <c r="I74" s="557"/>
      <c r="J74" s="553"/>
      <c r="K74" s="553"/>
      <c r="L74" s="553"/>
      <c r="M74" s="553"/>
      <c r="N74" s="553"/>
      <c r="O74" s="553"/>
      <c r="P74" s="553"/>
      <c r="Q74" s="553"/>
      <c r="R74" s="553"/>
      <c r="S74" s="553"/>
      <c r="T74" s="553"/>
    </row>
    <row r="75" spans="1:20">
      <c r="A75" s="553"/>
      <c r="B75" s="553"/>
      <c r="C75" s="553"/>
      <c r="D75" s="553"/>
      <c r="E75" s="553"/>
      <c r="F75" s="553"/>
      <c r="G75" s="553"/>
      <c r="H75" s="553"/>
      <c r="I75" s="557"/>
      <c r="J75" s="553"/>
      <c r="K75" s="553"/>
      <c r="L75" s="553"/>
      <c r="M75" s="553"/>
      <c r="N75" s="553"/>
      <c r="O75" s="553"/>
      <c r="P75" s="553"/>
      <c r="Q75" s="553"/>
      <c r="R75" s="553"/>
      <c r="S75" s="553"/>
      <c r="T75" s="553"/>
    </row>
    <row r="76" spans="1:20">
      <c r="A76" s="553"/>
      <c r="B76" s="553"/>
      <c r="C76" s="553"/>
      <c r="D76" s="553"/>
      <c r="E76" s="553"/>
      <c r="F76" s="553"/>
      <c r="G76" s="553"/>
      <c r="H76" s="553"/>
      <c r="I76" s="557"/>
      <c r="J76" s="553"/>
      <c r="K76" s="553"/>
      <c r="L76" s="553"/>
      <c r="M76" s="553"/>
      <c r="N76" s="553"/>
      <c r="O76" s="553"/>
      <c r="P76" s="553"/>
      <c r="Q76" s="553"/>
      <c r="R76" s="553"/>
      <c r="S76" s="553"/>
      <c r="T76" s="553"/>
    </row>
    <row r="77" spans="1:20">
      <c r="A77" s="553"/>
      <c r="B77" s="553"/>
      <c r="C77" s="553"/>
      <c r="D77" s="553"/>
      <c r="E77" s="553"/>
      <c r="F77" s="553"/>
      <c r="G77" s="553"/>
      <c r="H77" s="553"/>
      <c r="I77" s="557"/>
      <c r="J77" s="553"/>
      <c r="K77" s="553"/>
      <c r="L77" s="553"/>
      <c r="M77" s="553"/>
      <c r="N77" s="553"/>
      <c r="O77" s="553"/>
      <c r="P77" s="553"/>
      <c r="Q77" s="553"/>
      <c r="R77" s="553"/>
      <c r="S77" s="553"/>
      <c r="T77" s="553"/>
    </row>
    <row r="78" spans="1:20">
      <c r="A78" s="553"/>
      <c r="B78" s="553"/>
      <c r="C78" s="553"/>
      <c r="D78" s="553"/>
      <c r="E78" s="553"/>
      <c r="F78" s="553"/>
      <c r="G78" s="553"/>
      <c r="H78" s="553"/>
      <c r="I78" s="557"/>
      <c r="J78" s="553"/>
      <c r="K78" s="553"/>
      <c r="L78" s="553"/>
      <c r="M78" s="553"/>
      <c r="N78" s="553"/>
      <c r="O78" s="553"/>
      <c r="P78" s="553"/>
      <c r="Q78" s="553"/>
      <c r="R78" s="553"/>
      <c r="S78" s="553"/>
      <c r="T78" s="553"/>
    </row>
    <row r="79" spans="1:20">
      <c r="A79" s="553"/>
      <c r="B79" s="553"/>
      <c r="C79" s="553"/>
      <c r="D79" s="553"/>
      <c r="E79" s="553"/>
      <c r="F79" s="553"/>
      <c r="G79" s="553"/>
      <c r="H79" s="553"/>
      <c r="I79" s="557"/>
      <c r="J79" s="553"/>
      <c r="K79" s="553"/>
      <c r="L79" s="553"/>
      <c r="M79" s="553"/>
      <c r="N79" s="553"/>
      <c r="O79" s="553"/>
      <c r="P79" s="553"/>
      <c r="Q79" s="553"/>
      <c r="R79" s="553"/>
      <c r="S79" s="553"/>
      <c r="T79" s="553"/>
    </row>
    <row r="80" spans="1:20">
      <c r="A80" s="553"/>
      <c r="B80" s="553"/>
      <c r="C80" s="553"/>
      <c r="D80" s="553"/>
      <c r="E80" s="553"/>
      <c r="F80" s="553"/>
      <c r="G80" s="553"/>
      <c r="H80" s="553"/>
      <c r="I80" s="557"/>
      <c r="J80" s="553"/>
      <c r="K80" s="553"/>
      <c r="L80" s="553"/>
      <c r="M80" s="553"/>
      <c r="N80" s="553"/>
      <c r="O80" s="553"/>
      <c r="P80" s="553"/>
      <c r="Q80" s="553"/>
      <c r="R80" s="553"/>
      <c r="S80" s="553"/>
      <c r="T80" s="553"/>
    </row>
    <row r="81" spans="1:20">
      <c r="A81" s="553"/>
      <c r="B81" s="553"/>
      <c r="C81" s="553"/>
      <c r="D81" s="553"/>
      <c r="E81" s="553"/>
      <c r="F81" s="553"/>
      <c r="G81" s="553"/>
      <c r="H81" s="553"/>
      <c r="I81" s="557"/>
      <c r="J81" s="553"/>
      <c r="K81" s="553"/>
      <c r="L81" s="553"/>
      <c r="M81" s="553"/>
      <c r="N81" s="553"/>
      <c r="O81" s="553"/>
      <c r="P81" s="553"/>
      <c r="Q81" s="553"/>
      <c r="R81" s="553"/>
      <c r="S81" s="553"/>
      <c r="T81" s="553"/>
    </row>
    <row r="82" spans="1:20">
      <c r="A82" s="553"/>
      <c r="B82" s="553"/>
      <c r="C82" s="553"/>
      <c r="D82" s="553"/>
      <c r="E82" s="553"/>
      <c r="F82" s="553"/>
      <c r="G82" s="553"/>
      <c r="H82" s="553"/>
      <c r="I82" s="557"/>
      <c r="J82" s="553"/>
      <c r="K82" s="553"/>
      <c r="L82" s="553"/>
      <c r="M82" s="553"/>
      <c r="N82" s="553"/>
      <c r="O82" s="553"/>
      <c r="P82" s="553"/>
      <c r="Q82" s="553"/>
      <c r="R82" s="553"/>
      <c r="S82" s="553"/>
      <c r="T82" s="553"/>
    </row>
    <row r="83" spans="1:20">
      <c r="A83" s="553"/>
      <c r="B83" s="553"/>
      <c r="C83" s="553"/>
      <c r="D83" s="553"/>
      <c r="E83" s="553"/>
      <c r="F83" s="553"/>
      <c r="G83" s="553"/>
      <c r="H83" s="553"/>
      <c r="I83" s="557"/>
      <c r="J83" s="553"/>
      <c r="K83" s="553"/>
      <c r="L83" s="553"/>
      <c r="M83" s="553"/>
      <c r="N83" s="553"/>
      <c r="O83" s="553"/>
      <c r="P83" s="553"/>
      <c r="Q83" s="553"/>
      <c r="R83" s="553"/>
      <c r="S83" s="553"/>
      <c r="T83" s="553"/>
    </row>
    <row r="84" spans="1:20">
      <c r="A84" s="553"/>
      <c r="B84" s="553"/>
      <c r="C84" s="553"/>
      <c r="D84" s="553"/>
      <c r="E84" s="553"/>
      <c r="F84" s="553"/>
      <c r="G84" s="553"/>
      <c r="H84" s="553"/>
      <c r="I84" s="557"/>
      <c r="J84" s="553"/>
      <c r="K84" s="553"/>
      <c r="L84" s="553"/>
      <c r="M84" s="553"/>
      <c r="N84" s="553"/>
      <c r="O84" s="553"/>
      <c r="P84" s="553"/>
      <c r="Q84" s="553"/>
      <c r="R84" s="553"/>
      <c r="S84" s="553"/>
      <c r="T84" s="553"/>
    </row>
    <row r="85" spans="1:20">
      <c r="A85" s="553"/>
      <c r="B85" s="553"/>
      <c r="C85" s="553"/>
      <c r="D85" s="553"/>
      <c r="E85" s="553"/>
      <c r="F85" s="553"/>
      <c r="G85" s="553"/>
      <c r="H85" s="553"/>
      <c r="I85" s="557"/>
      <c r="J85" s="553"/>
      <c r="K85" s="553"/>
      <c r="L85" s="553"/>
      <c r="M85" s="553"/>
      <c r="N85" s="553"/>
      <c r="O85" s="553"/>
      <c r="P85" s="553"/>
      <c r="Q85" s="553"/>
      <c r="R85" s="553"/>
      <c r="S85" s="553"/>
      <c r="T85" s="553"/>
    </row>
    <row r="86" spans="1:20">
      <c r="A86" s="553"/>
      <c r="B86" s="553"/>
      <c r="C86" s="553"/>
      <c r="D86" s="553"/>
      <c r="E86" s="553"/>
      <c r="F86" s="553"/>
      <c r="G86" s="553"/>
      <c r="H86" s="553"/>
      <c r="I86" s="557"/>
      <c r="J86" s="553"/>
      <c r="K86" s="553"/>
      <c r="L86" s="553"/>
      <c r="M86" s="553"/>
      <c r="N86" s="553"/>
      <c r="O86" s="553"/>
      <c r="P86" s="553"/>
      <c r="Q86" s="553"/>
      <c r="R86" s="553"/>
      <c r="S86" s="553"/>
      <c r="T86" s="553"/>
    </row>
    <row r="87" spans="1:20">
      <c r="A87" s="553"/>
      <c r="B87" s="553"/>
      <c r="C87" s="553"/>
      <c r="D87" s="553"/>
      <c r="E87" s="553"/>
      <c r="F87" s="553"/>
      <c r="G87" s="553"/>
      <c r="H87" s="553"/>
      <c r="I87" s="557"/>
      <c r="J87" s="553"/>
      <c r="K87" s="553"/>
      <c r="L87" s="553"/>
      <c r="M87" s="553"/>
      <c r="N87" s="553"/>
      <c r="O87" s="553"/>
      <c r="P87" s="553"/>
      <c r="Q87" s="553"/>
      <c r="R87" s="553"/>
      <c r="S87" s="553"/>
      <c r="T87" s="553"/>
    </row>
    <row r="88" spans="1:20">
      <c r="A88" s="553"/>
      <c r="B88" s="553"/>
      <c r="C88" s="553"/>
      <c r="D88" s="553"/>
      <c r="E88" s="553"/>
      <c r="F88" s="553"/>
      <c r="G88" s="553"/>
      <c r="H88" s="553"/>
      <c r="I88" s="557"/>
      <c r="J88" s="553"/>
      <c r="K88" s="553"/>
      <c r="L88" s="553"/>
      <c r="M88" s="553"/>
      <c r="N88" s="553"/>
      <c r="O88" s="553"/>
      <c r="P88" s="553"/>
      <c r="Q88" s="553"/>
      <c r="R88" s="553"/>
      <c r="S88" s="553"/>
      <c r="T88" s="553"/>
    </row>
    <row r="89" spans="1:20">
      <c r="A89" s="553"/>
      <c r="B89" s="553"/>
      <c r="C89" s="553"/>
      <c r="D89" s="553"/>
      <c r="E89" s="553"/>
      <c r="F89" s="553"/>
      <c r="G89" s="553"/>
      <c r="H89" s="553"/>
      <c r="I89" s="557"/>
      <c r="J89" s="553"/>
      <c r="K89" s="553"/>
      <c r="L89" s="553"/>
      <c r="M89" s="553"/>
      <c r="N89" s="553"/>
      <c r="O89" s="553"/>
      <c r="P89" s="553"/>
      <c r="Q89" s="553"/>
      <c r="R89" s="553"/>
      <c r="S89" s="553"/>
      <c r="T89" s="553"/>
    </row>
    <row r="90" spans="1:20">
      <c r="A90" s="553"/>
      <c r="B90" s="553"/>
      <c r="C90" s="553"/>
      <c r="D90" s="553"/>
      <c r="E90" s="553"/>
      <c r="F90" s="553"/>
      <c r="G90" s="553"/>
      <c r="H90" s="553"/>
      <c r="I90" s="557"/>
      <c r="J90" s="553"/>
      <c r="K90" s="553"/>
      <c r="L90" s="553"/>
      <c r="M90" s="553"/>
      <c r="N90" s="553"/>
      <c r="O90" s="553"/>
      <c r="P90" s="553"/>
      <c r="Q90" s="553"/>
      <c r="R90" s="553"/>
      <c r="S90" s="553"/>
      <c r="T90" s="553"/>
    </row>
    <row r="91" spans="1:20">
      <c r="A91" s="553"/>
      <c r="B91" s="553"/>
      <c r="C91" s="553"/>
      <c r="D91" s="553"/>
      <c r="E91" s="553"/>
      <c r="F91" s="553"/>
      <c r="G91" s="553"/>
      <c r="H91" s="553"/>
      <c r="I91" s="557"/>
      <c r="J91" s="553"/>
      <c r="K91" s="553"/>
      <c r="L91" s="553"/>
      <c r="M91" s="553"/>
      <c r="N91" s="553"/>
      <c r="O91" s="553"/>
      <c r="P91" s="553"/>
      <c r="Q91" s="553"/>
      <c r="R91" s="553"/>
      <c r="S91" s="553"/>
      <c r="T91" s="553"/>
    </row>
    <row r="92" spans="1:20">
      <c r="A92" s="553"/>
      <c r="B92" s="553"/>
      <c r="C92" s="553"/>
      <c r="D92" s="553"/>
      <c r="E92" s="553"/>
      <c r="F92" s="553"/>
      <c r="G92" s="553"/>
      <c r="H92" s="553"/>
      <c r="I92" s="557"/>
      <c r="J92" s="553"/>
      <c r="K92" s="553"/>
      <c r="L92" s="553"/>
      <c r="M92" s="553"/>
      <c r="N92" s="553"/>
      <c r="O92" s="553"/>
      <c r="P92" s="553"/>
      <c r="Q92" s="553"/>
      <c r="R92" s="553"/>
      <c r="S92" s="553"/>
      <c r="T92" s="553"/>
    </row>
    <row r="93" spans="1:20">
      <c r="A93" s="553"/>
      <c r="B93" s="553"/>
      <c r="C93" s="553"/>
      <c r="D93" s="553"/>
      <c r="E93" s="553"/>
      <c r="F93" s="553"/>
      <c r="G93" s="553"/>
      <c r="H93" s="553"/>
      <c r="I93" s="557"/>
      <c r="J93" s="553"/>
      <c r="K93" s="553"/>
      <c r="L93" s="553"/>
      <c r="M93" s="553"/>
      <c r="N93" s="553"/>
      <c r="O93" s="553"/>
      <c r="P93" s="553"/>
      <c r="Q93" s="553"/>
      <c r="R93" s="553"/>
      <c r="S93" s="553"/>
      <c r="T93" s="553"/>
    </row>
    <row r="94" spans="1:20">
      <c r="A94" s="553"/>
      <c r="B94" s="553"/>
      <c r="C94" s="553"/>
      <c r="D94" s="553"/>
      <c r="E94" s="553"/>
      <c r="F94" s="553"/>
      <c r="G94" s="553"/>
      <c r="H94" s="553"/>
      <c r="I94" s="557"/>
      <c r="J94" s="553"/>
      <c r="K94" s="553"/>
      <c r="L94" s="553"/>
      <c r="M94" s="553"/>
      <c r="N94" s="553"/>
      <c r="O94" s="553"/>
      <c r="P94" s="553"/>
      <c r="Q94" s="553"/>
      <c r="R94" s="553"/>
      <c r="S94" s="553"/>
      <c r="T94" s="553"/>
    </row>
    <row r="95" spans="1:20">
      <c r="A95" s="553"/>
      <c r="B95" s="553"/>
      <c r="C95" s="553"/>
      <c r="D95" s="553"/>
      <c r="E95" s="553"/>
      <c r="F95" s="553"/>
      <c r="G95" s="553"/>
      <c r="H95" s="553"/>
      <c r="I95" s="557"/>
      <c r="J95" s="553"/>
      <c r="K95" s="553"/>
      <c r="L95" s="553"/>
      <c r="M95" s="553"/>
      <c r="N95" s="553"/>
      <c r="O95" s="553"/>
      <c r="P95" s="553"/>
      <c r="Q95" s="553"/>
      <c r="R95" s="553"/>
      <c r="S95" s="553"/>
      <c r="T95" s="553"/>
    </row>
    <row r="96" spans="1:20">
      <c r="A96" s="553"/>
      <c r="B96" s="553"/>
      <c r="C96" s="553"/>
      <c r="D96" s="553"/>
      <c r="E96" s="553"/>
      <c r="F96" s="553"/>
      <c r="G96" s="553"/>
      <c r="H96" s="553"/>
      <c r="I96" s="557"/>
      <c r="J96" s="553"/>
      <c r="K96" s="553"/>
      <c r="L96" s="553"/>
      <c r="M96" s="553"/>
      <c r="N96" s="553"/>
      <c r="O96" s="553"/>
      <c r="P96" s="553"/>
      <c r="Q96" s="553"/>
      <c r="R96" s="553"/>
      <c r="S96" s="553"/>
      <c r="T96" s="553"/>
    </row>
    <row r="97" spans="1:20">
      <c r="A97" s="553"/>
      <c r="B97" s="553"/>
      <c r="C97" s="553"/>
      <c r="D97" s="553"/>
      <c r="E97" s="553"/>
      <c r="F97" s="553"/>
      <c r="G97" s="553"/>
      <c r="H97" s="553"/>
      <c r="I97" s="557"/>
      <c r="J97" s="553"/>
      <c r="K97" s="553"/>
      <c r="L97" s="553"/>
      <c r="M97" s="553"/>
      <c r="N97" s="553"/>
      <c r="O97" s="553"/>
      <c r="P97" s="553"/>
      <c r="Q97" s="553"/>
      <c r="R97" s="553"/>
      <c r="S97" s="553"/>
      <c r="T97" s="553"/>
    </row>
    <row r="98" spans="1:20">
      <c r="A98" s="553"/>
      <c r="B98" s="553"/>
      <c r="C98" s="553"/>
      <c r="D98" s="553"/>
      <c r="E98" s="553"/>
      <c r="F98" s="553"/>
      <c r="G98" s="553"/>
      <c r="H98" s="553"/>
      <c r="I98" s="557"/>
      <c r="J98" s="553"/>
      <c r="K98" s="553"/>
      <c r="L98" s="553"/>
      <c r="M98" s="553"/>
      <c r="N98" s="553"/>
      <c r="O98" s="553"/>
      <c r="P98" s="553"/>
      <c r="Q98" s="553"/>
      <c r="R98" s="553"/>
      <c r="S98" s="553"/>
      <c r="T98" s="553"/>
    </row>
    <row r="99" spans="1:20">
      <c r="A99" s="553"/>
      <c r="B99" s="553"/>
      <c r="C99" s="553"/>
      <c r="D99" s="553"/>
      <c r="E99" s="553"/>
      <c r="F99" s="553"/>
      <c r="G99" s="553"/>
      <c r="H99" s="553"/>
      <c r="I99" s="557"/>
      <c r="J99" s="553"/>
      <c r="K99" s="553"/>
      <c r="L99" s="553"/>
      <c r="M99" s="553"/>
      <c r="N99" s="553"/>
      <c r="O99" s="553"/>
      <c r="P99" s="553"/>
      <c r="Q99" s="553"/>
      <c r="R99" s="553"/>
      <c r="S99" s="553"/>
      <c r="T99" s="553"/>
    </row>
    <row r="100" spans="1:20">
      <c r="A100" s="553"/>
      <c r="B100" s="553"/>
      <c r="C100" s="553"/>
      <c r="D100" s="553"/>
      <c r="E100" s="553"/>
      <c r="F100" s="553"/>
      <c r="G100" s="553"/>
      <c r="H100" s="553"/>
      <c r="I100" s="557"/>
      <c r="J100" s="553"/>
      <c r="K100" s="553"/>
      <c r="L100" s="553"/>
      <c r="M100" s="553"/>
      <c r="N100" s="553"/>
      <c r="O100" s="553"/>
      <c r="P100" s="553"/>
      <c r="Q100" s="553"/>
      <c r="R100" s="553"/>
      <c r="S100" s="553"/>
      <c r="T100" s="553"/>
    </row>
    <row r="101" spans="1:20">
      <c r="A101" s="553"/>
      <c r="B101" s="553"/>
      <c r="C101" s="553"/>
      <c r="D101" s="553"/>
      <c r="E101" s="553"/>
      <c r="F101" s="553"/>
      <c r="G101" s="553"/>
      <c r="H101" s="553"/>
      <c r="I101" s="557"/>
      <c r="J101" s="553"/>
      <c r="K101" s="553"/>
      <c r="L101" s="553"/>
      <c r="M101" s="553"/>
      <c r="N101" s="553"/>
      <c r="O101" s="553"/>
      <c r="P101" s="553"/>
      <c r="Q101" s="553"/>
      <c r="R101" s="553"/>
      <c r="S101" s="553"/>
      <c r="T101" s="553"/>
    </row>
    <row r="102" spans="1:20">
      <c r="A102" s="553"/>
      <c r="B102" s="553"/>
      <c r="C102" s="553"/>
      <c r="D102" s="553"/>
      <c r="E102" s="553"/>
      <c r="F102" s="553"/>
      <c r="G102" s="553"/>
      <c r="H102" s="553"/>
      <c r="I102" s="557"/>
      <c r="J102" s="553"/>
      <c r="K102" s="553"/>
      <c r="L102" s="553"/>
      <c r="M102" s="553"/>
      <c r="N102" s="553"/>
      <c r="O102" s="553"/>
      <c r="P102" s="553"/>
      <c r="Q102" s="553"/>
      <c r="R102" s="553"/>
      <c r="S102" s="553"/>
      <c r="T102" s="553"/>
    </row>
    <row r="103" spans="1:20">
      <c r="A103" s="553"/>
      <c r="B103" s="553"/>
      <c r="C103" s="553"/>
      <c r="D103" s="553"/>
      <c r="E103" s="553"/>
      <c r="F103" s="553"/>
      <c r="G103" s="553"/>
      <c r="H103" s="553"/>
      <c r="I103" s="557"/>
      <c r="J103" s="553"/>
      <c r="K103" s="553"/>
      <c r="L103" s="553"/>
      <c r="M103" s="553"/>
      <c r="N103" s="553"/>
      <c r="O103" s="553"/>
      <c r="P103" s="553"/>
      <c r="Q103" s="553"/>
      <c r="R103" s="553"/>
      <c r="S103" s="553"/>
      <c r="T103" s="553"/>
    </row>
    <row r="104" spans="1:20">
      <c r="A104" s="553"/>
      <c r="B104" s="553"/>
      <c r="C104" s="553"/>
      <c r="D104" s="553"/>
      <c r="E104" s="553"/>
      <c r="F104" s="553"/>
      <c r="G104" s="553"/>
      <c r="H104" s="553"/>
      <c r="I104" s="557"/>
      <c r="J104" s="553"/>
      <c r="K104" s="553"/>
      <c r="L104" s="553"/>
      <c r="M104" s="553"/>
      <c r="N104" s="553"/>
      <c r="O104" s="553"/>
      <c r="P104" s="553"/>
      <c r="Q104" s="553"/>
      <c r="R104" s="553"/>
      <c r="S104" s="553"/>
      <c r="T104" s="553"/>
    </row>
    <row r="105" spans="1:20">
      <c r="A105" s="553"/>
      <c r="B105" s="553"/>
      <c r="C105" s="553"/>
      <c r="D105" s="553"/>
      <c r="E105" s="553"/>
      <c r="F105" s="553"/>
      <c r="G105" s="553"/>
      <c r="H105" s="553"/>
      <c r="I105" s="557"/>
      <c r="J105" s="553"/>
      <c r="K105" s="553"/>
      <c r="L105" s="553"/>
      <c r="M105" s="553"/>
      <c r="N105" s="553"/>
      <c r="O105" s="553"/>
      <c r="P105" s="553"/>
      <c r="Q105" s="553"/>
      <c r="R105" s="553"/>
      <c r="S105" s="553"/>
      <c r="T105" s="553"/>
    </row>
    <row r="106" spans="1:20">
      <c r="A106" s="553"/>
      <c r="B106" s="553"/>
      <c r="C106" s="553"/>
      <c r="D106" s="553"/>
      <c r="E106" s="553"/>
      <c r="F106" s="553"/>
      <c r="G106" s="553"/>
      <c r="H106" s="553"/>
      <c r="I106" s="557"/>
      <c r="J106" s="553"/>
      <c r="K106" s="553"/>
      <c r="L106" s="553"/>
      <c r="M106" s="553"/>
      <c r="N106" s="553"/>
      <c r="O106" s="553"/>
      <c r="P106" s="553"/>
      <c r="Q106" s="553"/>
      <c r="R106" s="553"/>
      <c r="S106" s="553"/>
      <c r="T106" s="553"/>
    </row>
    <row r="107" spans="1:20">
      <c r="A107" s="553"/>
      <c r="B107" s="553"/>
      <c r="C107" s="553"/>
      <c r="D107" s="553"/>
      <c r="E107" s="553"/>
      <c r="F107" s="553"/>
      <c r="G107" s="553"/>
      <c r="H107" s="553"/>
      <c r="I107" s="557"/>
      <c r="J107" s="553"/>
      <c r="K107" s="553"/>
      <c r="L107" s="553"/>
      <c r="M107" s="553"/>
      <c r="N107" s="553"/>
      <c r="O107" s="553"/>
      <c r="P107" s="553"/>
      <c r="Q107" s="553"/>
      <c r="R107" s="553"/>
      <c r="S107" s="553"/>
      <c r="T107" s="553"/>
    </row>
    <row r="108" spans="1:20">
      <c r="A108" s="553"/>
      <c r="B108" s="553"/>
      <c r="C108" s="553"/>
      <c r="D108" s="553"/>
      <c r="E108" s="553"/>
      <c r="F108" s="553"/>
      <c r="G108" s="553"/>
      <c r="H108" s="553"/>
      <c r="I108" s="557"/>
      <c r="J108" s="553"/>
      <c r="K108" s="553"/>
      <c r="L108" s="553"/>
      <c r="M108" s="553"/>
      <c r="N108" s="553"/>
      <c r="O108" s="553"/>
      <c r="P108" s="553"/>
      <c r="Q108" s="553"/>
      <c r="R108" s="553"/>
      <c r="S108" s="553"/>
      <c r="T108" s="553"/>
    </row>
    <row r="109" spans="1:20">
      <c r="A109" s="553"/>
      <c r="B109" s="553"/>
      <c r="C109" s="553"/>
      <c r="D109" s="553"/>
      <c r="E109" s="553"/>
      <c r="F109" s="553"/>
      <c r="G109" s="553"/>
      <c r="H109" s="553"/>
      <c r="I109" s="557"/>
      <c r="J109" s="553"/>
      <c r="K109" s="553"/>
      <c r="L109" s="553"/>
      <c r="M109" s="553"/>
      <c r="N109" s="553"/>
      <c r="O109" s="553"/>
      <c r="P109" s="553"/>
      <c r="Q109" s="553"/>
      <c r="R109" s="553"/>
      <c r="S109" s="553"/>
      <c r="T109" s="553"/>
    </row>
    <row r="110" spans="1:20">
      <c r="A110" s="553"/>
      <c r="B110" s="553"/>
      <c r="C110" s="553"/>
      <c r="D110" s="553"/>
      <c r="E110" s="553"/>
      <c r="F110" s="553"/>
      <c r="G110" s="553"/>
      <c r="H110" s="553"/>
      <c r="I110" s="557"/>
      <c r="J110" s="553"/>
      <c r="K110" s="553"/>
      <c r="L110" s="553"/>
      <c r="M110" s="553"/>
      <c r="N110" s="553"/>
      <c r="O110" s="553"/>
      <c r="P110" s="553"/>
      <c r="Q110" s="553"/>
      <c r="R110" s="553"/>
      <c r="S110" s="553"/>
      <c r="T110" s="553"/>
    </row>
    <row r="111" spans="1:20">
      <c r="A111" s="553"/>
      <c r="B111" s="553"/>
      <c r="C111" s="553"/>
      <c r="D111" s="553"/>
      <c r="E111" s="553"/>
      <c r="F111" s="553"/>
      <c r="G111" s="553"/>
      <c r="H111" s="553"/>
      <c r="I111" s="557"/>
      <c r="J111" s="553"/>
      <c r="K111" s="553"/>
      <c r="L111" s="553"/>
      <c r="M111" s="553"/>
      <c r="N111" s="553"/>
      <c r="O111" s="553"/>
      <c r="P111" s="553"/>
      <c r="Q111" s="553"/>
      <c r="R111" s="553"/>
      <c r="S111" s="553"/>
      <c r="T111" s="553"/>
    </row>
    <row r="112" spans="1:20">
      <c r="A112" s="553"/>
      <c r="B112" s="553"/>
      <c r="C112" s="553"/>
      <c r="D112" s="553"/>
      <c r="E112" s="553"/>
      <c r="F112" s="553"/>
      <c r="G112" s="553"/>
      <c r="H112" s="553"/>
      <c r="I112" s="557"/>
      <c r="J112" s="553"/>
      <c r="K112" s="553"/>
      <c r="L112" s="553"/>
      <c r="M112" s="553"/>
      <c r="N112" s="553"/>
      <c r="O112" s="553"/>
      <c r="P112" s="553"/>
      <c r="Q112" s="553"/>
      <c r="R112" s="553"/>
      <c r="S112" s="553"/>
      <c r="T112" s="553"/>
    </row>
    <row r="113" spans="1:20">
      <c r="A113" s="553"/>
      <c r="B113" s="553"/>
      <c r="C113" s="553"/>
      <c r="D113" s="553"/>
      <c r="E113" s="553"/>
      <c r="F113" s="553"/>
      <c r="G113" s="553"/>
      <c r="H113" s="553"/>
      <c r="I113" s="557"/>
      <c r="J113" s="553"/>
      <c r="K113" s="553"/>
      <c r="L113" s="553"/>
      <c r="M113" s="553"/>
      <c r="N113" s="553"/>
      <c r="O113" s="553"/>
      <c r="P113" s="553"/>
      <c r="Q113" s="553"/>
      <c r="R113" s="553"/>
      <c r="S113" s="553"/>
      <c r="T113" s="553"/>
    </row>
    <row r="114" spans="1:20">
      <c r="A114" s="553"/>
      <c r="B114" s="553"/>
      <c r="C114" s="553"/>
      <c r="D114" s="553"/>
      <c r="E114" s="553"/>
      <c r="F114" s="553"/>
      <c r="G114" s="553"/>
      <c r="H114" s="553"/>
      <c r="I114" s="557"/>
      <c r="J114" s="553"/>
      <c r="K114" s="553"/>
      <c r="L114" s="553"/>
      <c r="M114" s="553"/>
      <c r="N114" s="553"/>
      <c r="O114" s="553"/>
      <c r="P114" s="553"/>
      <c r="Q114" s="553"/>
      <c r="R114" s="553"/>
      <c r="S114" s="553"/>
      <c r="T114" s="553"/>
    </row>
    <row r="115" spans="1:20">
      <c r="A115" s="553"/>
      <c r="B115" s="553"/>
      <c r="C115" s="553"/>
      <c r="D115" s="553"/>
      <c r="E115" s="553"/>
      <c r="F115" s="553"/>
      <c r="G115" s="553"/>
      <c r="H115" s="553"/>
      <c r="I115" s="557"/>
      <c r="J115" s="553"/>
      <c r="K115" s="553"/>
      <c r="L115" s="553"/>
      <c r="M115" s="553"/>
      <c r="N115" s="553"/>
      <c r="O115" s="553"/>
      <c r="P115" s="553"/>
      <c r="Q115" s="553"/>
      <c r="R115" s="553"/>
      <c r="S115" s="553"/>
      <c r="T115" s="553"/>
    </row>
    <row r="116" spans="1:20">
      <c r="A116" s="553"/>
      <c r="B116" s="553"/>
      <c r="C116" s="553"/>
      <c r="D116" s="553"/>
      <c r="E116" s="553"/>
      <c r="F116" s="553"/>
      <c r="G116" s="553"/>
      <c r="H116" s="553"/>
      <c r="I116" s="557"/>
      <c r="J116" s="553"/>
      <c r="K116" s="553"/>
      <c r="L116" s="553"/>
      <c r="M116" s="553"/>
      <c r="N116" s="553"/>
      <c r="O116" s="553"/>
      <c r="P116" s="553"/>
      <c r="Q116" s="553"/>
      <c r="R116" s="553"/>
      <c r="S116" s="553"/>
      <c r="T116" s="553"/>
    </row>
    <row r="117" spans="1:20">
      <c r="A117" s="553"/>
      <c r="B117" s="553"/>
      <c r="C117" s="553"/>
      <c r="D117" s="553"/>
      <c r="E117" s="553"/>
      <c r="F117" s="553"/>
      <c r="G117" s="553"/>
      <c r="H117" s="553"/>
      <c r="I117" s="557"/>
      <c r="J117" s="553"/>
      <c r="K117" s="553"/>
      <c r="L117" s="553"/>
      <c r="M117" s="553"/>
      <c r="N117" s="553"/>
      <c r="O117" s="553"/>
      <c r="P117" s="553"/>
      <c r="Q117" s="553"/>
      <c r="R117" s="553"/>
      <c r="S117" s="553"/>
      <c r="T117" s="553"/>
    </row>
    <row r="118" spans="1:20">
      <c r="A118" s="553"/>
      <c r="B118" s="553"/>
      <c r="C118" s="553"/>
      <c r="D118" s="553"/>
      <c r="E118" s="553"/>
      <c r="F118" s="553"/>
      <c r="G118" s="553"/>
      <c r="H118" s="553"/>
      <c r="I118" s="557"/>
      <c r="J118" s="553"/>
      <c r="K118" s="553"/>
      <c r="L118" s="553"/>
      <c r="M118" s="553"/>
      <c r="N118" s="553"/>
      <c r="O118" s="553"/>
      <c r="P118" s="553"/>
      <c r="Q118" s="553"/>
      <c r="R118" s="553"/>
      <c r="S118" s="553"/>
      <c r="T118" s="553"/>
    </row>
    <row r="119" spans="1:20">
      <c r="A119" s="553"/>
      <c r="B119" s="553"/>
      <c r="C119" s="553"/>
      <c r="D119" s="553"/>
      <c r="E119" s="553"/>
      <c r="F119" s="553"/>
      <c r="G119" s="553"/>
      <c r="H119" s="553"/>
      <c r="I119" s="557"/>
      <c r="J119" s="553"/>
      <c r="K119" s="553"/>
      <c r="L119" s="553"/>
      <c r="M119" s="553"/>
      <c r="N119" s="553"/>
      <c r="O119" s="553"/>
      <c r="P119" s="553"/>
      <c r="Q119" s="553"/>
      <c r="R119" s="553"/>
      <c r="S119" s="553"/>
      <c r="T119" s="553"/>
    </row>
    <row r="120" spans="1:20">
      <c r="A120" s="553"/>
      <c r="B120" s="553"/>
      <c r="C120" s="553"/>
      <c r="D120" s="553"/>
      <c r="E120" s="553"/>
      <c r="F120" s="553"/>
      <c r="G120" s="553"/>
      <c r="H120" s="553"/>
      <c r="I120" s="557"/>
      <c r="J120" s="553"/>
      <c r="K120" s="553"/>
      <c r="L120" s="553"/>
      <c r="M120" s="553"/>
      <c r="N120" s="553"/>
      <c r="O120" s="553"/>
      <c r="P120" s="553"/>
      <c r="Q120" s="553"/>
      <c r="R120" s="553"/>
      <c r="S120" s="553"/>
      <c r="T120" s="553"/>
    </row>
    <row r="121" spans="1:20">
      <c r="A121" s="553"/>
      <c r="B121" s="553"/>
      <c r="C121" s="553"/>
      <c r="D121" s="553"/>
      <c r="E121" s="553"/>
      <c r="F121" s="553"/>
      <c r="G121" s="553"/>
      <c r="H121" s="553"/>
      <c r="I121" s="557"/>
      <c r="J121" s="553"/>
      <c r="K121" s="553"/>
      <c r="L121" s="553"/>
      <c r="M121" s="553"/>
      <c r="N121" s="553"/>
      <c r="O121" s="553"/>
      <c r="P121" s="553"/>
      <c r="Q121" s="553"/>
      <c r="R121" s="553"/>
      <c r="S121" s="553"/>
      <c r="T121" s="553"/>
    </row>
    <row r="122" spans="1:20">
      <c r="A122" s="553"/>
      <c r="B122" s="553"/>
      <c r="C122" s="553"/>
      <c r="D122" s="553"/>
      <c r="E122" s="553"/>
      <c r="F122" s="553"/>
      <c r="G122" s="553"/>
      <c r="H122" s="553"/>
      <c r="I122" s="557"/>
      <c r="J122" s="553"/>
      <c r="K122" s="553"/>
      <c r="L122" s="553"/>
      <c r="M122" s="553"/>
      <c r="N122" s="553"/>
      <c r="O122" s="553"/>
      <c r="P122" s="553"/>
      <c r="Q122" s="553"/>
      <c r="R122" s="553"/>
      <c r="S122" s="553"/>
      <c r="T122" s="553"/>
    </row>
    <row r="123" spans="1:20">
      <c r="A123" s="553"/>
      <c r="B123" s="553"/>
      <c r="C123" s="553"/>
      <c r="D123" s="553"/>
      <c r="E123" s="553"/>
      <c r="F123" s="553"/>
      <c r="G123" s="553"/>
      <c r="H123" s="553"/>
      <c r="I123" s="557"/>
      <c r="J123" s="553"/>
      <c r="K123" s="553"/>
      <c r="L123" s="553"/>
      <c r="M123" s="553"/>
      <c r="N123" s="553"/>
      <c r="O123" s="553"/>
      <c r="P123" s="553"/>
      <c r="Q123" s="553"/>
      <c r="R123" s="553"/>
      <c r="S123" s="553"/>
      <c r="T123" s="553"/>
    </row>
    <row r="124" spans="1:20">
      <c r="A124" s="553"/>
      <c r="B124" s="553"/>
      <c r="C124" s="553"/>
      <c r="D124" s="553"/>
      <c r="E124" s="553"/>
      <c r="F124" s="553"/>
      <c r="G124" s="553"/>
      <c r="H124" s="553"/>
      <c r="I124" s="557"/>
      <c r="J124" s="553"/>
      <c r="K124" s="553"/>
      <c r="L124" s="553"/>
      <c r="M124" s="553"/>
      <c r="N124" s="553"/>
      <c r="O124" s="553"/>
      <c r="P124" s="553"/>
      <c r="Q124" s="553"/>
      <c r="R124" s="553"/>
      <c r="S124" s="553"/>
      <c r="T124" s="553"/>
    </row>
    <row r="125" spans="1:20">
      <c r="A125" s="553"/>
      <c r="B125" s="553"/>
      <c r="C125" s="553"/>
      <c r="D125" s="553"/>
      <c r="E125" s="553"/>
      <c r="F125" s="553"/>
      <c r="G125" s="553"/>
      <c r="H125" s="553"/>
      <c r="I125" s="557"/>
      <c r="J125" s="553"/>
      <c r="K125" s="553"/>
      <c r="L125" s="553"/>
      <c r="M125" s="553"/>
      <c r="N125" s="553"/>
      <c r="O125" s="553"/>
      <c r="P125" s="553"/>
      <c r="Q125" s="553"/>
      <c r="R125" s="553"/>
      <c r="S125" s="553"/>
      <c r="T125" s="553"/>
    </row>
    <row r="126" spans="1:20">
      <c r="A126" s="553"/>
      <c r="B126" s="553"/>
      <c r="C126" s="553"/>
      <c r="D126" s="553"/>
      <c r="E126" s="553"/>
      <c r="F126" s="553"/>
      <c r="G126" s="553"/>
      <c r="H126" s="553"/>
      <c r="I126" s="557"/>
      <c r="J126" s="553"/>
      <c r="K126" s="553"/>
      <c r="L126" s="553"/>
      <c r="M126" s="553"/>
      <c r="N126" s="553"/>
      <c r="O126" s="553"/>
      <c r="P126" s="553"/>
      <c r="Q126" s="553"/>
      <c r="R126" s="553"/>
      <c r="S126" s="553"/>
      <c r="T126" s="553"/>
    </row>
    <row r="127" spans="1:20">
      <c r="A127" s="553"/>
      <c r="B127" s="553"/>
      <c r="C127" s="553"/>
      <c r="D127" s="553"/>
      <c r="E127" s="553"/>
      <c r="F127" s="553"/>
      <c r="G127" s="553"/>
      <c r="H127" s="553"/>
      <c r="I127" s="557"/>
      <c r="J127" s="553"/>
      <c r="K127" s="553"/>
      <c r="L127" s="553"/>
      <c r="M127" s="553"/>
      <c r="N127" s="553"/>
      <c r="O127" s="553"/>
      <c r="P127" s="553"/>
      <c r="Q127" s="553"/>
      <c r="R127" s="553"/>
      <c r="S127" s="553"/>
      <c r="T127" s="553"/>
    </row>
    <row r="128" spans="1:20">
      <c r="A128" s="553"/>
      <c r="B128" s="553"/>
      <c r="C128" s="553"/>
      <c r="D128" s="553"/>
      <c r="E128" s="553"/>
      <c r="F128" s="553"/>
      <c r="G128" s="553"/>
      <c r="H128" s="553"/>
      <c r="I128" s="557"/>
      <c r="J128" s="553"/>
      <c r="K128" s="553"/>
      <c r="L128" s="553"/>
      <c r="M128" s="553"/>
      <c r="N128" s="553"/>
      <c r="O128" s="553"/>
      <c r="P128" s="553"/>
      <c r="Q128" s="553"/>
      <c r="R128" s="553"/>
      <c r="S128" s="553"/>
      <c r="T128" s="553"/>
    </row>
    <row r="129" spans="1:20">
      <c r="A129" s="553"/>
      <c r="B129" s="553"/>
      <c r="C129" s="553"/>
      <c r="D129" s="553"/>
      <c r="E129" s="553"/>
      <c r="F129" s="553"/>
      <c r="G129" s="553"/>
      <c r="H129" s="553"/>
      <c r="I129" s="557"/>
      <c r="J129" s="553"/>
      <c r="K129" s="553"/>
      <c r="L129" s="553"/>
      <c r="M129" s="553"/>
      <c r="N129" s="553"/>
      <c r="O129" s="553"/>
      <c r="P129" s="553"/>
      <c r="Q129" s="553"/>
      <c r="R129" s="553"/>
      <c r="S129" s="553"/>
      <c r="T129" s="553"/>
    </row>
    <row r="130" spans="1:20">
      <c r="A130" s="553"/>
      <c r="B130" s="553"/>
      <c r="C130" s="553"/>
      <c r="D130" s="553"/>
      <c r="E130" s="553"/>
      <c r="F130" s="553"/>
      <c r="G130" s="553"/>
      <c r="H130" s="553"/>
      <c r="I130" s="557"/>
      <c r="J130" s="553"/>
      <c r="K130" s="553"/>
      <c r="L130" s="553"/>
      <c r="M130" s="553"/>
      <c r="N130" s="553"/>
      <c r="O130" s="553"/>
      <c r="P130" s="553"/>
      <c r="Q130" s="553"/>
      <c r="R130" s="553"/>
      <c r="S130" s="553"/>
      <c r="T130" s="553"/>
    </row>
    <row r="131" spans="1:20">
      <c r="A131" s="553"/>
      <c r="B131" s="553"/>
      <c r="C131" s="553"/>
      <c r="D131" s="553"/>
      <c r="E131" s="553"/>
      <c r="F131" s="553"/>
      <c r="G131" s="553"/>
      <c r="H131" s="553"/>
      <c r="I131" s="557"/>
      <c r="J131" s="553"/>
      <c r="K131" s="553"/>
      <c r="L131" s="553"/>
      <c r="M131" s="553"/>
      <c r="N131" s="553"/>
      <c r="O131" s="553"/>
      <c r="P131" s="553"/>
      <c r="Q131" s="553"/>
      <c r="R131" s="553"/>
      <c r="S131" s="553"/>
      <c r="T131" s="553"/>
    </row>
    <row r="132" spans="1:20">
      <c r="A132" s="553"/>
      <c r="B132" s="553"/>
      <c r="C132" s="553"/>
      <c r="D132" s="553"/>
      <c r="E132" s="553"/>
      <c r="F132" s="553"/>
      <c r="G132" s="553"/>
      <c r="H132" s="553"/>
      <c r="I132" s="557"/>
      <c r="J132" s="553"/>
      <c r="K132" s="553"/>
      <c r="L132" s="553"/>
      <c r="M132" s="553"/>
      <c r="N132" s="553"/>
      <c r="O132" s="553"/>
      <c r="P132" s="553"/>
      <c r="Q132" s="553"/>
      <c r="R132" s="553"/>
      <c r="S132" s="553"/>
      <c r="T132" s="553"/>
    </row>
    <row r="133" spans="1:20">
      <c r="A133" s="553"/>
      <c r="B133" s="553"/>
      <c r="C133" s="553"/>
      <c r="D133" s="553"/>
      <c r="E133" s="553"/>
      <c r="F133" s="553"/>
      <c r="G133" s="553"/>
      <c r="H133" s="553"/>
      <c r="I133" s="557"/>
      <c r="J133" s="553"/>
      <c r="K133" s="553"/>
      <c r="L133" s="553"/>
      <c r="M133" s="553"/>
      <c r="N133" s="553"/>
      <c r="O133" s="553"/>
      <c r="P133" s="553"/>
      <c r="Q133" s="553"/>
      <c r="R133" s="553"/>
      <c r="S133" s="553"/>
      <c r="T133" s="553"/>
    </row>
    <row r="134" spans="1:20">
      <c r="A134" s="553"/>
      <c r="B134" s="553"/>
      <c r="C134" s="553"/>
      <c r="D134" s="553"/>
      <c r="E134" s="553"/>
      <c r="F134" s="553"/>
      <c r="G134" s="553"/>
      <c r="H134" s="553"/>
      <c r="I134" s="557"/>
      <c r="J134" s="553"/>
      <c r="K134" s="553"/>
      <c r="L134" s="553"/>
      <c r="M134" s="553"/>
      <c r="N134" s="553"/>
      <c r="O134" s="553"/>
      <c r="P134" s="553"/>
      <c r="Q134" s="553"/>
      <c r="R134" s="553"/>
      <c r="S134" s="553"/>
      <c r="T134" s="553"/>
    </row>
    <row r="135" spans="1:20">
      <c r="A135" s="553"/>
      <c r="B135" s="553"/>
      <c r="C135" s="553"/>
      <c r="D135" s="553"/>
      <c r="E135" s="553"/>
      <c r="F135" s="553"/>
      <c r="G135" s="553"/>
      <c r="H135" s="553"/>
      <c r="I135" s="557"/>
      <c r="J135" s="553"/>
      <c r="K135" s="553"/>
      <c r="L135" s="553"/>
      <c r="M135" s="553"/>
      <c r="N135" s="553"/>
      <c r="O135" s="553"/>
      <c r="P135" s="553"/>
      <c r="Q135" s="553"/>
      <c r="R135" s="553"/>
      <c r="S135" s="553"/>
      <c r="T135" s="553"/>
    </row>
    <row r="136" spans="1:20">
      <c r="A136" s="553"/>
      <c r="B136" s="553"/>
      <c r="C136" s="553"/>
      <c r="D136" s="553"/>
      <c r="E136" s="553"/>
      <c r="F136" s="553"/>
      <c r="G136" s="553"/>
      <c r="H136" s="553"/>
      <c r="I136" s="557"/>
      <c r="J136" s="553"/>
      <c r="K136" s="553"/>
      <c r="L136" s="553"/>
      <c r="M136" s="553"/>
      <c r="N136" s="553"/>
      <c r="O136" s="553"/>
      <c r="P136" s="553"/>
      <c r="Q136" s="553"/>
      <c r="R136" s="553"/>
      <c r="S136" s="553"/>
      <c r="T136" s="553"/>
    </row>
    <row r="137" spans="1:20">
      <c r="A137" s="553"/>
      <c r="B137" s="553"/>
      <c r="C137" s="553"/>
      <c r="D137" s="553"/>
      <c r="E137" s="553"/>
      <c r="F137" s="553"/>
      <c r="G137" s="553"/>
      <c r="H137" s="553"/>
      <c r="I137" s="557"/>
      <c r="J137" s="553"/>
      <c r="K137" s="553"/>
      <c r="L137" s="553"/>
      <c r="M137" s="553"/>
      <c r="N137" s="553"/>
      <c r="O137" s="553"/>
      <c r="P137" s="553"/>
      <c r="Q137" s="553"/>
      <c r="R137" s="553"/>
      <c r="S137" s="553"/>
      <c r="T137" s="553"/>
    </row>
    <row r="138" spans="1:20">
      <c r="A138" s="553"/>
      <c r="B138" s="553"/>
      <c r="C138" s="553"/>
      <c r="D138" s="553"/>
      <c r="E138" s="553"/>
      <c r="F138" s="553"/>
      <c r="G138" s="553"/>
      <c r="H138" s="553"/>
      <c r="I138" s="557"/>
      <c r="J138" s="553"/>
      <c r="K138" s="553"/>
      <c r="L138" s="553"/>
      <c r="M138" s="553"/>
      <c r="N138" s="553"/>
      <c r="O138" s="553"/>
      <c r="P138" s="553"/>
      <c r="Q138" s="553"/>
      <c r="R138" s="553"/>
      <c r="S138" s="553"/>
      <c r="T138" s="553"/>
    </row>
    <row r="139" spans="1:20">
      <c r="A139" s="553"/>
      <c r="B139" s="553"/>
      <c r="C139" s="553"/>
      <c r="D139" s="553"/>
      <c r="E139" s="553"/>
      <c r="F139" s="553"/>
      <c r="G139" s="553"/>
      <c r="H139" s="553"/>
      <c r="I139" s="557"/>
      <c r="J139" s="553"/>
      <c r="K139" s="553"/>
      <c r="L139" s="553"/>
      <c r="M139" s="553"/>
      <c r="N139" s="553"/>
      <c r="O139" s="553"/>
      <c r="P139" s="553"/>
      <c r="Q139" s="553"/>
      <c r="R139" s="553"/>
      <c r="S139" s="553"/>
      <c r="T139" s="553"/>
    </row>
    <row r="140" spans="1:20">
      <c r="A140" s="553"/>
      <c r="B140" s="553"/>
      <c r="C140" s="553"/>
      <c r="D140" s="553"/>
      <c r="E140" s="553"/>
      <c r="F140" s="553"/>
      <c r="G140" s="553"/>
      <c r="H140" s="553"/>
      <c r="I140" s="557"/>
      <c r="J140" s="553"/>
      <c r="K140" s="553"/>
      <c r="L140" s="553"/>
      <c r="M140" s="553"/>
      <c r="N140" s="553"/>
      <c r="O140" s="553"/>
      <c r="P140" s="553"/>
      <c r="Q140" s="553"/>
      <c r="R140" s="553"/>
      <c r="S140" s="553"/>
      <c r="T140" s="553"/>
    </row>
    <row r="141" spans="1:20">
      <c r="A141" s="553"/>
      <c r="B141" s="553"/>
      <c r="C141" s="553"/>
      <c r="D141" s="553"/>
      <c r="E141" s="553"/>
      <c r="F141" s="553"/>
      <c r="G141" s="553"/>
      <c r="H141" s="553"/>
      <c r="I141" s="557"/>
      <c r="J141" s="553"/>
      <c r="K141" s="553"/>
      <c r="L141" s="553"/>
      <c r="M141" s="553"/>
      <c r="N141" s="553"/>
      <c r="O141" s="553"/>
      <c r="P141" s="553"/>
      <c r="Q141" s="553"/>
      <c r="R141" s="553"/>
      <c r="S141" s="553"/>
      <c r="T141" s="553"/>
    </row>
    <row r="142" spans="1:20">
      <c r="A142" s="553"/>
      <c r="B142" s="553"/>
      <c r="C142" s="553"/>
      <c r="D142" s="553"/>
      <c r="E142" s="553"/>
      <c r="F142" s="553"/>
      <c r="G142" s="553"/>
      <c r="H142" s="553"/>
      <c r="I142" s="557"/>
      <c r="J142" s="553"/>
      <c r="K142" s="553"/>
      <c r="L142" s="553"/>
      <c r="M142" s="553"/>
      <c r="N142" s="553"/>
      <c r="O142" s="553"/>
      <c r="P142" s="553"/>
      <c r="Q142" s="553"/>
      <c r="R142" s="553"/>
      <c r="S142" s="553"/>
      <c r="T142" s="553"/>
    </row>
    <row r="143" spans="1:20">
      <c r="A143" s="553"/>
      <c r="B143" s="553"/>
      <c r="C143" s="553"/>
      <c r="D143" s="553"/>
      <c r="E143" s="553"/>
      <c r="F143" s="553"/>
      <c r="G143" s="553"/>
      <c r="H143" s="553"/>
      <c r="I143" s="557"/>
      <c r="J143" s="553"/>
      <c r="K143" s="553"/>
      <c r="L143" s="553"/>
      <c r="M143" s="553"/>
      <c r="N143" s="553"/>
      <c r="O143" s="553"/>
      <c r="P143" s="553"/>
      <c r="Q143" s="553"/>
      <c r="R143" s="553"/>
      <c r="S143" s="553"/>
      <c r="T143" s="553"/>
    </row>
    <row r="144" spans="1:20">
      <c r="A144" s="553"/>
      <c r="B144" s="553"/>
      <c r="C144" s="553"/>
      <c r="D144" s="553"/>
      <c r="E144" s="553"/>
      <c r="F144" s="553"/>
      <c r="G144" s="553"/>
      <c r="H144" s="553"/>
      <c r="I144" s="557"/>
      <c r="J144" s="553"/>
      <c r="K144" s="553"/>
      <c r="L144" s="553"/>
      <c r="M144" s="553"/>
      <c r="N144" s="553"/>
      <c r="O144" s="553"/>
      <c r="P144" s="553"/>
      <c r="Q144" s="553"/>
      <c r="R144" s="553"/>
      <c r="S144" s="553"/>
      <c r="T144" s="553"/>
    </row>
    <row r="145" spans="1:20">
      <c r="A145" s="553"/>
      <c r="B145" s="553"/>
      <c r="C145" s="553"/>
      <c r="D145" s="553"/>
      <c r="E145" s="553"/>
      <c r="F145" s="553"/>
      <c r="G145" s="553"/>
      <c r="H145" s="553"/>
      <c r="I145" s="557"/>
      <c r="J145" s="553"/>
      <c r="K145" s="553"/>
      <c r="L145" s="553"/>
      <c r="M145" s="553"/>
      <c r="N145" s="553"/>
      <c r="O145" s="553"/>
      <c r="P145" s="553"/>
      <c r="Q145" s="553"/>
      <c r="R145" s="553"/>
      <c r="S145" s="553"/>
      <c r="T145" s="553"/>
    </row>
    <row r="146" spans="1:20">
      <c r="A146" s="553"/>
      <c r="B146" s="553"/>
      <c r="C146" s="553"/>
      <c r="D146" s="553"/>
      <c r="E146" s="553"/>
      <c r="F146" s="553"/>
      <c r="G146" s="553"/>
      <c r="H146" s="553"/>
      <c r="I146" s="557"/>
      <c r="J146" s="553"/>
      <c r="K146" s="553"/>
      <c r="L146" s="553"/>
      <c r="M146" s="553"/>
      <c r="N146" s="553"/>
      <c r="O146" s="553"/>
      <c r="P146" s="553"/>
      <c r="Q146" s="553"/>
      <c r="R146" s="553"/>
      <c r="S146" s="553"/>
      <c r="T146" s="553"/>
    </row>
    <row r="147" spans="1:20">
      <c r="A147" s="553"/>
      <c r="B147" s="553"/>
      <c r="C147" s="553"/>
      <c r="D147" s="553"/>
      <c r="E147" s="553"/>
      <c r="F147" s="553"/>
      <c r="G147" s="553"/>
      <c r="H147" s="553"/>
      <c r="I147" s="557"/>
      <c r="J147" s="553"/>
      <c r="K147" s="553"/>
      <c r="L147" s="553"/>
      <c r="M147" s="553"/>
      <c r="N147" s="553"/>
      <c r="O147" s="553"/>
      <c r="P147" s="553"/>
      <c r="Q147" s="553"/>
      <c r="R147" s="553"/>
      <c r="S147" s="553"/>
      <c r="T147" s="553"/>
    </row>
    <row r="148" spans="1:20">
      <c r="A148" s="553"/>
      <c r="B148" s="553"/>
      <c r="C148" s="553"/>
      <c r="D148" s="553"/>
      <c r="E148" s="553"/>
      <c r="F148" s="553"/>
      <c r="G148" s="553"/>
      <c r="H148" s="553"/>
      <c r="I148" s="557"/>
      <c r="J148" s="553"/>
      <c r="K148" s="553"/>
      <c r="L148" s="553"/>
      <c r="M148" s="553"/>
      <c r="N148" s="553"/>
      <c r="O148" s="553"/>
      <c r="P148" s="553"/>
      <c r="Q148" s="553"/>
      <c r="R148" s="553"/>
      <c r="S148" s="553"/>
      <c r="T148" s="553"/>
    </row>
    <row r="149" spans="1:20">
      <c r="A149" s="553"/>
      <c r="B149" s="553"/>
      <c r="C149" s="553"/>
      <c r="D149" s="553"/>
      <c r="E149" s="553"/>
      <c r="F149" s="553"/>
      <c r="G149" s="553"/>
      <c r="H149" s="553"/>
      <c r="I149" s="557"/>
      <c r="J149" s="553"/>
      <c r="K149" s="553"/>
      <c r="L149" s="553"/>
      <c r="M149" s="553"/>
      <c r="N149" s="553"/>
      <c r="O149" s="553"/>
      <c r="P149" s="553"/>
      <c r="Q149" s="553"/>
      <c r="R149" s="553"/>
      <c r="S149" s="553"/>
      <c r="T149" s="553"/>
    </row>
    <row r="150" spans="1:20">
      <c r="A150" s="553"/>
      <c r="B150" s="553"/>
      <c r="C150" s="553"/>
      <c r="D150" s="553"/>
      <c r="E150" s="553"/>
      <c r="F150" s="553"/>
      <c r="G150" s="553"/>
      <c r="H150" s="553"/>
      <c r="I150" s="557"/>
      <c r="J150" s="553"/>
      <c r="K150" s="553"/>
      <c r="L150" s="553"/>
      <c r="M150" s="553"/>
      <c r="N150" s="553"/>
      <c r="O150" s="553"/>
      <c r="P150" s="553"/>
      <c r="Q150" s="553"/>
      <c r="R150" s="553"/>
      <c r="S150" s="553"/>
      <c r="T150" s="553"/>
    </row>
  </sheetData>
  <autoFilter ref="B10:G64" xr:uid="{F84FE1A5-D2E0-41E1-B816-359E90B3A520}"/>
  <mergeCells count="5">
    <mergeCell ref="B1:C1"/>
    <mergeCell ref="B6:G6"/>
    <mergeCell ref="B7:G7"/>
    <mergeCell ref="B8:G8"/>
    <mergeCell ref="F1:G1"/>
  </mergeCells>
  <printOptions horizontalCentered="1"/>
  <pageMargins left="0.118110236220472" right="0.118110236220472" top="0.27559055118110198" bottom="0.196850393700787" header="0.27559055118110198" footer="0.118110236220472"/>
  <pageSetup scale="74"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62EB-1E09-4016-B2E2-E8FAFC1AB8F7}">
  <dimension ref="A1:F66"/>
  <sheetViews>
    <sheetView workbookViewId="0">
      <selection activeCell="L68" sqref="L68"/>
    </sheetView>
  </sheetViews>
  <sheetFormatPr defaultColWidth="9.7265625" defaultRowHeight="12.5"/>
  <cols>
    <col min="1" max="1" width="27" style="66" customWidth="1"/>
    <col min="2" max="6" width="17.26953125" style="66" customWidth="1"/>
    <col min="7" max="16384" width="9.7265625" style="66"/>
  </cols>
  <sheetData>
    <row r="1" spans="1:6" s="1" customFormat="1" ht="16.5" customHeight="1">
      <c r="A1" s="329" t="str">
        <f>[1]Status!C1</f>
        <v>UNEP/OzL.Pro/ExCom/94/3</v>
      </c>
      <c r="B1" s="295"/>
      <c r="F1" s="320"/>
    </row>
    <row r="2" spans="1:6" s="1" customFormat="1" ht="16.5" customHeight="1">
      <c r="A2" s="329" t="s">
        <v>218</v>
      </c>
      <c r="B2" s="7"/>
      <c r="F2" s="320"/>
    </row>
    <row r="3" spans="1:6" s="1" customFormat="1" ht="16.5" customHeight="1">
      <c r="B3" s="7"/>
      <c r="F3" s="320"/>
    </row>
    <row r="4" spans="1:6" s="1" customFormat="1" ht="20.25" customHeight="1">
      <c r="A4" s="321" t="s">
        <v>2</v>
      </c>
      <c r="B4" s="321"/>
      <c r="C4" s="321"/>
      <c r="D4" s="321"/>
      <c r="E4" s="321"/>
      <c r="F4" s="321"/>
    </row>
    <row r="5" spans="1:6" s="1" customFormat="1" ht="20.25" customHeight="1">
      <c r="A5" s="322" t="s">
        <v>212</v>
      </c>
      <c r="B5" s="321"/>
      <c r="C5" s="321"/>
      <c r="D5" s="321"/>
      <c r="E5" s="321"/>
      <c r="F5" s="321"/>
    </row>
    <row r="6" spans="1:6" s="1" customFormat="1" ht="30" customHeight="1" thickBot="1">
      <c r="A6" s="323" t="str">
        <f>[1]Status!A6</f>
        <v>As at 24/05/2024</v>
      </c>
      <c r="B6" s="321"/>
      <c r="C6" s="321"/>
      <c r="D6" s="321"/>
      <c r="E6" s="321"/>
      <c r="F6" s="321"/>
    </row>
    <row r="7" spans="1:6" ht="60.5" thickBot="1">
      <c r="A7" s="298" t="s">
        <v>59</v>
      </c>
      <c r="B7" s="299" t="s">
        <v>60</v>
      </c>
      <c r="C7" s="299" t="s">
        <v>61</v>
      </c>
      <c r="D7" s="299" t="s">
        <v>62</v>
      </c>
      <c r="E7" s="299" t="s">
        <v>63</v>
      </c>
      <c r="F7" s="324" t="s">
        <v>64</v>
      </c>
    </row>
    <row r="8" spans="1:6" ht="18" customHeight="1">
      <c r="A8" s="355" t="s">
        <v>124</v>
      </c>
      <c r="B8" s="356">
        <v>2719451</v>
      </c>
      <c r="C8" s="357">
        <v>2719451</v>
      </c>
      <c r="D8" s="358">
        <v>0</v>
      </c>
      <c r="E8" s="358">
        <v>0</v>
      </c>
      <c r="F8" s="359">
        <f>B8-C8-D8-E8</f>
        <v>0</v>
      </c>
    </row>
    <row r="9" spans="1:6" ht="18" customHeight="1">
      <c r="A9" s="360" t="s">
        <v>67</v>
      </c>
      <c r="B9" s="361">
        <v>1589409</v>
      </c>
      <c r="C9" s="349">
        <v>1589409</v>
      </c>
      <c r="D9" s="350">
        <v>0</v>
      </c>
      <c r="E9" s="350">
        <v>0</v>
      </c>
      <c r="F9" s="362">
        <f t="shared" ref="F9:F58" si="0">B9-C9-D9-E9</f>
        <v>0</v>
      </c>
    </row>
    <row r="10" spans="1:6" ht="18" customHeight="1">
      <c r="A10" s="363" t="s">
        <v>68</v>
      </c>
      <c r="B10" s="361">
        <v>215902</v>
      </c>
      <c r="C10" s="349">
        <v>0</v>
      </c>
      <c r="D10" s="350">
        <v>0</v>
      </c>
      <c r="E10" s="350">
        <v>0</v>
      </c>
      <c r="F10" s="362">
        <f t="shared" si="0"/>
        <v>215902</v>
      </c>
    </row>
    <row r="11" spans="1:6" ht="18" customHeight="1">
      <c r="A11" s="360" t="s">
        <v>69</v>
      </c>
      <c r="B11" s="361">
        <v>537459</v>
      </c>
      <c r="C11" s="349">
        <v>0</v>
      </c>
      <c r="D11" s="350">
        <v>0</v>
      </c>
      <c r="E11" s="350">
        <v>0</v>
      </c>
      <c r="F11" s="362">
        <f t="shared" si="0"/>
        <v>537459</v>
      </c>
    </row>
    <row r="12" spans="1:6" ht="18" customHeight="1">
      <c r="A12" s="360" t="s">
        <v>70</v>
      </c>
      <c r="B12" s="361">
        <v>1851248</v>
      </c>
      <c r="C12" s="349">
        <v>1851248</v>
      </c>
      <c r="D12" s="350">
        <v>0</v>
      </c>
      <c r="E12" s="350">
        <v>0</v>
      </c>
      <c r="F12" s="362">
        <f t="shared" si="0"/>
        <v>0</v>
      </c>
    </row>
    <row r="13" spans="1:6" ht="18" customHeight="1">
      <c r="A13" s="360" t="s">
        <v>209</v>
      </c>
      <c r="B13" s="361">
        <v>0</v>
      </c>
      <c r="C13" s="349">
        <v>0</v>
      </c>
      <c r="D13" s="350">
        <v>0</v>
      </c>
      <c r="E13" s="350">
        <v>0</v>
      </c>
      <c r="F13" s="362">
        <f t="shared" si="0"/>
        <v>0</v>
      </c>
    </row>
    <row r="14" spans="1:6" ht="18" customHeight="1">
      <c r="A14" s="360" t="s">
        <v>71</v>
      </c>
      <c r="B14" s="361">
        <v>0</v>
      </c>
      <c r="C14" s="349">
        <v>0</v>
      </c>
      <c r="D14" s="350">
        <v>0</v>
      </c>
      <c r="E14" s="350">
        <v>0</v>
      </c>
      <c r="F14" s="362">
        <f t="shared" si="0"/>
        <v>0</v>
      </c>
    </row>
    <row r="15" spans="1:6" ht="18" customHeight="1">
      <c r="A15" s="360" t="s">
        <v>125</v>
      </c>
      <c r="B15" s="361">
        <v>5700741</v>
      </c>
      <c r="C15" s="349">
        <v>5152031</v>
      </c>
      <c r="D15" s="350">
        <v>548710</v>
      </c>
      <c r="E15" s="350">
        <v>0</v>
      </c>
      <c r="F15" s="362">
        <f t="shared" si="0"/>
        <v>0</v>
      </c>
    </row>
    <row r="16" spans="1:6" ht="18" customHeight="1">
      <c r="A16" s="360" t="s">
        <v>74</v>
      </c>
      <c r="B16" s="361">
        <v>0</v>
      </c>
      <c r="C16" s="349">
        <v>0</v>
      </c>
      <c r="D16" s="350">
        <v>0</v>
      </c>
      <c r="E16" s="350">
        <v>0</v>
      </c>
      <c r="F16" s="362">
        <f t="shared" si="0"/>
        <v>0</v>
      </c>
    </row>
    <row r="17" spans="1:6" ht="18" customHeight="1">
      <c r="A17" s="360" t="s">
        <v>75</v>
      </c>
      <c r="B17" s="361">
        <v>477741</v>
      </c>
      <c r="C17" s="349">
        <v>477741</v>
      </c>
      <c r="D17" s="350">
        <v>0</v>
      </c>
      <c r="E17" s="350">
        <v>0</v>
      </c>
      <c r="F17" s="362">
        <f t="shared" si="0"/>
        <v>0</v>
      </c>
    </row>
    <row r="18" spans="1:6" ht="18" customHeight="1">
      <c r="A18" s="360" t="s">
        <v>76</v>
      </c>
      <c r="B18" s="361">
        <v>1318383</v>
      </c>
      <c r="C18" s="349">
        <v>1318383</v>
      </c>
      <c r="D18" s="350">
        <v>0</v>
      </c>
      <c r="E18" s="350">
        <v>0</v>
      </c>
      <c r="F18" s="362">
        <f t="shared" si="0"/>
        <v>0</v>
      </c>
    </row>
    <row r="19" spans="1:6" ht="18" customHeight="1">
      <c r="A19" s="360" t="s">
        <v>77</v>
      </c>
      <c r="B19" s="361">
        <v>0</v>
      </c>
      <c r="C19" s="349">
        <v>0</v>
      </c>
      <c r="D19" s="350">
        <v>0</v>
      </c>
      <c r="E19" s="350">
        <v>0</v>
      </c>
      <c r="F19" s="362">
        <f t="shared" si="0"/>
        <v>0</v>
      </c>
    </row>
    <row r="20" spans="1:6" ht="18" customHeight="1">
      <c r="A20" s="360" t="s">
        <v>78</v>
      </c>
      <c r="B20" s="361">
        <v>1134636</v>
      </c>
      <c r="C20" s="349">
        <f>909206+76855</f>
        <v>986061</v>
      </c>
      <c r="D20" s="350">
        <f>225430-76855</f>
        <v>148575</v>
      </c>
      <c r="E20" s="350">
        <v>0</v>
      </c>
      <c r="F20" s="362">
        <f t="shared" si="0"/>
        <v>0</v>
      </c>
    </row>
    <row r="21" spans="1:6" ht="18" customHeight="1">
      <c r="A21" s="360" t="s">
        <v>79</v>
      </c>
      <c r="B21" s="361">
        <v>11773570</v>
      </c>
      <c r="C21" s="349">
        <v>0</v>
      </c>
      <c r="D21" s="350">
        <v>662250</v>
      </c>
      <c r="E21" s="350">
        <v>11111320</v>
      </c>
      <c r="F21" s="362">
        <f t="shared" si="0"/>
        <v>0</v>
      </c>
    </row>
    <row r="22" spans="1:6" ht="18" customHeight="1">
      <c r="A22" s="360" t="s">
        <v>210</v>
      </c>
      <c r="B22" s="361">
        <v>0</v>
      </c>
      <c r="C22" s="349">
        <v>0</v>
      </c>
      <c r="D22" s="350">
        <v>0</v>
      </c>
      <c r="E22" s="350">
        <v>0</v>
      </c>
      <c r="F22" s="362">
        <f t="shared" si="0"/>
        <v>0</v>
      </c>
    </row>
    <row r="23" spans="1:6" ht="18" customHeight="1">
      <c r="A23" s="360" t="s">
        <v>80</v>
      </c>
      <c r="B23" s="361">
        <v>16615295</v>
      </c>
      <c r="C23" s="349">
        <f>14005333+129441</f>
        <v>14134774</v>
      </c>
      <c r="D23" s="350">
        <f>2609962-129441</f>
        <v>2480521</v>
      </c>
      <c r="E23" s="350">
        <v>0</v>
      </c>
      <c r="F23" s="362">
        <f t="shared" si="0"/>
        <v>0</v>
      </c>
    </row>
    <row r="24" spans="1:6" ht="18" customHeight="1">
      <c r="A24" s="360" t="s">
        <v>81</v>
      </c>
      <c r="B24" s="361">
        <v>698237</v>
      </c>
      <c r="C24" s="349">
        <v>698237</v>
      </c>
      <c r="D24" s="350">
        <v>0</v>
      </c>
      <c r="E24" s="350">
        <v>0</v>
      </c>
      <c r="F24" s="362">
        <f t="shared" si="0"/>
        <v>0</v>
      </c>
    </row>
    <row r="25" spans="1:6" ht="18" customHeight="1">
      <c r="A25" s="360" t="s">
        <v>83</v>
      </c>
      <c r="B25" s="361">
        <v>257245</v>
      </c>
      <c r="C25" s="349">
        <v>257245</v>
      </c>
      <c r="D25" s="350">
        <v>0</v>
      </c>
      <c r="E25" s="350">
        <v>0</v>
      </c>
      <c r="F25" s="362">
        <f t="shared" si="0"/>
        <v>0</v>
      </c>
    </row>
    <row r="26" spans="1:6" ht="18" customHeight="1">
      <c r="A26" s="360" t="s">
        <v>84</v>
      </c>
      <c r="B26" s="361">
        <v>55124</v>
      </c>
      <c r="C26" s="349">
        <v>55124</v>
      </c>
      <c r="D26" s="350">
        <v>0</v>
      </c>
      <c r="E26" s="350">
        <v>0</v>
      </c>
      <c r="F26" s="362">
        <f t="shared" si="0"/>
        <v>0</v>
      </c>
    </row>
    <row r="27" spans="1:6" ht="18" customHeight="1">
      <c r="A27" s="360" t="s">
        <v>85</v>
      </c>
      <c r="B27" s="361">
        <v>385868</v>
      </c>
      <c r="C27" s="349">
        <v>385868</v>
      </c>
      <c r="D27" s="350">
        <v>0</v>
      </c>
      <c r="E27" s="350">
        <v>0</v>
      </c>
      <c r="F27" s="362">
        <f t="shared" si="0"/>
        <v>0</v>
      </c>
    </row>
    <row r="28" spans="1:6" ht="18" customHeight="1">
      <c r="A28" s="360" t="s">
        <v>86</v>
      </c>
      <c r="B28" s="361">
        <v>491522</v>
      </c>
      <c r="C28" s="349">
        <v>491522</v>
      </c>
      <c r="D28" s="350">
        <v>0</v>
      </c>
      <c r="E28" s="350">
        <v>0</v>
      </c>
      <c r="F28" s="362">
        <f t="shared" si="0"/>
        <v>0</v>
      </c>
    </row>
    <row r="29" spans="1:6" ht="18" customHeight="1">
      <c r="A29" s="360" t="s">
        <v>87</v>
      </c>
      <c r="B29" s="361">
        <v>9550235</v>
      </c>
      <c r="C29" s="349">
        <v>9550235</v>
      </c>
      <c r="D29" s="350">
        <v>0</v>
      </c>
      <c r="E29" s="350">
        <v>0</v>
      </c>
      <c r="F29" s="362">
        <f t="shared" si="0"/>
        <v>0</v>
      </c>
    </row>
    <row r="30" spans="1:6" ht="18" customHeight="1">
      <c r="A30" s="360" t="s">
        <v>213</v>
      </c>
      <c r="B30" s="361">
        <v>28361303</v>
      </c>
      <c r="C30" s="364">
        <f>19955544+5672259</f>
        <v>25627803</v>
      </c>
      <c r="D30" s="364">
        <v>2733500</v>
      </c>
      <c r="E30" s="364">
        <v>0</v>
      </c>
      <c r="F30" s="362">
        <f t="shared" si="0"/>
        <v>0</v>
      </c>
    </row>
    <row r="31" spans="1:6" ht="18" customHeight="1">
      <c r="A31" s="360" t="s">
        <v>90</v>
      </c>
      <c r="B31" s="361">
        <v>0</v>
      </c>
      <c r="C31" s="349">
        <v>0</v>
      </c>
      <c r="D31" s="350">
        <v>0</v>
      </c>
      <c r="E31" s="350">
        <v>0</v>
      </c>
      <c r="F31" s="362">
        <f t="shared" si="0"/>
        <v>0</v>
      </c>
    </row>
    <row r="32" spans="1:6" ht="18" customHeight="1">
      <c r="A32" s="360" t="s">
        <v>91</v>
      </c>
      <c r="B32" s="361">
        <v>0</v>
      </c>
      <c r="C32" s="349">
        <v>0</v>
      </c>
      <c r="D32" s="350">
        <v>0</v>
      </c>
      <c r="E32" s="350">
        <v>0</v>
      </c>
      <c r="F32" s="362">
        <f t="shared" si="0"/>
        <v>0</v>
      </c>
    </row>
    <row r="33" spans="1:6" ht="18" customHeight="1">
      <c r="A33" s="360" t="s">
        <v>92</v>
      </c>
      <c r="B33" s="361">
        <v>18375</v>
      </c>
      <c r="C33" s="349">
        <v>18375</v>
      </c>
      <c r="D33" s="350">
        <v>0</v>
      </c>
      <c r="E33" s="350">
        <v>0</v>
      </c>
      <c r="F33" s="362">
        <f t="shared" si="0"/>
        <v>0</v>
      </c>
    </row>
    <row r="34" spans="1:6" ht="18" customHeight="1">
      <c r="A34" s="360" t="s">
        <v>93</v>
      </c>
      <c r="B34" s="361">
        <v>103125</v>
      </c>
      <c r="C34" s="349">
        <v>14975</v>
      </c>
      <c r="D34" s="350">
        <v>0</v>
      </c>
      <c r="E34" s="350">
        <v>0</v>
      </c>
      <c r="F34" s="362">
        <f t="shared" si="0"/>
        <v>88150</v>
      </c>
    </row>
    <row r="35" spans="1:6" ht="18" customHeight="1">
      <c r="A35" s="360" t="s">
        <v>94</v>
      </c>
      <c r="B35" s="361">
        <v>128623</v>
      </c>
      <c r="C35" s="349">
        <v>128623</v>
      </c>
      <c r="D35" s="350">
        <v>0</v>
      </c>
      <c r="E35" s="350">
        <v>0</v>
      </c>
      <c r="F35" s="362">
        <f t="shared" si="0"/>
        <v>0</v>
      </c>
    </row>
    <row r="36" spans="1:6" ht="18" customHeight="1">
      <c r="A36" s="360" t="s">
        <v>95</v>
      </c>
      <c r="B36" s="361">
        <v>0</v>
      </c>
      <c r="C36" s="349">
        <v>0</v>
      </c>
      <c r="D36" s="350">
        <v>0</v>
      </c>
      <c r="E36" s="350">
        <v>0</v>
      </c>
      <c r="F36" s="362">
        <f t="shared" si="0"/>
        <v>0</v>
      </c>
    </row>
    <row r="37" spans="1:6" ht="18" customHeight="1">
      <c r="A37" s="360" t="s">
        <v>96</v>
      </c>
      <c r="B37" s="361">
        <v>18375</v>
      </c>
      <c r="C37" s="349">
        <v>18375</v>
      </c>
      <c r="D37" s="350">
        <v>0</v>
      </c>
      <c r="E37" s="350">
        <v>0</v>
      </c>
      <c r="F37" s="362">
        <f t="shared" si="0"/>
        <v>0</v>
      </c>
    </row>
    <row r="38" spans="1:6" ht="18" customHeight="1">
      <c r="A38" s="360" t="s">
        <v>97</v>
      </c>
      <c r="B38" s="361">
        <v>2916979</v>
      </c>
      <c r="C38" s="350">
        <v>2916979</v>
      </c>
      <c r="D38" s="350">
        <v>0</v>
      </c>
      <c r="E38" s="365">
        <v>0</v>
      </c>
      <c r="F38" s="362">
        <f t="shared" si="0"/>
        <v>0</v>
      </c>
    </row>
    <row r="39" spans="1:6" ht="18" customHeight="1">
      <c r="A39" s="360" t="s">
        <v>98</v>
      </c>
      <c r="B39" s="361">
        <v>440992</v>
      </c>
      <c r="C39" s="349">
        <v>440992</v>
      </c>
      <c r="D39" s="350">
        <v>0</v>
      </c>
      <c r="E39" s="350">
        <v>0</v>
      </c>
      <c r="F39" s="362">
        <f t="shared" si="0"/>
        <v>0</v>
      </c>
    </row>
    <row r="40" spans="1:6" ht="18" customHeight="1">
      <c r="A40" s="360" t="s">
        <v>99</v>
      </c>
      <c r="B40" s="361">
        <v>1028982</v>
      </c>
      <c r="C40" s="349">
        <v>1028982</v>
      </c>
      <c r="D40" s="350">
        <v>0</v>
      </c>
      <c r="E40" s="350">
        <v>0</v>
      </c>
      <c r="F40" s="362">
        <f t="shared" si="0"/>
        <v>0</v>
      </c>
    </row>
    <row r="41" spans="1:6" ht="18" customHeight="1">
      <c r="A41" s="360" t="s">
        <v>100</v>
      </c>
      <c r="B41" s="361">
        <v>0</v>
      </c>
      <c r="C41" s="349">
        <v>0</v>
      </c>
      <c r="D41" s="350">
        <v>0</v>
      </c>
      <c r="E41" s="350">
        <v>0</v>
      </c>
      <c r="F41" s="362">
        <f t="shared" si="0"/>
        <v>0</v>
      </c>
    </row>
    <row r="42" spans="1:6" ht="18" customHeight="1">
      <c r="A42" s="360" t="s">
        <v>101</v>
      </c>
      <c r="B42" s="361">
        <v>620145</v>
      </c>
      <c r="C42" s="349">
        <v>620145</v>
      </c>
      <c r="D42" s="350">
        <v>0</v>
      </c>
      <c r="E42" s="350">
        <v>0</v>
      </c>
      <c r="F42" s="362">
        <f t="shared" si="0"/>
        <v>0</v>
      </c>
    </row>
    <row r="43" spans="1:6" ht="18" customHeight="1">
      <c r="A43" s="360" t="s">
        <v>102</v>
      </c>
      <c r="B43" s="361">
        <v>505303</v>
      </c>
      <c r="C43" s="349">
        <v>505303</v>
      </c>
      <c r="D43" s="350">
        <v>0</v>
      </c>
      <c r="E43" s="350">
        <v>0</v>
      </c>
      <c r="F43" s="362">
        <f t="shared" si="0"/>
        <v>0</v>
      </c>
    </row>
    <row r="44" spans="1:6" ht="18" customHeight="1">
      <c r="A44" s="360" t="s">
        <v>104</v>
      </c>
      <c r="B44" s="361">
        <v>8176728</v>
      </c>
      <c r="C44" s="349">
        <v>0</v>
      </c>
      <c r="D44" s="350">
        <v>0</v>
      </c>
      <c r="E44" s="350">
        <v>0</v>
      </c>
      <c r="F44" s="362">
        <f t="shared" si="0"/>
        <v>8176728</v>
      </c>
    </row>
    <row r="45" spans="1:6" ht="18" customHeight="1">
      <c r="A45" s="360" t="s">
        <v>106</v>
      </c>
      <c r="B45" s="361">
        <v>0</v>
      </c>
      <c r="C45" s="349">
        <v>0</v>
      </c>
      <c r="D45" s="350">
        <v>0</v>
      </c>
      <c r="E45" s="350">
        <v>0</v>
      </c>
      <c r="F45" s="362">
        <f t="shared" si="0"/>
        <v>0</v>
      </c>
    </row>
    <row r="46" spans="1:6" ht="18" customHeight="1">
      <c r="A46" s="360" t="s">
        <v>211</v>
      </c>
      <c r="B46" s="361">
        <v>151591</v>
      </c>
      <c r="C46" s="349">
        <v>151591</v>
      </c>
      <c r="D46" s="350">
        <v>0</v>
      </c>
      <c r="E46" s="350">
        <v>0</v>
      </c>
      <c r="F46" s="362">
        <f t="shared" si="0"/>
        <v>0</v>
      </c>
    </row>
    <row r="47" spans="1:6" ht="18" customHeight="1">
      <c r="A47" s="360" t="s">
        <v>108</v>
      </c>
      <c r="B47" s="361">
        <v>0</v>
      </c>
      <c r="C47" s="349">
        <v>0</v>
      </c>
      <c r="D47" s="350">
        <v>0</v>
      </c>
      <c r="E47" s="350">
        <v>0</v>
      </c>
      <c r="F47" s="362">
        <f t="shared" si="0"/>
        <v>0</v>
      </c>
    </row>
    <row r="48" spans="1:6" ht="18" customHeight="1">
      <c r="A48" s="360" t="s">
        <v>109</v>
      </c>
      <c r="B48" s="361">
        <v>0</v>
      </c>
      <c r="C48" s="349">
        <v>0</v>
      </c>
      <c r="D48" s="350">
        <v>0</v>
      </c>
      <c r="E48" s="350">
        <v>0</v>
      </c>
      <c r="F48" s="362">
        <f t="shared" si="0"/>
        <v>0</v>
      </c>
    </row>
    <row r="49" spans="1:6" ht="18" customHeight="1">
      <c r="A49" s="360" t="s">
        <v>110</v>
      </c>
      <c r="B49" s="361">
        <v>4341016</v>
      </c>
      <c r="C49" s="349">
        <v>4341016</v>
      </c>
      <c r="D49" s="350">
        <v>0</v>
      </c>
      <c r="E49" s="350">
        <v>0</v>
      </c>
      <c r="F49" s="362">
        <f t="shared" si="0"/>
        <v>0</v>
      </c>
    </row>
    <row r="50" spans="1:6" ht="18" customHeight="1">
      <c r="A50" s="360" t="s">
        <v>111</v>
      </c>
      <c r="B50" s="361">
        <v>2255491</v>
      </c>
      <c r="C50" s="349">
        <v>2255491</v>
      </c>
      <c r="D50" s="350">
        <v>0</v>
      </c>
      <c r="E50" s="350">
        <v>0</v>
      </c>
      <c r="F50" s="362">
        <f t="shared" si="0"/>
        <v>0</v>
      </c>
    </row>
    <row r="51" spans="1:6" ht="18" customHeight="1">
      <c r="A51" s="360" t="s">
        <v>112</v>
      </c>
      <c r="B51" s="361">
        <v>2223335</v>
      </c>
      <c r="C51" s="349">
        <v>2223335</v>
      </c>
      <c r="D51" s="350">
        <v>0</v>
      </c>
      <c r="E51" s="350">
        <v>0</v>
      </c>
      <c r="F51" s="362">
        <f t="shared" si="0"/>
        <v>0</v>
      </c>
    </row>
    <row r="52" spans="1:6" ht="18" customHeight="1">
      <c r="A52" s="360" t="s">
        <v>113</v>
      </c>
      <c r="B52" s="361">
        <v>28997</v>
      </c>
      <c r="C52" s="349">
        <v>5333</v>
      </c>
      <c r="D52" s="350">
        <v>0</v>
      </c>
      <c r="E52" s="350">
        <v>0</v>
      </c>
      <c r="F52" s="362">
        <f t="shared" si="0"/>
        <v>23664</v>
      </c>
    </row>
    <row r="53" spans="1:6" ht="18" customHeight="1">
      <c r="A53" s="360" t="s">
        <v>181</v>
      </c>
      <c r="B53" s="361">
        <v>59718</v>
      </c>
      <c r="C53" s="349">
        <v>0</v>
      </c>
      <c r="D53" s="350">
        <v>0</v>
      </c>
      <c r="E53" s="350">
        <v>0</v>
      </c>
      <c r="F53" s="362">
        <f t="shared" si="0"/>
        <v>59718</v>
      </c>
    </row>
    <row r="54" spans="1:6" ht="18" customHeight="1">
      <c r="A54" s="360" t="s">
        <v>115</v>
      </c>
      <c r="B54" s="361">
        <v>2094712</v>
      </c>
      <c r="C54" s="349">
        <v>0</v>
      </c>
      <c r="D54" s="350">
        <v>0</v>
      </c>
      <c r="E54" s="350">
        <v>0</v>
      </c>
      <c r="F54" s="362">
        <f t="shared" si="0"/>
        <v>2094712</v>
      </c>
    </row>
    <row r="55" spans="1:6" ht="18" customHeight="1">
      <c r="A55" s="360" t="s">
        <v>116</v>
      </c>
      <c r="B55" s="361">
        <v>0</v>
      </c>
      <c r="C55" s="349">
        <v>0</v>
      </c>
      <c r="D55" s="350">
        <v>0</v>
      </c>
      <c r="E55" s="350">
        <v>0</v>
      </c>
      <c r="F55" s="362">
        <f t="shared" si="0"/>
        <v>0</v>
      </c>
    </row>
    <row r="56" spans="1:6" ht="18" customHeight="1">
      <c r="A56" s="360" t="s">
        <v>117</v>
      </c>
      <c r="B56" s="361">
        <v>9766137</v>
      </c>
      <c r="C56" s="349">
        <v>4883070</v>
      </c>
      <c r="D56" s="350">
        <v>0</v>
      </c>
      <c r="E56" s="350">
        <v>4883067</v>
      </c>
      <c r="F56" s="362">
        <f t="shared" si="0"/>
        <v>0</v>
      </c>
    </row>
    <row r="57" spans="1:6" ht="18" customHeight="1">
      <c r="A57" s="360" t="s">
        <v>118</v>
      </c>
      <c r="B57" s="361">
        <v>38833333</v>
      </c>
      <c r="C57" s="349">
        <v>36264333</v>
      </c>
      <c r="D57" s="350">
        <v>569000</v>
      </c>
      <c r="E57" s="350">
        <v>2000000</v>
      </c>
      <c r="F57" s="362">
        <f t="shared" si="0"/>
        <v>0</v>
      </c>
    </row>
    <row r="58" spans="1:6" ht="18" customHeight="1" thickBot="1">
      <c r="A58" s="366" t="s">
        <v>119</v>
      </c>
      <c r="B58" s="367">
        <v>79603</v>
      </c>
      <c r="C58" s="368">
        <v>79603</v>
      </c>
      <c r="D58" s="369">
        <v>0</v>
      </c>
      <c r="E58" s="369">
        <v>0</v>
      </c>
      <c r="F58" s="370">
        <f t="shared" si="0"/>
        <v>0</v>
      </c>
    </row>
    <row r="59" spans="1:6" ht="20.25" customHeight="1" thickBot="1">
      <c r="A59" s="371" t="s">
        <v>122</v>
      </c>
      <c r="B59" s="372">
        <f>SUM(B8:B58)</f>
        <v>157524929</v>
      </c>
      <c r="C59" s="372">
        <f>SUM(C8:C58)</f>
        <v>121191653</v>
      </c>
      <c r="D59" s="372">
        <f>SUM(D8:D58)</f>
        <v>7142556</v>
      </c>
      <c r="E59" s="372">
        <f>SUM(E8:E58)</f>
        <v>17994387</v>
      </c>
      <c r="F59" s="339">
        <f>SUM(F8:F58)</f>
        <v>11196333</v>
      </c>
    </row>
    <row r="60" spans="1:6" ht="18" customHeight="1">
      <c r="A60" s="373"/>
      <c r="B60" s="374"/>
      <c r="C60" s="374"/>
      <c r="D60" s="374"/>
      <c r="E60" s="374"/>
      <c r="F60" s="375"/>
    </row>
    <row r="61" spans="1:6" ht="18" customHeight="1">
      <c r="A61" s="376" t="s">
        <v>214</v>
      </c>
      <c r="B61" s="1"/>
      <c r="C61" s="1"/>
      <c r="D61" s="1"/>
      <c r="E61" s="1"/>
      <c r="F61" s="1"/>
    </row>
    <row r="62" spans="1:6" ht="15.5">
      <c r="A62" s="377" t="s">
        <v>215</v>
      </c>
      <c r="B62" s="1"/>
      <c r="C62" s="1"/>
      <c r="D62" s="1"/>
      <c r="E62" s="1"/>
      <c r="F62" s="1"/>
    </row>
    <row r="63" spans="1:6" ht="15.5">
      <c r="A63" s="1"/>
      <c r="B63" s="1"/>
      <c r="C63" s="1"/>
      <c r="D63" s="1"/>
      <c r="E63" s="1"/>
      <c r="F63" s="1"/>
    </row>
    <row r="64" spans="1:6" ht="15.5">
      <c r="A64" s="1"/>
      <c r="B64" s="1"/>
      <c r="C64" s="1"/>
      <c r="D64" s="1"/>
      <c r="E64" s="1"/>
      <c r="F64" s="1"/>
    </row>
    <row r="65" spans="1:6" ht="15.5">
      <c r="A65" s="1"/>
      <c r="B65" s="1"/>
      <c r="C65" s="1"/>
      <c r="D65" s="1"/>
      <c r="E65" s="1"/>
      <c r="F65" s="1"/>
    </row>
    <row r="66" spans="1:6" ht="15.5">
      <c r="A66" s="1"/>
      <c r="B66" s="1"/>
      <c r="C66" s="1"/>
      <c r="D66" s="1"/>
      <c r="E66" s="1"/>
      <c r="F66" s="1"/>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CC1E-1250-4556-8F09-B72C8C9E64E2}">
  <dimension ref="A1:F62"/>
  <sheetViews>
    <sheetView topLeftCell="A39" workbookViewId="0">
      <selection activeCell="L68" sqref="L68"/>
    </sheetView>
  </sheetViews>
  <sheetFormatPr defaultColWidth="9.7265625" defaultRowHeight="15.5"/>
  <cols>
    <col min="1" max="1" width="27" style="1" customWidth="1"/>
    <col min="2" max="6" width="17.26953125" style="1" customWidth="1"/>
    <col min="7" max="16384" width="9.7265625" style="1"/>
  </cols>
  <sheetData>
    <row r="1" spans="1:6" ht="16.5" customHeight="1">
      <c r="A1" s="329"/>
      <c r="B1" s="295"/>
      <c r="F1" s="320" t="str">
        <f>[1]Status!C1</f>
        <v>UNEP/OzL.Pro/ExCom/94/3</v>
      </c>
    </row>
    <row r="2" spans="1:6" ht="16.5" customHeight="1">
      <c r="A2" s="329"/>
      <c r="B2" s="7"/>
      <c r="F2" s="320" t="s">
        <v>222</v>
      </c>
    </row>
    <row r="3" spans="1:6" ht="16.5" customHeight="1">
      <c r="B3" s="7"/>
      <c r="F3" s="320"/>
    </row>
    <row r="4" spans="1:6" ht="20.25" customHeight="1">
      <c r="A4" s="321" t="s">
        <v>2</v>
      </c>
      <c r="B4" s="321"/>
      <c r="C4" s="321"/>
      <c r="D4" s="321"/>
      <c r="E4" s="321"/>
      <c r="F4" s="321"/>
    </row>
    <row r="5" spans="1:6" ht="20.25" customHeight="1">
      <c r="A5" s="322" t="s">
        <v>216</v>
      </c>
      <c r="B5" s="321"/>
      <c r="C5" s="321"/>
      <c r="D5" s="321"/>
      <c r="E5" s="321"/>
      <c r="F5" s="321"/>
    </row>
    <row r="6" spans="1:6" ht="30" customHeight="1" thickBot="1">
      <c r="A6" s="323" t="str">
        <f>[1]Status!A6</f>
        <v>As at 24/05/2024</v>
      </c>
      <c r="B6" s="321"/>
      <c r="C6" s="321"/>
      <c r="D6" s="321"/>
      <c r="E6" s="321"/>
      <c r="F6" s="321"/>
    </row>
    <row r="7" spans="1:6" ht="35.25" customHeight="1" thickBot="1">
      <c r="A7" s="298" t="s">
        <v>59</v>
      </c>
      <c r="B7" s="299" t="s">
        <v>60</v>
      </c>
      <c r="C7" s="299" t="s">
        <v>61</v>
      </c>
      <c r="D7" s="299" t="s">
        <v>62</v>
      </c>
      <c r="E7" s="299" t="s">
        <v>63</v>
      </c>
      <c r="F7" s="324" t="s">
        <v>64</v>
      </c>
    </row>
    <row r="8" spans="1:6" ht="18" customHeight="1">
      <c r="A8" s="378" t="s">
        <v>124</v>
      </c>
      <c r="B8" s="379">
        <v>2719451</v>
      </c>
      <c r="C8" s="379">
        <v>2719451</v>
      </c>
      <c r="D8" s="379">
        <v>0</v>
      </c>
      <c r="E8" s="379">
        <v>0</v>
      </c>
      <c r="F8" s="380">
        <f>B8-C8-D8-E8</f>
        <v>0</v>
      </c>
    </row>
    <row r="9" spans="1:6" ht="16.5" customHeight="1">
      <c r="A9" s="360" t="s">
        <v>217</v>
      </c>
      <c r="B9" s="381">
        <v>1589409</v>
      </c>
      <c r="C9" s="381">
        <v>1589409</v>
      </c>
      <c r="D9" s="381">
        <v>0</v>
      </c>
      <c r="E9" s="381">
        <v>0</v>
      </c>
      <c r="F9" s="382">
        <f t="shared" ref="F9:F58" si="0">B9-C9-D9-E9</f>
        <v>0</v>
      </c>
    </row>
    <row r="10" spans="1:6" ht="16.5" customHeight="1">
      <c r="A10" s="363" t="s">
        <v>68</v>
      </c>
      <c r="B10" s="381">
        <v>215902</v>
      </c>
      <c r="C10" s="381">
        <v>0</v>
      </c>
      <c r="D10" s="381">
        <v>0</v>
      </c>
      <c r="E10" s="381">
        <v>0</v>
      </c>
      <c r="F10" s="382">
        <f t="shared" si="0"/>
        <v>215902</v>
      </c>
    </row>
    <row r="11" spans="1:6" ht="16.5" customHeight="1">
      <c r="A11" s="360" t="s">
        <v>69</v>
      </c>
      <c r="B11" s="381">
        <v>537459</v>
      </c>
      <c r="C11" s="381">
        <v>0</v>
      </c>
      <c r="D11" s="381">
        <v>0</v>
      </c>
      <c r="E11" s="381">
        <v>0</v>
      </c>
      <c r="F11" s="382">
        <f t="shared" si="0"/>
        <v>537459</v>
      </c>
    </row>
    <row r="12" spans="1:6" ht="16.5" customHeight="1">
      <c r="A12" s="360" t="s">
        <v>70</v>
      </c>
      <c r="B12" s="381">
        <v>1851248</v>
      </c>
      <c r="C12" s="381">
        <v>1851248</v>
      </c>
      <c r="D12" s="381">
        <v>0</v>
      </c>
      <c r="E12" s="381">
        <v>0</v>
      </c>
      <c r="F12" s="382">
        <f t="shared" si="0"/>
        <v>0</v>
      </c>
    </row>
    <row r="13" spans="1:6" ht="16.5" customHeight="1">
      <c r="A13" s="360" t="s">
        <v>209</v>
      </c>
      <c r="B13" s="381">
        <v>0</v>
      </c>
      <c r="C13" s="381">
        <v>0</v>
      </c>
      <c r="D13" s="381">
        <v>0</v>
      </c>
      <c r="E13" s="381">
        <v>0</v>
      </c>
      <c r="F13" s="382">
        <f t="shared" si="0"/>
        <v>0</v>
      </c>
    </row>
    <row r="14" spans="1:6" ht="16.5" customHeight="1">
      <c r="A14" s="360" t="s">
        <v>71</v>
      </c>
      <c r="B14" s="381">
        <v>68000</v>
      </c>
      <c r="C14" s="381">
        <v>68000</v>
      </c>
      <c r="D14" s="381">
        <v>0</v>
      </c>
      <c r="E14" s="381">
        <v>0</v>
      </c>
      <c r="F14" s="382">
        <f t="shared" si="0"/>
        <v>0</v>
      </c>
    </row>
    <row r="15" spans="1:6" ht="16.5" customHeight="1">
      <c r="A15" s="360" t="s">
        <v>125</v>
      </c>
      <c r="B15" s="383">
        <v>5700741</v>
      </c>
      <c r="C15" s="383">
        <v>4840106</v>
      </c>
      <c r="D15" s="383">
        <v>860635</v>
      </c>
      <c r="E15" s="383">
        <v>0</v>
      </c>
      <c r="F15" s="382">
        <f t="shared" si="0"/>
        <v>0</v>
      </c>
    </row>
    <row r="16" spans="1:6" ht="16.5" customHeight="1">
      <c r="A16" s="360" t="s">
        <v>74</v>
      </c>
      <c r="B16" s="381">
        <v>0</v>
      </c>
      <c r="C16" s="381">
        <v>0</v>
      </c>
      <c r="D16" s="381">
        <v>0</v>
      </c>
      <c r="E16" s="381">
        <v>0</v>
      </c>
      <c r="F16" s="382">
        <f t="shared" si="0"/>
        <v>0</v>
      </c>
    </row>
    <row r="17" spans="1:6" ht="16.5" customHeight="1">
      <c r="A17" s="360" t="s">
        <v>75</v>
      </c>
      <c r="B17" s="381">
        <v>376958</v>
      </c>
      <c r="C17" s="381">
        <v>376958</v>
      </c>
      <c r="D17" s="381">
        <v>0</v>
      </c>
      <c r="E17" s="381">
        <v>0</v>
      </c>
      <c r="F17" s="382">
        <f t="shared" si="0"/>
        <v>0</v>
      </c>
    </row>
    <row r="18" spans="1:6" ht="16.5" customHeight="1">
      <c r="A18" s="360" t="s">
        <v>76</v>
      </c>
      <c r="B18" s="381">
        <v>1318383</v>
      </c>
      <c r="C18" s="381">
        <v>1318383</v>
      </c>
      <c r="D18" s="381">
        <v>0</v>
      </c>
      <c r="E18" s="381">
        <v>0</v>
      </c>
      <c r="F18" s="382">
        <f t="shared" si="0"/>
        <v>0</v>
      </c>
    </row>
    <row r="19" spans="1:6" ht="16.5" customHeight="1">
      <c r="A19" s="360" t="s">
        <v>77</v>
      </c>
      <c r="B19" s="381">
        <v>0</v>
      </c>
      <c r="C19" s="381">
        <v>0</v>
      </c>
      <c r="D19" s="381">
        <v>0</v>
      </c>
      <c r="E19" s="381">
        <v>0</v>
      </c>
      <c r="F19" s="382">
        <f t="shared" si="0"/>
        <v>0</v>
      </c>
    </row>
    <row r="20" spans="1:6" ht="16.5" customHeight="1">
      <c r="A20" s="360" t="s">
        <v>78</v>
      </c>
      <c r="B20" s="381">
        <v>1134636</v>
      </c>
      <c r="C20" s="381">
        <v>1134636</v>
      </c>
      <c r="D20" s="381">
        <v>0</v>
      </c>
      <c r="E20" s="381">
        <v>0</v>
      </c>
      <c r="F20" s="382">
        <f t="shared" si="0"/>
        <v>0</v>
      </c>
    </row>
    <row r="21" spans="1:6" ht="16.5" customHeight="1">
      <c r="A21" s="360" t="s">
        <v>79</v>
      </c>
      <c r="B21" s="381">
        <v>11773570</v>
      </c>
      <c r="C21" s="381">
        <v>2874846</v>
      </c>
      <c r="D21" s="381">
        <v>1736636</v>
      </c>
      <c r="E21" s="381">
        <v>617934</v>
      </c>
      <c r="F21" s="382">
        <f t="shared" si="0"/>
        <v>6544154</v>
      </c>
    </row>
    <row r="22" spans="1:6" ht="16.5" customHeight="1">
      <c r="A22" s="360" t="s">
        <v>210</v>
      </c>
      <c r="B22" s="381">
        <v>0</v>
      </c>
      <c r="C22" s="381">
        <v>0</v>
      </c>
      <c r="D22" s="381">
        <v>0</v>
      </c>
      <c r="E22" s="381">
        <v>0</v>
      </c>
      <c r="F22" s="382">
        <f t="shared" si="0"/>
        <v>0</v>
      </c>
    </row>
    <row r="23" spans="1:6" ht="16.5" customHeight="1">
      <c r="A23" s="360" t="s">
        <v>80</v>
      </c>
      <c r="B23" s="381">
        <v>16615295</v>
      </c>
      <c r="C23" s="381">
        <f>15622987+75353</f>
        <v>15698340</v>
      </c>
      <c r="D23" s="381">
        <f>992308-75353</f>
        <v>916955</v>
      </c>
      <c r="E23" s="381">
        <v>0</v>
      </c>
      <c r="F23" s="382">
        <f t="shared" si="0"/>
        <v>0</v>
      </c>
    </row>
    <row r="24" spans="1:6" ht="16.5" customHeight="1">
      <c r="A24" s="360" t="s">
        <v>81</v>
      </c>
      <c r="B24" s="381">
        <v>698237</v>
      </c>
      <c r="C24" s="381">
        <v>698237</v>
      </c>
      <c r="D24" s="381">
        <v>0</v>
      </c>
      <c r="E24" s="381">
        <v>0</v>
      </c>
      <c r="F24" s="382">
        <f t="shared" si="0"/>
        <v>0</v>
      </c>
    </row>
    <row r="25" spans="1:6" ht="16.5" customHeight="1">
      <c r="A25" s="360" t="s">
        <v>83</v>
      </c>
      <c r="B25" s="381">
        <v>257245</v>
      </c>
      <c r="C25" s="381">
        <v>257245</v>
      </c>
      <c r="D25" s="381">
        <v>0</v>
      </c>
      <c r="E25" s="381">
        <v>0</v>
      </c>
      <c r="F25" s="382">
        <f t="shared" si="0"/>
        <v>0</v>
      </c>
    </row>
    <row r="26" spans="1:6" ht="16.5" customHeight="1">
      <c r="A26" s="360" t="s">
        <v>84</v>
      </c>
      <c r="B26" s="381">
        <v>55124</v>
      </c>
      <c r="C26" s="381">
        <v>55124</v>
      </c>
      <c r="D26" s="381">
        <v>0</v>
      </c>
      <c r="E26" s="381">
        <v>0</v>
      </c>
      <c r="F26" s="382">
        <f t="shared" si="0"/>
        <v>0</v>
      </c>
    </row>
    <row r="27" spans="1:6" ht="16.5" customHeight="1">
      <c r="A27" s="360" t="s">
        <v>85</v>
      </c>
      <c r="B27" s="381">
        <v>385868</v>
      </c>
      <c r="C27" s="381">
        <v>385868</v>
      </c>
      <c r="D27" s="381">
        <v>0</v>
      </c>
      <c r="E27" s="381">
        <v>0</v>
      </c>
      <c r="F27" s="382">
        <f t="shared" si="0"/>
        <v>0</v>
      </c>
    </row>
    <row r="28" spans="1:6" ht="16.5" customHeight="1">
      <c r="A28" s="360" t="s">
        <v>86</v>
      </c>
      <c r="B28" s="381">
        <v>491522</v>
      </c>
      <c r="C28" s="381">
        <v>491522</v>
      </c>
      <c r="D28" s="381">
        <v>0</v>
      </c>
      <c r="E28" s="381">
        <v>0</v>
      </c>
      <c r="F28" s="382">
        <f t="shared" si="0"/>
        <v>0</v>
      </c>
    </row>
    <row r="29" spans="1:6" ht="16.5" customHeight="1">
      <c r="A29" s="360" t="s">
        <v>87</v>
      </c>
      <c r="B29" s="381">
        <v>9550235</v>
      </c>
      <c r="C29" s="381">
        <v>9550235</v>
      </c>
      <c r="D29" s="381">
        <v>0</v>
      </c>
      <c r="E29" s="381">
        <v>0</v>
      </c>
      <c r="F29" s="382">
        <f t="shared" si="0"/>
        <v>0</v>
      </c>
    </row>
    <row r="30" spans="1:6" ht="16.5" customHeight="1">
      <c r="A30" s="360" t="s">
        <v>88</v>
      </c>
      <c r="B30" s="381">
        <v>28361303</v>
      </c>
      <c r="C30" s="381">
        <v>28361303</v>
      </c>
      <c r="D30" s="381">
        <v>0</v>
      </c>
      <c r="E30" s="381">
        <v>0</v>
      </c>
      <c r="F30" s="382">
        <f t="shared" si="0"/>
        <v>0</v>
      </c>
    </row>
    <row r="31" spans="1:6" ht="16.5" customHeight="1">
      <c r="A31" s="360" t="s">
        <v>90</v>
      </c>
      <c r="B31" s="381">
        <v>0</v>
      </c>
      <c r="C31" s="381">
        <v>0</v>
      </c>
      <c r="D31" s="381">
        <v>0</v>
      </c>
      <c r="E31" s="381">
        <v>0</v>
      </c>
      <c r="F31" s="382">
        <f t="shared" si="0"/>
        <v>0</v>
      </c>
    </row>
    <row r="32" spans="1:6" ht="16.5" customHeight="1">
      <c r="A32" s="360" t="s">
        <v>91</v>
      </c>
      <c r="B32" s="381">
        <v>0</v>
      </c>
      <c r="C32" s="381">
        <v>0</v>
      </c>
      <c r="D32" s="381">
        <v>0</v>
      </c>
      <c r="E32" s="381">
        <v>0</v>
      </c>
      <c r="F32" s="382">
        <f t="shared" si="0"/>
        <v>0</v>
      </c>
    </row>
    <row r="33" spans="1:6" ht="16.5" customHeight="1">
      <c r="A33" s="360" t="s">
        <v>92</v>
      </c>
      <c r="B33" s="381">
        <v>18375</v>
      </c>
      <c r="C33" s="381">
        <v>18375</v>
      </c>
      <c r="D33" s="381">
        <v>0</v>
      </c>
      <c r="E33" s="381">
        <v>0</v>
      </c>
      <c r="F33" s="382">
        <f t="shared" si="0"/>
        <v>0</v>
      </c>
    </row>
    <row r="34" spans="1:6" ht="16.5" customHeight="1">
      <c r="A34" s="360" t="s">
        <v>93</v>
      </c>
      <c r="B34" s="381">
        <v>0</v>
      </c>
      <c r="C34" s="381">
        <v>0</v>
      </c>
      <c r="D34" s="381">
        <v>0</v>
      </c>
      <c r="E34" s="381">
        <v>0</v>
      </c>
      <c r="F34" s="382">
        <f t="shared" si="0"/>
        <v>0</v>
      </c>
    </row>
    <row r="35" spans="1:6" ht="16.5" customHeight="1">
      <c r="A35" s="360" t="s">
        <v>94</v>
      </c>
      <c r="B35" s="381">
        <v>128623</v>
      </c>
      <c r="C35" s="381">
        <v>128623</v>
      </c>
      <c r="D35" s="381">
        <v>0</v>
      </c>
      <c r="E35" s="381">
        <v>0</v>
      </c>
      <c r="F35" s="382">
        <f t="shared" si="0"/>
        <v>0</v>
      </c>
    </row>
    <row r="36" spans="1:6" ht="16.5" customHeight="1">
      <c r="A36" s="360" t="s">
        <v>95</v>
      </c>
      <c r="B36" s="381">
        <v>0</v>
      </c>
      <c r="C36" s="381">
        <v>0</v>
      </c>
      <c r="D36" s="381">
        <v>0</v>
      </c>
      <c r="E36" s="381">
        <v>0</v>
      </c>
      <c r="F36" s="382">
        <f t="shared" si="0"/>
        <v>0</v>
      </c>
    </row>
    <row r="37" spans="1:6" ht="16.5" customHeight="1">
      <c r="A37" s="360" t="s">
        <v>96</v>
      </c>
      <c r="B37" s="381">
        <v>18375</v>
      </c>
      <c r="C37" s="381">
        <v>18375</v>
      </c>
      <c r="D37" s="381">
        <v>0</v>
      </c>
      <c r="E37" s="381">
        <v>0</v>
      </c>
      <c r="F37" s="382">
        <f t="shared" si="0"/>
        <v>0</v>
      </c>
    </row>
    <row r="38" spans="1:6" ht="16.5" customHeight="1">
      <c r="A38" s="360" t="s">
        <v>97</v>
      </c>
      <c r="B38" s="381">
        <v>2916979</v>
      </c>
      <c r="C38" s="381">
        <v>2916979</v>
      </c>
      <c r="D38" s="381">
        <v>0</v>
      </c>
      <c r="E38" s="381">
        <v>0</v>
      </c>
      <c r="F38" s="382">
        <f t="shared" si="0"/>
        <v>0</v>
      </c>
    </row>
    <row r="39" spans="1:6" ht="16.5" customHeight="1">
      <c r="A39" s="360" t="s">
        <v>98</v>
      </c>
      <c r="B39" s="381">
        <v>440992</v>
      </c>
      <c r="C39" s="381">
        <v>440992</v>
      </c>
      <c r="D39" s="381">
        <v>0</v>
      </c>
      <c r="E39" s="381">
        <v>0</v>
      </c>
      <c r="F39" s="382">
        <f t="shared" si="0"/>
        <v>0</v>
      </c>
    </row>
    <row r="40" spans="1:6" ht="16.5" customHeight="1">
      <c r="A40" s="360" t="s">
        <v>99</v>
      </c>
      <c r="B40" s="381">
        <v>1028982</v>
      </c>
      <c r="C40" s="381">
        <v>1028982</v>
      </c>
      <c r="D40" s="381">
        <v>0</v>
      </c>
      <c r="E40" s="381">
        <v>0</v>
      </c>
      <c r="F40" s="382">
        <f t="shared" si="0"/>
        <v>0</v>
      </c>
    </row>
    <row r="41" spans="1:6" ht="16.5" customHeight="1">
      <c r="A41" s="360" t="s">
        <v>100</v>
      </c>
      <c r="B41" s="381">
        <v>0</v>
      </c>
      <c r="C41" s="381">
        <v>0</v>
      </c>
      <c r="D41" s="381">
        <v>0</v>
      </c>
      <c r="E41" s="381">
        <v>0</v>
      </c>
      <c r="F41" s="382">
        <f t="shared" si="0"/>
        <v>0</v>
      </c>
    </row>
    <row r="42" spans="1:6" ht="16.5" customHeight="1">
      <c r="A42" s="360" t="s">
        <v>101</v>
      </c>
      <c r="B42" s="381">
        <v>620145</v>
      </c>
      <c r="C42" s="381">
        <v>620145</v>
      </c>
      <c r="D42" s="381">
        <v>0</v>
      </c>
      <c r="E42" s="381">
        <v>0</v>
      </c>
      <c r="F42" s="382">
        <f t="shared" si="0"/>
        <v>0</v>
      </c>
    </row>
    <row r="43" spans="1:6" ht="16.5" customHeight="1">
      <c r="A43" s="360" t="s">
        <v>102</v>
      </c>
      <c r="B43" s="381">
        <v>505303</v>
      </c>
      <c r="C43" s="381">
        <v>505303</v>
      </c>
      <c r="D43" s="381">
        <v>0</v>
      </c>
      <c r="E43" s="381">
        <v>0</v>
      </c>
      <c r="F43" s="382">
        <f t="shared" si="0"/>
        <v>0</v>
      </c>
    </row>
    <row r="44" spans="1:6" ht="16.5" customHeight="1">
      <c r="A44" s="360" t="s">
        <v>104</v>
      </c>
      <c r="B44" s="381">
        <v>8176728</v>
      </c>
      <c r="C44" s="381">
        <v>0</v>
      </c>
      <c r="D44" s="381">
        <v>0</v>
      </c>
      <c r="E44" s="381">
        <v>0</v>
      </c>
      <c r="F44" s="382">
        <f t="shared" si="0"/>
        <v>8176728</v>
      </c>
    </row>
    <row r="45" spans="1:6" ht="16.5" customHeight="1">
      <c r="A45" s="360" t="s">
        <v>106</v>
      </c>
      <c r="B45" s="381">
        <v>0</v>
      </c>
      <c r="C45" s="381">
        <v>0</v>
      </c>
      <c r="D45" s="381">
        <v>0</v>
      </c>
      <c r="E45" s="381">
        <v>0</v>
      </c>
      <c r="F45" s="382">
        <f t="shared" si="0"/>
        <v>0</v>
      </c>
    </row>
    <row r="46" spans="1:6" ht="16.5" customHeight="1">
      <c r="A46" s="378" t="s">
        <v>211</v>
      </c>
      <c r="B46" s="381">
        <v>151591</v>
      </c>
      <c r="C46" s="381">
        <v>151591</v>
      </c>
      <c r="D46" s="381">
        <v>0</v>
      </c>
      <c r="E46" s="381">
        <v>0</v>
      </c>
      <c r="F46" s="382">
        <f t="shared" si="0"/>
        <v>0</v>
      </c>
    </row>
    <row r="47" spans="1:6" ht="16.5" customHeight="1">
      <c r="A47" s="360" t="s">
        <v>108</v>
      </c>
      <c r="B47" s="381">
        <v>0</v>
      </c>
      <c r="C47" s="381">
        <v>0</v>
      </c>
      <c r="D47" s="381">
        <v>0</v>
      </c>
      <c r="E47" s="381">
        <v>0</v>
      </c>
      <c r="F47" s="382">
        <f t="shared" si="0"/>
        <v>0</v>
      </c>
    </row>
    <row r="48" spans="1:6" ht="16.5" customHeight="1">
      <c r="A48" s="360" t="s">
        <v>109</v>
      </c>
      <c r="B48" s="381">
        <v>592583</v>
      </c>
      <c r="C48" s="381">
        <v>592583</v>
      </c>
      <c r="D48" s="381">
        <v>0</v>
      </c>
      <c r="E48" s="381">
        <v>0</v>
      </c>
      <c r="F48" s="382">
        <f t="shared" si="0"/>
        <v>0</v>
      </c>
    </row>
    <row r="49" spans="1:6" ht="16.5" customHeight="1">
      <c r="A49" s="360" t="s">
        <v>110</v>
      </c>
      <c r="B49" s="381">
        <v>4341016</v>
      </c>
      <c r="C49" s="381">
        <v>4341016</v>
      </c>
      <c r="D49" s="381">
        <v>0</v>
      </c>
      <c r="E49" s="381">
        <v>0</v>
      </c>
      <c r="F49" s="382">
        <f t="shared" si="0"/>
        <v>0</v>
      </c>
    </row>
    <row r="50" spans="1:6" ht="16.5" customHeight="1">
      <c r="A50" s="360" t="s">
        <v>111</v>
      </c>
      <c r="B50" s="381">
        <v>2255491</v>
      </c>
      <c r="C50" s="381">
        <v>2255491</v>
      </c>
      <c r="D50" s="381">
        <v>0</v>
      </c>
      <c r="E50" s="381">
        <v>0</v>
      </c>
      <c r="F50" s="382">
        <f t="shared" si="0"/>
        <v>0</v>
      </c>
    </row>
    <row r="51" spans="1:6" ht="16.5" customHeight="1">
      <c r="A51" s="360" t="s">
        <v>112</v>
      </c>
      <c r="B51" s="381">
        <v>2223335</v>
      </c>
      <c r="C51" s="381">
        <v>2189435</v>
      </c>
      <c r="D51" s="381">
        <v>33900</v>
      </c>
      <c r="E51" s="381">
        <v>0</v>
      </c>
      <c r="F51" s="382">
        <f t="shared" si="0"/>
        <v>0</v>
      </c>
    </row>
    <row r="52" spans="1:6" ht="16.5" customHeight="1">
      <c r="A52" s="360" t="s">
        <v>113</v>
      </c>
      <c r="B52" s="381">
        <v>0</v>
      </c>
      <c r="C52" s="381">
        <v>0</v>
      </c>
      <c r="D52" s="381">
        <v>0</v>
      </c>
      <c r="E52" s="381">
        <v>0</v>
      </c>
      <c r="F52" s="382">
        <f t="shared" si="0"/>
        <v>0</v>
      </c>
    </row>
    <row r="53" spans="1:6" ht="16.5" customHeight="1">
      <c r="A53" s="360" t="s">
        <v>181</v>
      </c>
      <c r="B53" s="381">
        <v>59718</v>
      </c>
      <c r="C53" s="381">
        <v>0</v>
      </c>
      <c r="D53" s="381">
        <v>0</v>
      </c>
      <c r="E53" s="381">
        <v>0</v>
      </c>
      <c r="F53" s="382">
        <f t="shared" si="0"/>
        <v>59718</v>
      </c>
    </row>
    <row r="54" spans="1:6" ht="16.5" customHeight="1">
      <c r="A54" s="360" t="s">
        <v>115</v>
      </c>
      <c r="B54" s="381">
        <v>1365867</v>
      </c>
      <c r="C54" s="381">
        <v>0</v>
      </c>
      <c r="D54" s="381">
        <v>0</v>
      </c>
      <c r="E54" s="381">
        <v>0</v>
      </c>
      <c r="F54" s="382">
        <f t="shared" si="0"/>
        <v>1365867</v>
      </c>
    </row>
    <row r="55" spans="1:6" ht="16.5" customHeight="1">
      <c r="A55" s="360" t="s">
        <v>116</v>
      </c>
      <c r="B55" s="381">
        <v>0</v>
      </c>
      <c r="C55" s="381">
        <v>0</v>
      </c>
      <c r="D55" s="381">
        <v>0</v>
      </c>
      <c r="E55" s="381">
        <v>0</v>
      </c>
      <c r="F55" s="382">
        <f t="shared" si="0"/>
        <v>0</v>
      </c>
    </row>
    <row r="56" spans="1:6" ht="16.5" customHeight="1">
      <c r="A56" s="360" t="s">
        <v>117</v>
      </c>
      <c r="B56" s="381">
        <v>9766137</v>
      </c>
      <c r="C56" s="381">
        <v>8138450</v>
      </c>
      <c r="D56" s="381">
        <v>0</v>
      </c>
      <c r="E56" s="381">
        <v>1627687</v>
      </c>
      <c r="F56" s="382">
        <f t="shared" si="0"/>
        <v>0</v>
      </c>
    </row>
    <row r="57" spans="1:6" ht="16.5" customHeight="1">
      <c r="A57" s="360" t="s">
        <v>118</v>
      </c>
      <c r="B57" s="381">
        <v>38833333</v>
      </c>
      <c r="C57" s="381">
        <v>38381333</v>
      </c>
      <c r="D57" s="381">
        <v>452000</v>
      </c>
      <c r="E57" s="381">
        <v>0</v>
      </c>
      <c r="F57" s="382">
        <f t="shared" si="0"/>
        <v>0</v>
      </c>
    </row>
    <row r="58" spans="1:6" ht="16.5" customHeight="1" thickBot="1">
      <c r="A58" s="366" t="s">
        <v>119</v>
      </c>
      <c r="B58" s="381">
        <v>0</v>
      </c>
      <c r="C58" s="381">
        <v>0</v>
      </c>
      <c r="D58" s="381">
        <v>0</v>
      </c>
      <c r="E58" s="381">
        <v>0</v>
      </c>
      <c r="F58" s="384">
        <f t="shared" si="0"/>
        <v>0</v>
      </c>
    </row>
    <row r="59" spans="1:6" ht="16" thickBot="1">
      <c r="A59" s="385" t="s">
        <v>122</v>
      </c>
      <c r="B59" s="372">
        <f>SUM(B8:B58)</f>
        <v>157144159</v>
      </c>
      <c r="C59" s="372">
        <f>SUM(C8:C58)</f>
        <v>133998584</v>
      </c>
      <c r="D59" s="372">
        <f>SUM(D8:D58)</f>
        <v>4000126</v>
      </c>
      <c r="E59" s="372">
        <f>SUM(E8:E58)</f>
        <v>2245621</v>
      </c>
      <c r="F59" s="386">
        <f>SUM(F8:F58)</f>
        <v>16899828</v>
      </c>
    </row>
    <row r="60" spans="1:6">
      <c r="A60" s="329"/>
      <c r="E60" s="6"/>
      <c r="F60" s="6"/>
    </row>
    <row r="61" spans="1:6">
      <c r="A61" s="387"/>
    </row>
    <row r="62" spans="1:6">
      <c r="A62" s="387"/>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6FD2-EEBD-4C1B-9575-273098E07089}">
  <dimension ref="A1:F66"/>
  <sheetViews>
    <sheetView topLeftCell="A14" workbookViewId="0">
      <selection activeCell="L68" sqref="L68"/>
    </sheetView>
  </sheetViews>
  <sheetFormatPr defaultColWidth="9.7265625" defaultRowHeight="15.5"/>
  <cols>
    <col min="1" max="1" width="27" style="1" customWidth="1"/>
    <col min="2" max="3" width="17.26953125" style="1" customWidth="1"/>
    <col min="4" max="4" width="13.7265625" style="1" customWidth="1"/>
    <col min="5" max="6" width="17.26953125" style="1" customWidth="1"/>
    <col min="7" max="16384" width="9.7265625" style="1"/>
  </cols>
  <sheetData>
    <row r="1" spans="1:6" ht="16.5" customHeight="1">
      <c r="B1" s="295"/>
      <c r="F1" s="320" t="str">
        <f>[1]Status!C1</f>
        <v>UNEP/OzL.Pro/ExCom/94/3</v>
      </c>
    </row>
    <row r="2" spans="1:6" ht="16.5" customHeight="1">
      <c r="B2" s="7"/>
      <c r="F2" s="320" t="s">
        <v>239</v>
      </c>
    </row>
    <row r="3" spans="1:6" ht="16.5" customHeight="1">
      <c r="B3" s="7"/>
      <c r="F3" s="320"/>
    </row>
    <row r="4" spans="1:6" ht="20.25" customHeight="1">
      <c r="A4" s="321" t="s">
        <v>2</v>
      </c>
      <c r="B4" s="321"/>
      <c r="C4" s="321"/>
      <c r="D4" s="321"/>
      <c r="E4" s="321"/>
      <c r="F4" s="321"/>
    </row>
    <row r="5" spans="1:6" ht="20.25" customHeight="1">
      <c r="A5" s="322" t="s">
        <v>219</v>
      </c>
      <c r="B5" s="321"/>
      <c r="C5" s="321"/>
      <c r="D5" s="321"/>
      <c r="E5" s="321"/>
      <c r="F5" s="321"/>
    </row>
    <row r="6" spans="1:6" ht="30" customHeight="1" thickBot="1">
      <c r="A6" s="323" t="str">
        <f>[1]Status!A6</f>
        <v>As at 24/05/2024</v>
      </c>
      <c r="B6" s="321"/>
      <c r="C6" s="321"/>
      <c r="D6" s="321"/>
      <c r="E6" s="321"/>
      <c r="F6" s="321"/>
    </row>
    <row r="7" spans="1:6" ht="60.5" thickBot="1">
      <c r="A7" s="298" t="s">
        <v>59</v>
      </c>
      <c r="B7" s="299" t="s">
        <v>60</v>
      </c>
      <c r="C7" s="299" t="s">
        <v>61</v>
      </c>
      <c r="D7" s="299" t="s">
        <v>62</v>
      </c>
      <c r="E7" s="299" t="s">
        <v>63</v>
      </c>
      <c r="F7" s="324" t="s">
        <v>64</v>
      </c>
    </row>
    <row r="8" spans="1:6" ht="18" customHeight="1">
      <c r="A8" s="177" t="s">
        <v>124</v>
      </c>
      <c r="B8" s="388">
        <f>'YR1994'!B8+'YR1995'!B8+'YR1996'!B8</f>
        <v>7845588</v>
      </c>
      <c r="C8" s="388">
        <f>'YR1994'!C8+'YR1995'!C8+'YR1996'!C8+91869+42162</f>
        <v>7276402</v>
      </c>
      <c r="D8" s="388">
        <f>'YR1994'!D8+'YR1995'!D8+'YR1996'!D8-91869-42162</f>
        <v>569186</v>
      </c>
      <c r="E8" s="388">
        <f>'YR1994'!E8+'YR1995'!E8+'YR1996'!E8</f>
        <v>0</v>
      </c>
      <c r="F8" s="389">
        <f>B8-C8-D8-E8</f>
        <v>0</v>
      </c>
    </row>
    <row r="9" spans="1:6" ht="18" customHeight="1">
      <c r="A9" s="12" t="s">
        <v>217</v>
      </c>
      <c r="B9" s="390">
        <f>'YR1994'!B9+'YR1995'!B9+'YR1996'!B9</f>
        <v>4123053</v>
      </c>
      <c r="C9" s="390">
        <f>'YR1994'!C9+'YR1995'!C9+'YR1996'!C9</f>
        <v>4006425</v>
      </c>
      <c r="D9" s="390">
        <f>'YR1994'!D9+'YR1995'!D9+'YR1996'!D9</f>
        <v>116628</v>
      </c>
      <c r="E9" s="390">
        <f>'YR1994'!E9+'YR1995'!E9+'YR1996'!E9</f>
        <v>0</v>
      </c>
      <c r="F9" s="391">
        <f t="shared" ref="F9:F58" si="0">B9-C9-D9-E9</f>
        <v>0</v>
      </c>
    </row>
    <row r="10" spans="1:6" ht="18" customHeight="1">
      <c r="A10" s="185" t="s">
        <v>68</v>
      </c>
      <c r="B10" s="390">
        <f>'YR1994'!B10+'YR1995'!B10+'YR1996'!B10</f>
        <v>63182</v>
      </c>
      <c r="C10" s="390">
        <f>63182</f>
        <v>63182</v>
      </c>
      <c r="D10" s="390">
        <f>'YR1994'!D10+'YR1995'!D10+'YR1996'!D10</f>
        <v>0</v>
      </c>
      <c r="E10" s="390">
        <v>0</v>
      </c>
      <c r="F10" s="391">
        <f t="shared" si="0"/>
        <v>0</v>
      </c>
    </row>
    <row r="11" spans="1:6" ht="18" customHeight="1">
      <c r="A11" s="12" t="s">
        <v>69</v>
      </c>
      <c r="B11" s="390">
        <f>'YR1994'!B11+'YR1995'!B11+'YR1996'!B11</f>
        <v>160066</v>
      </c>
      <c r="C11" s="390">
        <f>'YR1994'!C11+'YR1995'!C11+'YR1996'!C11</f>
        <v>0</v>
      </c>
      <c r="D11" s="390">
        <f>'YR1994'!D11+'YR1995'!D11+'YR1996'!D11</f>
        <v>0</v>
      </c>
      <c r="E11" s="390">
        <f>'YR1994'!E11+'YR1995'!E11+'YR1996'!E11</f>
        <v>0</v>
      </c>
      <c r="F11" s="391">
        <f t="shared" si="0"/>
        <v>160066</v>
      </c>
    </row>
    <row r="12" spans="1:6" ht="18" customHeight="1">
      <c r="A12" s="12" t="s">
        <v>70</v>
      </c>
      <c r="B12" s="390">
        <f>'YR1994'!B12+'YR1995'!B12+'YR1996'!B12</f>
        <v>5452741</v>
      </c>
      <c r="C12" s="390">
        <f>'YR1994'!C12+'YR1995'!C12+'YR1996'!C12</f>
        <v>5452741</v>
      </c>
      <c r="D12" s="390">
        <f>'YR1994'!D12+'YR1995'!D12+'YR1996'!D12</f>
        <v>0</v>
      </c>
      <c r="E12" s="390">
        <f>'YR1994'!E12+'YR1995'!E12+'YR1996'!E12</f>
        <v>0</v>
      </c>
      <c r="F12" s="391">
        <f t="shared" si="0"/>
        <v>0</v>
      </c>
    </row>
    <row r="13" spans="1:6" ht="18" customHeight="1">
      <c r="A13" s="360" t="s">
        <v>209</v>
      </c>
      <c r="B13" s="390">
        <f>'YR1994'!B13+'YR1995'!B13+'YR1996'!B13</f>
        <v>0</v>
      </c>
      <c r="C13" s="390">
        <f>'YR1994'!C13+'YR1995'!C13+'YR1996'!C13</f>
        <v>0</v>
      </c>
      <c r="D13" s="390">
        <f>'YR1994'!D13+'YR1995'!D13+'YR1996'!D13</f>
        <v>0</v>
      </c>
      <c r="E13" s="390">
        <f>'YR1994'!E13+'YR1995'!E13+'YR1996'!E13</f>
        <v>0</v>
      </c>
      <c r="F13" s="391"/>
    </row>
    <row r="14" spans="1:6" ht="18" customHeight="1">
      <c r="A14" s="12" t="s">
        <v>71</v>
      </c>
      <c r="B14" s="390">
        <f>'YR1994'!B14+'YR1995'!B14+'YR1996'!B14</f>
        <v>529218</v>
      </c>
      <c r="C14" s="390">
        <f>'YR1994'!C14+'YR1995'!C14+'YR1996'!C14</f>
        <v>529218</v>
      </c>
      <c r="D14" s="390">
        <f>'YR1994'!D14+'YR1995'!D14+'YR1996'!D14</f>
        <v>0</v>
      </c>
      <c r="E14" s="390">
        <f>'YR1994'!E14+'YR1995'!E14+'YR1996'!E14</f>
        <v>0</v>
      </c>
      <c r="F14" s="391">
        <f t="shared" si="0"/>
        <v>0</v>
      </c>
    </row>
    <row r="15" spans="1:6" ht="18" customHeight="1">
      <c r="A15" s="12" t="s">
        <v>125</v>
      </c>
      <c r="B15" s="390">
        <f>'YR1994'!B15+'YR1995'!B15+'YR1996'!B15</f>
        <v>16253343</v>
      </c>
      <c r="C15" s="390">
        <f>'YR1994'!C15+'YR1995'!C15+'YR1996'!C15</f>
        <v>14815493</v>
      </c>
      <c r="D15" s="390">
        <f>'YR1994'!D15+'YR1995'!D15+'YR1996'!D15</f>
        <v>1437850</v>
      </c>
      <c r="E15" s="390">
        <f>'YR1994'!E15+'YR1995'!E15+'YR1996'!E15</f>
        <v>0</v>
      </c>
      <c r="F15" s="391">
        <f t="shared" si="0"/>
        <v>0</v>
      </c>
    </row>
    <row r="16" spans="1:6" ht="18" customHeight="1">
      <c r="A16" s="12" t="s">
        <v>74</v>
      </c>
      <c r="B16" s="390">
        <f>'YR1994'!B16+'YR1995'!B16+'YR1996'!B16</f>
        <v>122023</v>
      </c>
      <c r="C16" s="390">
        <f>'YR1994'!C16+'YR1995'!C16+'YR1996'!C16</f>
        <v>122023</v>
      </c>
      <c r="D16" s="390">
        <f>'YR1994'!D16+'YR1995'!D16+'YR1996'!D16</f>
        <v>0</v>
      </c>
      <c r="E16" s="390">
        <f>'YR1994'!E16+'YR1995'!E16+'YR1996'!E16</f>
        <v>0</v>
      </c>
      <c r="F16" s="391">
        <f t="shared" si="0"/>
        <v>0</v>
      </c>
    </row>
    <row r="17" spans="1:6" ht="18" customHeight="1">
      <c r="A17" s="12" t="s">
        <v>75</v>
      </c>
      <c r="B17" s="390">
        <f>'YR1994'!B17+'YR1995'!B17+'YR1996'!B17</f>
        <v>1918089</v>
      </c>
      <c r="C17" s="390">
        <f>'YR1994'!C17+'YR1995'!C17+'YR1996'!C17</f>
        <v>1918089</v>
      </c>
      <c r="D17" s="390">
        <f>'YR1994'!D17+'YR1995'!D17+'YR1996'!D17</f>
        <v>0</v>
      </c>
      <c r="E17" s="390">
        <f>'YR1994'!E17+'YR1995'!E17+'YR1996'!E17</f>
        <v>0</v>
      </c>
      <c r="F17" s="391">
        <f t="shared" si="0"/>
        <v>0</v>
      </c>
    </row>
    <row r="18" spans="1:6" ht="18" customHeight="1">
      <c r="A18" s="12" t="s">
        <v>76</v>
      </c>
      <c r="B18" s="390">
        <f>'YR1994'!B18+'YR1995'!B18+'YR1996'!B18</f>
        <v>3517291</v>
      </c>
      <c r="C18" s="390">
        <f>'YR1994'!C18+'YR1995'!C18+'YR1996'!C18+43947</f>
        <v>3356238</v>
      </c>
      <c r="D18" s="390">
        <f>'YR1994'!D18+'YR1995'!D18+'YR1996'!D18-43947</f>
        <v>161053</v>
      </c>
      <c r="E18" s="390">
        <f>'YR1994'!E18+'YR1995'!E18+'YR1996'!E18</f>
        <v>0</v>
      </c>
      <c r="F18" s="391">
        <f t="shared" si="0"/>
        <v>0</v>
      </c>
    </row>
    <row r="19" spans="1:6" ht="18" customHeight="1">
      <c r="A19" s="12" t="s">
        <v>77</v>
      </c>
      <c r="B19" s="390">
        <f>'YR1994'!B19+'YR1995'!B19+'YR1996'!B19</f>
        <v>0</v>
      </c>
      <c r="C19" s="390">
        <f>'YR1994'!C19+'YR1995'!C19+'YR1996'!C19</f>
        <v>0</v>
      </c>
      <c r="D19" s="390">
        <f>'YR1994'!D19+'YR1995'!D19+'YR1996'!D19</f>
        <v>0</v>
      </c>
      <c r="E19" s="390">
        <f>'YR1994'!E19+'YR1995'!E19+'YR1996'!E19</f>
        <v>0</v>
      </c>
      <c r="F19" s="391">
        <f t="shared" si="0"/>
        <v>0</v>
      </c>
    </row>
    <row r="20" spans="1:6" ht="18" customHeight="1">
      <c r="A20" s="12" t="s">
        <v>78</v>
      </c>
      <c r="B20" s="390">
        <f>'YR1994'!B20+'YR1995'!B20+'YR1996'!B20</f>
        <v>3064031</v>
      </c>
      <c r="C20" s="390">
        <f>'YR1994'!C20+'YR1995'!C20+'YR1996'!C20</f>
        <v>2960591</v>
      </c>
      <c r="D20" s="390">
        <f>'YR1994'!D20+'YR1995'!D20+'YR1996'!D20</f>
        <v>103440</v>
      </c>
      <c r="E20" s="390">
        <f>'YR1994'!E20+'YR1995'!E20+'YR1996'!E20</f>
        <v>0</v>
      </c>
      <c r="F20" s="391">
        <f t="shared" si="0"/>
        <v>0</v>
      </c>
    </row>
    <row r="21" spans="1:6" ht="18" customHeight="1">
      <c r="A21" s="12" t="s">
        <v>79</v>
      </c>
      <c r="B21" s="390">
        <f>'YR1994'!B21+'YR1995'!B21+'YR1996'!B21-693288</f>
        <v>31398558</v>
      </c>
      <c r="C21" s="390">
        <f>'YR1994'!C21+'YR1995'!C21+'YR1996'!C21+1649</f>
        <v>30114778</v>
      </c>
      <c r="D21" s="390">
        <f>'YR1994'!D21+'YR1995'!D21+'YR1996'!D21-1649</f>
        <v>1283780</v>
      </c>
      <c r="E21" s="390">
        <f>'YR1994'!E21+'YR1995'!E21+'YR1996'!E21</f>
        <v>0</v>
      </c>
      <c r="F21" s="391">
        <f t="shared" si="0"/>
        <v>0</v>
      </c>
    </row>
    <row r="22" spans="1:6" ht="18" customHeight="1">
      <c r="A22" s="360" t="s">
        <v>210</v>
      </c>
      <c r="B22" s="390">
        <f>'YR1994'!B22+'YR1995'!B22+'YR1996'!B22</f>
        <v>0</v>
      </c>
      <c r="C22" s="390">
        <f>'YR1994'!C22+'YR1995'!C22+'YR1996'!C22</f>
        <v>0</v>
      </c>
      <c r="D22" s="390">
        <f>'YR1994'!D22+'YR1995'!D22+'YR1996'!D22</f>
        <v>0</v>
      </c>
      <c r="E22" s="390">
        <f>'YR1994'!E22+'YR1995'!E22+'YR1996'!E22</f>
        <v>0</v>
      </c>
      <c r="F22" s="391">
        <f t="shared" si="0"/>
        <v>0</v>
      </c>
    </row>
    <row r="23" spans="1:6" ht="18" customHeight="1">
      <c r="A23" s="12" t="s">
        <v>80</v>
      </c>
      <c r="B23" s="390">
        <f>'YR1994'!B23+'YR1995'!B23+'YR1996'!B23-171486</f>
        <v>46731522</v>
      </c>
      <c r="C23" s="390">
        <f>'YR1994'!C23+'YR1995'!C23+'YR1996'!C23</f>
        <v>45394604</v>
      </c>
      <c r="D23" s="390">
        <f>'YR1994'!D23+'YR1995'!D23+'YR1996'!D23</f>
        <v>1336918</v>
      </c>
      <c r="E23" s="390">
        <v>0</v>
      </c>
      <c r="F23" s="391">
        <f t="shared" si="0"/>
        <v>0</v>
      </c>
    </row>
    <row r="24" spans="1:6" ht="18" customHeight="1">
      <c r="A24" s="12" t="s">
        <v>81</v>
      </c>
      <c r="B24" s="390">
        <f>'YR1994'!B24+'YR1995'!B24+'YR1996'!B24</f>
        <v>1882874</v>
      </c>
      <c r="C24" s="390">
        <f>'YR1994'!C24+'YR1995'!C24+'YR1996'!C24</f>
        <v>1882874</v>
      </c>
      <c r="D24" s="390">
        <f>'YR1994'!D24+'YR1995'!D24+'YR1996'!D24</f>
        <v>0</v>
      </c>
      <c r="E24" s="390">
        <f>'YR1994'!E24+'YR1995'!E24+'YR1996'!E24</f>
        <v>0</v>
      </c>
      <c r="F24" s="391">
        <f t="shared" si="0"/>
        <v>0</v>
      </c>
    </row>
    <row r="25" spans="1:6" ht="18" customHeight="1">
      <c r="A25" s="12" t="s">
        <v>83</v>
      </c>
      <c r="B25" s="390">
        <f>'YR1994'!B25+'YR1995'!B25+'YR1996'!B25</f>
        <v>871800</v>
      </c>
      <c r="C25" s="390">
        <f>'YR1994'!C25+'YR1995'!C25+'YR1996'!C25</f>
        <v>871800</v>
      </c>
      <c r="D25" s="390">
        <f>'YR1994'!D25+'YR1995'!D25+'YR1996'!D25</f>
        <v>0</v>
      </c>
      <c r="E25" s="390">
        <f>'YR1994'!E25+'YR1995'!E25+'YR1996'!E25</f>
        <v>0</v>
      </c>
      <c r="F25" s="391">
        <f t="shared" si="0"/>
        <v>0</v>
      </c>
    </row>
    <row r="26" spans="1:6" ht="18" customHeight="1">
      <c r="A26" s="12" t="s">
        <v>84</v>
      </c>
      <c r="B26" s="390">
        <f>'YR1994'!B26+'YR1995'!B26+'YR1996'!B26</f>
        <v>156911</v>
      </c>
      <c r="C26" s="390">
        <f>'YR1994'!C26+'YR1995'!C26+'YR1996'!C26</f>
        <v>156911</v>
      </c>
      <c r="D26" s="390">
        <f>'YR1994'!D26+'YR1995'!D26+'YR1996'!D26</f>
        <v>0</v>
      </c>
      <c r="E26" s="390">
        <f>'YR1994'!E26+'YR1995'!E26+'YR1996'!E26</f>
        <v>0</v>
      </c>
      <c r="F26" s="391">
        <f t="shared" si="0"/>
        <v>0</v>
      </c>
    </row>
    <row r="27" spans="1:6" ht="18" customHeight="1">
      <c r="A27" s="12" t="s">
        <v>85</v>
      </c>
      <c r="B27" s="390">
        <f>'YR1994'!B27+'YR1995'!B27+'YR1996'!B27</f>
        <v>993714</v>
      </c>
      <c r="C27" s="390">
        <f>'YR1994'!C27+'YR1995'!C27+'YR1996'!C27</f>
        <v>993714</v>
      </c>
      <c r="D27" s="390">
        <f>'YR1994'!D27+'YR1995'!D27+'YR1996'!D27</f>
        <v>0</v>
      </c>
      <c r="E27" s="390">
        <f>'YR1994'!E27+'YR1995'!E27+'YR1996'!E27</f>
        <v>0</v>
      </c>
      <c r="F27" s="391">
        <f t="shared" si="0"/>
        <v>0</v>
      </c>
    </row>
    <row r="28" spans="1:6" ht="18" customHeight="1">
      <c r="A28" s="12" t="s">
        <v>86</v>
      </c>
      <c r="B28" s="390">
        <f>'YR1994'!B28+'YR1995'!B28+'YR1996'!B28</f>
        <v>1268293</v>
      </c>
      <c r="C28" s="390">
        <f>'YR1994'!C28+'YR1995'!C28+'YR1996'!C28</f>
        <v>1268293</v>
      </c>
      <c r="D28" s="390">
        <f>'YR1994'!D28+'YR1995'!D28+'YR1996'!D28</f>
        <v>0</v>
      </c>
      <c r="E28" s="390">
        <f>'YR1994'!E28+'YR1995'!E28+'YR1996'!E28</f>
        <v>0</v>
      </c>
      <c r="F28" s="391">
        <f t="shared" si="0"/>
        <v>0</v>
      </c>
    </row>
    <row r="29" spans="1:6" ht="18" customHeight="1">
      <c r="A29" s="12" t="s">
        <v>87</v>
      </c>
      <c r="B29" s="390">
        <f>'YR1994'!B29+'YR1995'!B29+'YR1996'!B29-1568782</f>
        <v>22449969</v>
      </c>
      <c r="C29" s="390">
        <f>'YR1994'!C29+'YR1995'!C29+'YR1996'!C29</f>
        <v>22449969</v>
      </c>
      <c r="D29" s="390">
        <f>'YR1994'!D29+'YR1995'!D29+'YR1996'!D29</f>
        <v>0</v>
      </c>
      <c r="E29" s="390">
        <f>'YR1994'!E29+'YR1995'!E29+'YR1996'!E29</f>
        <v>0</v>
      </c>
      <c r="F29" s="391">
        <f t="shared" si="0"/>
        <v>0</v>
      </c>
    </row>
    <row r="30" spans="1:6" ht="18" customHeight="1">
      <c r="A30" s="12" t="s">
        <v>88</v>
      </c>
      <c r="B30" s="390">
        <f>'YR1994'!B30+'YR1995'!B30+'YR1996'!B30-5164674</f>
        <v>65152008</v>
      </c>
      <c r="C30" s="390">
        <f>'YR1994'!C30+'YR1995'!C30+'YR1996'!C30</f>
        <v>65152008</v>
      </c>
      <c r="D30" s="390">
        <f>'YR1994'!D30+'YR1995'!D30+'YR1996'!D30</f>
        <v>0</v>
      </c>
      <c r="E30" s="390">
        <f>'YR1994'!E30+'YR1995'!E30+'YR1996'!E30</f>
        <v>0</v>
      </c>
      <c r="F30" s="391">
        <f t="shared" si="0"/>
        <v>0</v>
      </c>
    </row>
    <row r="31" spans="1:6" ht="18" customHeight="1">
      <c r="A31" s="360" t="s">
        <v>90</v>
      </c>
      <c r="B31" s="390">
        <f>'YR1994'!B31+'YR1995'!B31+'YR1996'!B31</f>
        <v>0</v>
      </c>
      <c r="C31" s="390">
        <f>'YR1994'!C31+'YR1995'!C31+'YR1996'!C31</f>
        <v>0</v>
      </c>
      <c r="D31" s="390">
        <f>'YR1994'!D31+'YR1995'!D31+'YR1996'!D31</f>
        <v>0</v>
      </c>
      <c r="E31" s="390">
        <f>'YR1994'!E31+'YR1995'!E31+'YR1996'!E31</f>
        <v>0</v>
      </c>
      <c r="F31" s="391">
        <f t="shared" ref="F31" si="1">B31-C31-D31-E31</f>
        <v>0</v>
      </c>
    </row>
    <row r="32" spans="1:6" ht="18" customHeight="1">
      <c r="A32" s="12" t="s">
        <v>91</v>
      </c>
      <c r="B32" s="390">
        <f>'YR1994'!B32+'YR1995'!B32+'YR1996'!B32</f>
        <v>0</v>
      </c>
      <c r="C32" s="390">
        <f>'YR1994'!C32+'YR1995'!C32+'YR1996'!C32</f>
        <v>0</v>
      </c>
      <c r="D32" s="390">
        <f>'YR1994'!D32+'YR1995'!D32+'YR1996'!D32</f>
        <v>0</v>
      </c>
      <c r="E32" s="390">
        <f>'YR1994'!E32+'YR1995'!E32+'YR1996'!E32</f>
        <v>0</v>
      </c>
      <c r="F32" s="391">
        <f t="shared" si="0"/>
        <v>0</v>
      </c>
    </row>
    <row r="33" spans="1:6" ht="18" customHeight="1">
      <c r="A33" s="12" t="s">
        <v>92</v>
      </c>
      <c r="B33" s="390">
        <f>'YR1994'!B33+'YR1995'!B33+'YR1996'!B33</f>
        <v>52304</v>
      </c>
      <c r="C33" s="390">
        <f>'YR1994'!C33+'YR1995'!C33+'YR1996'!C33</f>
        <v>52304</v>
      </c>
      <c r="D33" s="390">
        <f>'YR1994'!D33+'YR1995'!D33+'YR1996'!D33</f>
        <v>0</v>
      </c>
      <c r="E33" s="390">
        <f>'YR1994'!E33+'YR1995'!E33+'YR1996'!E33</f>
        <v>0</v>
      </c>
      <c r="F33" s="391">
        <f t="shared" si="0"/>
        <v>0</v>
      </c>
    </row>
    <row r="34" spans="1:6" ht="18" customHeight="1">
      <c r="A34" s="12" t="s">
        <v>93</v>
      </c>
      <c r="B34" s="390">
        <f>'YR1994'!B34+'YR1995'!B34+'YR1996'!B34</f>
        <v>0</v>
      </c>
      <c r="C34" s="390">
        <f>'YR1994'!C34+'YR1995'!C34+'YR1996'!C34</f>
        <v>0</v>
      </c>
      <c r="D34" s="390">
        <f>'YR1994'!D34+'YR1995'!D34+'YR1996'!D34</f>
        <v>0</v>
      </c>
      <c r="E34" s="390">
        <f>'YR1994'!E34+'YR1995'!E34+'YR1996'!E34</f>
        <v>0</v>
      </c>
      <c r="F34" s="391">
        <f t="shared" si="0"/>
        <v>0</v>
      </c>
    </row>
    <row r="35" spans="1:6" ht="18" customHeight="1">
      <c r="A35" s="12" t="s">
        <v>94</v>
      </c>
      <c r="B35" s="390">
        <f>'YR1994'!B35+'YR1995'!B35+'YR1996'!B35</f>
        <v>331238</v>
      </c>
      <c r="C35" s="390">
        <f>'YR1994'!C35+'YR1995'!C35+'YR1996'!C35</f>
        <v>331238</v>
      </c>
      <c r="D35" s="390">
        <f>'YR1994'!D35+'YR1995'!D35+'YR1996'!D35</f>
        <v>0</v>
      </c>
      <c r="E35" s="390">
        <f>'YR1994'!E35+'YR1995'!E35+'YR1996'!E35</f>
        <v>0</v>
      </c>
      <c r="F35" s="391">
        <f t="shared" si="0"/>
        <v>0</v>
      </c>
    </row>
    <row r="36" spans="1:6" ht="18" customHeight="1">
      <c r="A36" s="360" t="s">
        <v>95</v>
      </c>
      <c r="B36" s="390">
        <f>'YR1994'!B36+'YR1995'!B36+'YR1996'!B36</f>
        <v>0</v>
      </c>
      <c r="C36" s="390">
        <f>'YR1994'!C36+'YR1995'!C36+'YR1996'!C36</f>
        <v>0</v>
      </c>
      <c r="D36" s="390">
        <f>'YR1994'!D36+'YR1995'!D36+'YR1996'!D36</f>
        <v>0</v>
      </c>
      <c r="E36" s="390">
        <f>'YR1994'!E36+'YR1995'!E36+'YR1996'!E36</f>
        <v>0</v>
      </c>
      <c r="F36" s="391">
        <f t="shared" ref="F36" si="2">B36-C36-D36-E36</f>
        <v>0</v>
      </c>
    </row>
    <row r="37" spans="1:6" ht="18" customHeight="1">
      <c r="A37" s="12" t="s">
        <v>96</v>
      </c>
      <c r="B37" s="390">
        <f>'YR1994'!B37+'YR1995'!B37+'YR1996'!B37</f>
        <v>52304</v>
      </c>
      <c r="C37" s="390">
        <f>'YR1994'!C37+'YR1995'!C37+'YR1996'!C37</f>
        <v>52304</v>
      </c>
      <c r="D37" s="390">
        <f>'YR1994'!D37+'YR1995'!D37+'YR1996'!D37</f>
        <v>0</v>
      </c>
      <c r="E37" s="390">
        <f>'YR1994'!E37+'YR1995'!E37+'YR1996'!E37</f>
        <v>0</v>
      </c>
      <c r="F37" s="391">
        <f t="shared" si="0"/>
        <v>0</v>
      </c>
    </row>
    <row r="38" spans="1:6" ht="18" customHeight="1">
      <c r="A38" s="12" t="s">
        <v>97</v>
      </c>
      <c r="B38" s="390">
        <f>'YR1994'!B38+'YR1995'!B38+'YR1996'!B38</f>
        <v>7997927</v>
      </c>
      <c r="C38" s="390">
        <f>'YR1994'!C38+'YR1995'!C38+'YR1996'!C38</f>
        <v>7997927</v>
      </c>
      <c r="D38" s="390">
        <f>'YR1994'!D38+'YR1995'!D38+'YR1996'!D38</f>
        <v>0</v>
      </c>
      <c r="E38" s="390">
        <f>'YR1994'!E38+'YR1995'!E38+'YR1996'!E38</f>
        <v>0</v>
      </c>
      <c r="F38" s="391">
        <f t="shared" si="0"/>
        <v>0</v>
      </c>
    </row>
    <row r="39" spans="1:6" ht="18" customHeight="1">
      <c r="A39" s="12" t="s">
        <v>98</v>
      </c>
      <c r="B39" s="390">
        <f>'YR1994'!B39+'YR1995'!B39+'YR1996'!B39</f>
        <v>1255284</v>
      </c>
      <c r="C39" s="390">
        <f>'YR1994'!C39+'YR1995'!C39+'YR1996'!C39</f>
        <v>1255284</v>
      </c>
      <c r="D39" s="390">
        <f>'YR1994'!D39+'YR1995'!D39+'YR1996'!D39</f>
        <v>0</v>
      </c>
      <c r="E39" s="390">
        <f>'YR1994'!E39+'YR1995'!E39+'YR1996'!E39</f>
        <v>0</v>
      </c>
      <c r="F39" s="391">
        <f t="shared" si="0"/>
        <v>0</v>
      </c>
    </row>
    <row r="40" spans="1:6" ht="18" customHeight="1">
      <c r="A40" s="12" t="s">
        <v>99</v>
      </c>
      <c r="B40" s="390">
        <f>'YR1994'!B40+'YR1995'!B40+'YR1996'!B40</f>
        <v>2894111</v>
      </c>
      <c r="C40" s="390">
        <f>'YR1994'!C40+'YR1995'!C40+'YR1996'!C40</f>
        <v>2894111</v>
      </c>
      <c r="D40" s="390">
        <f>'YR1994'!D40+'YR1995'!D40+'YR1996'!D40</f>
        <v>0</v>
      </c>
      <c r="E40" s="390">
        <f>'YR1994'!E40+'YR1995'!E40+'YR1996'!E40</f>
        <v>0</v>
      </c>
      <c r="F40" s="391">
        <f t="shared" si="0"/>
        <v>0</v>
      </c>
    </row>
    <row r="41" spans="1:6" ht="18" customHeight="1">
      <c r="A41" s="12" t="s">
        <v>100</v>
      </c>
      <c r="B41" s="390">
        <f>'YR1994'!B41+'YR1995'!B41+'YR1996'!B41</f>
        <v>16915</v>
      </c>
      <c r="C41" s="390">
        <f>'YR1994'!C41+'YR1995'!C41+'YR1996'!C41</f>
        <v>16915</v>
      </c>
      <c r="D41" s="390">
        <f>'YR1994'!D41+'YR1995'!D41+'YR1996'!D41</f>
        <v>0</v>
      </c>
      <c r="E41" s="390">
        <f>'YR1994'!E41+'YR1995'!E41+'YR1996'!E41</f>
        <v>0</v>
      </c>
      <c r="F41" s="391">
        <f t="shared" si="0"/>
        <v>0</v>
      </c>
    </row>
    <row r="42" spans="1:6" ht="18" customHeight="1">
      <c r="A42" s="12" t="s">
        <v>101</v>
      </c>
      <c r="B42" s="390">
        <f>'YR1994'!B42+'YR1995'!B42+'YR1996'!B42</f>
        <v>1606</v>
      </c>
      <c r="C42" s="390">
        <f>'YR1994'!C42+'YR1995'!C42+'YR1996'!C42</f>
        <v>1606</v>
      </c>
      <c r="D42" s="390">
        <f>'YR1994'!D42+'YR1995'!D42+'YR1996'!D42</f>
        <v>0</v>
      </c>
      <c r="E42" s="390">
        <f>'YR1994'!E42+'YR1995'!E42+'YR1996'!E42</f>
        <v>0</v>
      </c>
      <c r="F42" s="391">
        <f t="shared" si="0"/>
        <v>0</v>
      </c>
    </row>
    <row r="43" spans="1:6" ht="18" customHeight="1">
      <c r="A43" s="12" t="s">
        <v>102</v>
      </c>
      <c r="B43" s="390">
        <f>'YR1994'!B43+'YR1995'!B43+'YR1996'!B43</f>
        <v>1176693</v>
      </c>
      <c r="C43" s="390">
        <f>'YR1994'!C43+'YR1995'!C43+'YR1996'!C43</f>
        <v>1176693</v>
      </c>
      <c r="D43" s="390">
        <f>'YR1994'!D43+'YR1995'!D43+'YR1996'!D43</f>
        <v>0</v>
      </c>
      <c r="E43" s="390">
        <f>'YR1994'!E43+'YR1995'!E43+'YR1996'!E43</f>
        <v>0</v>
      </c>
      <c r="F43" s="391">
        <f t="shared" si="0"/>
        <v>0</v>
      </c>
    </row>
    <row r="44" spans="1:6" ht="18" customHeight="1">
      <c r="A44" s="12" t="s">
        <v>104</v>
      </c>
      <c r="B44" s="390">
        <f>'YR1994'!B44+'YR1995'!B44+'YR1996'!B44</f>
        <v>31159609</v>
      </c>
      <c r="C44" s="390">
        <f>'YR1994'!C44+'YR1995'!C44+'YR1996'!C44</f>
        <v>0</v>
      </c>
      <c r="D44" s="390">
        <f>'YR1994'!D44+'YR1995'!D44+'YR1996'!D44</f>
        <v>0</v>
      </c>
      <c r="E44" s="390">
        <f>'YR1994'!E44+'YR1995'!E44+'YR1996'!E44</f>
        <v>0</v>
      </c>
      <c r="F44" s="391">
        <f t="shared" si="0"/>
        <v>31159609</v>
      </c>
    </row>
    <row r="45" spans="1:6" ht="18" customHeight="1">
      <c r="A45" s="12" t="s">
        <v>106</v>
      </c>
      <c r="B45" s="390">
        <f>'YR1994'!B45+'YR1995'!B45+'YR1996'!B45</f>
        <v>209324</v>
      </c>
      <c r="C45" s="390">
        <f>'YR1994'!C45+'YR1995'!C45+'YR1996'!C45</f>
        <v>169324</v>
      </c>
      <c r="D45" s="390">
        <f>'YR1994'!D45+'YR1995'!D45+'YR1996'!D45</f>
        <v>40000</v>
      </c>
      <c r="E45" s="390">
        <f>'YR1994'!E45+'YR1995'!E45+'YR1996'!E45</f>
        <v>0</v>
      </c>
      <c r="F45" s="391">
        <f t="shared" si="0"/>
        <v>0</v>
      </c>
    </row>
    <row r="46" spans="1:6" ht="18" customHeight="1">
      <c r="A46" s="11" t="s">
        <v>107</v>
      </c>
      <c r="B46" s="390">
        <f>'YR1994'!B46+'YR1995'!B46+'YR1996'!B46</f>
        <v>597218</v>
      </c>
      <c r="C46" s="390">
        <f>'YR1994'!C46+'YR1995'!C46+'YR1996'!C46</f>
        <v>597218</v>
      </c>
      <c r="D46" s="390">
        <f>'YR1994'!D46+'YR1995'!D46+'YR1996'!D46</f>
        <v>0</v>
      </c>
      <c r="E46" s="390">
        <f>'YR1994'!E46+'YR1995'!E46+'YR1996'!E46</f>
        <v>0</v>
      </c>
      <c r="F46" s="391">
        <f t="shared" si="0"/>
        <v>0</v>
      </c>
    </row>
    <row r="47" spans="1:6" ht="18" customHeight="1">
      <c r="A47" s="12" t="s">
        <v>108</v>
      </c>
      <c r="B47" s="390">
        <f>'YR1994'!B47+'YR1995'!B47+'YR1996'!B47</f>
        <v>61290</v>
      </c>
      <c r="C47" s="390">
        <f>'YR1994'!C47+'YR1995'!C47+'YR1996'!C47</f>
        <v>61290</v>
      </c>
      <c r="D47" s="390">
        <f>'YR1994'!D47+'YR1995'!D47+'YR1996'!D47</f>
        <v>0</v>
      </c>
      <c r="E47" s="390">
        <f>'YR1994'!E47+'YR1995'!E47+'YR1996'!E47</f>
        <v>0</v>
      </c>
      <c r="F47" s="391">
        <f t="shared" si="0"/>
        <v>0</v>
      </c>
    </row>
    <row r="48" spans="1:6" ht="18" customHeight="1">
      <c r="A48" s="12" t="s">
        <v>109</v>
      </c>
      <c r="B48" s="390">
        <f>'YR1994'!B48+'YR1995'!B48+'YR1996'!B48</f>
        <v>1992053</v>
      </c>
      <c r="C48" s="390">
        <f>'YR1994'!C48+'YR1995'!C48+'YR1996'!C48</f>
        <v>1962053</v>
      </c>
      <c r="D48" s="390">
        <f>'YR1994'!D48+'YR1995'!D48+'YR1996'!D48</f>
        <v>30000</v>
      </c>
      <c r="E48" s="390">
        <f>'YR1994'!E48+'YR1995'!E48+'YR1996'!E48</f>
        <v>0</v>
      </c>
      <c r="F48" s="391">
        <f t="shared" si="0"/>
        <v>0</v>
      </c>
    </row>
    <row r="49" spans="1:6" ht="18" customHeight="1">
      <c r="A49" s="12" t="s">
        <v>110</v>
      </c>
      <c r="B49" s="390">
        <f>'YR1994'!B49+'YR1995'!B49+'YR1996'!B49</f>
        <v>11022275</v>
      </c>
      <c r="C49" s="390">
        <f>'YR1994'!C49+'YR1995'!C49+'YR1996'!C49</f>
        <v>11022275</v>
      </c>
      <c r="D49" s="390">
        <f>'YR1994'!D49+'YR1995'!D49+'YR1996'!D49</f>
        <v>0</v>
      </c>
      <c r="E49" s="390">
        <f>'YR1994'!E49+'YR1995'!E49+'YR1996'!E49</f>
        <v>0</v>
      </c>
      <c r="F49" s="391">
        <f t="shared" si="0"/>
        <v>0</v>
      </c>
    </row>
    <row r="50" spans="1:6" ht="18" customHeight="1">
      <c r="A50" s="12" t="s">
        <v>111</v>
      </c>
      <c r="B50" s="390">
        <f>'YR1994'!B50+'YR1995'!B50+'YR1996'!B50</f>
        <v>6010335</v>
      </c>
      <c r="C50" s="390">
        <f>'YR1994'!C50+'YR1995'!C50+'YR1996'!C50</f>
        <v>6010335</v>
      </c>
      <c r="D50" s="390">
        <f>'YR1994'!D50+'YR1995'!D50+'YR1996'!D50</f>
        <v>0</v>
      </c>
      <c r="E50" s="390">
        <f>'YR1994'!E50+'YR1995'!E50+'YR1996'!E50</f>
        <v>0</v>
      </c>
      <c r="F50" s="391">
        <f t="shared" si="0"/>
        <v>0</v>
      </c>
    </row>
    <row r="51" spans="1:6" ht="18" customHeight="1">
      <c r="A51" s="12" t="s">
        <v>112</v>
      </c>
      <c r="B51" s="390">
        <f>'YR1994'!B51+'YR1995'!B51+'YR1996'!B51</f>
        <v>5979856</v>
      </c>
      <c r="C51" s="390">
        <f>'YR1994'!C51+'YR1995'!C51+'YR1996'!C51</f>
        <v>5737256</v>
      </c>
      <c r="D51" s="390">
        <f>'YR1994'!D51+'YR1995'!D51+'YR1996'!D51</f>
        <v>242600</v>
      </c>
      <c r="E51" s="390">
        <f>'YR1994'!E51+'YR1995'!E51+'YR1996'!E51</f>
        <v>0</v>
      </c>
      <c r="F51" s="391">
        <f t="shared" si="0"/>
        <v>0</v>
      </c>
    </row>
    <row r="52" spans="1:6" ht="18" customHeight="1">
      <c r="A52" s="12" t="s">
        <v>113</v>
      </c>
      <c r="B52" s="390">
        <f>'YR1994'!B52+'YR1995'!B52+'YR1996'!B52</f>
        <v>0</v>
      </c>
      <c r="C52" s="390">
        <f>'YR1994'!C52+'YR1995'!C52+'YR1996'!C52</f>
        <v>0</v>
      </c>
      <c r="D52" s="390">
        <f>'YR1994'!D52+'YR1995'!D52+'YR1996'!D52</f>
        <v>0</v>
      </c>
      <c r="E52" s="390">
        <f>'YR1994'!E52+'YR1995'!E52+'YR1996'!E52</f>
        <v>0</v>
      </c>
      <c r="F52" s="391">
        <f t="shared" si="0"/>
        <v>0</v>
      </c>
    </row>
    <row r="53" spans="1:6" ht="18" customHeight="1">
      <c r="A53" s="12" t="s">
        <v>181</v>
      </c>
      <c r="B53" s="390">
        <f>'YR1994'!B53+'YR1995'!B53+'YR1996'!B53</f>
        <v>56603</v>
      </c>
      <c r="C53" s="390">
        <f>'YR1994'!C53+'YR1995'!C53+'YR1996'!C53</f>
        <v>0</v>
      </c>
      <c r="D53" s="390">
        <f>'YR1994'!D53+'YR1995'!D53+'YR1996'!D53</f>
        <v>0</v>
      </c>
      <c r="E53" s="390">
        <f>'YR1994'!E53+'YR1995'!E53+'YR1996'!E53</f>
        <v>0</v>
      </c>
      <c r="F53" s="391">
        <f t="shared" si="0"/>
        <v>56603</v>
      </c>
    </row>
    <row r="54" spans="1:6" ht="18" customHeight="1">
      <c r="A54" s="12" t="s">
        <v>115</v>
      </c>
      <c r="B54" s="390">
        <f>'YR1994'!B54+'YR1995'!B54+'YR1996'!B54</f>
        <v>0</v>
      </c>
      <c r="C54" s="390">
        <f>'YR1994'!C54+'YR1995'!C54+'YR1996'!C54</f>
        <v>0</v>
      </c>
      <c r="D54" s="390">
        <f>'YR1994'!D54+'YR1995'!D54+'YR1996'!D54</f>
        <v>0</v>
      </c>
      <c r="E54" s="390">
        <f>'YR1994'!E54+'YR1995'!E54+'YR1996'!E54</f>
        <v>0</v>
      </c>
      <c r="F54" s="391">
        <f t="shared" si="0"/>
        <v>0</v>
      </c>
    </row>
    <row r="55" spans="1:6" ht="18" customHeight="1">
      <c r="A55" s="360" t="s">
        <v>116</v>
      </c>
      <c r="B55" s="390">
        <f>'YR1994'!B55+'YR1995'!B55+'YR1996'!B55</f>
        <v>0</v>
      </c>
      <c r="C55" s="390">
        <f>'YR1994'!C55+'YR1995'!C55+'YR1996'!C55</f>
        <v>0</v>
      </c>
      <c r="D55" s="390">
        <f>'YR1994'!D55+'YR1995'!D55+'YR1996'!D55</f>
        <v>0</v>
      </c>
      <c r="E55" s="390">
        <f>'YR1994'!E55+'YR1995'!E55+'YR1996'!E55</f>
        <v>0</v>
      </c>
      <c r="F55" s="391">
        <f t="shared" ref="F55" si="3">B55-C55-D55-E55</f>
        <v>0</v>
      </c>
    </row>
    <row r="56" spans="1:6" ht="18" customHeight="1">
      <c r="A56" s="12" t="s">
        <v>117</v>
      </c>
      <c r="B56" s="390">
        <f>'YR1994'!B56+'YR1995'!B56+'YR1996'!B56-500037</f>
        <v>26270127</v>
      </c>
      <c r="C56" s="390">
        <f>'YR1994'!C56+'YR1995'!C56+'YR1996'!C56</f>
        <v>26270127</v>
      </c>
      <c r="D56" s="390">
        <f>'YR1994'!D56+'YR1995'!D56+'YR1996'!D56</f>
        <v>0</v>
      </c>
      <c r="E56" s="390">
        <f>'YR1994'!E56+'YR1995'!E56+'YR1996'!E56</f>
        <v>0</v>
      </c>
      <c r="F56" s="391">
        <f t="shared" si="0"/>
        <v>0</v>
      </c>
    </row>
    <row r="57" spans="1:6" ht="18" customHeight="1">
      <c r="A57" s="12" t="s">
        <v>118</v>
      </c>
      <c r="B57" s="390">
        <f>'YR1994'!B57+'YR1995'!B57+'YR1996'!B57</f>
        <v>113750001</v>
      </c>
      <c r="C57" s="390">
        <f>'YR1994'!C57+'YR1995'!C57+'YR1996'!C57</f>
        <v>107201216</v>
      </c>
      <c r="D57" s="390">
        <f>'YR1994'!D57+'YR1995'!D57+'YR1996'!D57</f>
        <v>6548785</v>
      </c>
      <c r="E57" s="390">
        <f>'YR1994'!E57+'YR1995'!E57+'YR1996'!E57</f>
        <v>0</v>
      </c>
      <c r="F57" s="391">
        <f t="shared" si="0"/>
        <v>0</v>
      </c>
    </row>
    <row r="58" spans="1:6" ht="18" customHeight="1" thickBot="1">
      <c r="A58" s="191" t="s">
        <v>119</v>
      </c>
      <c r="B58" s="390">
        <f>'YR1994'!B58+'YR1995'!B58+'YR1996'!B58</f>
        <v>0</v>
      </c>
      <c r="C58" s="390">
        <f>'YR1994'!C58+'YR1995'!C58+'YR1996'!C58</f>
        <v>0</v>
      </c>
      <c r="D58" s="390">
        <f>'YR1994'!D58+'YR1995'!D58+'YR1996'!D58</f>
        <v>0</v>
      </c>
      <c r="E58" s="390">
        <f>'YR1994'!E58+'YR1995'!E58+'YR1996'!E58</f>
        <v>0</v>
      </c>
      <c r="F58" s="392">
        <f t="shared" si="0"/>
        <v>0</v>
      </c>
    </row>
    <row r="59" spans="1:6" ht="18" customHeight="1" thickBot="1">
      <c r="A59" s="218" t="s">
        <v>120</v>
      </c>
      <c r="B59" s="393">
        <f>SUM(B8:B58)</f>
        <v>424841347</v>
      </c>
      <c r="C59" s="393">
        <f>SUM(C8:C58)</f>
        <v>381594829</v>
      </c>
      <c r="D59" s="393">
        <f>SUM(D8:D58)</f>
        <v>11870240</v>
      </c>
      <c r="E59" s="393">
        <f>SUM(E8:E58)</f>
        <v>0</v>
      </c>
      <c r="F59" s="393">
        <f>SUM(F8:F58)</f>
        <v>31376278</v>
      </c>
    </row>
    <row r="60" spans="1:6" ht="18" customHeight="1" thickBot="1">
      <c r="A60" s="394" t="s">
        <v>220</v>
      </c>
      <c r="B60" s="395">
        <f>693288+171486+1568782+5164674+500037</f>
        <v>8098267</v>
      </c>
      <c r="C60" s="396">
        <v>0</v>
      </c>
      <c r="D60" s="396">
        <v>0</v>
      </c>
      <c r="E60" s="397">
        <v>0</v>
      </c>
      <c r="F60" s="398">
        <f>B60-C60-D60-E60</f>
        <v>8098267</v>
      </c>
    </row>
    <row r="61" spans="1:6" ht="18" customHeight="1" thickBot="1">
      <c r="A61" s="218" t="s">
        <v>122</v>
      </c>
      <c r="B61" s="393">
        <f>SUM(B59:B60)</f>
        <v>432939614</v>
      </c>
      <c r="C61" s="393">
        <f>SUM(C59:C60)</f>
        <v>381594829</v>
      </c>
      <c r="D61" s="393">
        <f>SUM(D59:D60)</f>
        <v>11870240</v>
      </c>
      <c r="E61" s="393">
        <f>SUM(E59:E60)</f>
        <v>0</v>
      </c>
      <c r="F61" s="399">
        <f>SUM(F59:F60)</f>
        <v>39474545</v>
      </c>
    </row>
    <row r="62" spans="1:6" ht="18" customHeight="1">
      <c r="A62" s="400"/>
      <c r="B62" s="401"/>
      <c r="C62" s="401"/>
      <c r="D62" s="401"/>
      <c r="E62" s="401"/>
      <c r="F62" s="401"/>
    </row>
    <row r="63" spans="1:6" ht="18" customHeight="1">
      <c r="A63" s="402" t="s">
        <v>221</v>
      </c>
      <c r="B63" s="403"/>
      <c r="C63" s="403"/>
      <c r="D63" s="403"/>
      <c r="E63" s="404"/>
      <c r="F63" s="404"/>
    </row>
    <row r="64" spans="1:6" ht="16" thickBot="1">
      <c r="A64" s="327"/>
      <c r="B64" s="229"/>
      <c r="C64" s="229"/>
      <c r="D64" s="229"/>
      <c r="E64" s="229"/>
      <c r="F64" s="229"/>
    </row>
    <row r="65" spans="1:6" ht="16.5" customHeight="1" thickBot="1">
      <c r="A65" s="331" t="s">
        <v>133</v>
      </c>
      <c r="B65" s="317">
        <f>B10+B11+B14+B17+B19+B25+B32+B34+B42+B44+B46+B47+B52+B53+B54+B58</f>
        <v>35418681</v>
      </c>
      <c r="C65" s="317">
        <f>C10+C11+C14+C17+C19+C25+C32+C34+C42+C44+C46+C47+C52+C53+C54+C58</f>
        <v>4042403</v>
      </c>
      <c r="D65" s="317">
        <f>D10+D11+D14+D17+D19+D25+D32+D34+D42+D44+D46+D47+D52+D53+D54+D58</f>
        <v>0</v>
      </c>
      <c r="E65" s="317">
        <f>E10+E11+E14+E17+E19+E25+E32+E34+E42+E44+E46+E47+E52+E53+E54+E58</f>
        <v>0</v>
      </c>
      <c r="F65" s="332">
        <f>B65-C65-D65-E65</f>
        <v>31376278</v>
      </c>
    </row>
    <row r="66" spans="1:6">
      <c r="A66" s="229"/>
      <c r="B66" s="229"/>
      <c r="C66" s="229"/>
      <c r="D66" s="229"/>
      <c r="E66" s="229"/>
      <c r="F66" s="229"/>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6BB1-71AC-478C-BCA1-FE2FD309C8C0}">
  <dimension ref="A1:G61"/>
  <sheetViews>
    <sheetView topLeftCell="A40" workbookViewId="0">
      <selection activeCell="L68" sqref="L68"/>
    </sheetView>
  </sheetViews>
  <sheetFormatPr defaultColWidth="9.7265625" defaultRowHeight="15.5"/>
  <cols>
    <col min="1" max="1" width="24.7265625" style="1" customWidth="1"/>
    <col min="2" max="7" width="15" style="1" customWidth="1"/>
    <col min="8" max="16384" width="9.7265625" style="409"/>
  </cols>
  <sheetData>
    <row r="1" spans="1:7" s="1" customFormat="1" ht="16.5" customHeight="1">
      <c r="A1" s="329" t="str">
        <f>[1]Status!C1</f>
        <v>UNEP/OzL.Pro/ExCom/94/3</v>
      </c>
      <c r="B1" s="295"/>
      <c r="G1" s="320"/>
    </row>
    <row r="2" spans="1:7" s="1" customFormat="1" ht="16.5" customHeight="1">
      <c r="A2" s="329" t="s">
        <v>240</v>
      </c>
      <c r="B2" s="7"/>
      <c r="G2" s="320"/>
    </row>
    <row r="3" spans="1:7" s="1" customFormat="1" ht="16.5" customHeight="1">
      <c r="B3" s="7"/>
      <c r="G3" s="320"/>
    </row>
    <row r="4" spans="1:7" s="1" customFormat="1" ht="20.25" customHeight="1">
      <c r="A4" s="814" t="s">
        <v>2</v>
      </c>
      <c r="B4" s="814"/>
      <c r="C4" s="814"/>
      <c r="D4" s="814"/>
      <c r="E4" s="814"/>
      <c r="F4" s="814"/>
      <c r="G4" s="814"/>
    </row>
    <row r="5" spans="1:7" s="1" customFormat="1" ht="20.25" customHeight="1">
      <c r="A5" s="815" t="s">
        <v>223</v>
      </c>
      <c r="B5" s="815"/>
      <c r="C5" s="815"/>
      <c r="D5" s="815"/>
      <c r="E5" s="815"/>
      <c r="F5" s="815"/>
      <c r="G5" s="815"/>
    </row>
    <row r="6" spans="1:7" s="1" customFormat="1" ht="30" customHeight="1" thickBot="1">
      <c r="A6" s="825" t="str">
        <f>[1]Status!A6</f>
        <v>As at 24/05/2024</v>
      </c>
      <c r="B6" s="825"/>
      <c r="C6" s="825"/>
      <c r="D6" s="825"/>
      <c r="E6" s="825"/>
      <c r="F6" s="825"/>
      <c r="G6" s="825"/>
    </row>
    <row r="7" spans="1:7" s="1" customFormat="1" ht="35.25" customHeight="1" thickBot="1">
      <c r="A7" s="298" t="s">
        <v>59</v>
      </c>
      <c r="B7" s="299" t="s">
        <v>60</v>
      </c>
      <c r="C7" s="405" t="s">
        <v>61</v>
      </c>
      <c r="D7" s="405" t="s">
        <v>62</v>
      </c>
      <c r="E7" s="405" t="s">
        <v>63</v>
      </c>
      <c r="F7" s="405" t="s">
        <v>224</v>
      </c>
      <c r="G7" s="406" t="s">
        <v>64</v>
      </c>
    </row>
    <row r="8" spans="1:7" ht="18" customHeight="1">
      <c r="A8" s="378" t="s">
        <v>124</v>
      </c>
      <c r="B8" s="407">
        <v>2577608</v>
      </c>
      <c r="C8" s="407">
        <v>2062087</v>
      </c>
      <c r="D8" s="407">
        <v>515521</v>
      </c>
      <c r="E8" s="407">
        <v>0</v>
      </c>
      <c r="F8" s="407">
        <v>0</v>
      </c>
      <c r="G8" s="408">
        <f>B8-C8-D8-E8-F8</f>
        <v>0</v>
      </c>
    </row>
    <row r="9" spans="1:7" ht="18" customHeight="1">
      <c r="A9" s="360" t="s">
        <v>217</v>
      </c>
      <c r="B9" s="381">
        <v>1506507</v>
      </c>
      <c r="C9" s="381">
        <v>1389879</v>
      </c>
      <c r="D9" s="381">
        <v>116628</v>
      </c>
      <c r="E9" s="381">
        <v>0</v>
      </c>
      <c r="F9" s="381">
        <v>0</v>
      </c>
      <c r="G9" s="410">
        <f>B9-C9-D9-E9-F9</f>
        <v>0</v>
      </c>
    </row>
    <row r="10" spans="1:7" ht="18" customHeight="1">
      <c r="A10" s="363" t="s">
        <v>68</v>
      </c>
      <c r="B10" s="381">
        <v>63182</v>
      </c>
      <c r="C10" s="381">
        <v>0</v>
      </c>
      <c r="D10" s="381">
        <v>0</v>
      </c>
      <c r="E10" s="381">
        <v>0</v>
      </c>
      <c r="F10" s="381">
        <v>0</v>
      </c>
      <c r="G10" s="410">
        <f t="shared" ref="G10:G57" si="0">B10-C10-D10-E10-F10</f>
        <v>63182</v>
      </c>
    </row>
    <row r="11" spans="1:7" ht="18" customHeight="1">
      <c r="A11" s="360" t="s">
        <v>69</v>
      </c>
      <c r="B11" s="381">
        <v>160066</v>
      </c>
      <c r="C11" s="381">
        <v>0</v>
      </c>
      <c r="D11" s="381">
        <v>0</v>
      </c>
      <c r="E11" s="381">
        <v>0</v>
      </c>
      <c r="F11" s="381">
        <v>0</v>
      </c>
      <c r="G11" s="410">
        <f t="shared" si="0"/>
        <v>160066</v>
      </c>
    </row>
    <row r="12" spans="1:7" ht="18" customHeight="1">
      <c r="A12" s="360" t="s">
        <v>70</v>
      </c>
      <c r="B12" s="381">
        <v>1754689</v>
      </c>
      <c r="C12" s="381">
        <v>1754689</v>
      </c>
      <c r="D12" s="381">
        <v>0</v>
      </c>
      <c r="E12" s="381">
        <v>0</v>
      </c>
      <c r="F12" s="381">
        <v>0</v>
      </c>
      <c r="G12" s="410">
        <f t="shared" si="0"/>
        <v>0</v>
      </c>
    </row>
    <row r="13" spans="1:7" ht="18" customHeight="1">
      <c r="A13" s="360" t="s">
        <v>209</v>
      </c>
      <c r="B13" s="381">
        <v>0</v>
      </c>
      <c r="C13" s="381">
        <v>0</v>
      </c>
      <c r="D13" s="381">
        <v>0</v>
      </c>
      <c r="E13" s="381">
        <v>0</v>
      </c>
      <c r="F13" s="381">
        <v>0</v>
      </c>
      <c r="G13" s="410">
        <f t="shared" si="0"/>
        <v>0</v>
      </c>
    </row>
    <row r="14" spans="1:7" ht="18" customHeight="1">
      <c r="A14" s="360" t="s">
        <v>71</v>
      </c>
      <c r="B14" s="381">
        <v>75684</v>
      </c>
      <c r="C14" s="381">
        <v>75684</v>
      </c>
      <c r="D14" s="381">
        <v>0</v>
      </c>
      <c r="E14" s="381">
        <v>0</v>
      </c>
      <c r="F14" s="381">
        <v>0</v>
      </c>
      <c r="G14" s="410">
        <f t="shared" si="0"/>
        <v>0</v>
      </c>
    </row>
    <row r="15" spans="1:7" ht="18" customHeight="1">
      <c r="A15" s="360" t="s">
        <v>125</v>
      </c>
      <c r="B15" s="381">
        <v>5403397</v>
      </c>
      <c r="C15" s="381">
        <v>4551817</v>
      </c>
      <c r="D15" s="381">
        <v>851580</v>
      </c>
      <c r="E15" s="381">
        <v>0</v>
      </c>
      <c r="F15" s="381">
        <v>0</v>
      </c>
      <c r="G15" s="410">
        <f t="shared" si="0"/>
        <v>0</v>
      </c>
    </row>
    <row r="16" spans="1:7" ht="18" customHeight="1">
      <c r="A16" s="360" t="s">
        <v>74</v>
      </c>
      <c r="B16" s="381">
        <v>52249</v>
      </c>
      <c r="C16" s="381">
        <v>52249</v>
      </c>
      <c r="D16" s="381">
        <v>0</v>
      </c>
      <c r="E16" s="381">
        <v>0</v>
      </c>
      <c r="F16" s="381">
        <v>0</v>
      </c>
      <c r="G16" s="410">
        <f t="shared" si="0"/>
        <v>0</v>
      </c>
    </row>
    <row r="17" spans="1:7" ht="18" customHeight="1">
      <c r="A17" s="360" t="s">
        <v>75</v>
      </c>
      <c r="B17" s="381">
        <v>452823</v>
      </c>
      <c r="C17" s="381">
        <v>452823</v>
      </c>
      <c r="D17" s="381">
        <v>0</v>
      </c>
      <c r="E17" s="381">
        <v>0</v>
      </c>
      <c r="F17" s="381">
        <v>0</v>
      </c>
      <c r="G17" s="410">
        <f t="shared" si="0"/>
        <v>0</v>
      </c>
    </row>
    <row r="18" spans="1:7" ht="18" customHeight="1">
      <c r="A18" s="360" t="s">
        <v>76</v>
      </c>
      <c r="B18" s="381">
        <v>1249617</v>
      </c>
      <c r="C18" s="381">
        <v>1249617</v>
      </c>
      <c r="D18" s="381">
        <v>0</v>
      </c>
      <c r="E18" s="381">
        <v>0</v>
      </c>
      <c r="F18" s="381">
        <v>0</v>
      </c>
      <c r="G18" s="410">
        <f t="shared" si="0"/>
        <v>0</v>
      </c>
    </row>
    <row r="19" spans="1:7" ht="18" customHeight="1">
      <c r="A19" s="360" t="s">
        <v>77</v>
      </c>
      <c r="B19" s="381">
        <v>0</v>
      </c>
      <c r="C19" s="381">
        <v>0</v>
      </c>
      <c r="D19" s="381">
        <v>0</v>
      </c>
      <c r="E19" s="381">
        <v>0</v>
      </c>
      <c r="F19" s="381">
        <v>0</v>
      </c>
      <c r="G19" s="410">
        <f t="shared" si="0"/>
        <v>0</v>
      </c>
    </row>
    <row r="20" spans="1:7" ht="18" customHeight="1">
      <c r="A20" s="360" t="s">
        <v>78</v>
      </c>
      <c r="B20" s="381">
        <v>1075455</v>
      </c>
      <c r="C20" s="381">
        <v>972015</v>
      </c>
      <c r="D20" s="381">
        <v>103440</v>
      </c>
      <c r="E20" s="381">
        <v>0</v>
      </c>
      <c r="F20" s="381">
        <v>0</v>
      </c>
      <c r="G20" s="410">
        <f t="shared" si="0"/>
        <v>0</v>
      </c>
    </row>
    <row r="21" spans="1:7" ht="18" customHeight="1">
      <c r="A21" s="360" t="s">
        <v>79</v>
      </c>
      <c r="B21" s="381">
        <v>11159474</v>
      </c>
      <c r="C21" s="381">
        <f>9504614+16910</f>
        <v>9521524</v>
      </c>
      <c r="D21" s="381">
        <f>961572-16910</f>
        <v>944662</v>
      </c>
      <c r="E21" s="381">
        <v>0</v>
      </c>
      <c r="F21" s="381">
        <v>693288</v>
      </c>
      <c r="G21" s="410">
        <f t="shared" si="0"/>
        <v>0</v>
      </c>
    </row>
    <row r="22" spans="1:7" ht="18" customHeight="1">
      <c r="A22" s="360" t="s">
        <v>210</v>
      </c>
      <c r="B22" s="381">
        <v>0</v>
      </c>
      <c r="C22" s="381">
        <v>0</v>
      </c>
      <c r="D22" s="381">
        <v>0</v>
      </c>
      <c r="E22" s="381">
        <v>0</v>
      </c>
      <c r="F22" s="381">
        <v>0</v>
      </c>
      <c r="G22" s="410">
        <f t="shared" si="0"/>
        <v>0</v>
      </c>
    </row>
    <row r="23" spans="1:7" ht="18" customHeight="1">
      <c r="A23" s="360" t="s">
        <v>80</v>
      </c>
      <c r="B23" s="381">
        <v>15748660</v>
      </c>
      <c r="C23" s="381">
        <v>15577174</v>
      </c>
      <c r="D23" s="381">
        <v>0</v>
      </c>
      <c r="E23" s="381">
        <v>0</v>
      </c>
      <c r="F23" s="381">
        <v>171486</v>
      </c>
      <c r="G23" s="410">
        <f t="shared" si="0"/>
        <v>0</v>
      </c>
    </row>
    <row r="24" spans="1:7" ht="18" customHeight="1">
      <c r="A24" s="360" t="s">
        <v>81</v>
      </c>
      <c r="B24" s="381">
        <v>661818</v>
      </c>
      <c r="C24" s="381">
        <v>661818</v>
      </c>
      <c r="D24" s="381">
        <v>0</v>
      </c>
      <c r="E24" s="381">
        <v>0</v>
      </c>
      <c r="F24" s="381">
        <v>0</v>
      </c>
      <c r="G24" s="410">
        <f t="shared" si="0"/>
        <v>0</v>
      </c>
    </row>
    <row r="25" spans="1:7" ht="18" customHeight="1">
      <c r="A25" s="360" t="s">
        <v>83</v>
      </c>
      <c r="B25" s="381">
        <v>243828</v>
      </c>
      <c r="C25" s="381">
        <v>243828</v>
      </c>
      <c r="D25" s="381">
        <v>0</v>
      </c>
      <c r="E25" s="381">
        <v>0</v>
      </c>
      <c r="F25" s="381">
        <v>0</v>
      </c>
      <c r="G25" s="410">
        <f t="shared" si="0"/>
        <v>0</v>
      </c>
    </row>
    <row r="26" spans="1:7" ht="18" customHeight="1">
      <c r="A26" s="360" t="s">
        <v>84</v>
      </c>
      <c r="B26" s="381">
        <v>52249</v>
      </c>
      <c r="C26" s="381">
        <v>52249</v>
      </c>
      <c r="D26" s="381">
        <v>0</v>
      </c>
      <c r="E26" s="381">
        <v>0</v>
      </c>
      <c r="F26" s="381">
        <v>0</v>
      </c>
      <c r="G26" s="410">
        <f t="shared" si="0"/>
        <v>0</v>
      </c>
    </row>
    <row r="27" spans="1:7" ht="18" customHeight="1">
      <c r="A27" s="360" t="s">
        <v>85</v>
      </c>
      <c r="B27" s="381">
        <v>365742</v>
      </c>
      <c r="C27" s="381">
        <v>365742</v>
      </c>
      <c r="D27" s="381">
        <v>0</v>
      </c>
      <c r="E27" s="381">
        <v>0</v>
      </c>
      <c r="F27" s="381">
        <v>0</v>
      </c>
      <c r="G27" s="410">
        <f t="shared" si="0"/>
        <v>0</v>
      </c>
    </row>
    <row r="28" spans="1:7" ht="18" customHeight="1">
      <c r="A28" s="360" t="s">
        <v>86</v>
      </c>
      <c r="B28" s="381">
        <v>465885</v>
      </c>
      <c r="C28" s="381">
        <v>465885</v>
      </c>
      <c r="D28" s="381">
        <v>0</v>
      </c>
      <c r="E28" s="381">
        <v>0</v>
      </c>
      <c r="F28" s="381">
        <v>0</v>
      </c>
      <c r="G28" s="410">
        <f t="shared" si="0"/>
        <v>0</v>
      </c>
    </row>
    <row r="29" spans="1:7" ht="18" customHeight="1">
      <c r="A29" s="360" t="s">
        <v>87</v>
      </c>
      <c r="B29" s="381">
        <v>9052105</v>
      </c>
      <c r="C29" s="381">
        <v>7483323</v>
      </c>
      <c r="D29" s="381">
        <v>0</v>
      </c>
      <c r="E29" s="381">
        <v>0</v>
      </c>
      <c r="F29" s="381">
        <v>1568782</v>
      </c>
      <c r="G29" s="410">
        <f t="shared" si="0"/>
        <v>0</v>
      </c>
    </row>
    <row r="30" spans="1:7" ht="18" customHeight="1">
      <c r="A30" s="360" t="s">
        <v>88</v>
      </c>
      <c r="B30" s="381">
        <f>26882010</f>
        <v>26882010</v>
      </c>
      <c r="C30" s="381">
        <v>21717336</v>
      </c>
      <c r="D30" s="381">
        <v>0</v>
      </c>
      <c r="E30" s="381">
        <v>0</v>
      </c>
      <c r="F30" s="381">
        <v>5164674</v>
      </c>
      <c r="G30" s="410">
        <f t="shared" si="0"/>
        <v>0</v>
      </c>
    </row>
    <row r="31" spans="1:7" ht="18" customHeight="1">
      <c r="A31" s="360" t="s">
        <v>90</v>
      </c>
      <c r="B31" s="381">
        <v>0</v>
      </c>
      <c r="C31" s="381">
        <v>0</v>
      </c>
      <c r="D31" s="381">
        <v>0</v>
      </c>
      <c r="E31" s="381">
        <v>0</v>
      </c>
      <c r="F31" s="381">
        <v>0</v>
      </c>
      <c r="G31" s="410">
        <f t="shared" si="0"/>
        <v>0</v>
      </c>
    </row>
    <row r="32" spans="1:7" ht="18" customHeight="1">
      <c r="A32" s="360" t="s">
        <v>91</v>
      </c>
      <c r="B32" s="381">
        <v>0</v>
      </c>
      <c r="C32" s="381">
        <v>0</v>
      </c>
      <c r="D32" s="381">
        <v>0</v>
      </c>
      <c r="E32" s="381">
        <v>0</v>
      </c>
      <c r="F32" s="381">
        <v>0</v>
      </c>
      <c r="G32" s="410">
        <f t="shared" si="0"/>
        <v>0</v>
      </c>
    </row>
    <row r="33" spans="1:7" ht="18" customHeight="1">
      <c r="A33" s="360" t="s">
        <v>92</v>
      </c>
      <c r="B33" s="381">
        <v>17416</v>
      </c>
      <c r="C33" s="381">
        <v>17416</v>
      </c>
      <c r="D33" s="381">
        <v>0</v>
      </c>
      <c r="E33" s="381">
        <v>0</v>
      </c>
      <c r="F33" s="381">
        <v>0</v>
      </c>
      <c r="G33" s="410">
        <f t="shared" si="0"/>
        <v>0</v>
      </c>
    </row>
    <row r="34" spans="1:7" ht="18" customHeight="1">
      <c r="A34" s="360" t="s">
        <v>93</v>
      </c>
      <c r="B34" s="381">
        <v>0</v>
      </c>
      <c r="C34" s="381">
        <v>0</v>
      </c>
      <c r="D34" s="381">
        <v>0</v>
      </c>
      <c r="E34" s="381">
        <v>0</v>
      </c>
      <c r="F34" s="381">
        <v>0</v>
      </c>
      <c r="G34" s="410">
        <f t="shared" si="0"/>
        <v>0</v>
      </c>
    </row>
    <row r="35" spans="1:7" ht="18" customHeight="1">
      <c r="A35" s="360" t="s">
        <v>94</v>
      </c>
      <c r="B35" s="381">
        <v>121914</v>
      </c>
      <c r="C35" s="381">
        <v>121914</v>
      </c>
      <c r="D35" s="381">
        <v>0</v>
      </c>
      <c r="E35" s="381">
        <v>0</v>
      </c>
      <c r="F35" s="381">
        <v>0</v>
      </c>
      <c r="G35" s="410">
        <f t="shared" si="0"/>
        <v>0</v>
      </c>
    </row>
    <row r="36" spans="1:7" ht="18" customHeight="1">
      <c r="A36" s="360" t="s">
        <v>95</v>
      </c>
      <c r="B36" s="381">
        <v>0</v>
      </c>
      <c r="C36" s="381">
        <v>0</v>
      </c>
      <c r="D36" s="381">
        <v>0</v>
      </c>
      <c r="E36" s="381">
        <v>0</v>
      </c>
      <c r="F36" s="381">
        <v>0</v>
      </c>
      <c r="G36" s="410">
        <f t="shared" si="0"/>
        <v>0</v>
      </c>
    </row>
    <row r="37" spans="1:7" ht="18" customHeight="1">
      <c r="A37" s="360" t="s">
        <v>96</v>
      </c>
      <c r="B37" s="381">
        <v>17416</v>
      </c>
      <c r="C37" s="381">
        <v>17416</v>
      </c>
      <c r="D37" s="381">
        <v>0</v>
      </c>
      <c r="E37" s="381">
        <v>0</v>
      </c>
      <c r="F37" s="381">
        <v>0</v>
      </c>
      <c r="G37" s="410">
        <f t="shared" si="0"/>
        <v>0</v>
      </c>
    </row>
    <row r="38" spans="1:7" ht="18" customHeight="1">
      <c r="A38" s="360" t="s">
        <v>97</v>
      </c>
      <c r="B38" s="381">
        <v>2764833</v>
      </c>
      <c r="C38" s="381">
        <v>2764833</v>
      </c>
      <c r="D38" s="381">
        <v>0</v>
      </c>
      <c r="E38" s="381">
        <v>0</v>
      </c>
      <c r="F38" s="381">
        <v>0</v>
      </c>
      <c r="G38" s="410">
        <f t="shared" si="0"/>
        <v>0</v>
      </c>
    </row>
    <row r="39" spans="1:7" ht="18" customHeight="1">
      <c r="A39" s="360" t="s">
        <v>98</v>
      </c>
      <c r="B39" s="381">
        <v>417990</v>
      </c>
      <c r="C39" s="381">
        <v>417990</v>
      </c>
      <c r="D39" s="381">
        <v>0</v>
      </c>
      <c r="E39" s="381">
        <v>0</v>
      </c>
      <c r="F39" s="381">
        <v>0</v>
      </c>
      <c r="G39" s="410">
        <f t="shared" si="0"/>
        <v>0</v>
      </c>
    </row>
    <row r="40" spans="1:7" ht="18" customHeight="1">
      <c r="A40" s="360" t="s">
        <v>99</v>
      </c>
      <c r="B40" s="381">
        <v>975311</v>
      </c>
      <c r="C40" s="381">
        <v>975311</v>
      </c>
      <c r="D40" s="381">
        <v>0</v>
      </c>
      <c r="E40" s="381">
        <v>0</v>
      </c>
      <c r="F40" s="381">
        <v>0</v>
      </c>
      <c r="G40" s="410">
        <f t="shared" si="0"/>
        <v>0</v>
      </c>
    </row>
    <row r="41" spans="1:7" ht="18" customHeight="1">
      <c r="A41" s="360" t="s">
        <v>100</v>
      </c>
      <c r="B41" s="381">
        <v>0</v>
      </c>
      <c r="C41" s="381">
        <v>0</v>
      </c>
      <c r="D41" s="381">
        <v>0</v>
      </c>
      <c r="E41" s="381">
        <v>0</v>
      </c>
      <c r="F41" s="381">
        <v>0</v>
      </c>
      <c r="G41" s="410">
        <f t="shared" si="0"/>
        <v>0</v>
      </c>
    </row>
    <row r="42" spans="1:7" ht="18" customHeight="1">
      <c r="A42" s="360" t="s">
        <v>101</v>
      </c>
      <c r="B42" s="381">
        <v>1606</v>
      </c>
      <c r="C42" s="381">
        <v>1606</v>
      </c>
      <c r="D42" s="381">
        <v>0</v>
      </c>
      <c r="E42" s="381">
        <v>0</v>
      </c>
      <c r="F42" s="381">
        <v>0</v>
      </c>
      <c r="G42" s="410">
        <f t="shared" si="0"/>
        <v>0</v>
      </c>
    </row>
    <row r="43" spans="1:7" ht="18" customHeight="1">
      <c r="A43" s="360" t="s">
        <v>102</v>
      </c>
      <c r="B43" s="381">
        <v>478947</v>
      </c>
      <c r="C43" s="381">
        <v>478947</v>
      </c>
      <c r="D43" s="381">
        <v>0</v>
      </c>
      <c r="E43" s="381">
        <v>0</v>
      </c>
      <c r="F43" s="381">
        <v>0</v>
      </c>
      <c r="G43" s="410">
        <f t="shared" si="0"/>
        <v>0</v>
      </c>
    </row>
    <row r="44" spans="1:7" ht="18" customHeight="1">
      <c r="A44" s="360" t="s">
        <v>104</v>
      </c>
      <c r="B44" s="381">
        <v>7750239</v>
      </c>
      <c r="C44" s="381">
        <v>0</v>
      </c>
      <c r="D44" s="381">
        <v>0</v>
      </c>
      <c r="E44" s="381">
        <v>0</v>
      </c>
      <c r="F44" s="381">
        <v>0</v>
      </c>
      <c r="G44" s="410">
        <f t="shared" si="0"/>
        <v>7750239</v>
      </c>
    </row>
    <row r="45" spans="1:7" ht="18" customHeight="1">
      <c r="A45" s="360" t="s">
        <v>106</v>
      </c>
      <c r="B45" s="381">
        <v>0</v>
      </c>
      <c r="C45" s="381">
        <v>0</v>
      </c>
      <c r="D45" s="381">
        <v>0</v>
      </c>
      <c r="E45" s="381">
        <v>0</v>
      </c>
      <c r="F45" s="381">
        <v>0</v>
      </c>
      <c r="G45" s="410">
        <f t="shared" si="0"/>
        <v>0</v>
      </c>
    </row>
    <row r="46" spans="1:7" ht="18" customHeight="1">
      <c r="A46" s="378" t="s">
        <v>211</v>
      </c>
      <c r="B46" s="381">
        <v>143684</v>
      </c>
      <c r="C46" s="381">
        <v>143684</v>
      </c>
      <c r="D46" s="381">
        <v>0</v>
      </c>
      <c r="E46" s="381">
        <v>0</v>
      </c>
      <c r="F46" s="381">
        <v>0</v>
      </c>
      <c r="G46" s="410">
        <f t="shared" si="0"/>
        <v>0</v>
      </c>
    </row>
    <row r="47" spans="1:7" ht="18" customHeight="1">
      <c r="A47" s="360" t="s">
        <v>108</v>
      </c>
      <c r="B47" s="381">
        <v>61290</v>
      </c>
      <c r="C47" s="381">
        <v>61290</v>
      </c>
      <c r="D47" s="381">
        <v>0</v>
      </c>
      <c r="E47" s="381">
        <v>0</v>
      </c>
      <c r="F47" s="381">
        <v>0</v>
      </c>
      <c r="G47" s="410">
        <f t="shared" si="0"/>
        <v>0</v>
      </c>
    </row>
    <row r="48" spans="1:7" ht="18" customHeight="1">
      <c r="A48" s="360" t="s">
        <v>109</v>
      </c>
      <c r="B48" s="381">
        <v>561675</v>
      </c>
      <c r="C48" s="381">
        <v>561675</v>
      </c>
      <c r="D48" s="381">
        <v>0</v>
      </c>
      <c r="E48" s="381">
        <v>0</v>
      </c>
      <c r="F48" s="381">
        <v>0</v>
      </c>
      <c r="G48" s="410">
        <f t="shared" si="0"/>
        <v>0</v>
      </c>
    </row>
    <row r="49" spans="1:7" ht="18" customHeight="1">
      <c r="A49" s="360" t="s">
        <v>110</v>
      </c>
      <c r="B49" s="381">
        <v>4114593</v>
      </c>
      <c r="C49" s="381">
        <v>4114593</v>
      </c>
      <c r="D49" s="381">
        <v>0</v>
      </c>
      <c r="E49" s="381">
        <v>0</v>
      </c>
      <c r="F49" s="381">
        <v>0</v>
      </c>
      <c r="G49" s="410">
        <f t="shared" si="0"/>
        <v>0</v>
      </c>
    </row>
    <row r="50" spans="1:7" ht="18" customHeight="1">
      <c r="A50" s="360" t="s">
        <v>111</v>
      </c>
      <c r="B50" s="381">
        <v>2137847</v>
      </c>
      <c r="C50" s="381">
        <v>2137847</v>
      </c>
      <c r="D50" s="381">
        <v>0</v>
      </c>
      <c r="E50" s="381">
        <v>0</v>
      </c>
      <c r="F50" s="381">
        <v>0</v>
      </c>
      <c r="G50" s="410">
        <f t="shared" si="0"/>
        <v>0</v>
      </c>
    </row>
    <row r="51" spans="1:7" ht="18" customHeight="1">
      <c r="A51" s="360" t="s">
        <v>112</v>
      </c>
      <c r="B51" s="381">
        <v>2107368</v>
      </c>
      <c r="C51" s="381">
        <v>1864768</v>
      </c>
      <c r="D51" s="381">
        <v>242600</v>
      </c>
      <c r="E51" s="381">
        <v>0</v>
      </c>
      <c r="F51" s="381">
        <v>0</v>
      </c>
      <c r="G51" s="410">
        <f t="shared" si="0"/>
        <v>0</v>
      </c>
    </row>
    <row r="52" spans="1:7" ht="18" customHeight="1">
      <c r="A52" s="360" t="s">
        <v>113</v>
      </c>
      <c r="B52" s="381">
        <v>0</v>
      </c>
      <c r="C52" s="381">
        <v>0</v>
      </c>
      <c r="D52" s="381">
        <v>0</v>
      </c>
      <c r="E52" s="381">
        <v>0</v>
      </c>
      <c r="F52" s="381">
        <v>0</v>
      </c>
      <c r="G52" s="410">
        <f t="shared" si="0"/>
        <v>0</v>
      </c>
    </row>
    <row r="53" spans="1:7" ht="18" customHeight="1">
      <c r="A53" s="360" t="s">
        <v>181</v>
      </c>
      <c r="B53" s="381">
        <v>56603</v>
      </c>
      <c r="C53" s="381">
        <v>0</v>
      </c>
      <c r="D53" s="381">
        <v>0</v>
      </c>
      <c r="E53" s="381">
        <v>0</v>
      </c>
      <c r="F53" s="381">
        <v>0</v>
      </c>
      <c r="G53" s="410">
        <f t="shared" si="0"/>
        <v>56603</v>
      </c>
    </row>
    <row r="54" spans="1:7" ht="18" customHeight="1">
      <c r="A54" s="360" t="s">
        <v>115</v>
      </c>
      <c r="B54" s="381">
        <v>0</v>
      </c>
      <c r="C54" s="381">
        <v>0</v>
      </c>
      <c r="D54" s="381">
        <v>0</v>
      </c>
      <c r="E54" s="381">
        <v>0</v>
      </c>
      <c r="F54" s="381">
        <v>0</v>
      </c>
      <c r="G54" s="410">
        <f t="shared" si="0"/>
        <v>0</v>
      </c>
    </row>
    <row r="55" spans="1:7" ht="18" customHeight="1">
      <c r="A55" s="360" t="s">
        <v>116</v>
      </c>
      <c r="B55" s="381">
        <v>0</v>
      </c>
      <c r="C55" s="381">
        <v>0</v>
      </c>
      <c r="D55" s="381">
        <v>0</v>
      </c>
      <c r="E55" s="381">
        <v>0</v>
      </c>
      <c r="F55" s="381">
        <v>0</v>
      </c>
      <c r="G55" s="410">
        <f t="shared" si="0"/>
        <v>0</v>
      </c>
    </row>
    <row r="56" spans="1:7" ht="18" customHeight="1">
      <c r="A56" s="360" t="s">
        <v>117</v>
      </c>
      <c r="B56" s="381">
        <v>9256746</v>
      </c>
      <c r="C56" s="381">
        <v>8756709</v>
      </c>
      <c r="D56" s="381">
        <v>0</v>
      </c>
      <c r="E56" s="381">
        <v>0</v>
      </c>
      <c r="F56" s="381">
        <v>500037</v>
      </c>
      <c r="G56" s="410">
        <f t="shared" si="0"/>
        <v>0</v>
      </c>
    </row>
    <row r="57" spans="1:7" ht="18" customHeight="1">
      <c r="A57" s="360" t="s">
        <v>118</v>
      </c>
      <c r="B57" s="381">
        <v>37916667</v>
      </c>
      <c r="C57" s="381">
        <v>36791667</v>
      </c>
      <c r="D57" s="381">
        <v>1125000</v>
      </c>
      <c r="E57" s="381">
        <v>0</v>
      </c>
      <c r="F57" s="381">
        <v>0</v>
      </c>
      <c r="G57" s="410">
        <f t="shared" si="0"/>
        <v>0</v>
      </c>
    </row>
    <row r="58" spans="1:7" ht="18" customHeight="1" thickBot="1">
      <c r="A58" s="366" t="s">
        <v>119</v>
      </c>
      <c r="B58" s="381">
        <v>0</v>
      </c>
      <c r="C58" s="381">
        <v>0</v>
      </c>
      <c r="D58" s="381">
        <v>0</v>
      </c>
      <c r="E58" s="381">
        <v>0</v>
      </c>
      <c r="F58" s="381">
        <v>0</v>
      </c>
      <c r="G58" s="410">
        <f>B58-C58-D58-E58-F58</f>
        <v>0</v>
      </c>
    </row>
    <row r="59" spans="1:7" ht="20.25" customHeight="1" thickBot="1">
      <c r="A59" s="411" t="s">
        <v>122</v>
      </c>
      <c r="B59" s="412">
        <f t="shared" ref="B59:G59" si="1">SUM(B8:B58)</f>
        <v>147905193</v>
      </c>
      <c r="C59" s="412">
        <f t="shared" si="1"/>
        <v>127877405</v>
      </c>
      <c r="D59" s="412">
        <f t="shared" si="1"/>
        <v>3899431</v>
      </c>
      <c r="E59" s="412">
        <f t="shared" si="1"/>
        <v>0</v>
      </c>
      <c r="F59" s="412">
        <f t="shared" si="1"/>
        <v>8098267</v>
      </c>
      <c r="G59" s="413">
        <f t="shared" si="1"/>
        <v>8030090</v>
      </c>
    </row>
    <row r="60" spans="1:7" ht="15.75" customHeight="1">
      <c r="A60" s="414"/>
      <c r="B60" s="415"/>
      <c r="C60" s="415"/>
      <c r="D60" s="415"/>
      <c r="E60" s="415"/>
      <c r="F60" s="415"/>
      <c r="G60" s="415"/>
    </row>
    <row r="61" spans="1:7" ht="15.75" customHeight="1">
      <c r="A61" s="414"/>
      <c r="B61" s="415"/>
      <c r="C61" s="415"/>
      <c r="D61" s="415"/>
      <c r="E61" s="415"/>
      <c r="G61" s="415"/>
    </row>
  </sheetData>
  <mergeCells count="3">
    <mergeCell ref="A4:G4"/>
    <mergeCell ref="A5:G5"/>
    <mergeCell ref="A6:G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EA63-3CC7-4CAE-831A-02EDEAA54FDE}">
  <dimension ref="A1:F61"/>
  <sheetViews>
    <sheetView topLeftCell="A40" workbookViewId="0">
      <selection activeCell="L68" sqref="L68"/>
    </sheetView>
  </sheetViews>
  <sheetFormatPr defaultColWidth="9.7265625" defaultRowHeight="15.5"/>
  <cols>
    <col min="1" max="1" width="27" style="1" customWidth="1"/>
    <col min="2" max="6" width="17.26953125" style="1" customWidth="1"/>
    <col min="7" max="16384" width="9.7265625" style="409"/>
  </cols>
  <sheetData>
    <row r="1" spans="1:6" s="1" customFormat="1" ht="16.5" customHeight="1">
      <c r="A1" s="329"/>
      <c r="B1" s="295"/>
      <c r="F1" s="320" t="str">
        <f>[1]Status!C1</f>
        <v>UNEP/OzL.Pro/ExCom/94/3</v>
      </c>
    </row>
    <row r="2" spans="1:6" s="1" customFormat="1" ht="16.5" customHeight="1">
      <c r="A2" s="329"/>
      <c r="B2" s="7"/>
      <c r="F2" s="320" t="s">
        <v>227</v>
      </c>
    </row>
    <row r="3" spans="1:6" s="1" customFormat="1" ht="16.5" customHeight="1">
      <c r="B3" s="7"/>
      <c r="F3" s="320"/>
    </row>
    <row r="4" spans="1:6" s="1" customFormat="1" ht="20.25" customHeight="1">
      <c r="A4" s="321" t="s">
        <v>2</v>
      </c>
      <c r="B4" s="321"/>
      <c r="C4" s="321"/>
      <c r="D4" s="321"/>
      <c r="E4" s="321"/>
      <c r="F4" s="321"/>
    </row>
    <row r="5" spans="1:6" s="1" customFormat="1" ht="20.25" customHeight="1">
      <c r="A5" s="322" t="s">
        <v>225</v>
      </c>
      <c r="B5" s="321"/>
      <c r="C5" s="321"/>
      <c r="D5" s="321"/>
      <c r="E5" s="321"/>
      <c r="F5" s="321"/>
    </row>
    <row r="6" spans="1:6" s="1" customFormat="1" ht="30" customHeight="1" thickBot="1">
      <c r="A6" s="323" t="str">
        <f>[1]Status!A6</f>
        <v>As at 24/05/2024</v>
      </c>
      <c r="B6" s="321"/>
      <c r="C6" s="321"/>
      <c r="D6" s="321"/>
      <c r="E6" s="321"/>
      <c r="F6" s="321"/>
    </row>
    <row r="7" spans="1:6" s="1" customFormat="1" ht="35.25" customHeight="1" thickBot="1">
      <c r="A7" s="298" t="s">
        <v>59</v>
      </c>
      <c r="B7" s="299" t="s">
        <v>60</v>
      </c>
      <c r="C7" s="299" t="s">
        <v>61</v>
      </c>
      <c r="D7" s="299" t="s">
        <v>62</v>
      </c>
      <c r="E7" s="299" t="s">
        <v>63</v>
      </c>
      <c r="F7" s="324" t="s">
        <v>64</v>
      </c>
    </row>
    <row r="8" spans="1:6" ht="18" customHeight="1">
      <c r="A8" s="378" t="s">
        <v>124</v>
      </c>
      <c r="B8" s="407">
        <v>2633990</v>
      </c>
      <c r="C8" s="407">
        <v>2513094</v>
      </c>
      <c r="D8" s="407">
        <v>120896</v>
      </c>
      <c r="E8" s="407">
        <v>0</v>
      </c>
      <c r="F8" s="408">
        <f t="shared" ref="F8:F58" si="0">B8-C8-D8-E8</f>
        <v>0</v>
      </c>
    </row>
    <row r="9" spans="1:6" ht="18" customHeight="1">
      <c r="A9" s="360" t="s">
        <v>217</v>
      </c>
      <c r="B9" s="381">
        <v>1308273</v>
      </c>
      <c r="C9" s="381">
        <v>1308273</v>
      </c>
      <c r="D9" s="381">
        <v>0</v>
      </c>
      <c r="E9" s="381">
        <v>0</v>
      </c>
      <c r="F9" s="410">
        <f t="shared" si="0"/>
        <v>0</v>
      </c>
    </row>
    <row r="10" spans="1:6" ht="18" customHeight="1">
      <c r="A10" s="363" t="s">
        <v>68</v>
      </c>
      <c r="B10" s="381">
        <v>0</v>
      </c>
      <c r="C10" s="381">
        <v>0</v>
      </c>
      <c r="D10" s="381">
        <v>0</v>
      </c>
      <c r="E10" s="381">
        <v>0</v>
      </c>
      <c r="F10" s="410">
        <f t="shared" si="0"/>
        <v>0</v>
      </c>
    </row>
    <row r="11" spans="1:6" ht="18" customHeight="1">
      <c r="A11" s="360" t="s">
        <v>69</v>
      </c>
      <c r="B11" s="381">
        <v>0</v>
      </c>
      <c r="C11" s="381">
        <v>0</v>
      </c>
      <c r="D11" s="381">
        <v>0</v>
      </c>
      <c r="E11" s="381">
        <v>0</v>
      </c>
      <c r="F11" s="410">
        <f t="shared" si="0"/>
        <v>0</v>
      </c>
    </row>
    <row r="12" spans="1:6" ht="18" customHeight="1">
      <c r="A12" s="360" t="s">
        <v>70</v>
      </c>
      <c r="B12" s="381">
        <v>1849026</v>
      </c>
      <c r="C12" s="381">
        <v>1849026</v>
      </c>
      <c r="D12" s="381">
        <v>0</v>
      </c>
      <c r="E12" s="381">
        <v>0</v>
      </c>
      <c r="F12" s="410">
        <f t="shared" si="0"/>
        <v>0</v>
      </c>
    </row>
    <row r="13" spans="1:6" ht="18" customHeight="1">
      <c r="A13" s="360" t="s">
        <v>209</v>
      </c>
      <c r="B13" s="381">
        <v>0</v>
      </c>
      <c r="C13" s="381">
        <v>0</v>
      </c>
      <c r="D13" s="381">
        <v>0</v>
      </c>
      <c r="E13" s="381">
        <v>0</v>
      </c>
      <c r="F13" s="410">
        <f t="shared" si="0"/>
        <v>0</v>
      </c>
    </row>
    <row r="14" spans="1:6" ht="18" customHeight="1">
      <c r="A14" s="360" t="s">
        <v>71</v>
      </c>
      <c r="B14" s="381">
        <v>226767</v>
      </c>
      <c r="C14" s="381">
        <v>226767</v>
      </c>
      <c r="D14" s="381">
        <v>0</v>
      </c>
      <c r="E14" s="381">
        <v>0</v>
      </c>
      <c r="F14" s="410">
        <f t="shared" si="0"/>
        <v>0</v>
      </c>
    </row>
    <row r="15" spans="1:6" ht="18" customHeight="1">
      <c r="A15" s="360" t="s">
        <v>125</v>
      </c>
      <c r="B15" s="381">
        <v>5424973</v>
      </c>
      <c r="C15" s="381">
        <v>5374973</v>
      </c>
      <c r="D15" s="381">
        <v>50000</v>
      </c>
      <c r="E15" s="381">
        <v>0</v>
      </c>
      <c r="F15" s="410">
        <f t="shared" si="0"/>
        <v>0</v>
      </c>
    </row>
    <row r="16" spans="1:6" ht="18" customHeight="1">
      <c r="A16" s="360" t="s">
        <v>74</v>
      </c>
      <c r="B16" s="381">
        <v>34887</v>
      </c>
      <c r="C16" s="381">
        <v>34887</v>
      </c>
      <c r="D16" s="381">
        <v>0</v>
      </c>
      <c r="E16" s="381">
        <v>0</v>
      </c>
      <c r="F16" s="410">
        <f t="shared" si="0"/>
        <v>0</v>
      </c>
    </row>
    <row r="17" spans="1:6" ht="18" customHeight="1">
      <c r="A17" s="360" t="s">
        <v>75</v>
      </c>
      <c r="B17" s="381">
        <v>732633</v>
      </c>
      <c r="C17" s="381">
        <v>732633</v>
      </c>
      <c r="D17" s="381">
        <v>0</v>
      </c>
      <c r="E17" s="381">
        <v>0</v>
      </c>
      <c r="F17" s="410">
        <f t="shared" si="0"/>
        <v>0</v>
      </c>
    </row>
    <row r="18" spans="1:6" ht="18" customHeight="1">
      <c r="A18" s="360" t="s">
        <v>76</v>
      </c>
      <c r="B18" s="381">
        <v>1133837</v>
      </c>
      <c r="C18" s="381">
        <v>928837</v>
      </c>
      <c r="D18" s="381">
        <v>205000</v>
      </c>
      <c r="E18" s="381">
        <v>0</v>
      </c>
      <c r="F18" s="410">
        <f t="shared" si="0"/>
        <v>0</v>
      </c>
    </row>
    <row r="19" spans="1:6" ht="18" customHeight="1">
      <c r="A19" s="360" t="s">
        <v>77</v>
      </c>
      <c r="B19" s="381">
        <v>0</v>
      </c>
      <c r="C19" s="381">
        <v>0</v>
      </c>
      <c r="D19" s="381">
        <v>0</v>
      </c>
      <c r="E19" s="381">
        <v>0</v>
      </c>
      <c r="F19" s="410">
        <f t="shared" si="0"/>
        <v>0</v>
      </c>
    </row>
    <row r="20" spans="1:6" ht="18" customHeight="1">
      <c r="A20" s="360" t="s">
        <v>78</v>
      </c>
      <c r="B20" s="381">
        <v>994288</v>
      </c>
      <c r="C20" s="381">
        <v>994288</v>
      </c>
      <c r="D20" s="381">
        <v>0</v>
      </c>
      <c r="E20" s="381">
        <v>0</v>
      </c>
      <c r="F20" s="410">
        <f t="shared" si="0"/>
        <v>0</v>
      </c>
    </row>
    <row r="21" spans="1:6" ht="18" customHeight="1">
      <c r="A21" s="360" t="s">
        <v>79</v>
      </c>
      <c r="B21" s="381">
        <v>10466186</v>
      </c>
      <c r="C21" s="381">
        <v>10346186</v>
      </c>
      <c r="D21" s="381">
        <v>120000</v>
      </c>
      <c r="E21" s="381">
        <v>0</v>
      </c>
      <c r="F21" s="410">
        <f t="shared" si="0"/>
        <v>0</v>
      </c>
    </row>
    <row r="22" spans="1:6" ht="18" customHeight="1">
      <c r="A22" s="360" t="s">
        <v>210</v>
      </c>
      <c r="B22" s="381">
        <v>0</v>
      </c>
      <c r="C22" s="381">
        <v>0</v>
      </c>
      <c r="D22" s="381">
        <v>0</v>
      </c>
      <c r="E22" s="381">
        <v>0</v>
      </c>
      <c r="F22" s="410">
        <f t="shared" si="0"/>
        <v>0</v>
      </c>
    </row>
    <row r="23" spans="1:6" ht="18" customHeight="1">
      <c r="A23" s="360" t="s">
        <v>80</v>
      </c>
      <c r="B23" s="381">
        <v>15577174</v>
      </c>
      <c r="C23" s="381">
        <v>15577174</v>
      </c>
      <c r="D23" s="381">
        <v>0</v>
      </c>
      <c r="E23" s="381">
        <v>0</v>
      </c>
      <c r="F23" s="410">
        <f t="shared" si="0"/>
        <v>0</v>
      </c>
    </row>
    <row r="24" spans="1:6" ht="18" customHeight="1">
      <c r="A24" s="360" t="s">
        <v>81</v>
      </c>
      <c r="B24" s="381">
        <v>610528</v>
      </c>
      <c r="C24" s="381">
        <v>610528</v>
      </c>
      <c r="D24" s="381">
        <v>0</v>
      </c>
      <c r="E24" s="381">
        <v>0</v>
      </c>
      <c r="F24" s="410">
        <f t="shared" si="0"/>
        <v>0</v>
      </c>
    </row>
    <row r="25" spans="1:6" ht="18" customHeight="1">
      <c r="A25" s="360" t="s">
        <v>83</v>
      </c>
      <c r="B25" s="381">
        <v>313986</v>
      </c>
      <c r="C25" s="381">
        <v>313986</v>
      </c>
      <c r="D25" s="381">
        <v>0</v>
      </c>
      <c r="E25" s="381">
        <v>0</v>
      </c>
      <c r="F25" s="410">
        <f t="shared" si="0"/>
        <v>0</v>
      </c>
    </row>
    <row r="26" spans="1:6" ht="18" customHeight="1">
      <c r="A26" s="360" t="s">
        <v>84</v>
      </c>
      <c r="B26" s="381">
        <v>52331</v>
      </c>
      <c r="C26" s="381">
        <v>52331</v>
      </c>
      <c r="D26" s="381">
        <v>0</v>
      </c>
      <c r="E26" s="381">
        <v>0</v>
      </c>
      <c r="F26" s="410">
        <f t="shared" si="0"/>
        <v>0</v>
      </c>
    </row>
    <row r="27" spans="1:6" ht="18" customHeight="1">
      <c r="A27" s="360" t="s">
        <v>85</v>
      </c>
      <c r="B27" s="381">
        <v>313986</v>
      </c>
      <c r="C27" s="381">
        <v>313986</v>
      </c>
      <c r="D27" s="381">
        <v>0</v>
      </c>
      <c r="E27" s="381">
        <v>0</v>
      </c>
      <c r="F27" s="410">
        <f t="shared" si="0"/>
        <v>0</v>
      </c>
    </row>
    <row r="28" spans="1:6" ht="18" customHeight="1">
      <c r="A28" s="360" t="s">
        <v>86</v>
      </c>
      <c r="B28" s="381">
        <v>401204</v>
      </c>
      <c r="C28" s="381">
        <v>401204</v>
      </c>
      <c r="D28" s="381">
        <v>0</v>
      </c>
      <c r="E28" s="381">
        <v>0</v>
      </c>
      <c r="F28" s="410">
        <f t="shared" si="0"/>
        <v>0</v>
      </c>
    </row>
    <row r="29" spans="1:6" ht="18" customHeight="1">
      <c r="A29" s="360" t="s">
        <v>87</v>
      </c>
      <c r="B29" s="381">
        <v>7483323</v>
      </c>
      <c r="C29" s="381">
        <v>7483323</v>
      </c>
      <c r="D29" s="381">
        <v>0</v>
      </c>
      <c r="E29" s="381">
        <v>0</v>
      </c>
      <c r="F29" s="410">
        <f t="shared" si="0"/>
        <v>0</v>
      </c>
    </row>
    <row r="30" spans="1:6" ht="18" customHeight="1">
      <c r="A30" s="360" t="s">
        <v>88</v>
      </c>
      <c r="B30" s="381">
        <v>21717336</v>
      </c>
      <c r="C30" s="381">
        <v>21717336</v>
      </c>
      <c r="D30" s="381">
        <v>0</v>
      </c>
      <c r="E30" s="381">
        <v>0</v>
      </c>
      <c r="F30" s="410">
        <f t="shared" si="0"/>
        <v>0</v>
      </c>
    </row>
    <row r="31" spans="1:6" ht="18" customHeight="1">
      <c r="A31" s="360" t="s">
        <v>90</v>
      </c>
      <c r="B31" s="381">
        <v>0</v>
      </c>
      <c r="C31" s="381">
        <v>0</v>
      </c>
      <c r="D31" s="381">
        <v>0</v>
      </c>
      <c r="E31" s="381">
        <v>0</v>
      </c>
      <c r="F31" s="410">
        <f t="shared" si="0"/>
        <v>0</v>
      </c>
    </row>
    <row r="32" spans="1:6" ht="18" customHeight="1">
      <c r="A32" s="360" t="s">
        <v>91</v>
      </c>
      <c r="B32" s="381">
        <v>0</v>
      </c>
      <c r="C32" s="381">
        <v>0</v>
      </c>
      <c r="D32" s="381">
        <v>0</v>
      </c>
      <c r="E32" s="381">
        <v>0</v>
      </c>
      <c r="F32" s="410">
        <f t="shared" si="0"/>
        <v>0</v>
      </c>
    </row>
    <row r="33" spans="1:6" ht="18" customHeight="1">
      <c r="A33" s="360" t="s">
        <v>92</v>
      </c>
      <c r="B33" s="381">
        <v>17444</v>
      </c>
      <c r="C33" s="381">
        <v>17444</v>
      </c>
      <c r="D33" s="381">
        <v>0</v>
      </c>
      <c r="E33" s="381">
        <v>0</v>
      </c>
      <c r="F33" s="410">
        <f t="shared" si="0"/>
        <v>0</v>
      </c>
    </row>
    <row r="34" spans="1:6" ht="18" customHeight="1">
      <c r="A34" s="360" t="s">
        <v>93</v>
      </c>
      <c r="B34" s="381">
        <v>0</v>
      </c>
      <c r="C34" s="381">
        <v>0</v>
      </c>
      <c r="D34" s="381">
        <v>0</v>
      </c>
      <c r="E34" s="381">
        <v>0</v>
      </c>
      <c r="F34" s="410">
        <f t="shared" si="0"/>
        <v>0</v>
      </c>
    </row>
    <row r="35" spans="1:6" ht="18" customHeight="1">
      <c r="A35" s="360" t="s">
        <v>94</v>
      </c>
      <c r="B35" s="381">
        <v>104662</v>
      </c>
      <c r="C35" s="381">
        <v>104662</v>
      </c>
      <c r="D35" s="381">
        <v>0</v>
      </c>
      <c r="E35" s="381">
        <v>0</v>
      </c>
      <c r="F35" s="410">
        <f t="shared" si="0"/>
        <v>0</v>
      </c>
    </row>
    <row r="36" spans="1:6" ht="18" customHeight="1">
      <c r="A36" s="360" t="s">
        <v>95</v>
      </c>
      <c r="B36" s="381">
        <v>0</v>
      </c>
      <c r="C36" s="381">
        <v>0</v>
      </c>
      <c r="D36" s="381">
        <v>0</v>
      </c>
      <c r="E36" s="381">
        <v>0</v>
      </c>
      <c r="F36" s="410">
        <f t="shared" si="0"/>
        <v>0</v>
      </c>
    </row>
    <row r="37" spans="1:6" ht="18" customHeight="1">
      <c r="A37" s="360" t="s">
        <v>96</v>
      </c>
      <c r="B37" s="381">
        <v>17444</v>
      </c>
      <c r="C37" s="381">
        <v>17444</v>
      </c>
      <c r="D37" s="381">
        <v>0</v>
      </c>
      <c r="E37" s="381">
        <v>0</v>
      </c>
      <c r="F37" s="410">
        <f t="shared" si="0"/>
        <v>0</v>
      </c>
    </row>
    <row r="38" spans="1:6" ht="18" customHeight="1">
      <c r="A38" s="360" t="s">
        <v>97</v>
      </c>
      <c r="B38" s="381">
        <v>2616547</v>
      </c>
      <c r="C38" s="381">
        <v>2616547</v>
      </c>
      <c r="D38" s="381">
        <v>0</v>
      </c>
      <c r="E38" s="381">
        <v>0</v>
      </c>
      <c r="F38" s="410">
        <f t="shared" si="0"/>
        <v>0</v>
      </c>
    </row>
    <row r="39" spans="1:6" ht="18" customHeight="1">
      <c r="A39" s="360" t="s">
        <v>98</v>
      </c>
      <c r="B39" s="381">
        <v>418647</v>
      </c>
      <c r="C39" s="381">
        <v>418647</v>
      </c>
      <c r="D39" s="381">
        <v>0</v>
      </c>
      <c r="E39" s="381">
        <v>0</v>
      </c>
      <c r="F39" s="410">
        <f t="shared" si="0"/>
        <v>0</v>
      </c>
    </row>
    <row r="40" spans="1:6" ht="18" customHeight="1">
      <c r="A40" s="360" t="s">
        <v>99</v>
      </c>
      <c r="B40" s="381">
        <v>959400</v>
      </c>
      <c r="C40" s="381">
        <v>959400</v>
      </c>
      <c r="D40" s="381">
        <v>0</v>
      </c>
      <c r="E40" s="381">
        <v>0</v>
      </c>
      <c r="F40" s="410">
        <f t="shared" si="0"/>
        <v>0</v>
      </c>
    </row>
    <row r="41" spans="1:6" ht="18" customHeight="1">
      <c r="A41" s="360" t="s">
        <v>100</v>
      </c>
      <c r="B41" s="381">
        <v>0</v>
      </c>
      <c r="C41" s="381">
        <v>0</v>
      </c>
      <c r="D41" s="381">
        <v>0</v>
      </c>
      <c r="E41" s="381">
        <v>0</v>
      </c>
      <c r="F41" s="410">
        <f t="shared" si="0"/>
        <v>0</v>
      </c>
    </row>
    <row r="42" spans="1:6" ht="18" customHeight="1">
      <c r="A42" s="360" t="s">
        <v>101</v>
      </c>
      <c r="B42" s="381">
        <v>0</v>
      </c>
      <c r="C42" s="381">
        <v>0</v>
      </c>
      <c r="D42" s="381">
        <v>0</v>
      </c>
      <c r="E42" s="381">
        <v>0</v>
      </c>
      <c r="F42" s="410">
        <f t="shared" si="0"/>
        <v>0</v>
      </c>
    </row>
    <row r="43" spans="1:6" ht="18" customHeight="1">
      <c r="A43" s="360" t="s">
        <v>102</v>
      </c>
      <c r="B43" s="381">
        <v>348873</v>
      </c>
      <c r="C43" s="381">
        <v>348873</v>
      </c>
      <c r="D43" s="381">
        <v>0</v>
      </c>
      <c r="E43" s="381">
        <v>0</v>
      </c>
      <c r="F43" s="410">
        <f t="shared" si="0"/>
        <v>0</v>
      </c>
    </row>
    <row r="44" spans="1:6" ht="18" customHeight="1">
      <c r="A44" s="360" t="s">
        <v>104</v>
      </c>
      <c r="B44" s="381">
        <v>11704685</v>
      </c>
      <c r="C44" s="381">
        <v>0</v>
      </c>
      <c r="D44" s="381">
        <v>0</v>
      </c>
      <c r="E44" s="381">
        <v>0</v>
      </c>
      <c r="F44" s="410">
        <f t="shared" si="0"/>
        <v>11704685</v>
      </c>
    </row>
    <row r="45" spans="1:6" ht="18" customHeight="1">
      <c r="A45" s="360" t="s">
        <v>106</v>
      </c>
      <c r="B45" s="381">
        <v>0</v>
      </c>
      <c r="C45" s="381">
        <v>0</v>
      </c>
      <c r="D45" s="381">
        <v>0</v>
      </c>
      <c r="E45" s="381">
        <v>0</v>
      </c>
      <c r="F45" s="410">
        <f t="shared" si="0"/>
        <v>0</v>
      </c>
    </row>
    <row r="46" spans="1:6" ht="18" customHeight="1">
      <c r="A46" s="378" t="s">
        <v>211</v>
      </c>
      <c r="B46" s="381">
        <v>226767</v>
      </c>
      <c r="C46" s="381">
        <v>226767</v>
      </c>
      <c r="D46" s="381">
        <v>0</v>
      </c>
      <c r="E46" s="381">
        <v>0</v>
      </c>
      <c r="F46" s="410">
        <f t="shared" si="0"/>
        <v>0</v>
      </c>
    </row>
    <row r="47" spans="1:6" ht="18" customHeight="1">
      <c r="A47" s="360" t="s">
        <v>108</v>
      </c>
      <c r="B47" s="381">
        <v>0</v>
      </c>
      <c r="C47" s="381">
        <v>0</v>
      </c>
      <c r="D47" s="381">
        <v>0</v>
      </c>
      <c r="E47" s="381">
        <v>0</v>
      </c>
      <c r="F47" s="410">
        <f t="shared" si="0"/>
        <v>0</v>
      </c>
    </row>
    <row r="48" spans="1:6" ht="18" customHeight="1">
      <c r="A48" s="360" t="s">
        <v>109</v>
      </c>
      <c r="B48" s="381">
        <v>715189</v>
      </c>
      <c r="C48" s="381">
        <v>715189</v>
      </c>
      <c r="D48" s="381">
        <v>0</v>
      </c>
      <c r="E48" s="381">
        <v>0</v>
      </c>
      <c r="F48" s="410">
        <f t="shared" si="0"/>
        <v>0</v>
      </c>
    </row>
    <row r="49" spans="1:6" ht="18" customHeight="1">
      <c r="A49" s="360" t="s">
        <v>110</v>
      </c>
      <c r="B49" s="381">
        <v>3453841</v>
      </c>
      <c r="C49" s="381">
        <v>3453841</v>
      </c>
      <c r="D49" s="381">
        <v>0</v>
      </c>
      <c r="E49" s="381">
        <v>0</v>
      </c>
      <c r="F49" s="410">
        <f t="shared" si="0"/>
        <v>0</v>
      </c>
    </row>
    <row r="50" spans="1:6" ht="18" customHeight="1">
      <c r="A50" s="360" t="s">
        <v>111</v>
      </c>
      <c r="B50" s="381">
        <v>1936244</v>
      </c>
      <c r="C50" s="381">
        <v>1936244</v>
      </c>
      <c r="D50" s="381">
        <v>0</v>
      </c>
      <c r="E50" s="381">
        <v>0</v>
      </c>
      <c r="F50" s="410">
        <f t="shared" si="0"/>
        <v>0</v>
      </c>
    </row>
    <row r="51" spans="1:6" ht="18" customHeight="1">
      <c r="A51" s="360" t="s">
        <v>112</v>
      </c>
      <c r="B51" s="381">
        <v>1936244</v>
      </c>
      <c r="C51" s="381">
        <v>1936244</v>
      </c>
      <c r="D51" s="381">
        <v>0</v>
      </c>
      <c r="E51" s="381">
        <v>0</v>
      </c>
      <c r="F51" s="410">
        <f t="shared" si="0"/>
        <v>0</v>
      </c>
    </row>
    <row r="52" spans="1:6" ht="18" customHeight="1">
      <c r="A52" s="360" t="s">
        <v>113</v>
      </c>
      <c r="B52" s="381">
        <v>0</v>
      </c>
      <c r="C52" s="381">
        <v>0</v>
      </c>
      <c r="D52" s="381">
        <v>0</v>
      </c>
      <c r="E52" s="381">
        <v>0</v>
      </c>
      <c r="F52" s="410">
        <f t="shared" si="0"/>
        <v>0</v>
      </c>
    </row>
    <row r="53" spans="1:6" ht="18" customHeight="1">
      <c r="A53" s="360" t="s">
        <v>181</v>
      </c>
      <c r="B53" s="381">
        <v>0</v>
      </c>
      <c r="C53" s="381">
        <v>0</v>
      </c>
      <c r="D53" s="381">
        <v>0</v>
      </c>
      <c r="E53" s="381">
        <v>0</v>
      </c>
      <c r="F53" s="410">
        <f t="shared" si="0"/>
        <v>0</v>
      </c>
    </row>
    <row r="54" spans="1:6" ht="18" customHeight="1">
      <c r="A54" s="360" t="s">
        <v>115</v>
      </c>
      <c r="B54" s="381">
        <v>0</v>
      </c>
      <c r="C54" s="381">
        <v>0</v>
      </c>
      <c r="D54" s="381">
        <v>0</v>
      </c>
      <c r="E54" s="381">
        <v>0</v>
      </c>
      <c r="F54" s="410">
        <f t="shared" si="0"/>
        <v>0</v>
      </c>
    </row>
    <row r="55" spans="1:6" ht="18" customHeight="1">
      <c r="A55" s="360" t="s">
        <v>116</v>
      </c>
      <c r="B55" s="381">
        <v>0</v>
      </c>
      <c r="C55" s="381">
        <v>0</v>
      </c>
      <c r="D55" s="381">
        <v>0</v>
      </c>
      <c r="E55" s="381">
        <v>0</v>
      </c>
      <c r="F55" s="410">
        <f t="shared" si="0"/>
        <v>0</v>
      </c>
    </row>
    <row r="56" spans="1:6" ht="18" customHeight="1">
      <c r="A56" s="360" t="s">
        <v>117</v>
      </c>
      <c r="B56" s="381">
        <v>8756709</v>
      </c>
      <c r="C56" s="381">
        <v>8756709</v>
      </c>
      <c r="D56" s="381">
        <v>0</v>
      </c>
      <c r="E56" s="381">
        <v>0</v>
      </c>
      <c r="F56" s="410">
        <f t="shared" si="0"/>
        <v>0</v>
      </c>
    </row>
    <row r="57" spans="1:6" ht="18" customHeight="1">
      <c r="A57" s="360" t="s">
        <v>118</v>
      </c>
      <c r="B57" s="381">
        <v>37916667</v>
      </c>
      <c r="C57" s="381">
        <v>35070365</v>
      </c>
      <c r="D57" s="381">
        <v>2846302</v>
      </c>
      <c r="E57" s="381">
        <v>0</v>
      </c>
      <c r="F57" s="410">
        <f t="shared" si="0"/>
        <v>0</v>
      </c>
    </row>
    <row r="58" spans="1:6" ht="18" customHeight="1" thickBot="1">
      <c r="A58" s="366" t="s">
        <v>119</v>
      </c>
      <c r="B58" s="381">
        <v>0</v>
      </c>
      <c r="C58" s="381">
        <v>0</v>
      </c>
      <c r="D58" s="381">
        <v>0</v>
      </c>
      <c r="E58" s="381">
        <v>0</v>
      </c>
      <c r="F58" s="410">
        <f t="shared" si="0"/>
        <v>0</v>
      </c>
    </row>
    <row r="59" spans="1:6" ht="20.25" customHeight="1" thickBot="1">
      <c r="A59" s="411" t="s">
        <v>122</v>
      </c>
      <c r="B59" s="412">
        <f>SUM(B8:B58)</f>
        <v>142404091</v>
      </c>
      <c r="C59" s="412">
        <f>SUM(C8:C58)</f>
        <v>127357208</v>
      </c>
      <c r="D59" s="412">
        <f>SUM(D8:D58)</f>
        <v>3342198</v>
      </c>
      <c r="E59" s="412">
        <f>SUM(E8:E58)</f>
        <v>0</v>
      </c>
      <c r="F59" s="413">
        <f>SUM(F8:F58)</f>
        <v>11704685</v>
      </c>
    </row>
    <row r="60" spans="1:6" ht="15.75" customHeight="1">
      <c r="A60" s="416"/>
      <c r="B60" s="415"/>
      <c r="C60" s="415"/>
      <c r="D60" s="415"/>
      <c r="E60" s="415"/>
      <c r="F60" s="415"/>
    </row>
    <row r="61" spans="1:6" ht="15.75" customHeight="1">
      <c r="A61" s="417"/>
      <c r="F61" s="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90B2-6A3B-4ECA-BB6A-6BB6D0A051D0}">
  <dimension ref="A1:F61"/>
  <sheetViews>
    <sheetView topLeftCell="A40" workbookViewId="0">
      <selection activeCell="L68" sqref="L68"/>
    </sheetView>
  </sheetViews>
  <sheetFormatPr defaultColWidth="9.7265625" defaultRowHeight="15.5"/>
  <cols>
    <col min="1" max="1" width="27" style="1" customWidth="1"/>
    <col min="2" max="6" width="17.26953125" style="1" customWidth="1"/>
    <col min="7" max="16384" width="9.7265625" style="409"/>
  </cols>
  <sheetData>
    <row r="1" spans="1:6" s="1" customFormat="1" ht="16.5" customHeight="1">
      <c r="A1" s="329" t="str">
        <f>[1]Status!C1</f>
        <v>UNEP/OzL.Pro/ExCom/94/3</v>
      </c>
      <c r="B1" s="295"/>
      <c r="F1" s="320"/>
    </row>
    <row r="2" spans="1:6" s="1" customFormat="1" ht="16.5" customHeight="1">
      <c r="A2" s="329" t="s">
        <v>241</v>
      </c>
      <c r="B2" s="7"/>
      <c r="F2" s="320"/>
    </row>
    <row r="3" spans="1:6" s="1" customFormat="1" ht="16.5" customHeight="1">
      <c r="B3" s="7"/>
      <c r="F3" s="320"/>
    </row>
    <row r="4" spans="1:6" s="1" customFormat="1" ht="20.25" customHeight="1">
      <c r="A4" s="321" t="s">
        <v>2</v>
      </c>
      <c r="B4" s="321"/>
      <c r="C4" s="321"/>
      <c r="D4" s="321"/>
      <c r="E4" s="321"/>
      <c r="F4" s="321"/>
    </row>
    <row r="5" spans="1:6" s="1" customFormat="1" ht="20.25" customHeight="1">
      <c r="A5" s="322" t="s">
        <v>226</v>
      </c>
      <c r="B5" s="321"/>
      <c r="C5" s="321"/>
      <c r="D5" s="321"/>
      <c r="E5" s="321"/>
      <c r="F5" s="321"/>
    </row>
    <row r="6" spans="1:6" s="1" customFormat="1" ht="30" customHeight="1" thickBot="1">
      <c r="A6" s="323" t="str">
        <f>[1]Status!A6</f>
        <v>As at 24/05/2024</v>
      </c>
      <c r="B6" s="321"/>
      <c r="C6" s="321"/>
      <c r="D6" s="321"/>
      <c r="E6" s="321"/>
      <c r="F6" s="321"/>
    </row>
    <row r="7" spans="1:6" s="1" customFormat="1" ht="35.25" customHeight="1" thickBot="1">
      <c r="A7" s="298" t="s">
        <v>59</v>
      </c>
      <c r="B7" s="299" t="s">
        <v>60</v>
      </c>
      <c r="C7" s="299" t="s">
        <v>61</v>
      </c>
      <c r="D7" s="299" t="s">
        <v>62</v>
      </c>
      <c r="E7" s="299" t="s">
        <v>63</v>
      </c>
      <c r="F7" s="324" t="s">
        <v>64</v>
      </c>
    </row>
    <row r="8" spans="1:6" ht="18" customHeight="1">
      <c r="A8" s="378" t="s">
        <v>124</v>
      </c>
      <c r="B8" s="407">
        <v>2633990</v>
      </c>
      <c r="C8" s="407">
        <v>2567190</v>
      </c>
      <c r="D8" s="407">
        <v>66800</v>
      </c>
      <c r="E8" s="407">
        <v>0</v>
      </c>
      <c r="F8" s="408">
        <f t="shared" ref="F8:F58" si="0">B8-C8-D8-E8</f>
        <v>0</v>
      </c>
    </row>
    <row r="9" spans="1:6" ht="18" customHeight="1">
      <c r="A9" s="360" t="s">
        <v>217</v>
      </c>
      <c r="B9" s="381">
        <v>1308273</v>
      </c>
      <c r="C9" s="381">
        <v>1308273</v>
      </c>
      <c r="D9" s="381">
        <v>0</v>
      </c>
      <c r="E9" s="381">
        <v>0</v>
      </c>
      <c r="F9" s="410">
        <f t="shared" si="0"/>
        <v>0</v>
      </c>
    </row>
    <row r="10" spans="1:6" ht="18" customHeight="1">
      <c r="A10" s="363" t="s">
        <v>68</v>
      </c>
      <c r="B10" s="381">
        <v>0</v>
      </c>
      <c r="C10" s="381">
        <v>0</v>
      </c>
      <c r="D10" s="381">
        <v>0</v>
      </c>
      <c r="E10" s="381">
        <v>0</v>
      </c>
      <c r="F10" s="410">
        <f t="shared" si="0"/>
        <v>0</v>
      </c>
    </row>
    <row r="11" spans="1:6" ht="18" customHeight="1">
      <c r="A11" s="360" t="s">
        <v>69</v>
      </c>
      <c r="B11" s="381">
        <v>0</v>
      </c>
      <c r="C11" s="381">
        <v>0</v>
      </c>
      <c r="D11" s="381">
        <v>0</v>
      </c>
      <c r="E11" s="381">
        <v>0</v>
      </c>
      <c r="F11" s="410">
        <f t="shared" si="0"/>
        <v>0</v>
      </c>
    </row>
    <row r="12" spans="1:6" ht="18" customHeight="1">
      <c r="A12" s="360" t="s">
        <v>70</v>
      </c>
      <c r="B12" s="381">
        <v>1849026</v>
      </c>
      <c r="C12" s="381">
        <v>1849026</v>
      </c>
      <c r="D12" s="381">
        <v>0</v>
      </c>
      <c r="E12" s="381">
        <v>0</v>
      </c>
      <c r="F12" s="410">
        <f t="shared" si="0"/>
        <v>0</v>
      </c>
    </row>
    <row r="13" spans="1:6" ht="18" customHeight="1">
      <c r="A13" s="360" t="s">
        <v>209</v>
      </c>
      <c r="B13" s="381">
        <v>0</v>
      </c>
      <c r="C13" s="381">
        <v>0</v>
      </c>
      <c r="D13" s="381">
        <v>0</v>
      </c>
      <c r="E13" s="381">
        <v>0</v>
      </c>
      <c r="F13" s="410">
        <f t="shared" si="0"/>
        <v>0</v>
      </c>
    </row>
    <row r="14" spans="1:6" ht="18" customHeight="1">
      <c r="A14" s="360" t="s">
        <v>71</v>
      </c>
      <c r="B14" s="381">
        <v>226767</v>
      </c>
      <c r="C14" s="381">
        <v>226767</v>
      </c>
      <c r="D14" s="381">
        <v>0</v>
      </c>
      <c r="E14" s="381">
        <v>0</v>
      </c>
      <c r="F14" s="410">
        <f t="shared" si="0"/>
        <v>0</v>
      </c>
    </row>
    <row r="15" spans="1:6" ht="18" customHeight="1">
      <c r="A15" s="360" t="s">
        <v>125</v>
      </c>
      <c r="B15" s="381">
        <v>5424973</v>
      </c>
      <c r="C15" s="381">
        <v>4888703</v>
      </c>
      <c r="D15" s="381">
        <v>536270</v>
      </c>
      <c r="E15" s="381">
        <v>0</v>
      </c>
      <c r="F15" s="410">
        <f t="shared" si="0"/>
        <v>0</v>
      </c>
    </row>
    <row r="16" spans="1:6" ht="18" customHeight="1">
      <c r="A16" s="360" t="s">
        <v>74</v>
      </c>
      <c r="B16" s="381">
        <v>34887</v>
      </c>
      <c r="C16" s="381">
        <v>34887</v>
      </c>
      <c r="D16" s="381">
        <v>0</v>
      </c>
      <c r="E16" s="381">
        <v>0</v>
      </c>
      <c r="F16" s="410">
        <f t="shared" si="0"/>
        <v>0</v>
      </c>
    </row>
    <row r="17" spans="1:6" ht="18" customHeight="1">
      <c r="A17" s="360" t="s">
        <v>75</v>
      </c>
      <c r="B17" s="381">
        <v>732633</v>
      </c>
      <c r="C17" s="381">
        <v>732633</v>
      </c>
      <c r="D17" s="381">
        <v>0</v>
      </c>
      <c r="E17" s="381">
        <v>0</v>
      </c>
      <c r="F17" s="410">
        <f t="shared" si="0"/>
        <v>0</v>
      </c>
    </row>
    <row r="18" spans="1:6" ht="18" customHeight="1">
      <c r="A18" s="360" t="s">
        <v>76</v>
      </c>
      <c r="B18" s="381">
        <v>1133837</v>
      </c>
      <c r="C18" s="381">
        <v>1133837</v>
      </c>
      <c r="D18" s="381">
        <v>0</v>
      </c>
      <c r="E18" s="381">
        <v>0</v>
      </c>
      <c r="F18" s="410">
        <f t="shared" si="0"/>
        <v>0</v>
      </c>
    </row>
    <row r="19" spans="1:6" ht="18" customHeight="1">
      <c r="A19" s="360" t="s">
        <v>77</v>
      </c>
      <c r="B19" s="381">
        <v>0</v>
      </c>
      <c r="C19" s="381">
        <v>0</v>
      </c>
      <c r="D19" s="381">
        <v>0</v>
      </c>
      <c r="E19" s="381">
        <v>0</v>
      </c>
      <c r="F19" s="410">
        <f t="shared" si="0"/>
        <v>0</v>
      </c>
    </row>
    <row r="20" spans="1:6" ht="18" customHeight="1">
      <c r="A20" s="360" t="s">
        <v>78</v>
      </c>
      <c r="B20" s="381">
        <v>994288</v>
      </c>
      <c r="C20" s="381">
        <v>994288</v>
      </c>
      <c r="D20" s="381">
        <v>0</v>
      </c>
      <c r="E20" s="381">
        <v>0</v>
      </c>
      <c r="F20" s="410">
        <f t="shared" si="0"/>
        <v>0</v>
      </c>
    </row>
    <row r="21" spans="1:6" ht="18" customHeight="1">
      <c r="A21" s="360" t="s">
        <v>79</v>
      </c>
      <c r="B21" s="381">
        <v>10466186</v>
      </c>
      <c r="C21" s="381">
        <f>10222755+22664</f>
        <v>10245419</v>
      </c>
      <c r="D21" s="381">
        <f>243431-22664</f>
        <v>220767</v>
      </c>
      <c r="E21" s="381">
        <v>0</v>
      </c>
      <c r="F21" s="410">
        <f t="shared" si="0"/>
        <v>0</v>
      </c>
    </row>
    <row r="22" spans="1:6" ht="18" customHeight="1">
      <c r="A22" s="360" t="s">
        <v>210</v>
      </c>
      <c r="B22" s="381">
        <v>0</v>
      </c>
      <c r="C22" s="381">
        <v>0</v>
      </c>
      <c r="D22" s="381">
        <v>0</v>
      </c>
      <c r="E22" s="381">
        <v>0</v>
      </c>
      <c r="F22" s="410">
        <f t="shared" si="0"/>
        <v>0</v>
      </c>
    </row>
    <row r="23" spans="1:6" ht="18" customHeight="1">
      <c r="A23" s="360" t="s">
        <v>80</v>
      </c>
      <c r="B23" s="381">
        <v>15577174</v>
      </c>
      <c r="C23" s="381">
        <v>14240256</v>
      </c>
      <c r="D23" s="381">
        <v>1336918</v>
      </c>
      <c r="E23" s="381">
        <v>0</v>
      </c>
      <c r="F23" s="410">
        <f t="shared" si="0"/>
        <v>0</v>
      </c>
    </row>
    <row r="24" spans="1:6" ht="18" customHeight="1">
      <c r="A24" s="360" t="s">
        <v>81</v>
      </c>
      <c r="B24" s="381">
        <v>610528</v>
      </c>
      <c r="C24" s="381">
        <v>610528</v>
      </c>
      <c r="D24" s="381">
        <v>0</v>
      </c>
      <c r="E24" s="381">
        <v>0</v>
      </c>
      <c r="F24" s="410">
        <f t="shared" si="0"/>
        <v>0</v>
      </c>
    </row>
    <row r="25" spans="1:6" ht="18" customHeight="1">
      <c r="A25" s="360" t="s">
        <v>83</v>
      </c>
      <c r="B25" s="381">
        <v>313986</v>
      </c>
      <c r="C25" s="381">
        <v>313986</v>
      </c>
      <c r="D25" s="381">
        <v>0</v>
      </c>
      <c r="E25" s="381">
        <v>0</v>
      </c>
      <c r="F25" s="410">
        <f t="shared" si="0"/>
        <v>0</v>
      </c>
    </row>
    <row r="26" spans="1:6" ht="18" customHeight="1">
      <c r="A26" s="360" t="s">
        <v>84</v>
      </c>
      <c r="B26" s="381">
        <v>52331</v>
      </c>
      <c r="C26" s="381">
        <v>52331</v>
      </c>
      <c r="D26" s="381">
        <v>0</v>
      </c>
      <c r="E26" s="381">
        <v>0</v>
      </c>
      <c r="F26" s="410">
        <f t="shared" si="0"/>
        <v>0</v>
      </c>
    </row>
    <row r="27" spans="1:6" ht="18" customHeight="1">
      <c r="A27" s="360" t="s">
        <v>85</v>
      </c>
      <c r="B27" s="381">
        <v>313986</v>
      </c>
      <c r="C27" s="381">
        <v>313986</v>
      </c>
      <c r="D27" s="381">
        <v>0</v>
      </c>
      <c r="E27" s="381">
        <v>0</v>
      </c>
      <c r="F27" s="410">
        <f t="shared" si="0"/>
        <v>0</v>
      </c>
    </row>
    <row r="28" spans="1:6" ht="18" customHeight="1">
      <c r="A28" s="360" t="s">
        <v>86</v>
      </c>
      <c r="B28" s="381">
        <v>401204</v>
      </c>
      <c r="C28" s="381">
        <v>401204</v>
      </c>
      <c r="D28" s="381">
        <v>0</v>
      </c>
      <c r="E28" s="381">
        <v>0</v>
      </c>
      <c r="F28" s="410">
        <f t="shared" si="0"/>
        <v>0</v>
      </c>
    </row>
    <row r="29" spans="1:6" ht="18" customHeight="1">
      <c r="A29" s="360" t="s">
        <v>87</v>
      </c>
      <c r="B29" s="381">
        <v>7483323</v>
      </c>
      <c r="C29" s="381">
        <v>7483323</v>
      </c>
      <c r="D29" s="381">
        <v>0</v>
      </c>
      <c r="E29" s="381">
        <v>0</v>
      </c>
      <c r="F29" s="410">
        <f t="shared" si="0"/>
        <v>0</v>
      </c>
    </row>
    <row r="30" spans="1:6" ht="18" customHeight="1">
      <c r="A30" s="360" t="s">
        <v>88</v>
      </c>
      <c r="B30" s="381">
        <v>21717336</v>
      </c>
      <c r="C30" s="381">
        <v>21717336</v>
      </c>
      <c r="D30" s="381">
        <v>0</v>
      </c>
      <c r="E30" s="381">
        <v>0</v>
      </c>
      <c r="F30" s="410">
        <f t="shared" si="0"/>
        <v>0</v>
      </c>
    </row>
    <row r="31" spans="1:6" ht="18" customHeight="1">
      <c r="A31" s="360" t="s">
        <v>90</v>
      </c>
      <c r="B31" s="381">
        <v>0</v>
      </c>
      <c r="C31" s="381">
        <v>0</v>
      </c>
      <c r="D31" s="381">
        <v>0</v>
      </c>
      <c r="E31" s="381">
        <v>0</v>
      </c>
      <c r="F31" s="410">
        <f t="shared" si="0"/>
        <v>0</v>
      </c>
    </row>
    <row r="32" spans="1:6" ht="18" customHeight="1">
      <c r="A32" s="360" t="s">
        <v>91</v>
      </c>
      <c r="B32" s="381">
        <v>0</v>
      </c>
      <c r="C32" s="381">
        <v>0</v>
      </c>
      <c r="D32" s="381">
        <v>0</v>
      </c>
      <c r="E32" s="381">
        <v>0</v>
      </c>
      <c r="F32" s="410">
        <f t="shared" si="0"/>
        <v>0</v>
      </c>
    </row>
    <row r="33" spans="1:6" ht="18" customHeight="1">
      <c r="A33" s="360" t="s">
        <v>92</v>
      </c>
      <c r="B33" s="381">
        <v>17444</v>
      </c>
      <c r="C33" s="381">
        <v>17444</v>
      </c>
      <c r="D33" s="381">
        <v>0</v>
      </c>
      <c r="E33" s="381">
        <v>0</v>
      </c>
      <c r="F33" s="410">
        <f t="shared" si="0"/>
        <v>0</v>
      </c>
    </row>
    <row r="34" spans="1:6" ht="18" customHeight="1">
      <c r="A34" s="360" t="s">
        <v>93</v>
      </c>
      <c r="B34" s="381">
        <v>0</v>
      </c>
      <c r="C34" s="381">
        <v>0</v>
      </c>
      <c r="D34" s="381">
        <v>0</v>
      </c>
      <c r="E34" s="381">
        <v>0</v>
      </c>
      <c r="F34" s="410">
        <f t="shared" si="0"/>
        <v>0</v>
      </c>
    </row>
    <row r="35" spans="1:6" ht="18" customHeight="1">
      <c r="A35" s="360" t="s">
        <v>94</v>
      </c>
      <c r="B35" s="381">
        <v>104662</v>
      </c>
      <c r="C35" s="381">
        <v>104662</v>
      </c>
      <c r="D35" s="381">
        <v>0</v>
      </c>
      <c r="E35" s="381">
        <v>0</v>
      </c>
      <c r="F35" s="410">
        <f t="shared" si="0"/>
        <v>0</v>
      </c>
    </row>
    <row r="36" spans="1:6" ht="18" customHeight="1">
      <c r="A36" s="360" t="s">
        <v>95</v>
      </c>
      <c r="B36" s="381">
        <v>0</v>
      </c>
      <c r="C36" s="381">
        <v>0</v>
      </c>
      <c r="D36" s="381">
        <v>0</v>
      </c>
      <c r="E36" s="381">
        <v>0</v>
      </c>
      <c r="F36" s="410">
        <f t="shared" si="0"/>
        <v>0</v>
      </c>
    </row>
    <row r="37" spans="1:6" ht="18" customHeight="1">
      <c r="A37" s="360" t="s">
        <v>96</v>
      </c>
      <c r="B37" s="381">
        <v>17444</v>
      </c>
      <c r="C37" s="381">
        <v>17444</v>
      </c>
      <c r="D37" s="381">
        <v>0</v>
      </c>
      <c r="E37" s="381">
        <v>0</v>
      </c>
      <c r="F37" s="410">
        <f t="shared" si="0"/>
        <v>0</v>
      </c>
    </row>
    <row r="38" spans="1:6" ht="18" customHeight="1">
      <c r="A38" s="360" t="s">
        <v>97</v>
      </c>
      <c r="B38" s="381">
        <v>2616547</v>
      </c>
      <c r="C38" s="381">
        <v>2616547</v>
      </c>
      <c r="D38" s="381">
        <v>0</v>
      </c>
      <c r="E38" s="381">
        <v>0</v>
      </c>
      <c r="F38" s="410">
        <f t="shared" si="0"/>
        <v>0</v>
      </c>
    </row>
    <row r="39" spans="1:6" ht="18" customHeight="1">
      <c r="A39" s="360" t="s">
        <v>98</v>
      </c>
      <c r="B39" s="381">
        <v>418647</v>
      </c>
      <c r="C39" s="381">
        <v>418647</v>
      </c>
      <c r="D39" s="381">
        <v>0</v>
      </c>
      <c r="E39" s="381">
        <v>0</v>
      </c>
      <c r="F39" s="410">
        <f t="shared" si="0"/>
        <v>0</v>
      </c>
    </row>
    <row r="40" spans="1:6" ht="18" customHeight="1">
      <c r="A40" s="360" t="s">
        <v>99</v>
      </c>
      <c r="B40" s="381">
        <v>959400</v>
      </c>
      <c r="C40" s="381">
        <v>959400</v>
      </c>
      <c r="D40" s="381">
        <v>0</v>
      </c>
      <c r="E40" s="381">
        <v>0</v>
      </c>
      <c r="F40" s="410">
        <f t="shared" si="0"/>
        <v>0</v>
      </c>
    </row>
    <row r="41" spans="1:6" ht="18" customHeight="1">
      <c r="A41" s="360" t="s">
        <v>100</v>
      </c>
      <c r="B41" s="381">
        <v>16915</v>
      </c>
      <c r="C41" s="381">
        <v>16915</v>
      </c>
      <c r="D41" s="381">
        <v>0</v>
      </c>
      <c r="E41" s="381">
        <v>0</v>
      </c>
      <c r="F41" s="410">
        <f t="shared" si="0"/>
        <v>0</v>
      </c>
    </row>
    <row r="42" spans="1:6" ht="18" customHeight="1">
      <c r="A42" s="360" t="s">
        <v>101</v>
      </c>
      <c r="B42" s="381">
        <v>0</v>
      </c>
      <c r="C42" s="381">
        <v>0</v>
      </c>
      <c r="D42" s="381">
        <v>0</v>
      </c>
      <c r="E42" s="381">
        <v>0</v>
      </c>
      <c r="F42" s="410">
        <f t="shared" si="0"/>
        <v>0</v>
      </c>
    </row>
    <row r="43" spans="1:6" ht="18" customHeight="1">
      <c r="A43" s="360" t="s">
        <v>102</v>
      </c>
      <c r="B43" s="381">
        <v>348873</v>
      </c>
      <c r="C43" s="381">
        <v>348873</v>
      </c>
      <c r="D43" s="381">
        <v>0</v>
      </c>
      <c r="E43" s="381">
        <v>0</v>
      </c>
      <c r="F43" s="410">
        <f t="shared" si="0"/>
        <v>0</v>
      </c>
    </row>
    <row r="44" spans="1:6" ht="18" customHeight="1">
      <c r="A44" s="360" t="s">
        <v>104</v>
      </c>
      <c r="B44" s="381">
        <v>11704685</v>
      </c>
      <c r="C44" s="381">
        <v>0</v>
      </c>
      <c r="D44" s="381">
        <v>0</v>
      </c>
      <c r="E44" s="381">
        <v>0</v>
      </c>
      <c r="F44" s="410">
        <f t="shared" si="0"/>
        <v>11704685</v>
      </c>
    </row>
    <row r="45" spans="1:6" ht="18" customHeight="1">
      <c r="A45" s="360" t="s">
        <v>106</v>
      </c>
      <c r="B45" s="381">
        <v>209324</v>
      </c>
      <c r="C45" s="381">
        <v>169324</v>
      </c>
      <c r="D45" s="381">
        <v>40000</v>
      </c>
      <c r="E45" s="381">
        <v>0</v>
      </c>
      <c r="F45" s="410">
        <f t="shared" si="0"/>
        <v>0</v>
      </c>
    </row>
    <row r="46" spans="1:6" ht="18" customHeight="1">
      <c r="A46" s="378" t="s">
        <v>211</v>
      </c>
      <c r="B46" s="381">
        <v>226767</v>
      </c>
      <c r="C46" s="381">
        <v>226767</v>
      </c>
      <c r="D46" s="381">
        <v>0</v>
      </c>
      <c r="E46" s="381">
        <v>0</v>
      </c>
      <c r="F46" s="410">
        <f t="shared" si="0"/>
        <v>0</v>
      </c>
    </row>
    <row r="47" spans="1:6" ht="18" customHeight="1">
      <c r="A47" s="360" t="s">
        <v>108</v>
      </c>
      <c r="B47" s="381">
        <v>0</v>
      </c>
      <c r="C47" s="381">
        <v>0</v>
      </c>
      <c r="D47" s="381">
        <v>0</v>
      </c>
      <c r="E47" s="381">
        <v>0</v>
      </c>
      <c r="F47" s="410">
        <f t="shared" si="0"/>
        <v>0</v>
      </c>
    </row>
    <row r="48" spans="1:6" ht="18" customHeight="1">
      <c r="A48" s="360" t="s">
        <v>109</v>
      </c>
      <c r="B48" s="381">
        <v>715189</v>
      </c>
      <c r="C48" s="381">
        <v>685189</v>
      </c>
      <c r="D48" s="381">
        <v>30000</v>
      </c>
      <c r="E48" s="381">
        <v>0</v>
      </c>
      <c r="F48" s="410">
        <f t="shared" si="0"/>
        <v>0</v>
      </c>
    </row>
    <row r="49" spans="1:6" ht="18" customHeight="1">
      <c r="A49" s="360" t="s">
        <v>110</v>
      </c>
      <c r="B49" s="381">
        <v>3453841</v>
      </c>
      <c r="C49" s="381">
        <v>3453841</v>
      </c>
      <c r="D49" s="381">
        <v>0</v>
      </c>
      <c r="E49" s="381">
        <v>0</v>
      </c>
      <c r="F49" s="410">
        <f t="shared" si="0"/>
        <v>0</v>
      </c>
    </row>
    <row r="50" spans="1:6" ht="18" customHeight="1">
      <c r="A50" s="360" t="s">
        <v>111</v>
      </c>
      <c r="B50" s="381">
        <v>1936244</v>
      </c>
      <c r="C50" s="381">
        <v>1936244</v>
      </c>
      <c r="D50" s="381">
        <v>0</v>
      </c>
      <c r="E50" s="381">
        <v>0</v>
      </c>
      <c r="F50" s="410">
        <f t="shared" si="0"/>
        <v>0</v>
      </c>
    </row>
    <row r="51" spans="1:6" ht="18" customHeight="1">
      <c r="A51" s="360" t="s">
        <v>112</v>
      </c>
      <c r="B51" s="381">
        <v>1936244</v>
      </c>
      <c r="C51" s="381">
        <v>1936244</v>
      </c>
      <c r="D51" s="381">
        <v>0</v>
      </c>
      <c r="E51" s="381">
        <v>0</v>
      </c>
      <c r="F51" s="410">
        <f t="shared" si="0"/>
        <v>0</v>
      </c>
    </row>
    <row r="52" spans="1:6" ht="18" customHeight="1">
      <c r="A52" s="360" t="s">
        <v>113</v>
      </c>
      <c r="B52" s="381">
        <v>0</v>
      </c>
      <c r="C52" s="381">
        <v>0</v>
      </c>
      <c r="D52" s="381">
        <v>0</v>
      </c>
      <c r="E52" s="381">
        <v>0</v>
      </c>
      <c r="F52" s="410">
        <f t="shared" si="0"/>
        <v>0</v>
      </c>
    </row>
    <row r="53" spans="1:6" ht="18" customHeight="1">
      <c r="A53" s="360" t="s">
        <v>181</v>
      </c>
      <c r="B53" s="381">
        <v>0</v>
      </c>
      <c r="C53" s="381">
        <v>0</v>
      </c>
      <c r="D53" s="381">
        <v>0</v>
      </c>
      <c r="E53" s="381">
        <v>0</v>
      </c>
      <c r="F53" s="410">
        <f t="shared" si="0"/>
        <v>0</v>
      </c>
    </row>
    <row r="54" spans="1:6" ht="18" customHeight="1">
      <c r="A54" s="360" t="s">
        <v>115</v>
      </c>
      <c r="B54" s="381">
        <v>0</v>
      </c>
      <c r="C54" s="381">
        <v>0</v>
      </c>
      <c r="D54" s="381">
        <v>0</v>
      </c>
      <c r="E54" s="381">
        <v>0</v>
      </c>
      <c r="F54" s="410">
        <f t="shared" si="0"/>
        <v>0</v>
      </c>
    </row>
    <row r="55" spans="1:6" ht="18" customHeight="1">
      <c r="A55" s="360" t="s">
        <v>116</v>
      </c>
      <c r="B55" s="381">
        <v>0</v>
      </c>
      <c r="C55" s="381">
        <v>0</v>
      </c>
      <c r="D55" s="381">
        <v>0</v>
      </c>
      <c r="E55" s="381">
        <v>0</v>
      </c>
      <c r="F55" s="410">
        <f t="shared" si="0"/>
        <v>0</v>
      </c>
    </row>
    <row r="56" spans="1:6" ht="18" customHeight="1">
      <c r="A56" s="360" t="s">
        <v>117</v>
      </c>
      <c r="B56" s="381">
        <v>8756709</v>
      </c>
      <c r="C56" s="381">
        <v>8756709</v>
      </c>
      <c r="D56" s="381">
        <v>0</v>
      </c>
      <c r="E56" s="381">
        <v>0</v>
      </c>
      <c r="F56" s="410">
        <f t="shared" si="0"/>
        <v>0</v>
      </c>
    </row>
    <row r="57" spans="1:6" ht="18" customHeight="1">
      <c r="A57" s="360" t="s">
        <v>118</v>
      </c>
      <c r="B57" s="381">
        <v>37916667</v>
      </c>
      <c r="C57" s="381">
        <v>35339184</v>
      </c>
      <c r="D57" s="381">
        <v>2577483</v>
      </c>
      <c r="E57" s="381">
        <v>0</v>
      </c>
      <c r="F57" s="410">
        <f t="shared" si="0"/>
        <v>0</v>
      </c>
    </row>
    <row r="58" spans="1:6" ht="18" customHeight="1" thickBot="1">
      <c r="A58" s="366" t="s">
        <v>119</v>
      </c>
      <c r="B58" s="381">
        <v>0</v>
      </c>
      <c r="C58" s="381">
        <v>0</v>
      </c>
      <c r="D58" s="381">
        <v>0</v>
      </c>
      <c r="E58" s="381">
        <v>0</v>
      </c>
      <c r="F58" s="410">
        <f t="shared" si="0"/>
        <v>0</v>
      </c>
    </row>
    <row r="59" spans="1:6" ht="21" customHeight="1" thickBot="1">
      <c r="A59" s="411" t="s">
        <v>122</v>
      </c>
      <c r="B59" s="412">
        <f>SUM(B8:B58)</f>
        <v>142630330</v>
      </c>
      <c r="C59" s="412">
        <f>SUM(C8:C58)</f>
        <v>126117407</v>
      </c>
      <c r="D59" s="412">
        <f>SUM(D8:D58)</f>
        <v>4808238</v>
      </c>
      <c r="E59" s="412">
        <f>SUM(E8:E58)</f>
        <v>0</v>
      </c>
      <c r="F59" s="413">
        <f>SUM(F8:F58)</f>
        <v>11704685</v>
      </c>
    </row>
    <row r="60" spans="1:6" ht="15.75" customHeight="1">
      <c r="A60" s="416"/>
      <c r="B60" s="416"/>
      <c r="C60" s="416"/>
      <c r="D60" s="416"/>
      <c r="E60" s="416"/>
      <c r="F60" s="416"/>
    </row>
    <row r="61" spans="1:6" ht="15.75" customHeight="1">
      <c r="A61" s="417"/>
      <c r="F61" s="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A67F-1E1B-4E2C-A66E-89275E42CD54}">
  <dimension ref="A1:H66"/>
  <sheetViews>
    <sheetView topLeftCell="A14" workbookViewId="0">
      <selection activeCell="L68" sqref="L68"/>
    </sheetView>
  </sheetViews>
  <sheetFormatPr defaultColWidth="9.7265625" defaultRowHeight="15.5"/>
  <cols>
    <col min="1" max="1" width="27" style="1" customWidth="1"/>
    <col min="2" max="3" width="17.26953125" style="1" customWidth="1"/>
    <col min="4" max="4" width="13.7265625" style="1" customWidth="1"/>
    <col min="5" max="6" width="17.26953125" style="1" customWidth="1"/>
    <col min="7" max="7" width="3" style="1" customWidth="1"/>
    <col min="8" max="16384" width="9.7265625" style="1"/>
  </cols>
  <sheetData>
    <row r="1" spans="1:8" ht="16.5" customHeight="1">
      <c r="A1" s="1" t="str">
        <f>[1]Status!C1</f>
        <v>UNEP/OzL.Pro/ExCom/94/3</v>
      </c>
      <c r="B1" s="295"/>
    </row>
    <row r="2" spans="1:8" ht="16.5" customHeight="1">
      <c r="A2" s="1" t="s">
        <v>242</v>
      </c>
      <c r="B2" s="7"/>
    </row>
    <row r="3" spans="1:8" ht="16.5" customHeight="1">
      <c r="B3" s="7"/>
      <c r="F3" s="320"/>
    </row>
    <row r="4" spans="1:8" ht="20.25" customHeight="1">
      <c r="A4" s="321" t="s">
        <v>2</v>
      </c>
      <c r="B4" s="321"/>
      <c r="C4" s="321"/>
      <c r="D4" s="321"/>
      <c r="E4" s="321"/>
      <c r="F4" s="321"/>
    </row>
    <row r="5" spans="1:8" ht="20.25" customHeight="1">
      <c r="A5" s="322" t="s">
        <v>228</v>
      </c>
      <c r="B5" s="321"/>
      <c r="C5" s="321"/>
      <c r="D5" s="321"/>
      <c r="E5" s="321"/>
      <c r="F5" s="321"/>
    </row>
    <row r="6" spans="1:8" ht="30" customHeight="1" thickBot="1">
      <c r="A6" s="323" t="str">
        <f>[1]Status!A6</f>
        <v>As at 24/05/2024</v>
      </c>
      <c r="B6" s="321"/>
      <c r="C6" s="321"/>
      <c r="D6" s="321"/>
      <c r="E6" s="321"/>
      <c r="F6" s="321"/>
    </row>
    <row r="7" spans="1:8" ht="60.5" thickBot="1">
      <c r="A7" s="298" t="s">
        <v>59</v>
      </c>
      <c r="B7" s="299" t="s">
        <v>60</v>
      </c>
      <c r="C7" s="299" t="s">
        <v>61</v>
      </c>
      <c r="D7" s="299" t="s">
        <v>62</v>
      </c>
      <c r="E7" s="299" t="s">
        <v>63</v>
      </c>
      <c r="F7" s="324" t="s">
        <v>64</v>
      </c>
      <c r="G7" s="301"/>
    </row>
    <row r="8" spans="1:8" ht="18" customHeight="1">
      <c r="A8" s="177" t="s">
        <v>124</v>
      </c>
      <c r="B8" s="307">
        <f>'YR1991'!B8+'YR1992'!B8+'YR1993'!B8</f>
        <v>4324254</v>
      </c>
      <c r="C8" s="307">
        <f>'YR1991'!C8+'YR1992'!C8+'YR1993'!C8</f>
        <v>4284963</v>
      </c>
      <c r="D8" s="307">
        <f>'YR1991'!D8+'YR1992'!D8+'YR1993'!D8</f>
        <v>39291</v>
      </c>
      <c r="E8" s="307">
        <f>'YR1991'!E8+'YR1992'!E8+'YR1993'!E8</f>
        <v>0</v>
      </c>
      <c r="F8" s="325">
        <f t="shared" ref="F8:F58" si="0">B8-C8-D8-E8</f>
        <v>0</v>
      </c>
      <c r="G8" s="305"/>
    </row>
    <row r="9" spans="1:8" ht="18" customHeight="1">
      <c r="A9" s="12" t="s">
        <v>67</v>
      </c>
      <c r="B9" s="307">
        <f>'YR1991'!B9+'YR1992'!B9+'YR1993'!B9</f>
        <v>2089187</v>
      </c>
      <c r="C9" s="307">
        <f>'YR1991'!C9+'YR1992'!C9+'YR1993'!C9</f>
        <v>2089187</v>
      </c>
      <c r="D9" s="307">
        <f>'YR1991'!D9+'YR1992'!D9+'YR1993'!D9</f>
        <v>0</v>
      </c>
      <c r="E9" s="307">
        <f>'YR1991'!E9+'YR1992'!E9+'YR1993'!E9</f>
        <v>0</v>
      </c>
      <c r="F9" s="326">
        <f t="shared" si="0"/>
        <v>0</v>
      </c>
      <c r="G9" s="305"/>
    </row>
    <row r="10" spans="1:8" ht="18" customHeight="1">
      <c r="A10" s="185" t="s">
        <v>68</v>
      </c>
      <c r="B10" s="307">
        <f>'YR1991'!B10+'YR1992'!B10+'YR1993'!B10</f>
        <v>0</v>
      </c>
      <c r="C10" s="307">
        <f>'YR1991'!C10+'YR1992'!C10+'YR1993'!C10</f>
        <v>0</v>
      </c>
      <c r="D10" s="307">
        <f>'YR1991'!D10+'YR1992'!D10+'YR1993'!D10</f>
        <v>0</v>
      </c>
      <c r="E10" s="307">
        <f>'YR1991'!E10+'YR1992'!E10+'YR1993'!E10</f>
        <v>0</v>
      </c>
      <c r="F10" s="326">
        <f t="shared" si="0"/>
        <v>0</v>
      </c>
      <c r="G10" s="305"/>
    </row>
    <row r="11" spans="1:8" ht="18" customHeight="1">
      <c r="A11" s="12" t="s">
        <v>69</v>
      </c>
      <c r="B11" s="307">
        <f>'YR1991'!B11+'YR1992'!B11+'YR1993'!B11</f>
        <v>376304</v>
      </c>
      <c r="C11" s="307">
        <f>'YR1991'!C11+'YR1992'!C11+'YR1993'!C11</f>
        <v>100000</v>
      </c>
      <c r="D11" s="307">
        <f>'YR1991'!D11+'YR1992'!D11+'YR1993'!D11</f>
        <v>0</v>
      </c>
      <c r="E11" s="307">
        <f>'YR1991'!E11+'YR1992'!E11+'YR1993'!E11</f>
        <v>0</v>
      </c>
      <c r="F11" s="326">
        <f t="shared" si="0"/>
        <v>276304</v>
      </c>
      <c r="G11" s="305"/>
    </row>
    <row r="12" spans="1:8" ht="18" customHeight="1">
      <c r="A12" s="12" t="s">
        <v>70</v>
      </c>
      <c r="B12" s="307">
        <f>'YR1991'!B12+'YR1992'!B12+'YR1993'!B12</f>
        <v>3135548</v>
      </c>
      <c r="C12" s="307">
        <f>'YR1991'!C12+'YR1992'!C12+'YR1993'!C12</f>
        <v>3135548</v>
      </c>
      <c r="D12" s="307">
        <f>'YR1991'!D12+'YR1992'!D12+'YR1993'!D12</f>
        <v>0</v>
      </c>
      <c r="E12" s="307">
        <f>'YR1991'!E12+'YR1992'!E12+'YR1993'!E12</f>
        <v>0</v>
      </c>
      <c r="F12" s="326">
        <f t="shared" si="0"/>
        <v>0</v>
      </c>
      <c r="G12" s="305"/>
    </row>
    <row r="13" spans="1:8" ht="18" customHeight="1">
      <c r="A13" s="360" t="s">
        <v>209</v>
      </c>
      <c r="B13" s="307">
        <f>'YR1991'!B13+'YR1992'!B13+'YR1993'!B13</f>
        <v>0</v>
      </c>
      <c r="C13" s="307">
        <f>'YR1991'!C13+'YR1992'!C13+'YR1993'!C13</f>
        <v>0</v>
      </c>
      <c r="D13" s="307">
        <f>'YR1991'!D13+'YR1992'!D13+'YR1993'!D13</f>
        <v>0</v>
      </c>
      <c r="E13" s="307">
        <f>'YR1991'!E13+'YR1992'!E13+'YR1993'!E13</f>
        <v>0</v>
      </c>
      <c r="F13" s="326"/>
      <c r="G13" s="305"/>
    </row>
    <row r="14" spans="1:8" ht="18" customHeight="1">
      <c r="A14" s="12" t="s">
        <v>71</v>
      </c>
      <c r="B14" s="307">
        <f>'YR1991'!B14+'YR1992'!B14+'YR1993'!B14</f>
        <v>299989</v>
      </c>
      <c r="C14" s="307">
        <f>'YR1991'!C14+'YR1992'!C14+'YR1993'!C14</f>
        <v>299989</v>
      </c>
      <c r="D14" s="307">
        <f>'YR1991'!D14+'YR1992'!D14+'YR1993'!D14</f>
        <v>0</v>
      </c>
      <c r="E14" s="307">
        <f>'YR1991'!E14+'YR1992'!E14+'YR1993'!E14</f>
        <v>0</v>
      </c>
      <c r="F14" s="326">
        <f t="shared" si="0"/>
        <v>0</v>
      </c>
      <c r="G14" s="305"/>
    </row>
    <row r="15" spans="1:8" ht="18" customHeight="1">
      <c r="A15" s="12" t="s">
        <v>125</v>
      </c>
      <c r="B15" s="307">
        <f>'YR1991'!B15+'YR1992'!B15+'YR1993'!B15</f>
        <v>8694777</v>
      </c>
      <c r="C15" s="307">
        <f>'YR1991'!C15+'YR1992'!C15+'YR1993'!C15-33558</f>
        <v>8045277</v>
      </c>
      <c r="D15" s="307">
        <f>'YR1991'!D15+'YR1992'!D15+'YR1993'!D15</f>
        <v>649500</v>
      </c>
      <c r="E15" s="307">
        <f>'YR1991'!E15+'YR1992'!E15+'YR1993'!E15</f>
        <v>0</v>
      </c>
      <c r="F15" s="326">
        <f t="shared" si="0"/>
        <v>0</v>
      </c>
      <c r="G15" s="305"/>
      <c r="H15" s="418" t="s">
        <v>229</v>
      </c>
    </row>
    <row r="16" spans="1:8" ht="18" customHeight="1">
      <c r="A16" s="12" t="s">
        <v>74</v>
      </c>
      <c r="B16" s="307">
        <f>'YR1991'!B16+'YR1992'!B16+'YR1993'!B16</f>
        <v>26647</v>
      </c>
      <c r="C16" s="307">
        <f>'YR1991'!C16+'YR1992'!C16+'YR1993'!C16</f>
        <v>26647</v>
      </c>
      <c r="D16" s="307">
        <f>'YR1991'!D16+'YR1992'!D16+'YR1993'!D16</f>
        <v>0</v>
      </c>
      <c r="E16" s="307">
        <f>'YR1991'!E16+'YR1992'!E16+'YR1993'!E16</f>
        <v>0</v>
      </c>
      <c r="F16" s="326">
        <f t="shared" si="0"/>
        <v>0</v>
      </c>
      <c r="G16" s="305"/>
    </row>
    <row r="17" spans="1:7" ht="18" customHeight="1">
      <c r="A17" s="12" t="s">
        <v>75</v>
      </c>
      <c r="B17" s="307">
        <f>'YR1991'!B17+'YR1992'!B17+'YR1993'!B17</f>
        <v>931484</v>
      </c>
      <c r="C17" s="307">
        <f>'YR1991'!C17+'YR1992'!C17+'YR1993'!C17</f>
        <v>931484</v>
      </c>
      <c r="D17" s="307">
        <f>'YR1991'!D17+'YR1992'!D17+'YR1993'!D17</f>
        <v>0</v>
      </c>
      <c r="E17" s="307">
        <f>'YR1991'!E17+'YR1992'!E17+'YR1993'!E17</f>
        <v>0</v>
      </c>
      <c r="F17" s="326">
        <f t="shared" si="0"/>
        <v>0</v>
      </c>
      <c r="G17" s="305"/>
    </row>
    <row r="18" spans="1:7" ht="18" customHeight="1">
      <c r="A18" s="12" t="s">
        <v>76</v>
      </c>
      <c r="B18" s="307">
        <f>'YR1991'!B18+'YR1992'!B18+'YR1993'!B18</f>
        <v>1882307</v>
      </c>
      <c r="C18" s="307">
        <f>'YR1991'!C18+'YR1992'!C18+'YR1993'!C18</f>
        <v>1882307</v>
      </c>
      <c r="D18" s="307">
        <f>'YR1991'!D18+'YR1992'!D18+'YR1993'!D18</f>
        <v>0</v>
      </c>
      <c r="E18" s="307">
        <f>'YR1991'!E18+'YR1992'!E18+'YR1993'!E18</f>
        <v>0</v>
      </c>
      <c r="F18" s="326">
        <f t="shared" si="0"/>
        <v>0</v>
      </c>
      <c r="G18" s="305"/>
    </row>
    <row r="19" spans="1:7" ht="18" customHeight="1">
      <c r="A19" s="12" t="s">
        <v>77</v>
      </c>
      <c r="B19" s="307">
        <f>'YR1991'!B19+'YR1992'!B19+'YR1993'!B19</f>
        <v>0</v>
      </c>
      <c r="C19" s="307">
        <f>'YR1991'!C19+'YR1992'!C19+'YR1993'!C19</f>
        <v>0</v>
      </c>
      <c r="D19" s="307">
        <f>'YR1991'!D19+'YR1992'!D19+'YR1993'!D19</f>
        <v>0</v>
      </c>
      <c r="E19" s="307">
        <f>'YR1991'!E19+'YR1992'!E19+'YR1993'!E19</f>
        <v>0</v>
      </c>
      <c r="F19" s="326">
        <f t="shared" si="0"/>
        <v>0</v>
      </c>
      <c r="G19" s="305"/>
    </row>
    <row r="20" spans="1:7" ht="18" customHeight="1">
      <c r="A20" s="12" t="s">
        <v>78</v>
      </c>
      <c r="B20" s="307">
        <f>'YR1991'!B20+'YR1992'!B20+'YR1993'!B20</f>
        <v>1510603</v>
      </c>
      <c r="C20" s="307">
        <f>'YR1991'!C20+'YR1992'!C20+'YR1993'!C20</f>
        <v>1510603</v>
      </c>
      <c r="D20" s="307">
        <f>'YR1991'!D20+'YR1992'!D20+'YR1993'!D20</f>
        <v>0</v>
      </c>
      <c r="E20" s="307">
        <f>'YR1991'!E20+'YR1992'!E20+'YR1993'!E20</f>
        <v>0</v>
      </c>
      <c r="F20" s="326">
        <f t="shared" si="0"/>
        <v>0</v>
      </c>
      <c r="G20" s="305"/>
    </row>
    <row r="21" spans="1:7" ht="18" customHeight="1">
      <c r="A21" s="12" t="s">
        <v>79</v>
      </c>
      <c r="B21" s="307">
        <f>'YR1991'!B21+'YR1992'!B21+'YR1993'!B21</f>
        <v>17199536</v>
      </c>
      <c r="C21" s="307">
        <f>'YR1991'!C21+'YR1992'!C21+'YR1993'!C21</f>
        <v>17199536</v>
      </c>
      <c r="D21" s="307">
        <f>'YR1991'!D21+'YR1992'!D21+'YR1993'!D21</f>
        <v>0</v>
      </c>
      <c r="E21" s="307">
        <f>'YR1991'!E21+'YR1992'!E21+'YR1993'!E21</f>
        <v>0</v>
      </c>
      <c r="F21" s="326">
        <f t="shared" si="0"/>
        <v>0</v>
      </c>
      <c r="G21" s="305"/>
    </row>
    <row r="22" spans="1:7" ht="18" customHeight="1">
      <c r="A22" s="360" t="s">
        <v>210</v>
      </c>
      <c r="B22" s="307">
        <f>'YR1991'!B22+'YR1992'!B22+'YR1993'!B22</f>
        <v>0</v>
      </c>
      <c r="C22" s="307">
        <f>'YR1991'!C22+'YR1992'!C22+'YR1993'!C22</f>
        <v>0</v>
      </c>
      <c r="D22" s="307">
        <f>'YR1991'!D22+'YR1992'!D22+'YR1993'!D22</f>
        <v>0</v>
      </c>
      <c r="E22" s="307">
        <f>'YR1991'!E22+'YR1992'!E22+'YR1993'!E22</f>
        <v>0</v>
      </c>
      <c r="F22" s="326"/>
      <c r="G22" s="305"/>
    </row>
    <row r="23" spans="1:7" ht="18" customHeight="1">
      <c r="A23" s="12" t="s">
        <v>80</v>
      </c>
      <c r="B23" s="307">
        <f>'YR1991'!B23+'YR1992'!B23+'YR1993'!B23</f>
        <v>25683945</v>
      </c>
      <c r="C23" s="307">
        <f>'YR1991'!C23+'YR1992'!C23+'YR1993'!C23</f>
        <v>25665567</v>
      </c>
      <c r="D23" s="307">
        <f>'YR1991'!D23+'YR1992'!D23+'YR1993'!D23</f>
        <v>18378</v>
      </c>
      <c r="E23" s="307">
        <f>'YR1991'!E23+'YR1992'!E23+'YR1993'!E23</f>
        <v>0</v>
      </c>
      <c r="F23" s="326">
        <f t="shared" si="0"/>
        <v>0</v>
      </c>
      <c r="G23" s="305"/>
    </row>
    <row r="24" spans="1:7" ht="18" customHeight="1">
      <c r="A24" s="12" t="s">
        <v>81</v>
      </c>
      <c r="B24" s="307">
        <f>'YR1991'!B24+'YR1992'!B24+'YR1993'!B24</f>
        <v>1055470</v>
      </c>
      <c r="C24" s="307">
        <f>'YR1991'!C24+'YR1992'!C24+'YR1993'!C24</f>
        <v>1055470</v>
      </c>
      <c r="D24" s="307">
        <f>'YR1991'!D24+'YR1992'!D24+'YR1993'!D24</f>
        <v>0</v>
      </c>
      <c r="E24" s="307">
        <f>'YR1991'!E24+'YR1992'!E24+'YR1993'!E24</f>
        <v>0</v>
      </c>
      <c r="F24" s="326">
        <f t="shared" si="0"/>
        <v>0</v>
      </c>
      <c r="G24" s="305"/>
    </row>
    <row r="25" spans="1:7" ht="18" customHeight="1">
      <c r="A25" s="12" t="s">
        <v>83</v>
      </c>
      <c r="B25" s="307">
        <f>'YR1991'!B25+'YR1992'!B25+'YR1993'!B25</f>
        <v>549125</v>
      </c>
      <c r="C25" s="307">
        <f>'YR1991'!C25+'YR1992'!C25+'YR1993'!C25</f>
        <v>549125</v>
      </c>
      <c r="D25" s="307">
        <f>'YR1991'!D25+'YR1992'!D25+'YR1993'!D25</f>
        <v>0</v>
      </c>
      <c r="E25" s="307">
        <f>'YR1991'!E25+'YR1992'!E25+'YR1993'!E25</f>
        <v>0</v>
      </c>
      <c r="F25" s="326">
        <f t="shared" si="0"/>
        <v>0</v>
      </c>
      <c r="G25" s="305"/>
    </row>
    <row r="26" spans="1:7" ht="18" customHeight="1">
      <c r="A26" s="12" t="s">
        <v>84</v>
      </c>
      <c r="B26" s="307">
        <f>'YR1991'!B26+'YR1992'!B26+'YR1993'!B26</f>
        <v>84156</v>
      </c>
      <c r="C26" s="307">
        <f>'YR1991'!C26+'YR1992'!C26+'YR1993'!C26</f>
        <v>84156</v>
      </c>
      <c r="D26" s="307">
        <f>'YR1991'!D26+'YR1992'!D26+'YR1993'!D26</f>
        <v>0</v>
      </c>
      <c r="E26" s="307">
        <f>'YR1991'!E26+'YR1992'!E26+'YR1993'!E26</f>
        <v>0</v>
      </c>
      <c r="F26" s="326">
        <f t="shared" si="0"/>
        <v>0</v>
      </c>
      <c r="G26" s="305"/>
    </row>
    <row r="27" spans="1:7" ht="18" customHeight="1">
      <c r="A27" s="12" t="s">
        <v>85</v>
      </c>
      <c r="B27" s="307">
        <f>'YR1991'!B27+'YR1992'!B27+'YR1993'!B27</f>
        <v>504940</v>
      </c>
      <c r="C27" s="307">
        <f>'YR1991'!C27+'YR1992'!C27+'YR1993'!C27</f>
        <v>504940</v>
      </c>
      <c r="D27" s="307">
        <f>'YR1991'!D27+'YR1992'!D27+'YR1993'!D27</f>
        <v>0</v>
      </c>
      <c r="E27" s="307">
        <f>'YR1991'!E27+'YR1992'!E27+'YR1993'!E27</f>
        <v>0</v>
      </c>
      <c r="F27" s="326">
        <f t="shared" si="0"/>
        <v>0</v>
      </c>
      <c r="G27" s="305"/>
    </row>
    <row r="28" spans="1:7" ht="18" customHeight="1">
      <c r="A28" s="12" t="s">
        <v>86</v>
      </c>
      <c r="B28" s="307">
        <f>'YR1991'!B28+'YR1992'!B28+'YR1993'!B28</f>
        <v>306443</v>
      </c>
      <c r="C28" s="307">
        <f>'YR1991'!C28+'YR1992'!C28+'YR1993'!C28</f>
        <v>306443</v>
      </c>
      <c r="D28" s="307">
        <f>'YR1991'!D28+'YR1992'!D28+'YR1993'!D28</f>
        <v>0</v>
      </c>
      <c r="E28" s="307">
        <f>'YR1991'!E28+'YR1992'!E28+'YR1993'!E28</f>
        <v>0</v>
      </c>
      <c r="F28" s="326">
        <f t="shared" si="0"/>
        <v>0</v>
      </c>
      <c r="G28" s="305"/>
    </row>
    <row r="29" spans="1:7" ht="18" customHeight="1">
      <c r="A29" s="12" t="s">
        <v>87</v>
      </c>
      <c r="B29" s="307">
        <f>'YR1991'!B29+'YR1992'!B29+'YR1993'!B29</f>
        <v>11592538</v>
      </c>
      <c r="C29" s="307">
        <f>'YR1991'!C29+'YR1992'!C29+'YR1993'!C29</f>
        <v>11592538</v>
      </c>
      <c r="D29" s="307">
        <f>'YR1991'!D29+'YR1992'!D29+'YR1993'!D29</f>
        <v>0</v>
      </c>
      <c r="E29" s="307">
        <f>'YR1991'!E29+'YR1992'!E29+'YR1993'!E29</f>
        <v>0</v>
      </c>
      <c r="F29" s="326">
        <f t="shared" si="0"/>
        <v>0</v>
      </c>
      <c r="G29" s="305"/>
    </row>
    <row r="30" spans="1:7" ht="18" customHeight="1">
      <c r="A30" s="12" t="s">
        <v>88</v>
      </c>
      <c r="B30" s="307">
        <f>'YR1991'!B30+'YR1992'!B30+'YR1993'!B30</f>
        <v>33349034</v>
      </c>
      <c r="C30" s="307">
        <f>'YR1991'!C30+'YR1992'!C30+'YR1993'!C30</f>
        <v>33349034</v>
      </c>
      <c r="D30" s="307">
        <f>'YR1991'!D30+'YR1992'!D30+'YR1993'!D30</f>
        <v>0</v>
      </c>
      <c r="E30" s="307">
        <f>'YR1991'!E30+'YR1992'!E30+'YR1993'!E30</f>
        <v>0</v>
      </c>
      <c r="F30" s="326">
        <f t="shared" si="0"/>
        <v>0</v>
      </c>
      <c r="G30" s="305"/>
    </row>
    <row r="31" spans="1:7" ht="18" customHeight="1">
      <c r="A31" s="12" t="s">
        <v>90</v>
      </c>
      <c r="B31" s="307">
        <f>'YR1991'!B31+'YR1992'!B31+'YR1993'!B31</f>
        <v>286549</v>
      </c>
      <c r="C31" s="307">
        <f>'YR1991'!C31+'YR1992'!C31+'YR1993'!C31</f>
        <v>286549</v>
      </c>
      <c r="D31" s="307">
        <f>'YR1991'!D31+'YR1992'!D31+'YR1993'!D31</f>
        <v>0</v>
      </c>
      <c r="E31" s="307">
        <f>'YR1991'!E31+'YR1992'!E31+'YR1993'!E31</f>
        <v>0</v>
      </c>
      <c r="F31" s="326">
        <f t="shared" si="0"/>
        <v>0</v>
      </c>
      <c r="G31" s="305"/>
    </row>
    <row r="32" spans="1:7" ht="18" customHeight="1">
      <c r="A32" s="12" t="s">
        <v>91</v>
      </c>
      <c r="B32" s="307">
        <f>'YR1991'!B32+'YR1992'!B32+'YR1993'!B32</f>
        <v>0</v>
      </c>
      <c r="C32" s="307">
        <f>'YR1991'!C32+'YR1992'!C32+'YR1993'!C32</f>
        <v>0</v>
      </c>
      <c r="D32" s="307">
        <f>'YR1991'!D32+'YR1992'!D32+'YR1993'!D32</f>
        <v>0</v>
      </c>
      <c r="E32" s="307">
        <f>'YR1991'!E32+'YR1992'!E32+'YR1993'!E32</f>
        <v>0</v>
      </c>
      <c r="F32" s="326">
        <f t="shared" si="0"/>
        <v>0</v>
      </c>
      <c r="G32" s="305"/>
    </row>
    <row r="33" spans="1:7" ht="18" customHeight="1">
      <c r="A33" s="12" t="s">
        <v>92</v>
      </c>
      <c r="B33" s="307">
        <f>'YR1991'!B33+'YR1992'!B33+'YR1993'!B33</f>
        <v>28052</v>
      </c>
      <c r="C33" s="307">
        <f>'YR1991'!C33+'YR1992'!C33+'YR1993'!C33</f>
        <v>28052</v>
      </c>
      <c r="D33" s="307">
        <f>'YR1991'!D33+'YR1992'!D33+'YR1993'!D33</f>
        <v>0</v>
      </c>
      <c r="E33" s="307">
        <f>'YR1991'!E33+'YR1992'!E33+'YR1993'!E33</f>
        <v>0</v>
      </c>
      <c r="F33" s="326">
        <f t="shared" si="0"/>
        <v>0</v>
      </c>
      <c r="G33" s="305"/>
    </row>
    <row r="34" spans="1:7" ht="18" customHeight="1">
      <c r="A34" s="12" t="s">
        <v>93</v>
      </c>
      <c r="B34" s="307">
        <f>'YR1991'!B34+'YR1992'!B34+'YR1993'!B34</f>
        <v>0</v>
      </c>
      <c r="C34" s="307">
        <f>'YR1991'!C34+'YR1992'!C34+'YR1993'!C34</f>
        <v>0</v>
      </c>
      <c r="D34" s="307">
        <f>'YR1991'!D34+'YR1992'!D34+'YR1993'!D34</f>
        <v>0</v>
      </c>
      <c r="E34" s="307">
        <f>'YR1991'!E34+'YR1992'!E34+'YR1993'!E34</f>
        <v>0</v>
      </c>
      <c r="F34" s="326">
        <f t="shared" si="0"/>
        <v>0</v>
      </c>
      <c r="G34" s="305"/>
    </row>
    <row r="35" spans="1:7" ht="18" customHeight="1">
      <c r="A35" s="12" t="s">
        <v>94</v>
      </c>
      <c r="B35" s="307">
        <f>'YR1991'!B35+'YR1992'!B35+'YR1993'!B35</f>
        <v>168314</v>
      </c>
      <c r="C35" s="307">
        <f>'YR1991'!C35+'YR1992'!C35+'YR1993'!C35</f>
        <v>168314</v>
      </c>
      <c r="D35" s="307">
        <f>'YR1991'!D35+'YR1992'!D35+'YR1993'!D35</f>
        <v>0</v>
      </c>
      <c r="E35" s="307">
        <f>'YR1991'!E35+'YR1992'!E35+'YR1993'!E35</f>
        <v>0</v>
      </c>
      <c r="F35" s="326">
        <f t="shared" si="0"/>
        <v>0</v>
      </c>
      <c r="G35" s="305"/>
    </row>
    <row r="36" spans="1:7" ht="18" customHeight="1">
      <c r="A36" s="12" t="s">
        <v>95</v>
      </c>
      <c r="B36" s="307">
        <f>'YR1991'!B36+'YR1992'!B36+'YR1993'!B36</f>
        <v>28052</v>
      </c>
      <c r="C36" s="307">
        <f>'YR1991'!C36+'YR1992'!C36+'YR1993'!C36</f>
        <v>28052</v>
      </c>
      <c r="D36" s="307">
        <f>'YR1991'!D36+'YR1992'!D36+'YR1993'!D36</f>
        <v>0</v>
      </c>
      <c r="E36" s="307">
        <f>'YR1991'!E36+'YR1992'!E36+'YR1993'!E36</f>
        <v>0</v>
      </c>
      <c r="F36" s="326">
        <f t="shared" si="0"/>
        <v>0</v>
      </c>
      <c r="G36" s="305"/>
    </row>
    <row r="37" spans="1:7" ht="18" customHeight="1">
      <c r="A37" s="12" t="s">
        <v>96</v>
      </c>
      <c r="B37" s="307">
        <f>'YR1991'!B37+'YR1992'!B37+'YR1993'!B37</f>
        <v>7483</v>
      </c>
      <c r="C37" s="307">
        <f>'YR1991'!C37+'YR1992'!C37+'YR1993'!C37</f>
        <v>7483</v>
      </c>
      <c r="D37" s="307">
        <f>'YR1991'!D37+'YR1992'!D37+'YR1993'!D37</f>
        <v>0</v>
      </c>
      <c r="E37" s="307">
        <f>'YR1991'!E37+'YR1992'!E37+'YR1993'!E37</f>
        <v>0</v>
      </c>
      <c r="F37" s="326">
        <f t="shared" si="0"/>
        <v>0</v>
      </c>
      <c r="G37" s="305"/>
    </row>
    <row r="38" spans="1:7" ht="18" customHeight="1">
      <c r="A38" s="12" t="s">
        <v>97</v>
      </c>
      <c r="B38" s="307">
        <f>'YR1991'!B38+'YR1992'!B38+'YR1993'!B38</f>
        <v>4428759</v>
      </c>
      <c r="C38" s="307">
        <f>'YR1991'!C38+'YR1992'!C38+'YR1993'!C38</f>
        <v>4428759</v>
      </c>
      <c r="D38" s="307">
        <f>'YR1991'!D38+'YR1992'!D38+'YR1993'!D38</f>
        <v>0</v>
      </c>
      <c r="E38" s="307">
        <f>'YR1991'!E38+'YR1992'!E38+'YR1993'!E38</f>
        <v>0</v>
      </c>
      <c r="F38" s="326">
        <f t="shared" si="0"/>
        <v>0</v>
      </c>
      <c r="G38" s="305"/>
    </row>
    <row r="39" spans="1:7" ht="18" customHeight="1">
      <c r="A39" s="12" t="s">
        <v>98</v>
      </c>
      <c r="B39" s="307">
        <f>'YR1991'!B39+'YR1992'!B39+'YR1993'!B39</f>
        <v>673252</v>
      </c>
      <c r="C39" s="307">
        <f>'YR1991'!C39+'YR1992'!C39+'YR1993'!C39</f>
        <v>673252</v>
      </c>
      <c r="D39" s="307">
        <f>'YR1991'!D39+'YR1992'!D39+'YR1993'!D39</f>
        <v>0</v>
      </c>
      <c r="E39" s="307">
        <f>'YR1991'!E39+'YR1992'!E39+'YR1993'!E39</f>
        <v>0</v>
      </c>
      <c r="F39" s="326">
        <f t="shared" si="0"/>
        <v>0</v>
      </c>
      <c r="G39" s="305"/>
    </row>
    <row r="40" spans="1:7" ht="18" customHeight="1">
      <c r="A40" s="12" t="s">
        <v>99</v>
      </c>
      <c r="B40" s="307">
        <f>'YR1991'!B40+'YR1992'!B40+'YR1993'!B40</f>
        <v>1542871</v>
      </c>
      <c r="C40" s="307">
        <f>'YR1991'!C40+'YR1992'!C40+'YR1993'!C40</f>
        <v>1542871</v>
      </c>
      <c r="D40" s="307">
        <f>'YR1991'!D40+'YR1992'!D40+'YR1993'!D40</f>
        <v>0</v>
      </c>
      <c r="E40" s="307">
        <f>'YR1991'!E40+'YR1992'!E40+'YR1993'!E40</f>
        <v>0</v>
      </c>
      <c r="F40" s="326">
        <f t="shared" si="0"/>
        <v>0</v>
      </c>
      <c r="G40" s="305"/>
    </row>
    <row r="41" spans="1:7" ht="18" customHeight="1">
      <c r="A41" s="360" t="s">
        <v>100</v>
      </c>
      <c r="B41" s="307">
        <f>'YR1991'!B41+'YR1992'!B41+'YR1993'!B41</f>
        <v>0</v>
      </c>
      <c r="C41" s="307">
        <f>'YR1991'!C41+'YR1992'!C41+'YR1993'!C41</f>
        <v>0</v>
      </c>
      <c r="D41" s="307">
        <f>'YR1991'!D41+'YR1992'!D41+'YR1993'!D41</f>
        <v>0</v>
      </c>
      <c r="E41" s="307">
        <f>'YR1991'!E41+'YR1992'!E41+'YR1993'!E41</f>
        <v>0</v>
      </c>
      <c r="F41" s="326"/>
      <c r="G41" s="305"/>
    </row>
    <row r="42" spans="1:7" ht="18" customHeight="1">
      <c r="A42" s="12" t="s">
        <v>101</v>
      </c>
      <c r="B42" s="307">
        <f>'YR1991'!B42+'YR1992'!B42+'YR1993'!B42</f>
        <v>473318</v>
      </c>
      <c r="C42" s="307">
        <f>'YR1991'!C42+'YR1992'!C42+'YR1993'!C42</f>
        <v>473318</v>
      </c>
      <c r="D42" s="307">
        <f>'YR1991'!D42+'YR1992'!D42+'YR1993'!D42</f>
        <v>0</v>
      </c>
      <c r="E42" s="307">
        <f>'YR1991'!E42+'YR1992'!E42+'YR1993'!E42</f>
        <v>0</v>
      </c>
      <c r="F42" s="326">
        <f t="shared" si="0"/>
        <v>0</v>
      </c>
      <c r="G42" s="305"/>
    </row>
    <row r="43" spans="1:7" ht="18" customHeight="1">
      <c r="A43" s="12" t="s">
        <v>102</v>
      </c>
      <c r="B43" s="307">
        <f>'YR1991'!B43+'YR1992'!B43+'YR1993'!B43</f>
        <v>531587</v>
      </c>
      <c r="C43" s="307">
        <f>'YR1991'!C43+'YR1992'!C43+'YR1993'!C43</f>
        <v>531587</v>
      </c>
      <c r="D43" s="307">
        <f>'YR1991'!D43+'YR1992'!D43+'YR1993'!D43</f>
        <v>0</v>
      </c>
      <c r="E43" s="307">
        <f>'YR1991'!E43+'YR1992'!E43+'YR1993'!E43</f>
        <v>0</v>
      </c>
      <c r="F43" s="326">
        <f t="shared" si="0"/>
        <v>0</v>
      </c>
      <c r="G43" s="305"/>
    </row>
    <row r="44" spans="1:7" ht="18" customHeight="1">
      <c r="A44" s="12" t="s">
        <v>104</v>
      </c>
      <c r="B44" s="307">
        <f>'YR1991'!B44+'YR1992'!B44+'YR1993'!B44</f>
        <v>23654002</v>
      </c>
      <c r="C44" s="307">
        <f>'YR1991'!C44+'YR1992'!C44+'YR1993'!C44</f>
        <v>0</v>
      </c>
      <c r="D44" s="307">
        <f>'YR1991'!D44+'YR1992'!D44+'YR1993'!D44</f>
        <v>0</v>
      </c>
      <c r="E44" s="307">
        <f>'YR1991'!E44+'YR1992'!E44+'YR1993'!E44</f>
        <v>0</v>
      </c>
      <c r="F44" s="326">
        <f t="shared" si="0"/>
        <v>23654002</v>
      </c>
      <c r="G44" s="305"/>
    </row>
    <row r="45" spans="1:7" ht="18" customHeight="1">
      <c r="A45" s="12" t="s">
        <v>106</v>
      </c>
      <c r="B45" s="307">
        <f>'YR1991'!B45+'YR1992'!B45+'YR1993'!B45</f>
        <v>321897</v>
      </c>
      <c r="C45" s="307">
        <f>'YR1991'!C45+'YR1992'!C45+'YR1993'!C45</f>
        <v>289921</v>
      </c>
      <c r="D45" s="307">
        <f>'YR1991'!D45+'YR1992'!D45+'YR1993'!D45</f>
        <v>31976</v>
      </c>
      <c r="E45" s="307">
        <f>'YR1991'!E45+'YR1992'!E45+'YR1993'!E45</f>
        <v>0</v>
      </c>
      <c r="F45" s="326">
        <f t="shared" si="0"/>
        <v>0</v>
      </c>
      <c r="G45" s="305"/>
    </row>
    <row r="46" spans="1:7" ht="18" customHeight="1">
      <c r="A46" s="11" t="s">
        <v>107</v>
      </c>
      <c r="B46" s="307">
        <f>'YR1991'!B46+'YR1992'!B46+'YR1993'!B46</f>
        <v>359154</v>
      </c>
      <c r="C46" s="307">
        <f>'YR1991'!C46+'YR1992'!C46+'YR1993'!C46</f>
        <v>359154</v>
      </c>
      <c r="D46" s="307">
        <f>'YR1991'!D46+'YR1992'!D46+'YR1993'!D46</f>
        <v>0</v>
      </c>
      <c r="E46" s="307">
        <f>'YR1991'!E46+'YR1992'!E46+'YR1993'!E46</f>
        <v>0</v>
      </c>
      <c r="F46" s="326">
        <f t="shared" si="0"/>
        <v>0</v>
      </c>
      <c r="G46" s="305"/>
    </row>
    <row r="47" spans="1:7" ht="18" customHeight="1">
      <c r="A47" s="12" t="s">
        <v>108</v>
      </c>
      <c r="B47" s="307">
        <f>'YR1991'!B47+'YR1992'!B47+'YR1993'!B47</f>
        <v>0</v>
      </c>
      <c r="C47" s="307">
        <f>'YR1991'!C47+'YR1992'!C47+'YR1993'!C47</f>
        <v>0</v>
      </c>
      <c r="D47" s="307">
        <f>'YR1991'!D47+'YR1992'!D47+'YR1993'!D47</f>
        <v>0</v>
      </c>
      <c r="E47" s="307">
        <f>'YR1991'!E47+'YR1992'!E47+'YR1993'!E47</f>
        <v>0</v>
      </c>
      <c r="F47" s="326">
        <f t="shared" si="0"/>
        <v>0</v>
      </c>
      <c r="G47" s="305"/>
    </row>
    <row r="48" spans="1:7" ht="18" customHeight="1">
      <c r="A48" s="12" t="s">
        <v>109</v>
      </c>
      <c r="B48" s="307">
        <f>'YR1991'!B48+'YR1992'!B48+'YR1993'!B48</f>
        <v>1209055</v>
      </c>
      <c r="C48" s="307">
        <f>'YR1991'!C48+'YR1992'!C48+'YR1993'!C48</f>
        <v>1209055</v>
      </c>
      <c r="D48" s="307">
        <f>'YR1991'!D48+'YR1992'!D48+'YR1993'!D48</f>
        <v>0</v>
      </c>
      <c r="E48" s="307">
        <f>'YR1991'!E48+'YR1992'!E48+'YR1993'!E48</f>
        <v>0</v>
      </c>
      <c r="F48" s="326">
        <f t="shared" si="0"/>
        <v>0</v>
      </c>
      <c r="G48" s="305"/>
    </row>
    <row r="49" spans="1:8" ht="18" customHeight="1">
      <c r="A49" s="12" t="s">
        <v>110</v>
      </c>
      <c r="B49" s="307">
        <f>'YR1991'!B49+'YR1992'!B49+'YR1993'!B49</f>
        <v>5510150</v>
      </c>
      <c r="C49" s="307">
        <f>'YR1991'!C49+'YR1992'!C49+'YR1993'!C49</f>
        <v>5510150</v>
      </c>
      <c r="D49" s="307">
        <f>'YR1991'!D49+'YR1992'!D49+'YR1993'!D49</f>
        <v>0</v>
      </c>
      <c r="E49" s="307">
        <f>'YR1991'!E49+'YR1992'!E49+'YR1993'!E49</f>
        <v>0</v>
      </c>
      <c r="F49" s="326">
        <f t="shared" si="0"/>
        <v>0</v>
      </c>
      <c r="G49" s="305"/>
    </row>
    <row r="50" spans="1:8" ht="18" customHeight="1">
      <c r="A50" s="12" t="s">
        <v>111</v>
      </c>
      <c r="B50" s="307">
        <f>'YR1991'!B50+'YR1992'!B50+'YR1993'!B50</f>
        <v>3261080</v>
      </c>
      <c r="C50" s="307">
        <f>'YR1991'!C50+'YR1992'!C50+'YR1993'!C50</f>
        <v>3261080</v>
      </c>
      <c r="D50" s="307">
        <f>'YR1991'!D50+'YR1992'!D50+'YR1993'!D50</f>
        <v>0</v>
      </c>
      <c r="E50" s="307">
        <f>'YR1991'!E50+'YR1992'!E50+'YR1993'!E50</f>
        <v>0</v>
      </c>
      <c r="F50" s="326">
        <f t="shared" si="0"/>
        <v>0</v>
      </c>
      <c r="G50" s="305"/>
    </row>
    <row r="51" spans="1:8" ht="18" customHeight="1">
      <c r="A51" s="12" t="s">
        <v>112</v>
      </c>
      <c r="B51" s="307">
        <f>'YR1991'!B51+'YR1992'!B51+'YR1993'!B51</f>
        <v>3136227</v>
      </c>
      <c r="C51" s="307">
        <f>'YR1991'!C51+'YR1992'!C51+'YR1993'!C51</f>
        <v>3136227</v>
      </c>
      <c r="D51" s="307">
        <f>'YR1991'!D51+'YR1992'!D51+'YR1993'!D51</f>
        <v>0</v>
      </c>
      <c r="E51" s="307">
        <f>'YR1991'!E51+'YR1992'!E51+'YR1993'!E51</f>
        <v>0</v>
      </c>
      <c r="F51" s="326">
        <f t="shared" si="0"/>
        <v>0</v>
      </c>
      <c r="G51" s="305"/>
    </row>
    <row r="52" spans="1:8" ht="18" customHeight="1">
      <c r="A52" s="12" t="s">
        <v>113</v>
      </c>
      <c r="B52" s="307">
        <f>'YR1991'!B52+'YR1992'!B52+'YR1993'!B52</f>
        <v>0</v>
      </c>
      <c r="C52" s="307">
        <f>'YR1991'!C52+'YR1992'!C52+'YR1993'!C52</f>
        <v>0</v>
      </c>
      <c r="D52" s="307">
        <f>'YR1991'!D52+'YR1992'!D52+'YR1993'!D52</f>
        <v>0</v>
      </c>
      <c r="E52" s="307">
        <f>'YR1991'!E52+'YR1992'!E52+'YR1993'!E52</f>
        <v>0</v>
      </c>
      <c r="F52" s="326">
        <f t="shared" si="0"/>
        <v>0</v>
      </c>
      <c r="G52" s="305"/>
    </row>
    <row r="53" spans="1:8" ht="18" customHeight="1">
      <c r="A53" s="12" t="s">
        <v>181</v>
      </c>
      <c r="B53" s="307">
        <f>'YR1991'!B53+'YR1992'!B53+'YR1993'!B53</f>
        <v>0</v>
      </c>
      <c r="C53" s="307">
        <f>'YR1991'!C53+'YR1992'!C53+'YR1993'!C53</f>
        <v>0</v>
      </c>
      <c r="D53" s="307">
        <f>'YR1991'!D53+'YR1992'!D53+'YR1993'!D53</f>
        <v>0</v>
      </c>
      <c r="E53" s="307">
        <f>'YR1991'!E53+'YR1992'!E53+'YR1993'!E53</f>
        <v>0</v>
      </c>
      <c r="F53" s="326">
        <f t="shared" si="0"/>
        <v>0</v>
      </c>
      <c r="G53" s="305"/>
    </row>
    <row r="54" spans="1:8" ht="18" customHeight="1">
      <c r="A54" s="12" t="s">
        <v>115</v>
      </c>
      <c r="B54" s="307">
        <f>'YR1991'!B54+'YR1992'!B54+'YR1993'!B54</f>
        <v>1425396</v>
      </c>
      <c r="C54" s="307">
        <f>'YR1991'!C54+'YR1992'!C54+'YR1993'!C54+130333.64+166991.63+72843.87+147980.96</f>
        <v>1303750.1000000001</v>
      </c>
      <c r="D54" s="307">
        <f>'YR1991'!D54+'YR1992'!D54+'YR1993'!D54</f>
        <v>0</v>
      </c>
      <c r="E54" s="307">
        <f>'YR1991'!E54+'YR1992'!E54+'YR1993'!E54</f>
        <v>0</v>
      </c>
      <c r="F54" s="326">
        <f t="shared" si="0"/>
        <v>121645.89999999991</v>
      </c>
      <c r="G54" s="305"/>
      <c r="H54" s="418" t="s">
        <v>230</v>
      </c>
    </row>
    <row r="55" spans="1:8" ht="18" customHeight="1">
      <c r="A55" s="12" t="s">
        <v>116</v>
      </c>
      <c r="B55" s="307">
        <f>'YR1991'!B55+'YR1992'!B55+'YR1993'!B55</f>
        <v>559639</v>
      </c>
      <c r="C55" s="307">
        <f>'YR1991'!C55+'YR1992'!C55+'YR1993'!C55</f>
        <v>559639</v>
      </c>
      <c r="D55" s="307">
        <f>'YR1991'!D55+'YR1992'!D55+'YR1993'!D55</f>
        <v>0</v>
      </c>
      <c r="E55" s="307">
        <f>'YR1991'!E55+'YR1992'!E55+'YR1993'!E55</f>
        <v>0</v>
      </c>
      <c r="F55" s="326">
        <f t="shared" si="0"/>
        <v>0</v>
      </c>
      <c r="G55" s="305"/>
    </row>
    <row r="56" spans="1:8" ht="18" customHeight="1">
      <c r="A56" s="12" t="s">
        <v>117</v>
      </c>
      <c r="B56" s="307">
        <f>'YR1991'!B56+'YR1992'!B56+'YR1993'!B56</f>
        <v>13826548</v>
      </c>
      <c r="C56" s="307">
        <f>'YR1991'!C56+'YR1992'!C56+'YR1993'!C56</f>
        <v>13826548</v>
      </c>
      <c r="D56" s="307">
        <f>'YR1991'!D56+'YR1992'!D56+'YR1993'!D56</f>
        <v>0</v>
      </c>
      <c r="E56" s="307">
        <f>'YR1991'!E56+'YR1992'!E56+'YR1993'!E56</f>
        <v>0</v>
      </c>
      <c r="F56" s="326">
        <f t="shared" si="0"/>
        <v>0</v>
      </c>
      <c r="G56" s="305"/>
    </row>
    <row r="57" spans="1:8" ht="18" customHeight="1">
      <c r="A57" s="12" t="s">
        <v>118</v>
      </c>
      <c r="B57" s="307">
        <f>'YR1991'!B57+'YR1992'!B57+'YR1993'!B57</f>
        <v>60001569</v>
      </c>
      <c r="C57" s="307">
        <f>'YR1991'!C57+'YR1992'!C57+'YR1993'!C57</f>
        <v>56374459</v>
      </c>
      <c r="D57" s="307">
        <f>'YR1991'!D57+'YR1992'!D57+'YR1993'!D57</f>
        <v>3627110</v>
      </c>
      <c r="E57" s="307">
        <f>'YR1991'!E57+'YR1992'!E57+'YR1993'!E57</f>
        <v>0</v>
      </c>
      <c r="F57" s="326">
        <f t="shared" si="0"/>
        <v>0</v>
      </c>
      <c r="G57" s="305"/>
    </row>
    <row r="58" spans="1:8" ht="18" customHeight="1" thickBot="1">
      <c r="A58" s="191" t="s">
        <v>119</v>
      </c>
      <c r="B58" s="307">
        <f>'YR1991'!B58+'YR1992'!B58+'YR1993'!B58</f>
        <v>0</v>
      </c>
      <c r="C58" s="307">
        <f>'YR1991'!C58+'YR1992'!C58+'YR1993'!C58</f>
        <v>0</v>
      </c>
      <c r="D58" s="307">
        <f>'YR1991'!D58+'YR1992'!D58+'YR1993'!D58</f>
        <v>0</v>
      </c>
      <c r="E58" s="307">
        <f>'YR1991'!E58+'YR1992'!E58+'YR1993'!E58</f>
        <v>0</v>
      </c>
      <c r="F58" s="419">
        <f t="shared" si="0"/>
        <v>0</v>
      </c>
      <c r="G58" s="305"/>
    </row>
    <row r="59" spans="1:8" ht="20.25" customHeight="1" thickBot="1">
      <c r="A59" s="218" t="s">
        <v>122</v>
      </c>
      <c r="B59" s="13">
        <f>SUM(B8:B58)</f>
        <v>235029241</v>
      </c>
      <c r="C59" s="13">
        <f>SUM(C8:C58)</f>
        <v>206611034.09999999</v>
      </c>
      <c r="D59" s="13">
        <f>SUM(D8:D58)</f>
        <v>4366255</v>
      </c>
      <c r="E59" s="13">
        <f>SUM(E8:E58)</f>
        <v>0</v>
      </c>
      <c r="F59" s="13">
        <f>SUM(F8:F58)</f>
        <v>24051951.899999999</v>
      </c>
      <c r="G59" s="305"/>
    </row>
    <row r="60" spans="1:8">
      <c r="A60" s="229"/>
      <c r="B60" s="229"/>
      <c r="C60" s="229"/>
      <c r="D60" s="229"/>
      <c r="E60" s="420"/>
      <c r="F60" s="420"/>
      <c r="G60" s="305"/>
    </row>
    <row r="61" spans="1:8">
      <c r="A61" s="315"/>
      <c r="B61" s="229"/>
      <c r="C61" s="229"/>
      <c r="D61" s="229"/>
      <c r="E61" s="229"/>
      <c r="F61" s="229"/>
      <c r="G61" s="305"/>
    </row>
    <row r="62" spans="1:8">
      <c r="A62" s="315"/>
      <c r="B62" s="229"/>
      <c r="C62" s="229"/>
      <c r="D62" s="229"/>
      <c r="E62" s="229"/>
      <c r="F62" s="229"/>
      <c r="G62" s="305"/>
    </row>
    <row r="63" spans="1:8">
      <c r="A63" s="229"/>
      <c r="B63" s="229"/>
      <c r="C63" s="229"/>
      <c r="D63" s="229"/>
      <c r="E63" s="229"/>
      <c r="F63" s="229"/>
      <c r="G63" s="305"/>
    </row>
    <row r="64" spans="1:8" ht="16" thickBot="1">
      <c r="A64" s="229"/>
      <c r="B64" s="229"/>
      <c r="C64" s="229"/>
      <c r="D64" s="229"/>
      <c r="E64" s="229"/>
      <c r="F64" s="229"/>
      <c r="G64" s="305"/>
    </row>
    <row r="65" spans="1:7" ht="16.5" customHeight="1" thickBot="1">
      <c r="A65" s="316" t="s">
        <v>133</v>
      </c>
      <c r="B65" s="317">
        <f>B10+B11+B14+B17+B19+B25+B32+B34+B42+B44+B46+B47+B52+B53+B54+B58</f>
        <v>28068772</v>
      </c>
      <c r="C65" s="317">
        <f>C10+C11+C14+C17+C19+C25+C32+C34+C42+C44+C46+C47+C52+C53+C54+C58</f>
        <v>4016820.1</v>
      </c>
      <c r="D65" s="317">
        <f>D10+D11+D14+D17+D19+D25+D32+D34+D42+D44+D46+D47+D52+D53+D54+D58</f>
        <v>0</v>
      </c>
      <c r="E65" s="317">
        <f>E10+E11+E14+E17+E19+E25+E32+E34+E42+E44+E46+E47+E52+E53+E54+E58</f>
        <v>0</v>
      </c>
      <c r="F65" s="332">
        <f>B65-C65-D65-E65</f>
        <v>24051951.899999999</v>
      </c>
      <c r="G65" s="305"/>
    </row>
    <row r="66" spans="1:7">
      <c r="G66" s="305"/>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BE98-CFE3-45BA-9D52-972E7855059B}">
  <dimension ref="A1:F61"/>
  <sheetViews>
    <sheetView topLeftCell="A46" workbookViewId="0">
      <selection activeCell="L68" sqref="L68"/>
    </sheetView>
  </sheetViews>
  <sheetFormatPr defaultColWidth="9.7265625" defaultRowHeight="15.5"/>
  <cols>
    <col min="1" max="1" width="27" style="1" customWidth="1"/>
    <col min="2" max="6" width="17.26953125" style="1" customWidth="1"/>
    <col min="7" max="16384" width="9.7265625" style="409"/>
  </cols>
  <sheetData>
    <row r="1" spans="1:6" s="1" customFormat="1" ht="16.5" customHeight="1">
      <c r="A1" s="329"/>
      <c r="B1" s="295"/>
      <c r="F1" s="320" t="str">
        <f>[1]Status!C1</f>
        <v>UNEP/OzL.Pro/ExCom/94/3</v>
      </c>
    </row>
    <row r="2" spans="1:6" s="1" customFormat="1" ht="16.5" customHeight="1">
      <c r="A2" s="329"/>
      <c r="B2" s="7"/>
      <c r="F2" s="320" t="s">
        <v>243</v>
      </c>
    </row>
    <row r="3" spans="1:6" s="1" customFormat="1" ht="16.5" customHeight="1">
      <c r="B3" s="7"/>
      <c r="F3" s="320"/>
    </row>
    <row r="4" spans="1:6" s="1" customFormat="1" ht="20.25" customHeight="1">
      <c r="A4" s="321" t="s">
        <v>2</v>
      </c>
      <c r="B4" s="321"/>
      <c r="C4" s="321"/>
      <c r="D4" s="321"/>
      <c r="E4" s="321"/>
      <c r="F4" s="321"/>
    </row>
    <row r="5" spans="1:6" s="1" customFormat="1" ht="20.25" customHeight="1">
      <c r="A5" s="322" t="s">
        <v>231</v>
      </c>
      <c r="B5" s="321"/>
      <c r="C5" s="321"/>
      <c r="D5" s="321"/>
      <c r="E5" s="321"/>
      <c r="F5" s="321"/>
    </row>
    <row r="6" spans="1:6" s="1" customFormat="1" ht="30" customHeight="1" thickBot="1">
      <c r="A6" s="323" t="s">
        <v>259</v>
      </c>
      <c r="B6" s="321"/>
      <c r="C6" s="321"/>
      <c r="D6" s="321"/>
      <c r="E6" s="321"/>
      <c r="F6" s="321"/>
    </row>
    <row r="7" spans="1:6" s="1" customFormat="1" ht="35.25" customHeight="1" thickBot="1">
      <c r="A7" s="298" t="s">
        <v>59</v>
      </c>
      <c r="B7" s="299" t="s">
        <v>60</v>
      </c>
      <c r="C7" s="299" t="s">
        <v>61</v>
      </c>
      <c r="D7" s="299" t="s">
        <v>62</v>
      </c>
      <c r="E7" s="299" t="s">
        <v>63</v>
      </c>
      <c r="F7" s="324" t="s">
        <v>64</v>
      </c>
    </row>
    <row r="8" spans="1:6" ht="18" customHeight="1">
      <c r="A8" s="378" t="s">
        <v>124</v>
      </c>
      <c r="B8" s="407">
        <v>2011867</v>
      </c>
      <c r="C8" s="407">
        <v>2011867</v>
      </c>
      <c r="D8" s="407">
        <v>0</v>
      </c>
      <c r="E8" s="407">
        <v>0</v>
      </c>
      <c r="F8" s="408">
        <f t="shared" ref="F8:F58" si="0">B8-C8-D8-E8</f>
        <v>0</v>
      </c>
    </row>
    <row r="9" spans="1:6" ht="18" customHeight="1">
      <c r="A9" s="360" t="s">
        <v>217</v>
      </c>
      <c r="B9" s="381">
        <v>999272</v>
      </c>
      <c r="C9" s="381">
        <v>999272</v>
      </c>
      <c r="D9" s="381">
        <v>0</v>
      </c>
      <c r="E9" s="381">
        <v>0</v>
      </c>
      <c r="F9" s="410">
        <f t="shared" si="0"/>
        <v>0</v>
      </c>
    </row>
    <row r="10" spans="1:6" ht="18" customHeight="1">
      <c r="A10" s="363" t="s">
        <v>68</v>
      </c>
      <c r="B10" s="381">
        <v>0</v>
      </c>
      <c r="C10" s="381">
        <v>0</v>
      </c>
      <c r="D10" s="381">
        <v>0</v>
      </c>
      <c r="E10" s="381">
        <v>0</v>
      </c>
      <c r="F10" s="410">
        <f t="shared" si="0"/>
        <v>0</v>
      </c>
    </row>
    <row r="11" spans="1:6" ht="18" customHeight="1">
      <c r="A11" s="360" t="s">
        <v>69</v>
      </c>
      <c r="B11" s="381">
        <v>0</v>
      </c>
      <c r="C11" s="381">
        <v>0</v>
      </c>
      <c r="D11" s="381">
        <v>0</v>
      </c>
      <c r="E11" s="381">
        <v>0</v>
      </c>
      <c r="F11" s="410">
        <f t="shared" si="0"/>
        <v>0</v>
      </c>
    </row>
    <row r="12" spans="1:6" ht="18" customHeight="1">
      <c r="A12" s="360" t="s">
        <v>70</v>
      </c>
      <c r="B12" s="381">
        <v>1412304</v>
      </c>
      <c r="C12" s="381">
        <v>1412304</v>
      </c>
      <c r="D12" s="381">
        <v>0</v>
      </c>
      <c r="E12" s="381">
        <v>0</v>
      </c>
      <c r="F12" s="410">
        <f t="shared" si="0"/>
        <v>0</v>
      </c>
    </row>
    <row r="13" spans="1:6" ht="18" customHeight="1">
      <c r="A13" s="360" t="s">
        <v>209</v>
      </c>
      <c r="B13" s="381">
        <v>0</v>
      </c>
      <c r="C13" s="381">
        <v>0</v>
      </c>
      <c r="D13" s="381">
        <v>0</v>
      </c>
      <c r="E13" s="381">
        <v>0</v>
      </c>
      <c r="F13" s="410">
        <f t="shared" si="0"/>
        <v>0</v>
      </c>
    </row>
    <row r="14" spans="1:6" ht="18" customHeight="1">
      <c r="A14" s="360" t="s">
        <v>71</v>
      </c>
      <c r="B14" s="381">
        <v>173207</v>
      </c>
      <c r="C14" s="381">
        <v>173207</v>
      </c>
      <c r="D14" s="381">
        <v>0</v>
      </c>
      <c r="E14" s="381">
        <v>0</v>
      </c>
      <c r="F14" s="410">
        <f t="shared" si="0"/>
        <v>0</v>
      </c>
    </row>
    <row r="15" spans="1:6" ht="18" customHeight="1">
      <c r="A15" s="360" t="s">
        <v>125</v>
      </c>
      <c r="B15" s="381">
        <v>4143646</v>
      </c>
      <c r="C15" s="381">
        <v>3527704</v>
      </c>
      <c r="D15" s="381">
        <f>615942+33558</f>
        <v>649500</v>
      </c>
      <c r="E15" s="381">
        <v>0</v>
      </c>
      <c r="F15" s="410">
        <f t="shared" si="0"/>
        <v>-33558</v>
      </c>
    </row>
    <row r="16" spans="1:6" ht="18" customHeight="1">
      <c r="A16" s="360" t="s">
        <v>74</v>
      </c>
      <c r="B16" s="381">
        <v>26647</v>
      </c>
      <c r="C16" s="381">
        <v>26647</v>
      </c>
      <c r="D16" s="381">
        <v>0</v>
      </c>
      <c r="E16" s="381">
        <v>0</v>
      </c>
      <c r="F16" s="410">
        <f t="shared" si="0"/>
        <v>0</v>
      </c>
    </row>
    <row r="17" spans="1:6" ht="18" customHeight="1">
      <c r="A17" s="360" t="s">
        <v>75</v>
      </c>
      <c r="B17" s="381">
        <v>559592</v>
      </c>
      <c r="C17" s="381">
        <v>559592</v>
      </c>
      <c r="D17" s="381">
        <v>0</v>
      </c>
      <c r="E17" s="381">
        <v>0</v>
      </c>
      <c r="F17" s="410">
        <f t="shared" si="0"/>
        <v>0</v>
      </c>
    </row>
    <row r="18" spans="1:6" ht="18" customHeight="1">
      <c r="A18" s="360" t="s">
        <v>76</v>
      </c>
      <c r="B18" s="381">
        <v>866035</v>
      </c>
      <c r="C18" s="381">
        <v>866035</v>
      </c>
      <c r="D18" s="381">
        <v>0</v>
      </c>
      <c r="E18" s="381">
        <v>0</v>
      </c>
      <c r="F18" s="410">
        <f t="shared" si="0"/>
        <v>0</v>
      </c>
    </row>
    <row r="19" spans="1:6" ht="18" customHeight="1">
      <c r="A19" s="360" t="s">
        <v>77</v>
      </c>
      <c r="B19" s="381">
        <v>0</v>
      </c>
      <c r="C19" s="381">
        <v>0</v>
      </c>
      <c r="D19" s="381">
        <v>0</v>
      </c>
      <c r="E19" s="381">
        <v>0</v>
      </c>
      <c r="F19" s="410">
        <f t="shared" si="0"/>
        <v>0</v>
      </c>
    </row>
    <row r="20" spans="1:6" ht="18" customHeight="1">
      <c r="A20" s="360" t="s">
        <v>78</v>
      </c>
      <c r="B20" s="381">
        <v>759446</v>
      </c>
      <c r="C20" s="381">
        <v>759446</v>
      </c>
      <c r="D20" s="381">
        <v>0</v>
      </c>
      <c r="E20" s="381">
        <v>0</v>
      </c>
      <c r="F20" s="410">
        <f t="shared" si="0"/>
        <v>0</v>
      </c>
    </row>
    <row r="21" spans="1:6" ht="18" customHeight="1">
      <c r="A21" s="360" t="s">
        <v>79</v>
      </c>
      <c r="B21" s="381">
        <v>7994173</v>
      </c>
      <c r="C21" s="381">
        <v>7994173</v>
      </c>
      <c r="D21" s="381">
        <v>0</v>
      </c>
      <c r="E21" s="381">
        <v>0</v>
      </c>
      <c r="F21" s="410">
        <f t="shared" si="0"/>
        <v>0</v>
      </c>
    </row>
    <row r="22" spans="1:6" ht="18" customHeight="1">
      <c r="A22" s="360" t="s">
        <v>210</v>
      </c>
      <c r="B22" s="381">
        <v>0</v>
      </c>
      <c r="C22" s="381">
        <v>0</v>
      </c>
      <c r="D22" s="381">
        <v>0</v>
      </c>
      <c r="E22" s="381">
        <v>0</v>
      </c>
      <c r="F22" s="410">
        <f t="shared" si="0"/>
        <v>0</v>
      </c>
    </row>
    <row r="23" spans="1:6" ht="18" customHeight="1">
      <c r="A23" s="360" t="s">
        <v>80</v>
      </c>
      <c r="B23" s="381">
        <v>11897994</v>
      </c>
      <c r="C23" s="381">
        <v>11897994</v>
      </c>
      <c r="D23" s="381">
        <v>0</v>
      </c>
      <c r="E23" s="381">
        <v>0</v>
      </c>
      <c r="F23" s="410">
        <f t="shared" si="0"/>
        <v>0</v>
      </c>
    </row>
    <row r="24" spans="1:6" ht="18" customHeight="1">
      <c r="A24" s="360" t="s">
        <v>81</v>
      </c>
      <c r="B24" s="381">
        <v>466327</v>
      </c>
      <c r="C24" s="381">
        <v>466327</v>
      </c>
      <c r="D24" s="381">
        <v>0</v>
      </c>
      <c r="E24" s="381">
        <v>0</v>
      </c>
      <c r="F24" s="410">
        <f t="shared" si="0"/>
        <v>0</v>
      </c>
    </row>
    <row r="25" spans="1:6" ht="18" customHeight="1">
      <c r="A25" s="360" t="s">
        <v>83</v>
      </c>
      <c r="B25" s="381">
        <v>239825</v>
      </c>
      <c r="C25" s="381">
        <v>239825</v>
      </c>
      <c r="D25" s="381">
        <v>0</v>
      </c>
      <c r="E25" s="381">
        <v>0</v>
      </c>
      <c r="F25" s="410">
        <f t="shared" si="0"/>
        <v>0</v>
      </c>
    </row>
    <row r="26" spans="1:6" ht="18" customHeight="1">
      <c r="A26" s="360" t="s">
        <v>84</v>
      </c>
      <c r="B26" s="381">
        <v>39971</v>
      </c>
      <c r="C26" s="381">
        <v>39971</v>
      </c>
      <c r="D26" s="381">
        <v>0</v>
      </c>
      <c r="E26" s="381">
        <v>0</v>
      </c>
      <c r="F26" s="410">
        <f t="shared" si="0"/>
        <v>0</v>
      </c>
    </row>
    <row r="27" spans="1:6" ht="18" customHeight="1">
      <c r="A27" s="360" t="s">
        <v>85</v>
      </c>
      <c r="B27" s="381">
        <v>239825</v>
      </c>
      <c r="C27" s="381">
        <v>239825</v>
      </c>
      <c r="D27" s="381">
        <v>0</v>
      </c>
      <c r="E27" s="381">
        <v>0</v>
      </c>
      <c r="F27" s="410">
        <f t="shared" si="0"/>
        <v>0</v>
      </c>
    </row>
    <row r="28" spans="1:6" ht="18" customHeight="1">
      <c r="A28" s="360" t="s">
        <v>86</v>
      </c>
      <c r="B28" s="381">
        <v>306443</v>
      </c>
      <c r="C28" s="381">
        <v>306443</v>
      </c>
      <c r="D28" s="381">
        <v>0</v>
      </c>
      <c r="E28" s="381">
        <v>0</v>
      </c>
      <c r="F28" s="410">
        <f t="shared" si="0"/>
        <v>0</v>
      </c>
    </row>
    <row r="29" spans="1:6" ht="18" customHeight="1">
      <c r="A29" s="360" t="s">
        <v>87</v>
      </c>
      <c r="B29" s="381">
        <v>5715834</v>
      </c>
      <c r="C29" s="381">
        <v>5715834</v>
      </c>
      <c r="D29" s="381">
        <v>0</v>
      </c>
      <c r="E29" s="381">
        <v>0</v>
      </c>
      <c r="F29" s="410">
        <f t="shared" si="0"/>
        <v>0</v>
      </c>
    </row>
    <row r="30" spans="1:6" ht="18" customHeight="1">
      <c r="A30" s="360" t="s">
        <v>88</v>
      </c>
      <c r="B30" s="381">
        <v>16587909</v>
      </c>
      <c r="C30" s="381">
        <v>16587909</v>
      </c>
      <c r="D30" s="381">
        <v>0</v>
      </c>
      <c r="E30" s="381">
        <v>0</v>
      </c>
      <c r="F30" s="410">
        <f t="shared" si="0"/>
        <v>0</v>
      </c>
    </row>
    <row r="31" spans="1:6" ht="18" customHeight="1">
      <c r="A31" s="360" t="s">
        <v>90</v>
      </c>
      <c r="B31" s="381">
        <v>286549</v>
      </c>
      <c r="C31" s="381">
        <v>286549</v>
      </c>
      <c r="D31" s="381">
        <v>0</v>
      </c>
      <c r="E31" s="381">
        <v>0</v>
      </c>
      <c r="F31" s="410">
        <f t="shared" si="0"/>
        <v>0</v>
      </c>
    </row>
    <row r="32" spans="1:6" ht="18" customHeight="1">
      <c r="A32" s="360" t="s">
        <v>91</v>
      </c>
      <c r="B32" s="381">
        <v>0</v>
      </c>
      <c r="C32" s="381">
        <v>0</v>
      </c>
      <c r="D32" s="381">
        <v>0</v>
      </c>
      <c r="E32" s="381">
        <v>0</v>
      </c>
      <c r="F32" s="410">
        <f t="shared" si="0"/>
        <v>0</v>
      </c>
    </row>
    <row r="33" spans="1:6" ht="18" customHeight="1">
      <c r="A33" s="360" t="s">
        <v>92</v>
      </c>
      <c r="B33" s="381">
        <v>13324</v>
      </c>
      <c r="C33" s="381">
        <v>13324</v>
      </c>
      <c r="D33" s="381">
        <v>0</v>
      </c>
      <c r="E33" s="381">
        <v>0</v>
      </c>
      <c r="F33" s="410">
        <f t="shared" si="0"/>
        <v>0</v>
      </c>
    </row>
    <row r="34" spans="1:6" ht="18" customHeight="1">
      <c r="A34" s="360" t="s">
        <v>93</v>
      </c>
      <c r="B34" s="381">
        <v>0</v>
      </c>
      <c r="C34" s="381">
        <v>0</v>
      </c>
      <c r="D34" s="381">
        <v>0</v>
      </c>
      <c r="E34" s="381">
        <v>0</v>
      </c>
      <c r="F34" s="410">
        <f t="shared" si="0"/>
        <v>0</v>
      </c>
    </row>
    <row r="35" spans="1:6" ht="18" customHeight="1">
      <c r="A35" s="360" t="s">
        <v>94</v>
      </c>
      <c r="B35" s="381">
        <v>79942</v>
      </c>
      <c r="C35" s="381">
        <v>79942</v>
      </c>
      <c r="D35" s="381">
        <v>0</v>
      </c>
      <c r="E35" s="381">
        <v>0</v>
      </c>
      <c r="F35" s="410">
        <f t="shared" si="0"/>
        <v>0</v>
      </c>
    </row>
    <row r="36" spans="1:6" ht="18" customHeight="1">
      <c r="A36" s="360" t="s">
        <v>95</v>
      </c>
      <c r="B36" s="381">
        <v>13324</v>
      </c>
      <c r="C36" s="381">
        <v>13324</v>
      </c>
      <c r="D36" s="381">
        <v>0</v>
      </c>
      <c r="E36" s="381">
        <v>0</v>
      </c>
      <c r="F36" s="410">
        <f t="shared" si="0"/>
        <v>0</v>
      </c>
    </row>
    <row r="37" spans="1:6" ht="18" customHeight="1">
      <c r="A37" s="360" t="s">
        <v>96</v>
      </c>
      <c r="B37" s="381">
        <v>7483</v>
      </c>
      <c r="C37" s="381">
        <v>7483</v>
      </c>
      <c r="D37" s="381">
        <v>0</v>
      </c>
      <c r="E37" s="381">
        <v>0</v>
      </c>
      <c r="F37" s="410">
        <f t="shared" si="0"/>
        <v>0</v>
      </c>
    </row>
    <row r="38" spans="1:6" ht="18" customHeight="1">
      <c r="A38" s="360" t="s">
        <v>97</v>
      </c>
      <c r="B38" s="381">
        <v>1998543</v>
      </c>
      <c r="C38" s="381">
        <v>1998543</v>
      </c>
      <c r="D38" s="381">
        <v>0</v>
      </c>
      <c r="E38" s="381">
        <v>0</v>
      </c>
      <c r="F38" s="410">
        <f t="shared" si="0"/>
        <v>0</v>
      </c>
    </row>
    <row r="39" spans="1:6" ht="18" customHeight="1">
      <c r="A39" s="360" t="s">
        <v>98</v>
      </c>
      <c r="B39" s="381">
        <v>319767</v>
      </c>
      <c r="C39" s="381">
        <v>319767</v>
      </c>
      <c r="D39" s="381">
        <v>0</v>
      </c>
      <c r="E39" s="381">
        <v>0</v>
      </c>
      <c r="F39" s="410">
        <f t="shared" si="0"/>
        <v>0</v>
      </c>
    </row>
    <row r="40" spans="1:6" ht="18" customHeight="1">
      <c r="A40" s="360" t="s">
        <v>99</v>
      </c>
      <c r="B40" s="381">
        <v>732799</v>
      </c>
      <c r="C40" s="381">
        <v>732799</v>
      </c>
      <c r="D40" s="381">
        <v>0</v>
      </c>
      <c r="E40" s="381">
        <v>0</v>
      </c>
      <c r="F40" s="410">
        <f t="shared" si="0"/>
        <v>0</v>
      </c>
    </row>
    <row r="41" spans="1:6" ht="18" customHeight="1">
      <c r="A41" s="360" t="s">
        <v>100</v>
      </c>
      <c r="B41" s="381">
        <v>0</v>
      </c>
      <c r="C41" s="381">
        <v>0</v>
      </c>
      <c r="D41" s="381">
        <v>0</v>
      </c>
      <c r="E41" s="381">
        <v>0</v>
      </c>
      <c r="F41" s="410">
        <f t="shared" si="0"/>
        <v>0</v>
      </c>
    </row>
    <row r="42" spans="1:6" ht="18" customHeight="1">
      <c r="A42" s="360" t="s">
        <v>101</v>
      </c>
      <c r="B42" s="381">
        <v>0</v>
      </c>
      <c r="C42" s="381">
        <v>0</v>
      </c>
      <c r="D42" s="381">
        <v>0</v>
      </c>
      <c r="E42" s="381">
        <v>0</v>
      </c>
      <c r="F42" s="410">
        <f t="shared" si="0"/>
        <v>0</v>
      </c>
    </row>
    <row r="43" spans="1:6" ht="18" customHeight="1">
      <c r="A43" s="360" t="s">
        <v>102</v>
      </c>
      <c r="B43" s="381">
        <v>266472</v>
      </c>
      <c r="C43" s="381">
        <v>266472</v>
      </c>
      <c r="D43" s="381">
        <v>0</v>
      </c>
      <c r="E43" s="381">
        <v>0</v>
      </c>
      <c r="F43" s="410">
        <f t="shared" si="0"/>
        <v>0</v>
      </c>
    </row>
    <row r="44" spans="1:6" ht="18" customHeight="1">
      <c r="A44" s="360" t="s">
        <v>104</v>
      </c>
      <c r="B44" s="381">
        <v>8940150</v>
      </c>
      <c r="C44" s="381">
        <v>0</v>
      </c>
      <c r="D44" s="381">
        <v>0</v>
      </c>
      <c r="E44" s="381">
        <v>0</v>
      </c>
      <c r="F44" s="410">
        <f t="shared" si="0"/>
        <v>8940150</v>
      </c>
    </row>
    <row r="45" spans="1:6" ht="18" customHeight="1">
      <c r="A45" s="360" t="s">
        <v>106</v>
      </c>
      <c r="B45" s="381">
        <v>159883</v>
      </c>
      <c r="C45" s="381">
        <v>127907</v>
      </c>
      <c r="D45" s="381">
        <v>31976</v>
      </c>
      <c r="E45" s="381">
        <v>0</v>
      </c>
      <c r="F45" s="410">
        <f t="shared" si="0"/>
        <v>0</v>
      </c>
    </row>
    <row r="46" spans="1:6" ht="18" customHeight="1">
      <c r="A46" s="378" t="s">
        <v>211</v>
      </c>
      <c r="B46" s="381">
        <v>173207</v>
      </c>
      <c r="C46" s="381">
        <v>173207</v>
      </c>
      <c r="D46" s="381">
        <v>0</v>
      </c>
      <c r="E46" s="381">
        <v>0</v>
      </c>
      <c r="F46" s="410">
        <f t="shared" si="0"/>
        <v>0</v>
      </c>
    </row>
    <row r="47" spans="1:6" ht="18" customHeight="1">
      <c r="A47" s="360" t="s">
        <v>108</v>
      </c>
      <c r="B47" s="381">
        <v>0</v>
      </c>
      <c r="C47" s="381">
        <v>0</v>
      </c>
      <c r="D47" s="381">
        <v>0</v>
      </c>
      <c r="E47" s="381">
        <v>0</v>
      </c>
      <c r="F47" s="410">
        <f t="shared" si="0"/>
        <v>0</v>
      </c>
    </row>
    <row r="48" spans="1:6" ht="18" customHeight="1">
      <c r="A48" s="360" t="s">
        <v>109</v>
      </c>
      <c r="B48" s="381">
        <v>546268</v>
      </c>
      <c r="C48" s="381">
        <v>546268</v>
      </c>
      <c r="D48" s="381">
        <v>0</v>
      </c>
      <c r="E48" s="381">
        <v>0</v>
      </c>
      <c r="F48" s="410">
        <f t="shared" si="0"/>
        <v>0</v>
      </c>
    </row>
    <row r="49" spans="1:6" ht="18" customHeight="1">
      <c r="A49" s="360" t="s">
        <v>110</v>
      </c>
      <c r="B49" s="381">
        <v>2638077</v>
      </c>
      <c r="C49" s="381">
        <v>2638077</v>
      </c>
      <c r="D49" s="381">
        <v>0</v>
      </c>
      <c r="E49" s="381">
        <v>0</v>
      </c>
      <c r="F49" s="410">
        <f t="shared" si="0"/>
        <v>0</v>
      </c>
    </row>
    <row r="50" spans="1:6" ht="18" customHeight="1">
      <c r="A50" s="360" t="s">
        <v>111</v>
      </c>
      <c r="B50" s="381">
        <v>1478922</v>
      </c>
      <c r="C50" s="381">
        <v>1478922</v>
      </c>
      <c r="D50" s="381">
        <v>0</v>
      </c>
      <c r="E50" s="381">
        <v>0</v>
      </c>
      <c r="F50" s="410">
        <f t="shared" si="0"/>
        <v>0</v>
      </c>
    </row>
    <row r="51" spans="1:6" ht="18" customHeight="1">
      <c r="A51" s="360" t="s">
        <v>112</v>
      </c>
      <c r="B51" s="381">
        <v>1545540</v>
      </c>
      <c r="C51" s="381">
        <v>1545540</v>
      </c>
      <c r="D51" s="381">
        <v>0</v>
      </c>
      <c r="E51" s="381">
        <v>0</v>
      </c>
      <c r="F51" s="410">
        <f t="shared" si="0"/>
        <v>0</v>
      </c>
    </row>
    <row r="52" spans="1:6" ht="18" customHeight="1">
      <c r="A52" s="360" t="s">
        <v>113</v>
      </c>
      <c r="B52" s="381">
        <v>0</v>
      </c>
      <c r="C52" s="381">
        <v>0</v>
      </c>
      <c r="D52" s="381">
        <v>0</v>
      </c>
      <c r="E52" s="381">
        <v>0</v>
      </c>
      <c r="F52" s="410">
        <f t="shared" si="0"/>
        <v>0</v>
      </c>
    </row>
    <row r="53" spans="1:6" ht="18" customHeight="1">
      <c r="A53" s="360" t="s">
        <v>181</v>
      </c>
      <c r="B53" s="381">
        <v>0</v>
      </c>
      <c r="C53" s="381">
        <v>0</v>
      </c>
      <c r="D53" s="381">
        <v>0</v>
      </c>
      <c r="E53" s="381">
        <v>0</v>
      </c>
      <c r="F53" s="410">
        <f t="shared" si="0"/>
        <v>0</v>
      </c>
    </row>
    <row r="54" spans="1:6" ht="18" customHeight="1">
      <c r="A54" s="360" t="s">
        <v>115</v>
      </c>
      <c r="B54" s="381">
        <v>0</v>
      </c>
      <c r="C54" s="381">
        <v>0</v>
      </c>
      <c r="D54" s="381">
        <v>0</v>
      </c>
      <c r="E54" s="381">
        <v>0</v>
      </c>
      <c r="F54" s="410">
        <f t="shared" si="0"/>
        <v>0</v>
      </c>
    </row>
    <row r="55" spans="1:6" ht="18" customHeight="1">
      <c r="A55" s="360" t="s">
        <v>116</v>
      </c>
      <c r="B55" s="381">
        <v>279796</v>
      </c>
      <c r="C55" s="381">
        <v>279796</v>
      </c>
      <c r="D55" s="381">
        <v>0</v>
      </c>
      <c r="E55" s="381">
        <v>0</v>
      </c>
      <c r="F55" s="410">
        <f t="shared" si="0"/>
        <v>0</v>
      </c>
    </row>
    <row r="56" spans="1:6" ht="18" customHeight="1">
      <c r="A56" s="360" t="s">
        <v>117</v>
      </c>
      <c r="B56" s="381">
        <v>6668458</v>
      </c>
      <c r="C56" s="381">
        <v>6668458</v>
      </c>
      <c r="D56" s="381">
        <v>0</v>
      </c>
      <c r="E56" s="381">
        <v>0</v>
      </c>
      <c r="F56" s="410">
        <f t="shared" si="0"/>
        <v>0</v>
      </c>
    </row>
    <row r="57" spans="1:6" ht="18" customHeight="1">
      <c r="A57" s="360" t="s">
        <v>118</v>
      </c>
      <c r="B57" s="381">
        <v>28334903</v>
      </c>
      <c r="C57" s="381">
        <v>27600793</v>
      </c>
      <c r="D57" s="381">
        <v>734110</v>
      </c>
      <c r="E57" s="381">
        <v>0</v>
      </c>
      <c r="F57" s="410">
        <f t="shared" si="0"/>
        <v>0</v>
      </c>
    </row>
    <row r="58" spans="1:6" ht="18" customHeight="1" thickBot="1">
      <c r="A58" s="366" t="s">
        <v>119</v>
      </c>
      <c r="B58" s="381">
        <v>0</v>
      </c>
      <c r="C58" s="381">
        <v>0</v>
      </c>
      <c r="D58" s="381">
        <v>0</v>
      </c>
      <c r="E58" s="381">
        <v>0</v>
      </c>
      <c r="F58" s="410">
        <f t="shared" si="0"/>
        <v>0</v>
      </c>
    </row>
    <row r="59" spans="1:6" ht="20.25" customHeight="1" thickBot="1">
      <c r="A59" s="411" t="s">
        <v>122</v>
      </c>
      <c r="B59" s="412">
        <f>SUM(B8:B58)</f>
        <v>108923724</v>
      </c>
      <c r="C59" s="412">
        <f>SUM(C8:C58)</f>
        <v>98601546</v>
      </c>
      <c r="D59" s="412">
        <f>SUM(D8:D58)</f>
        <v>1415586</v>
      </c>
      <c r="E59" s="412">
        <f>SUM(E8:E58)</f>
        <v>0</v>
      </c>
      <c r="F59" s="413">
        <f>SUM(F8:F58)</f>
        <v>8906592</v>
      </c>
    </row>
    <row r="60" spans="1:6" ht="15.75" customHeight="1">
      <c r="A60" s="416"/>
      <c r="B60" s="416"/>
      <c r="C60" s="416"/>
      <c r="D60" s="416"/>
      <c r="E60" s="416"/>
      <c r="F60" s="416"/>
    </row>
    <row r="61" spans="1:6" ht="15.75" customHeight="1">
      <c r="A61" s="417"/>
      <c r="F61" s="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96889-D2F9-416A-9C54-2F89CFF7A6DC}">
  <dimension ref="A1:F61"/>
  <sheetViews>
    <sheetView topLeftCell="A48" workbookViewId="0">
      <selection activeCell="L68" sqref="L68"/>
    </sheetView>
  </sheetViews>
  <sheetFormatPr defaultColWidth="9.7265625" defaultRowHeight="15.5"/>
  <cols>
    <col min="1" max="1" width="27" style="1" customWidth="1"/>
    <col min="2" max="6" width="17.26953125" style="1" customWidth="1"/>
    <col min="7" max="16384" width="9.7265625" style="409"/>
  </cols>
  <sheetData>
    <row r="1" spans="1:6" s="1" customFormat="1" ht="16.5" customHeight="1">
      <c r="A1" s="329" t="str">
        <f>[1]Status!C1</f>
        <v>UNEP/OzL.Pro/ExCom/94/3</v>
      </c>
      <c r="B1" s="295"/>
      <c r="F1" s="320"/>
    </row>
    <row r="2" spans="1:6" s="1" customFormat="1" ht="16.5" customHeight="1">
      <c r="A2" s="329" t="s">
        <v>244</v>
      </c>
      <c r="B2" s="7"/>
      <c r="F2" s="320"/>
    </row>
    <row r="3" spans="1:6" s="1" customFormat="1" ht="16.5" customHeight="1">
      <c r="B3" s="7"/>
      <c r="F3" s="320"/>
    </row>
    <row r="4" spans="1:6" s="1" customFormat="1" ht="20.25" customHeight="1">
      <c r="A4" s="321" t="s">
        <v>2</v>
      </c>
      <c r="B4" s="321"/>
      <c r="C4" s="321"/>
      <c r="D4" s="321"/>
      <c r="E4" s="321"/>
      <c r="F4" s="321"/>
    </row>
    <row r="5" spans="1:6" s="1" customFormat="1" ht="20.25" customHeight="1">
      <c r="A5" s="322" t="s">
        <v>232</v>
      </c>
      <c r="B5" s="321"/>
      <c r="C5" s="321"/>
      <c r="D5" s="321"/>
      <c r="E5" s="321"/>
      <c r="F5" s="321"/>
    </row>
    <row r="6" spans="1:6" s="1" customFormat="1" ht="30" customHeight="1" thickBot="1">
      <c r="A6" s="323" t="str">
        <f>[1]Status!A6</f>
        <v>As at 24/05/2024</v>
      </c>
      <c r="B6" s="321"/>
      <c r="C6" s="321"/>
      <c r="D6" s="321"/>
      <c r="E6" s="321"/>
      <c r="F6" s="321"/>
    </row>
    <row r="7" spans="1:6" s="1" customFormat="1" ht="35.25" customHeight="1" thickBot="1">
      <c r="A7" s="298" t="s">
        <v>59</v>
      </c>
      <c r="B7" s="299" t="s">
        <v>60</v>
      </c>
      <c r="C7" s="299" t="s">
        <v>61</v>
      </c>
      <c r="D7" s="299" t="s">
        <v>62</v>
      </c>
      <c r="E7" s="299" t="s">
        <v>63</v>
      </c>
      <c r="F7" s="324" t="s">
        <v>64</v>
      </c>
    </row>
    <row r="8" spans="1:6" ht="18" customHeight="1">
      <c r="A8" s="378" t="s">
        <v>124</v>
      </c>
      <c r="B8" s="407">
        <v>1326980</v>
      </c>
      <c r="C8" s="407">
        <v>1287689</v>
      </c>
      <c r="D8" s="407">
        <v>39291</v>
      </c>
      <c r="E8" s="407">
        <v>0</v>
      </c>
      <c r="F8" s="408">
        <f t="shared" ref="F8:F58" si="0">B8-C8-D8-E8</f>
        <v>0</v>
      </c>
    </row>
    <row r="9" spans="1:6" ht="18" customHeight="1">
      <c r="A9" s="360" t="s">
        <v>217</v>
      </c>
      <c r="B9" s="381">
        <v>625456</v>
      </c>
      <c r="C9" s="381">
        <v>625456</v>
      </c>
      <c r="D9" s="381">
        <v>0</v>
      </c>
      <c r="E9" s="381">
        <v>0</v>
      </c>
      <c r="F9" s="410">
        <f t="shared" si="0"/>
        <v>0</v>
      </c>
    </row>
    <row r="10" spans="1:6" ht="18" customHeight="1">
      <c r="A10" s="363" t="s">
        <v>68</v>
      </c>
      <c r="B10" s="381">
        <v>0</v>
      </c>
      <c r="C10" s="381">
        <v>0</v>
      </c>
      <c r="D10" s="381">
        <v>0</v>
      </c>
      <c r="E10" s="381">
        <v>0</v>
      </c>
      <c r="F10" s="410">
        <f t="shared" si="0"/>
        <v>0</v>
      </c>
    </row>
    <row r="11" spans="1:6" ht="18" customHeight="1">
      <c r="A11" s="360" t="s">
        <v>69</v>
      </c>
      <c r="B11" s="381">
        <v>169180</v>
      </c>
      <c r="C11" s="381">
        <v>0</v>
      </c>
      <c r="D11" s="381">
        <v>0</v>
      </c>
      <c r="E11" s="381">
        <v>0</v>
      </c>
      <c r="F11" s="410">
        <f t="shared" si="0"/>
        <v>169180</v>
      </c>
    </row>
    <row r="12" spans="1:6" ht="18" customHeight="1">
      <c r="A12" s="360" t="s">
        <v>70</v>
      </c>
      <c r="B12" s="381">
        <v>988896</v>
      </c>
      <c r="C12" s="381">
        <v>988896</v>
      </c>
      <c r="D12" s="381">
        <v>0</v>
      </c>
      <c r="E12" s="381">
        <v>0</v>
      </c>
      <c r="F12" s="410">
        <f t="shared" si="0"/>
        <v>0</v>
      </c>
    </row>
    <row r="13" spans="1:6" ht="18" customHeight="1">
      <c r="A13" s="360" t="s">
        <v>209</v>
      </c>
      <c r="B13" s="381">
        <v>0</v>
      </c>
      <c r="C13" s="381">
        <v>0</v>
      </c>
      <c r="D13" s="381">
        <v>0</v>
      </c>
      <c r="E13" s="381">
        <v>0</v>
      </c>
      <c r="F13" s="410">
        <f t="shared" si="0"/>
        <v>0</v>
      </c>
    </row>
    <row r="14" spans="1:6" ht="18" customHeight="1">
      <c r="A14" s="360" t="s">
        <v>71</v>
      </c>
      <c r="B14" s="381">
        <v>126782</v>
      </c>
      <c r="C14" s="381">
        <v>126782</v>
      </c>
      <c r="D14" s="381">
        <v>0</v>
      </c>
      <c r="E14" s="381">
        <v>0</v>
      </c>
      <c r="F14" s="410">
        <f t="shared" si="0"/>
        <v>0</v>
      </c>
    </row>
    <row r="15" spans="1:6" ht="18" customHeight="1">
      <c r="A15" s="360" t="s">
        <v>125</v>
      </c>
      <c r="B15" s="381">
        <v>2611699</v>
      </c>
      <c r="C15" s="381">
        <v>2611699</v>
      </c>
      <c r="D15" s="381">
        <v>0</v>
      </c>
      <c r="E15" s="381">
        <v>0</v>
      </c>
      <c r="F15" s="410">
        <f t="shared" si="0"/>
        <v>0</v>
      </c>
    </row>
    <row r="16" spans="1:6" ht="18" customHeight="1">
      <c r="A16" s="360" t="s">
        <v>74</v>
      </c>
      <c r="B16" s="381">
        <v>0</v>
      </c>
      <c r="C16" s="381">
        <v>0</v>
      </c>
      <c r="D16" s="381">
        <v>0</v>
      </c>
      <c r="E16" s="381">
        <v>0</v>
      </c>
      <c r="F16" s="410">
        <f t="shared" si="0"/>
        <v>0</v>
      </c>
    </row>
    <row r="17" spans="1:6" ht="18" customHeight="1">
      <c r="A17" s="360" t="s">
        <v>75</v>
      </c>
      <c r="B17" s="381">
        <v>371892</v>
      </c>
      <c r="C17" s="381">
        <v>371892</v>
      </c>
      <c r="D17" s="381">
        <v>0</v>
      </c>
      <c r="E17" s="381">
        <v>0</v>
      </c>
      <c r="F17" s="410">
        <f t="shared" si="0"/>
        <v>0</v>
      </c>
    </row>
    <row r="18" spans="1:6" ht="18" customHeight="1">
      <c r="A18" s="360" t="s">
        <v>76</v>
      </c>
      <c r="B18" s="381">
        <v>583195</v>
      </c>
      <c r="C18" s="381">
        <v>583195</v>
      </c>
      <c r="D18" s="381">
        <v>0</v>
      </c>
      <c r="E18" s="381">
        <v>0</v>
      </c>
      <c r="F18" s="410">
        <f t="shared" si="0"/>
        <v>0</v>
      </c>
    </row>
    <row r="19" spans="1:6" ht="18" customHeight="1">
      <c r="A19" s="360" t="s">
        <v>77</v>
      </c>
      <c r="B19" s="381">
        <v>0</v>
      </c>
      <c r="C19" s="381">
        <v>0</v>
      </c>
      <c r="D19" s="381">
        <v>0</v>
      </c>
      <c r="E19" s="381">
        <v>0</v>
      </c>
      <c r="F19" s="410">
        <f t="shared" si="0"/>
        <v>0</v>
      </c>
    </row>
    <row r="20" spans="1:6" ht="18" customHeight="1">
      <c r="A20" s="360" t="s">
        <v>78</v>
      </c>
      <c r="B20" s="381">
        <v>431057</v>
      </c>
      <c r="C20" s="381">
        <v>431057</v>
      </c>
      <c r="D20" s="381">
        <v>0</v>
      </c>
      <c r="E20" s="381">
        <v>0</v>
      </c>
      <c r="F20" s="410">
        <f t="shared" si="0"/>
        <v>0</v>
      </c>
    </row>
    <row r="21" spans="1:6" ht="18" customHeight="1">
      <c r="A21" s="360" t="s">
        <v>79</v>
      </c>
      <c r="B21" s="381">
        <v>5282564</v>
      </c>
      <c r="C21" s="381">
        <v>5282564</v>
      </c>
      <c r="D21" s="381">
        <v>0</v>
      </c>
      <c r="E21" s="381">
        <v>0</v>
      </c>
      <c r="F21" s="410">
        <f t="shared" si="0"/>
        <v>0</v>
      </c>
    </row>
    <row r="22" spans="1:6" ht="18" customHeight="1">
      <c r="A22" s="360" t="s">
        <v>210</v>
      </c>
      <c r="B22" s="381">
        <v>0</v>
      </c>
      <c r="C22" s="381">
        <v>0</v>
      </c>
      <c r="D22" s="381">
        <v>0</v>
      </c>
      <c r="E22" s="381">
        <v>0</v>
      </c>
      <c r="F22" s="410">
        <f t="shared" si="0"/>
        <v>0</v>
      </c>
    </row>
    <row r="23" spans="1:6" ht="18" customHeight="1">
      <c r="A23" s="360" t="s">
        <v>80</v>
      </c>
      <c r="B23" s="381">
        <v>7911167</v>
      </c>
      <c r="C23" s="381">
        <v>7892789</v>
      </c>
      <c r="D23" s="381">
        <v>18378</v>
      </c>
      <c r="E23" s="381">
        <v>0</v>
      </c>
      <c r="F23" s="410">
        <f t="shared" si="0"/>
        <v>0</v>
      </c>
    </row>
    <row r="24" spans="1:6" ht="18" customHeight="1">
      <c r="A24" s="360" t="s">
        <v>81</v>
      </c>
      <c r="B24" s="381">
        <v>338084</v>
      </c>
      <c r="C24" s="381">
        <v>338084</v>
      </c>
      <c r="D24" s="381">
        <v>0</v>
      </c>
      <c r="E24" s="381">
        <v>0</v>
      </c>
      <c r="F24" s="410">
        <f t="shared" si="0"/>
        <v>0</v>
      </c>
    </row>
    <row r="25" spans="1:6" ht="18" customHeight="1">
      <c r="A25" s="360" t="s">
        <v>83</v>
      </c>
      <c r="B25" s="381">
        <v>177494</v>
      </c>
      <c r="C25" s="381">
        <v>177494</v>
      </c>
      <c r="D25" s="381">
        <v>0</v>
      </c>
      <c r="E25" s="381">
        <v>0</v>
      </c>
      <c r="F25" s="410">
        <f t="shared" si="0"/>
        <v>0</v>
      </c>
    </row>
    <row r="26" spans="1:6" ht="18" customHeight="1">
      <c r="A26" s="360" t="s">
        <v>84</v>
      </c>
      <c r="B26" s="381">
        <v>25356</v>
      </c>
      <c r="C26" s="381">
        <v>25356</v>
      </c>
      <c r="D26" s="381">
        <v>0</v>
      </c>
      <c r="E26" s="381">
        <v>0</v>
      </c>
      <c r="F26" s="410">
        <f t="shared" si="0"/>
        <v>0</v>
      </c>
    </row>
    <row r="27" spans="1:6" ht="18" customHeight="1">
      <c r="A27" s="360" t="s">
        <v>85</v>
      </c>
      <c r="B27" s="381">
        <v>152138</v>
      </c>
      <c r="C27" s="381">
        <v>152138</v>
      </c>
      <c r="D27" s="381">
        <v>0</v>
      </c>
      <c r="E27" s="381">
        <v>0</v>
      </c>
      <c r="F27" s="410">
        <f t="shared" si="0"/>
        <v>0</v>
      </c>
    </row>
    <row r="28" spans="1:6" ht="18" customHeight="1">
      <c r="A28" s="360" t="s">
        <v>86</v>
      </c>
      <c r="B28" s="381">
        <v>0</v>
      </c>
      <c r="C28" s="381">
        <v>0</v>
      </c>
      <c r="D28" s="381">
        <v>0</v>
      </c>
      <c r="E28" s="381">
        <v>0</v>
      </c>
      <c r="F28" s="410">
        <f t="shared" si="0"/>
        <v>0</v>
      </c>
    </row>
    <row r="29" spans="1:6" ht="18" customHeight="1">
      <c r="A29" s="360" t="s">
        <v>87</v>
      </c>
      <c r="B29" s="381">
        <v>3372389</v>
      </c>
      <c r="C29" s="381">
        <v>3372389</v>
      </c>
      <c r="D29" s="381">
        <v>0</v>
      </c>
      <c r="E29" s="381">
        <v>0</v>
      </c>
      <c r="F29" s="410">
        <f t="shared" si="0"/>
        <v>0</v>
      </c>
    </row>
    <row r="30" spans="1:6" ht="18" customHeight="1">
      <c r="A30" s="360" t="s">
        <v>88</v>
      </c>
      <c r="B30" s="381">
        <v>9618492</v>
      </c>
      <c r="C30" s="381">
        <v>9618492</v>
      </c>
      <c r="D30" s="381">
        <v>0</v>
      </c>
      <c r="E30" s="381">
        <v>0</v>
      </c>
      <c r="F30" s="410">
        <f t="shared" si="0"/>
        <v>0</v>
      </c>
    </row>
    <row r="31" spans="1:6" ht="18" customHeight="1">
      <c r="A31" s="360" t="s">
        <v>90</v>
      </c>
      <c r="B31" s="381">
        <v>0</v>
      </c>
      <c r="C31" s="381">
        <v>0</v>
      </c>
      <c r="D31" s="381">
        <v>0</v>
      </c>
      <c r="E31" s="381">
        <v>0</v>
      </c>
      <c r="F31" s="410">
        <f t="shared" si="0"/>
        <v>0</v>
      </c>
    </row>
    <row r="32" spans="1:6" ht="18" customHeight="1">
      <c r="A32" s="360" t="s">
        <v>91</v>
      </c>
      <c r="B32" s="381">
        <v>0</v>
      </c>
      <c r="C32" s="381">
        <v>0</v>
      </c>
      <c r="D32" s="381">
        <v>0</v>
      </c>
      <c r="E32" s="381">
        <v>0</v>
      </c>
      <c r="F32" s="410">
        <f t="shared" si="0"/>
        <v>0</v>
      </c>
    </row>
    <row r="33" spans="1:6" ht="18" customHeight="1">
      <c r="A33" s="360" t="s">
        <v>92</v>
      </c>
      <c r="B33" s="381">
        <v>8452</v>
      </c>
      <c r="C33" s="381">
        <v>8452</v>
      </c>
      <c r="D33" s="381">
        <v>0</v>
      </c>
      <c r="E33" s="381">
        <v>0</v>
      </c>
      <c r="F33" s="410">
        <f t="shared" si="0"/>
        <v>0</v>
      </c>
    </row>
    <row r="34" spans="1:6" ht="18" customHeight="1">
      <c r="A34" s="360" t="s">
        <v>93</v>
      </c>
      <c r="B34" s="381">
        <v>0</v>
      </c>
      <c r="C34" s="381">
        <v>0</v>
      </c>
      <c r="D34" s="381">
        <v>0</v>
      </c>
      <c r="E34" s="381">
        <v>0</v>
      </c>
      <c r="F34" s="410">
        <f t="shared" si="0"/>
        <v>0</v>
      </c>
    </row>
    <row r="35" spans="1:6" ht="18" customHeight="1">
      <c r="A35" s="360" t="s">
        <v>94</v>
      </c>
      <c r="B35" s="381">
        <v>50713</v>
      </c>
      <c r="C35" s="381">
        <v>50713</v>
      </c>
      <c r="D35" s="381">
        <v>0</v>
      </c>
      <c r="E35" s="381">
        <v>0</v>
      </c>
      <c r="F35" s="410">
        <f t="shared" si="0"/>
        <v>0</v>
      </c>
    </row>
    <row r="36" spans="1:6" ht="18" customHeight="1">
      <c r="A36" s="360" t="s">
        <v>95</v>
      </c>
      <c r="B36" s="381">
        <v>8452</v>
      </c>
      <c r="C36" s="381">
        <v>8452</v>
      </c>
      <c r="D36" s="381">
        <v>0</v>
      </c>
      <c r="E36" s="381">
        <v>0</v>
      </c>
      <c r="F36" s="410">
        <f t="shared" si="0"/>
        <v>0</v>
      </c>
    </row>
    <row r="37" spans="1:6" ht="18" customHeight="1">
      <c r="A37" s="360" t="s">
        <v>96</v>
      </c>
      <c r="B37" s="381">
        <v>0</v>
      </c>
      <c r="C37" s="381">
        <v>0</v>
      </c>
      <c r="D37" s="381">
        <v>0</v>
      </c>
      <c r="E37" s="381">
        <v>0</v>
      </c>
      <c r="F37" s="410">
        <f t="shared" si="0"/>
        <v>0</v>
      </c>
    </row>
    <row r="38" spans="1:6" ht="18" customHeight="1">
      <c r="A38" s="360" t="s">
        <v>97</v>
      </c>
      <c r="B38" s="381">
        <v>1394597</v>
      </c>
      <c r="C38" s="381">
        <v>1394597</v>
      </c>
      <c r="D38" s="381">
        <v>0</v>
      </c>
      <c r="E38" s="381">
        <v>0</v>
      </c>
      <c r="F38" s="410">
        <f t="shared" si="0"/>
        <v>0</v>
      </c>
    </row>
    <row r="39" spans="1:6" ht="18" customHeight="1">
      <c r="A39" s="360" t="s">
        <v>98</v>
      </c>
      <c r="B39" s="381">
        <v>202850</v>
      </c>
      <c r="C39" s="381">
        <v>202850</v>
      </c>
      <c r="D39" s="381">
        <v>0</v>
      </c>
      <c r="E39" s="381">
        <v>0</v>
      </c>
      <c r="F39" s="410">
        <f t="shared" si="0"/>
        <v>0</v>
      </c>
    </row>
    <row r="40" spans="1:6" ht="18" customHeight="1">
      <c r="A40" s="360" t="s">
        <v>99</v>
      </c>
      <c r="B40" s="381">
        <v>464866</v>
      </c>
      <c r="C40" s="381">
        <v>464866</v>
      </c>
      <c r="D40" s="381">
        <v>0</v>
      </c>
      <c r="E40" s="381">
        <v>0</v>
      </c>
      <c r="F40" s="410">
        <f t="shared" si="0"/>
        <v>0</v>
      </c>
    </row>
    <row r="41" spans="1:6" ht="18" customHeight="1">
      <c r="A41" s="360" t="s">
        <v>100</v>
      </c>
      <c r="B41" s="381">
        <v>0</v>
      </c>
      <c r="C41" s="381">
        <v>0</v>
      </c>
      <c r="D41" s="381">
        <v>0</v>
      </c>
      <c r="E41" s="381">
        <v>0</v>
      </c>
      <c r="F41" s="410">
        <f t="shared" si="0"/>
        <v>0</v>
      </c>
    </row>
    <row r="42" spans="1:6" ht="18" customHeight="1">
      <c r="A42" s="360" t="s">
        <v>101</v>
      </c>
      <c r="B42" s="381">
        <v>473318</v>
      </c>
      <c r="C42" s="381">
        <v>473318</v>
      </c>
      <c r="D42" s="381">
        <v>0</v>
      </c>
      <c r="E42" s="381">
        <v>0</v>
      </c>
      <c r="F42" s="410">
        <f t="shared" si="0"/>
        <v>0</v>
      </c>
    </row>
    <row r="43" spans="1:6" ht="18" customHeight="1">
      <c r="A43" s="360" t="s">
        <v>102</v>
      </c>
      <c r="B43" s="381">
        <v>152138</v>
      </c>
      <c r="C43" s="381">
        <v>152138</v>
      </c>
      <c r="D43" s="381">
        <v>0</v>
      </c>
      <c r="E43" s="381">
        <v>0</v>
      </c>
      <c r="F43" s="410">
        <f t="shared" si="0"/>
        <v>0</v>
      </c>
    </row>
    <row r="44" spans="1:6" ht="18" customHeight="1">
      <c r="A44" s="360" t="s">
        <v>104</v>
      </c>
      <c r="B44" s="381">
        <v>8443650</v>
      </c>
      <c r="C44" s="381">
        <v>0</v>
      </c>
      <c r="D44" s="381">
        <v>0</v>
      </c>
      <c r="E44" s="381">
        <v>0</v>
      </c>
      <c r="F44" s="410">
        <f t="shared" si="0"/>
        <v>8443650</v>
      </c>
    </row>
    <row r="45" spans="1:6" ht="18" customHeight="1">
      <c r="A45" s="360" t="s">
        <v>106</v>
      </c>
      <c r="B45" s="381">
        <v>92973</v>
      </c>
      <c r="C45" s="381">
        <v>92973</v>
      </c>
      <c r="D45" s="381">
        <v>0</v>
      </c>
      <c r="E45" s="381">
        <v>0</v>
      </c>
      <c r="F45" s="410">
        <f t="shared" si="0"/>
        <v>0</v>
      </c>
    </row>
    <row r="46" spans="1:6" ht="18" customHeight="1">
      <c r="A46" s="378" t="s">
        <v>211</v>
      </c>
      <c r="B46" s="381">
        <v>185947</v>
      </c>
      <c r="C46" s="381">
        <v>185947</v>
      </c>
      <c r="D46" s="381">
        <v>0</v>
      </c>
      <c r="E46" s="381">
        <v>0</v>
      </c>
      <c r="F46" s="410">
        <f t="shared" si="0"/>
        <v>0</v>
      </c>
    </row>
    <row r="47" spans="1:6" ht="18" customHeight="1">
      <c r="A47" s="360" t="s">
        <v>108</v>
      </c>
      <c r="B47" s="381">
        <v>0</v>
      </c>
      <c r="C47" s="381">
        <v>0</v>
      </c>
      <c r="D47" s="381">
        <v>0</v>
      </c>
      <c r="E47" s="381">
        <v>0</v>
      </c>
      <c r="F47" s="410">
        <f t="shared" si="0"/>
        <v>0</v>
      </c>
    </row>
    <row r="48" spans="1:6" ht="18" customHeight="1">
      <c r="A48" s="360" t="s">
        <v>109</v>
      </c>
      <c r="B48" s="381">
        <v>380345</v>
      </c>
      <c r="C48" s="381">
        <v>380345</v>
      </c>
      <c r="D48" s="381">
        <v>0</v>
      </c>
      <c r="E48" s="381">
        <v>0</v>
      </c>
      <c r="F48" s="410">
        <f t="shared" si="0"/>
        <v>0</v>
      </c>
    </row>
    <row r="49" spans="1:6" ht="18" customHeight="1">
      <c r="A49" s="360" t="s">
        <v>110</v>
      </c>
      <c r="B49" s="381">
        <v>1648160</v>
      </c>
      <c r="C49" s="381">
        <v>1648160</v>
      </c>
      <c r="D49" s="381">
        <v>0</v>
      </c>
      <c r="E49" s="381">
        <v>0</v>
      </c>
      <c r="F49" s="410">
        <f t="shared" si="0"/>
        <v>0</v>
      </c>
    </row>
    <row r="50" spans="1:6" ht="18" customHeight="1">
      <c r="A50" s="360" t="s">
        <v>111</v>
      </c>
      <c r="B50" s="381">
        <v>1022704</v>
      </c>
      <c r="C50" s="381">
        <v>1022704</v>
      </c>
      <c r="D50" s="381">
        <v>0</v>
      </c>
      <c r="E50" s="381">
        <v>0</v>
      </c>
      <c r="F50" s="410">
        <f t="shared" si="0"/>
        <v>0</v>
      </c>
    </row>
    <row r="51" spans="1:6" ht="18" customHeight="1">
      <c r="A51" s="360" t="s">
        <v>112</v>
      </c>
      <c r="B51" s="381">
        <v>912827</v>
      </c>
      <c r="C51" s="381">
        <v>912827</v>
      </c>
      <c r="D51" s="381">
        <v>0</v>
      </c>
      <c r="E51" s="381">
        <v>0</v>
      </c>
      <c r="F51" s="410">
        <f t="shared" si="0"/>
        <v>0</v>
      </c>
    </row>
    <row r="52" spans="1:6" ht="18" customHeight="1">
      <c r="A52" s="360" t="s">
        <v>113</v>
      </c>
      <c r="B52" s="381">
        <v>0</v>
      </c>
      <c r="C52" s="381">
        <v>0</v>
      </c>
      <c r="D52" s="381">
        <v>0</v>
      </c>
      <c r="E52" s="381">
        <v>0</v>
      </c>
      <c r="F52" s="410">
        <f t="shared" si="0"/>
        <v>0</v>
      </c>
    </row>
    <row r="53" spans="1:6" ht="18" customHeight="1">
      <c r="A53" s="360" t="s">
        <v>181</v>
      </c>
      <c r="B53" s="381">
        <v>0</v>
      </c>
      <c r="C53" s="381">
        <v>0</v>
      </c>
      <c r="D53" s="381">
        <v>0</v>
      </c>
      <c r="E53" s="381">
        <v>0</v>
      </c>
      <c r="F53" s="410">
        <f t="shared" si="0"/>
        <v>0</v>
      </c>
    </row>
    <row r="54" spans="1:6" ht="18" customHeight="1">
      <c r="A54" s="360" t="s">
        <v>115</v>
      </c>
      <c r="B54" s="381">
        <v>640836</v>
      </c>
      <c r="C54" s="381">
        <v>1040</v>
      </c>
      <c r="D54" s="381">
        <v>0</v>
      </c>
      <c r="E54" s="381">
        <v>0</v>
      </c>
      <c r="F54" s="410">
        <f t="shared" si="0"/>
        <v>639796</v>
      </c>
    </row>
    <row r="55" spans="1:6" ht="18" customHeight="1">
      <c r="A55" s="360" t="s">
        <v>116</v>
      </c>
      <c r="B55" s="381">
        <v>160590</v>
      </c>
      <c r="C55" s="381">
        <v>160590</v>
      </c>
      <c r="D55" s="381">
        <v>0</v>
      </c>
      <c r="E55" s="381">
        <v>0</v>
      </c>
      <c r="F55" s="410">
        <f t="shared" si="0"/>
        <v>0</v>
      </c>
    </row>
    <row r="56" spans="1:6" ht="18" customHeight="1">
      <c r="A56" s="360" t="s">
        <v>117</v>
      </c>
      <c r="B56" s="381">
        <v>4107721</v>
      </c>
      <c r="C56" s="381">
        <v>4107721</v>
      </c>
      <c r="D56" s="381">
        <v>0</v>
      </c>
      <c r="E56" s="381">
        <v>0</v>
      </c>
      <c r="F56" s="410">
        <f t="shared" si="0"/>
        <v>0</v>
      </c>
    </row>
    <row r="57" spans="1:6" ht="18" customHeight="1">
      <c r="A57" s="360" t="s">
        <v>118</v>
      </c>
      <c r="B57" s="381">
        <v>18333333</v>
      </c>
      <c r="C57" s="381">
        <v>15440333</v>
      </c>
      <c r="D57" s="381">
        <v>2893000</v>
      </c>
      <c r="E57" s="381">
        <v>0</v>
      </c>
      <c r="F57" s="410">
        <f t="shared" si="0"/>
        <v>0</v>
      </c>
    </row>
    <row r="58" spans="1:6" ht="18" customHeight="1" thickBot="1">
      <c r="A58" s="366" t="s">
        <v>119</v>
      </c>
      <c r="B58" s="381">
        <v>0</v>
      </c>
      <c r="C58" s="381">
        <v>0</v>
      </c>
      <c r="D58" s="381">
        <v>0</v>
      </c>
      <c r="E58" s="381">
        <v>0</v>
      </c>
      <c r="F58" s="410">
        <f t="shared" si="0"/>
        <v>0</v>
      </c>
    </row>
    <row r="59" spans="1:6" ht="20.25" customHeight="1" thickBot="1">
      <c r="A59" s="411" t="s">
        <v>122</v>
      </c>
      <c r="B59" s="412">
        <f>SUM(B8:B58)</f>
        <v>72797293</v>
      </c>
      <c r="C59" s="412">
        <f>SUM(C8:C58)</f>
        <v>60593998</v>
      </c>
      <c r="D59" s="412">
        <f>SUM(D8:D58)</f>
        <v>2950669</v>
      </c>
      <c r="E59" s="412">
        <f>SUM(E8:E58)</f>
        <v>0</v>
      </c>
      <c r="F59" s="413">
        <f>SUM(F8:F58)</f>
        <v>9252626</v>
      </c>
    </row>
    <row r="60" spans="1:6" ht="15.75" customHeight="1">
      <c r="A60" s="416"/>
      <c r="B60" s="416" t="s">
        <v>123</v>
      </c>
      <c r="C60" s="416" t="s">
        <v>123</v>
      </c>
      <c r="D60" s="416" t="s">
        <v>123</v>
      </c>
      <c r="E60" s="416" t="s">
        <v>123</v>
      </c>
      <c r="F60" s="416" t="s">
        <v>123</v>
      </c>
    </row>
    <row r="61" spans="1:6" ht="15.75" customHeight="1">
      <c r="F61" s="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4702-5E4B-46AE-9AD2-6A3C4D6CB63E}">
  <dimension ref="A1:H63"/>
  <sheetViews>
    <sheetView topLeftCell="A40" workbookViewId="0">
      <selection activeCell="L68" sqref="L68"/>
    </sheetView>
  </sheetViews>
  <sheetFormatPr defaultColWidth="9.7265625" defaultRowHeight="15.5"/>
  <cols>
    <col min="1" max="1" width="27" style="1" customWidth="1"/>
    <col min="2" max="6" width="17.26953125" style="1" customWidth="1"/>
    <col min="7" max="16384" width="9.7265625" style="409"/>
  </cols>
  <sheetData>
    <row r="1" spans="1:8" s="1" customFormat="1" ht="16.5" customHeight="1">
      <c r="A1" s="329"/>
      <c r="B1" s="295"/>
      <c r="F1" s="320" t="str">
        <f>[1]Status!C1</f>
        <v>UNEP/OzL.Pro/ExCom/94/3</v>
      </c>
    </row>
    <row r="2" spans="1:8" s="1" customFormat="1" ht="16.5" customHeight="1">
      <c r="A2" s="329"/>
      <c r="B2" s="7"/>
      <c r="F2" s="320" t="s">
        <v>245</v>
      </c>
    </row>
    <row r="3" spans="1:8" s="1" customFormat="1" ht="16.5" customHeight="1">
      <c r="B3" s="7"/>
      <c r="F3" s="320"/>
    </row>
    <row r="4" spans="1:8" s="1" customFormat="1" ht="20.25" customHeight="1">
      <c r="A4" s="321" t="s">
        <v>2</v>
      </c>
      <c r="B4" s="321"/>
      <c r="C4" s="321"/>
      <c r="D4" s="321"/>
      <c r="E4" s="321"/>
      <c r="F4" s="321"/>
    </row>
    <row r="5" spans="1:8" s="1" customFormat="1" ht="20.25" customHeight="1">
      <c r="A5" s="322" t="s">
        <v>233</v>
      </c>
      <c r="B5" s="321"/>
      <c r="C5" s="321"/>
      <c r="D5" s="321"/>
      <c r="E5" s="321"/>
      <c r="F5" s="321"/>
    </row>
    <row r="6" spans="1:8" s="1" customFormat="1" ht="30" customHeight="1" thickBot="1">
      <c r="A6" s="323" t="str">
        <f>[1]Status!A6</f>
        <v>As at 24/05/2024</v>
      </c>
      <c r="B6" s="321"/>
      <c r="C6" s="321"/>
      <c r="D6" s="321"/>
      <c r="E6" s="321"/>
      <c r="F6" s="321"/>
    </row>
    <row r="7" spans="1:8" s="1" customFormat="1" ht="35.25" customHeight="1" thickBot="1">
      <c r="A7" s="298" t="s">
        <v>59</v>
      </c>
      <c r="B7" s="299" t="s">
        <v>60</v>
      </c>
      <c r="C7" s="299" t="s">
        <v>61</v>
      </c>
      <c r="D7" s="299" t="s">
        <v>62</v>
      </c>
      <c r="E7" s="299" t="s">
        <v>63</v>
      </c>
      <c r="F7" s="324" t="s">
        <v>64</v>
      </c>
    </row>
    <row r="8" spans="1:8" ht="18" customHeight="1">
      <c r="A8" s="378" t="s">
        <v>124</v>
      </c>
      <c r="B8" s="407">
        <v>985407</v>
      </c>
      <c r="C8" s="407">
        <v>985407</v>
      </c>
      <c r="D8" s="407">
        <v>0</v>
      </c>
      <c r="E8" s="407">
        <v>0</v>
      </c>
      <c r="F8" s="408">
        <f t="shared" ref="F8:F58" si="0">B8-C8-D8-E8</f>
        <v>0</v>
      </c>
    </row>
    <row r="9" spans="1:8" ht="18" customHeight="1">
      <c r="A9" s="360" t="s">
        <v>217</v>
      </c>
      <c r="B9" s="381">
        <v>464459</v>
      </c>
      <c r="C9" s="381">
        <v>464459</v>
      </c>
      <c r="D9" s="381">
        <v>0</v>
      </c>
      <c r="E9" s="381">
        <v>0</v>
      </c>
      <c r="F9" s="410">
        <f t="shared" si="0"/>
        <v>0</v>
      </c>
    </row>
    <row r="10" spans="1:8" ht="18" customHeight="1">
      <c r="A10" s="363" t="s">
        <v>68</v>
      </c>
      <c r="B10" s="381">
        <v>0</v>
      </c>
      <c r="C10" s="381">
        <v>0</v>
      </c>
      <c r="D10" s="381">
        <v>0</v>
      </c>
      <c r="E10" s="381">
        <v>0</v>
      </c>
      <c r="F10" s="410">
        <f t="shared" si="0"/>
        <v>0</v>
      </c>
    </row>
    <row r="11" spans="1:8" ht="18" customHeight="1">
      <c r="A11" s="360" t="s">
        <v>69</v>
      </c>
      <c r="B11" s="381">
        <v>207124</v>
      </c>
      <c r="C11" s="381">
        <v>100000</v>
      </c>
      <c r="D11" s="381">
        <v>0</v>
      </c>
      <c r="E11" s="381">
        <v>0</v>
      </c>
      <c r="F11" s="410">
        <f t="shared" si="0"/>
        <v>107124</v>
      </c>
    </row>
    <row r="12" spans="1:8" ht="18" customHeight="1">
      <c r="A12" s="360" t="s">
        <v>70</v>
      </c>
      <c r="B12" s="381">
        <v>734348</v>
      </c>
      <c r="C12" s="381">
        <v>734348</v>
      </c>
      <c r="D12" s="381">
        <v>0</v>
      </c>
      <c r="E12" s="381">
        <v>0</v>
      </c>
      <c r="F12" s="410">
        <f t="shared" si="0"/>
        <v>0</v>
      </c>
    </row>
    <row r="13" spans="1:8" ht="18" customHeight="1">
      <c r="A13" s="360" t="s">
        <v>209</v>
      </c>
      <c r="B13" s="381">
        <v>0</v>
      </c>
      <c r="C13" s="381">
        <v>0</v>
      </c>
      <c r="D13" s="381">
        <v>0</v>
      </c>
      <c r="E13" s="381">
        <v>0</v>
      </c>
      <c r="F13" s="410">
        <f t="shared" si="0"/>
        <v>0</v>
      </c>
    </row>
    <row r="14" spans="1:8" ht="18" customHeight="1">
      <c r="A14" s="360" t="s">
        <v>71</v>
      </c>
      <c r="B14" s="381">
        <v>0</v>
      </c>
      <c r="C14" s="381">
        <v>0</v>
      </c>
      <c r="D14" s="381">
        <v>0</v>
      </c>
      <c r="E14" s="381">
        <v>0</v>
      </c>
      <c r="F14" s="410">
        <f t="shared" si="0"/>
        <v>0</v>
      </c>
    </row>
    <row r="15" spans="1:8" ht="18" customHeight="1">
      <c r="A15" s="360" t="s">
        <v>125</v>
      </c>
      <c r="B15" s="381">
        <v>1939432</v>
      </c>
      <c r="C15" s="381">
        <v>1939432</v>
      </c>
      <c r="D15" s="381">
        <v>0</v>
      </c>
      <c r="E15" s="381">
        <v>0</v>
      </c>
      <c r="F15" s="410">
        <f t="shared" si="0"/>
        <v>0</v>
      </c>
      <c r="H15" s="381">
        <f>1939432+'YR1992'!C15+'YR1993'!C15</f>
        <v>8078835</v>
      </c>
    </row>
    <row r="16" spans="1:8" ht="18" customHeight="1">
      <c r="A16" s="360" t="s">
        <v>74</v>
      </c>
      <c r="B16" s="381">
        <v>0</v>
      </c>
      <c r="C16" s="381">
        <v>0</v>
      </c>
      <c r="D16" s="381">
        <v>0</v>
      </c>
      <c r="E16" s="381">
        <v>0</v>
      </c>
      <c r="F16" s="410">
        <f t="shared" si="0"/>
        <v>0</v>
      </c>
    </row>
    <row r="17" spans="1:6" ht="18" customHeight="1">
      <c r="A17" s="360" t="s">
        <v>75</v>
      </c>
      <c r="B17" s="381">
        <v>0</v>
      </c>
      <c r="C17" s="381">
        <v>0</v>
      </c>
      <c r="D17" s="381">
        <v>0</v>
      </c>
      <c r="E17" s="381">
        <v>0</v>
      </c>
      <c r="F17" s="410">
        <f t="shared" si="0"/>
        <v>0</v>
      </c>
    </row>
    <row r="18" spans="1:6" ht="18" customHeight="1">
      <c r="A18" s="360" t="s">
        <v>76</v>
      </c>
      <c r="B18" s="381">
        <v>433077</v>
      </c>
      <c r="C18" s="381">
        <v>433077</v>
      </c>
      <c r="D18" s="381">
        <v>0</v>
      </c>
      <c r="E18" s="381">
        <v>0</v>
      </c>
      <c r="F18" s="410">
        <f t="shared" si="0"/>
        <v>0</v>
      </c>
    </row>
    <row r="19" spans="1:6" ht="18" customHeight="1">
      <c r="A19" s="360" t="s">
        <v>77</v>
      </c>
      <c r="B19" s="381">
        <v>0</v>
      </c>
      <c r="C19" s="381">
        <v>0</v>
      </c>
      <c r="D19" s="381">
        <v>0</v>
      </c>
      <c r="E19" s="381">
        <v>0</v>
      </c>
      <c r="F19" s="410">
        <f t="shared" si="0"/>
        <v>0</v>
      </c>
    </row>
    <row r="20" spans="1:6" ht="18" customHeight="1">
      <c r="A20" s="360" t="s">
        <v>78</v>
      </c>
      <c r="B20" s="381">
        <v>320100</v>
      </c>
      <c r="C20" s="381">
        <v>320100</v>
      </c>
      <c r="D20" s="381">
        <v>0</v>
      </c>
      <c r="E20" s="381">
        <v>0</v>
      </c>
      <c r="F20" s="410">
        <f t="shared" si="0"/>
        <v>0</v>
      </c>
    </row>
    <row r="21" spans="1:6" ht="18" customHeight="1">
      <c r="A21" s="360" t="s">
        <v>79</v>
      </c>
      <c r="B21" s="381">
        <v>3922799</v>
      </c>
      <c r="C21" s="381">
        <v>3922799</v>
      </c>
      <c r="D21" s="381">
        <v>0</v>
      </c>
      <c r="E21" s="381">
        <v>0</v>
      </c>
      <c r="F21" s="410">
        <f t="shared" si="0"/>
        <v>0</v>
      </c>
    </row>
    <row r="22" spans="1:6" ht="18" customHeight="1">
      <c r="A22" s="360" t="s">
        <v>210</v>
      </c>
      <c r="B22" s="381">
        <v>0</v>
      </c>
      <c r="C22" s="381">
        <v>0</v>
      </c>
      <c r="D22" s="381">
        <v>0</v>
      </c>
      <c r="E22" s="381">
        <v>0</v>
      </c>
      <c r="F22" s="410">
        <f t="shared" si="0"/>
        <v>0</v>
      </c>
    </row>
    <row r="23" spans="1:6" ht="18" customHeight="1">
      <c r="A23" s="360" t="s">
        <v>80</v>
      </c>
      <c r="B23" s="381">
        <v>5874784</v>
      </c>
      <c r="C23" s="381">
        <v>5874784</v>
      </c>
      <c r="D23" s="381">
        <v>0</v>
      </c>
      <c r="E23" s="381">
        <v>0</v>
      </c>
      <c r="F23" s="410">
        <f t="shared" si="0"/>
        <v>0</v>
      </c>
    </row>
    <row r="24" spans="1:6" ht="18" customHeight="1">
      <c r="A24" s="360" t="s">
        <v>81</v>
      </c>
      <c r="B24" s="381">
        <v>251059</v>
      </c>
      <c r="C24" s="381">
        <v>251059</v>
      </c>
      <c r="D24" s="381">
        <v>0</v>
      </c>
      <c r="E24" s="381">
        <v>0</v>
      </c>
      <c r="F24" s="410">
        <f t="shared" si="0"/>
        <v>0</v>
      </c>
    </row>
    <row r="25" spans="1:6" ht="18" customHeight="1">
      <c r="A25" s="360" t="s">
        <v>83</v>
      </c>
      <c r="B25" s="381">
        <v>131806</v>
      </c>
      <c r="C25" s="381">
        <v>131806</v>
      </c>
      <c r="D25" s="381">
        <v>0</v>
      </c>
      <c r="E25" s="381">
        <v>0</v>
      </c>
      <c r="F25" s="410">
        <f t="shared" si="0"/>
        <v>0</v>
      </c>
    </row>
    <row r="26" spans="1:6" ht="18" customHeight="1">
      <c r="A26" s="360" t="s">
        <v>84</v>
      </c>
      <c r="B26" s="381">
        <v>18829</v>
      </c>
      <c r="C26" s="381">
        <v>18829</v>
      </c>
      <c r="D26" s="381">
        <v>0</v>
      </c>
      <c r="E26" s="381">
        <v>0</v>
      </c>
      <c r="F26" s="410">
        <f t="shared" si="0"/>
        <v>0</v>
      </c>
    </row>
    <row r="27" spans="1:6" ht="18" customHeight="1">
      <c r="A27" s="360" t="s">
        <v>85</v>
      </c>
      <c r="B27" s="381">
        <v>112977</v>
      </c>
      <c r="C27" s="381">
        <v>112977</v>
      </c>
      <c r="D27" s="381">
        <v>0</v>
      </c>
      <c r="E27" s="381">
        <v>0</v>
      </c>
      <c r="F27" s="410">
        <f t="shared" si="0"/>
        <v>0</v>
      </c>
    </row>
    <row r="28" spans="1:6" ht="18" customHeight="1">
      <c r="A28" s="360" t="s">
        <v>86</v>
      </c>
      <c r="B28" s="381">
        <v>0</v>
      </c>
      <c r="C28" s="381">
        <v>0</v>
      </c>
      <c r="D28" s="381">
        <v>0</v>
      </c>
      <c r="E28" s="381">
        <v>0</v>
      </c>
      <c r="F28" s="410">
        <f t="shared" si="0"/>
        <v>0</v>
      </c>
    </row>
    <row r="29" spans="1:6" ht="18" customHeight="1">
      <c r="A29" s="360" t="s">
        <v>87</v>
      </c>
      <c r="B29" s="381">
        <v>2504315</v>
      </c>
      <c r="C29" s="381">
        <v>2504315</v>
      </c>
      <c r="D29" s="381">
        <v>0</v>
      </c>
      <c r="E29" s="381">
        <v>0</v>
      </c>
      <c r="F29" s="410">
        <f t="shared" si="0"/>
        <v>0</v>
      </c>
    </row>
    <row r="30" spans="1:6" ht="18" customHeight="1">
      <c r="A30" s="360" t="s">
        <v>88</v>
      </c>
      <c r="B30" s="381">
        <v>7142633</v>
      </c>
      <c r="C30" s="381">
        <v>7142633</v>
      </c>
      <c r="D30" s="381">
        <v>0</v>
      </c>
      <c r="E30" s="381">
        <v>0</v>
      </c>
      <c r="F30" s="410">
        <f t="shared" si="0"/>
        <v>0</v>
      </c>
    </row>
    <row r="31" spans="1:6" ht="18" customHeight="1">
      <c r="A31" s="360" t="s">
        <v>90</v>
      </c>
      <c r="B31" s="381">
        <v>0</v>
      </c>
      <c r="C31" s="381">
        <v>0</v>
      </c>
      <c r="D31" s="381">
        <v>0</v>
      </c>
      <c r="E31" s="381">
        <v>0</v>
      </c>
      <c r="F31" s="410">
        <f t="shared" si="0"/>
        <v>0</v>
      </c>
    </row>
    <row r="32" spans="1:6" ht="18" customHeight="1">
      <c r="A32" s="360" t="s">
        <v>91</v>
      </c>
      <c r="B32" s="381">
        <v>0</v>
      </c>
      <c r="C32" s="381">
        <v>0</v>
      </c>
      <c r="D32" s="381">
        <v>0</v>
      </c>
      <c r="E32" s="381">
        <v>0</v>
      </c>
      <c r="F32" s="410">
        <f t="shared" si="0"/>
        <v>0</v>
      </c>
    </row>
    <row r="33" spans="1:6" ht="18" customHeight="1">
      <c r="A33" s="360" t="s">
        <v>92</v>
      </c>
      <c r="B33" s="381">
        <v>6276</v>
      </c>
      <c r="C33" s="381">
        <v>6276</v>
      </c>
      <c r="D33" s="381">
        <v>0</v>
      </c>
      <c r="E33" s="381">
        <v>0</v>
      </c>
      <c r="F33" s="410">
        <f t="shared" si="0"/>
        <v>0</v>
      </c>
    </row>
    <row r="34" spans="1:6" ht="18" customHeight="1">
      <c r="A34" s="360" t="s">
        <v>93</v>
      </c>
      <c r="B34" s="381">
        <v>0</v>
      </c>
      <c r="C34" s="381">
        <v>0</v>
      </c>
      <c r="D34" s="381">
        <v>0</v>
      </c>
      <c r="E34" s="381">
        <v>0</v>
      </c>
      <c r="F34" s="410">
        <f t="shared" si="0"/>
        <v>0</v>
      </c>
    </row>
    <row r="35" spans="1:6" ht="18" customHeight="1">
      <c r="A35" s="360" t="s">
        <v>94</v>
      </c>
      <c r="B35" s="381">
        <v>37659</v>
      </c>
      <c r="C35" s="381">
        <v>37659</v>
      </c>
      <c r="D35" s="381">
        <v>0</v>
      </c>
      <c r="E35" s="381">
        <v>0</v>
      </c>
      <c r="F35" s="410">
        <f t="shared" si="0"/>
        <v>0</v>
      </c>
    </row>
    <row r="36" spans="1:6" ht="18" customHeight="1">
      <c r="A36" s="360" t="s">
        <v>95</v>
      </c>
      <c r="B36" s="381">
        <v>6276</v>
      </c>
      <c r="C36" s="381">
        <v>6276</v>
      </c>
      <c r="D36" s="381">
        <v>0</v>
      </c>
      <c r="E36" s="381">
        <v>0</v>
      </c>
      <c r="F36" s="410">
        <f t="shared" si="0"/>
        <v>0</v>
      </c>
    </row>
    <row r="37" spans="1:6" ht="18" customHeight="1">
      <c r="A37" s="360" t="s">
        <v>96</v>
      </c>
      <c r="B37" s="381">
        <v>0</v>
      </c>
      <c r="C37" s="381">
        <v>0</v>
      </c>
      <c r="D37" s="381">
        <v>0</v>
      </c>
      <c r="E37" s="381">
        <v>0</v>
      </c>
      <c r="F37" s="410">
        <f t="shared" si="0"/>
        <v>0</v>
      </c>
    </row>
    <row r="38" spans="1:6" ht="18" customHeight="1">
      <c r="A38" s="360" t="s">
        <v>97</v>
      </c>
      <c r="B38" s="381">
        <v>1035619</v>
      </c>
      <c r="C38" s="381">
        <v>1035619</v>
      </c>
      <c r="D38" s="381">
        <v>0</v>
      </c>
      <c r="E38" s="381">
        <v>0</v>
      </c>
      <c r="F38" s="410">
        <f t="shared" si="0"/>
        <v>0</v>
      </c>
    </row>
    <row r="39" spans="1:6" ht="18" customHeight="1">
      <c r="A39" s="360" t="s">
        <v>98</v>
      </c>
      <c r="B39" s="381">
        <v>150635</v>
      </c>
      <c r="C39" s="381">
        <v>150635</v>
      </c>
      <c r="D39" s="381">
        <v>0</v>
      </c>
      <c r="E39" s="381">
        <v>0</v>
      </c>
      <c r="F39" s="410">
        <f t="shared" si="0"/>
        <v>0</v>
      </c>
    </row>
    <row r="40" spans="1:6" ht="18" customHeight="1">
      <c r="A40" s="360" t="s">
        <v>99</v>
      </c>
      <c r="B40" s="381">
        <v>345206</v>
      </c>
      <c r="C40" s="381">
        <v>345206</v>
      </c>
      <c r="D40" s="381">
        <v>0</v>
      </c>
      <c r="E40" s="381">
        <v>0</v>
      </c>
      <c r="F40" s="410">
        <f t="shared" si="0"/>
        <v>0</v>
      </c>
    </row>
    <row r="41" spans="1:6" ht="18" customHeight="1">
      <c r="A41" s="360" t="s">
        <v>100</v>
      </c>
      <c r="B41" s="381">
        <v>0</v>
      </c>
      <c r="C41" s="381">
        <v>0</v>
      </c>
      <c r="D41" s="381">
        <v>0</v>
      </c>
      <c r="E41" s="381">
        <v>0</v>
      </c>
      <c r="F41" s="410">
        <f t="shared" si="0"/>
        <v>0</v>
      </c>
    </row>
    <row r="42" spans="1:6" ht="18" customHeight="1">
      <c r="A42" s="360" t="s">
        <v>101</v>
      </c>
      <c r="B42" s="381">
        <v>0</v>
      </c>
      <c r="C42" s="381">
        <v>0</v>
      </c>
      <c r="D42" s="381">
        <v>0</v>
      </c>
      <c r="E42" s="381">
        <v>0</v>
      </c>
      <c r="F42" s="410">
        <f t="shared" si="0"/>
        <v>0</v>
      </c>
    </row>
    <row r="43" spans="1:6" ht="18" customHeight="1">
      <c r="A43" s="360" t="s">
        <v>102</v>
      </c>
      <c r="B43" s="381">
        <v>112977</v>
      </c>
      <c r="C43" s="381">
        <v>112977</v>
      </c>
      <c r="D43" s="381">
        <v>0</v>
      </c>
      <c r="E43" s="381">
        <v>0</v>
      </c>
      <c r="F43" s="410">
        <f t="shared" si="0"/>
        <v>0</v>
      </c>
    </row>
    <row r="44" spans="1:6" ht="18" customHeight="1">
      <c r="A44" s="360" t="s">
        <v>104</v>
      </c>
      <c r="B44" s="381">
        <v>6270202</v>
      </c>
      <c r="C44" s="381">
        <v>0</v>
      </c>
      <c r="D44" s="381">
        <v>0</v>
      </c>
      <c r="E44" s="381">
        <v>0</v>
      </c>
      <c r="F44" s="410">
        <f t="shared" si="0"/>
        <v>6270202</v>
      </c>
    </row>
    <row r="45" spans="1:6" ht="18" customHeight="1">
      <c r="A45" s="360" t="s">
        <v>106</v>
      </c>
      <c r="B45" s="381">
        <v>69041</v>
      </c>
      <c r="C45" s="381">
        <v>69041</v>
      </c>
      <c r="D45" s="381">
        <v>0</v>
      </c>
      <c r="E45" s="381">
        <v>0</v>
      </c>
      <c r="F45" s="410">
        <f t="shared" si="0"/>
        <v>0</v>
      </c>
    </row>
    <row r="46" spans="1:6" ht="18" customHeight="1">
      <c r="A46" s="378" t="s">
        <v>211</v>
      </c>
      <c r="B46" s="381">
        <v>0</v>
      </c>
      <c r="C46" s="381">
        <v>0</v>
      </c>
      <c r="D46" s="381">
        <v>0</v>
      </c>
      <c r="E46" s="381">
        <v>0</v>
      </c>
      <c r="F46" s="410">
        <f t="shared" si="0"/>
        <v>0</v>
      </c>
    </row>
    <row r="47" spans="1:6" ht="18" customHeight="1">
      <c r="A47" s="360" t="s">
        <v>108</v>
      </c>
      <c r="B47" s="381">
        <v>0</v>
      </c>
      <c r="C47" s="381">
        <v>0</v>
      </c>
      <c r="D47" s="381">
        <v>0</v>
      </c>
      <c r="E47" s="381">
        <v>0</v>
      </c>
      <c r="F47" s="410">
        <f t="shared" si="0"/>
        <v>0</v>
      </c>
    </row>
    <row r="48" spans="1:6" ht="18" customHeight="1">
      <c r="A48" s="360" t="s">
        <v>109</v>
      </c>
      <c r="B48" s="381">
        <v>282442</v>
      </c>
      <c r="C48" s="381">
        <v>282442</v>
      </c>
      <c r="D48" s="381">
        <v>0</v>
      </c>
      <c r="E48" s="381">
        <v>0</v>
      </c>
      <c r="F48" s="410">
        <f t="shared" si="0"/>
        <v>0</v>
      </c>
    </row>
    <row r="49" spans="1:6" ht="18" customHeight="1">
      <c r="A49" s="360" t="s">
        <v>110</v>
      </c>
      <c r="B49" s="381">
        <v>1223913</v>
      </c>
      <c r="C49" s="381">
        <v>1223913</v>
      </c>
      <c r="D49" s="381">
        <v>0</v>
      </c>
      <c r="E49" s="381">
        <v>0</v>
      </c>
      <c r="F49" s="410">
        <f t="shared" si="0"/>
        <v>0</v>
      </c>
    </row>
    <row r="50" spans="1:6" ht="18" customHeight="1">
      <c r="A50" s="360" t="s">
        <v>111</v>
      </c>
      <c r="B50" s="381">
        <v>759454</v>
      </c>
      <c r="C50" s="381">
        <v>759454</v>
      </c>
      <c r="D50" s="381">
        <v>0</v>
      </c>
      <c r="E50" s="381">
        <v>0</v>
      </c>
      <c r="F50" s="410">
        <f t="shared" si="0"/>
        <v>0</v>
      </c>
    </row>
    <row r="51" spans="1:6" ht="18" customHeight="1">
      <c r="A51" s="360" t="s">
        <v>112</v>
      </c>
      <c r="B51" s="381">
        <v>677860</v>
      </c>
      <c r="C51" s="381">
        <v>677860</v>
      </c>
      <c r="D51" s="381">
        <v>0</v>
      </c>
      <c r="E51" s="381">
        <v>0</v>
      </c>
      <c r="F51" s="410">
        <f t="shared" si="0"/>
        <v>0</v>
      </c>
    </row>
    <row r="52" spans="1:6" ht="18" customHeight="1">
      <c r="A52" s="360" t="s">
        <v>113</v>
      </c>
      <c r="B52" s="381">
        <v>0</v>
      </c>
      <c r="C52" s="381">
        <v>0</v>
      </c>
      <c r="D52" s="381">
        <v>0</v>
      </c>
      <c r="E52" s="381">
        <v>0</v>
      </c>
      <c r="F52" s="410">
        <f t="shared" si="0"/>
        <v>0</v>
      </c>
    </row>
    <row r="53" spans="1:6" ht="18" customHeight="1">
      <c r="A53" s="360" t="s">
        <v>181</v>
      </c>
      <c r="B53" s="381">
        <v>0</v>
      </c>
      <c r="C53" s="381">
        <v>0</v>
      </c>
      <c r="D53" s="381">
        <v>0</v>
      </c>
      <c r="E53" s="381">
        <v>0</v>
      </c>
      <c r="F53" s="410">
        <f t="shared" si="0"/>
        <v>0</v>
      </c>
    </row>
    <row r="54" spans="1:6" ht="18" customHeight="1">
      <c r="A54" s="360" t="s">
        <v>115</v>
      </c>
      <c r="B54" s="381">
        <v>784560</v>
      </c>
      <c r="C54" s="381">
        <v>784560</v>
      </c>
      <c r="D54" s="381">
        <v>0</v>
      </c>
      <c r="E54" s="381">
        <v>0</v>
      </c>
      <c r="F54" s="410">
        <f t="shared" si="0"/>
        <v>0</v>
      </c>
    </row>
    <row r="55" spans="1:6" ht="18" customHeight="1">
      <c r="A55" s="360" t="s">
        <v>116</v>
      </c>
      <c r="B55" s="381">
        <v>119253</v>
      </c>
      <c r="C55" s="381">
        <v>119253</v>
      </c>
      <c r="D55" s="381">
        <v>0</v>
      </c>
      <c r="E55" s="381">
        <v>0</v>
      </c>
      <c r="F55" s="410">
        <f t="shared" si="0"/>
        <v>0</v>
      </c>
    </row>
    <row r="56" spans="1:6" ht="18" customHeight="1">
      <c r="A56" s="360" t="s">
        <v>117</v>
      </c>
      <c r="B56" s="381">
        <v>3050369</v>
      </c>
      <c r="C56" s="381">
        <v>3050369</v>
      </c>
      <c r="D56" s="381">
        <v>0</v>
      </c>
      <c r="E56" s="381">
        <v>0</v>
      </c>
      <c r="F56" s="410">
        <f t="shared" si="0"/>
        <v>0</v>
      </c>
    </row>
    <row r="57" spans="1:6" ht="18" customHeight="1">
      <c r="A57" s="360" t="s">
        <v>118</v>
      </c>
      <c r="B57" s="381">
        <v>13333333</v>
      </c>
      <c r="C57" s="381">
        <v>13333333</v>
      </c>
      <c r="D57" s="381">
        <v>0</v>
      </c>
      <c r="E57" s="381">
        <v>0</v>
      </c>
      <c r="F57" s="410">
        <f t="shared" si="0"/>
        <v>0</v>
      </c>
    </row>
    <row r="58" spans="1:6" ht="18" customHeight="1" thickBot="1">
      <c r="A58" s="366" t="s">
        <v>119</v>
      </c>
      <c r="B58" s="381">
        <v>0</v>
      </c>
      <c r="C58" s="381">
        <v>0</v>
      </c>
      <c r="D58" s="381">
        <v>0</v>
      </c>
      <c r="E58" s="381">
        <v>0</v>
      </c>
      <c r="F58" s="410">
        <f t="shared" si="0"/>
        <v>0</v>
      </c>
    </row>
    <row r="59" spans="1:6" ht="20.25" customHeight="1" thickBot="1">
      <c r="A59" s="411" t="s">
        <v>122</v>
      </c>
      <c r="B59" s="412">
        <f>SUM(B8:B58)</f>
        <v>53308224</v>
      </c>
      <c r="C59" s="412">
        <f>SUM(C8:C58)</f>
        <v>46930898</v>
      </c>
      <c r="D59" s="412">
        <f>SUM(D8:D58)</f>
        <v>0</v>
      </c>
      <c r="E59" s="412">
        <f>SUM(E8:E58)</f>
        <v>0</v>
      </c>
      <c r="F59" s="413">
        <f>SUM(F8:F58)</f>
        <v>6377326</v>
      </c>
    </row>
    <row r="60" spans="1:6" ht="15.75" customHeight="1">
      <c r="A60" s="416"/>
      <c r="B60" s="416" t="s">
        <v>123</v>
      </c>
      <c r="C60" s="416" t="s">
        <v>123</v>
      </c>
      <c r="D60" s="416" t="s">
        <v>123</v>
      </c>
      <c r="E60" s="416" t="s">
        <v>123</v>
      </c>
      <c r="F60" s="416" t="s">
        <v>123</v>
      </c>
    </row>
    <row r="61" spans="1:6" ht="15.75" customHeight="1">
      <c r="F61" s="4"/>
    </row>
    <row r="63" spans="1:6">
      <c r="A63" s="151" t="s">
        <v>234</v>
      </c>
      <c r="B63" s="151"/>
      <c r="C63" s="151"/>
      <c r="D63" s="151"/>
      <c r="E63" s="1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DAA6-4D38-47BB-B421-4059D907E3F1}">
  <sheetPr>
    <pageSetUpPr fitToPage="1"/>
  </sheetPr>
  <dimension ref="B1:N67"/>
  <sheetViews>
    <sheetView zoomScaleNormal="100" workbookViewId="0">
      <selection activeCell="D14" sqref="D14"/>
    </sheetView>
  </sheetViews>
  <sheetFormatPr defaultRowHeight="14.5"/>
  <cols>
    <col min="2" max="2" width="30.7265625" customWidth="1"/>
    <col min="3" max="7" width="20.7265625" customWidth="1"/>
    <col min="9" max="9" width="16.54296875" customWidth="1"/>
    <col min="10" max="10" width="10.26953125" bestFit="1" customWidth="1"/>
    <col min="13" max="13" width="13.7265625" bestFit="1" customWidth="1"/>
  </cols>
  <sheetData>
    <row r="1" spans="2:8" ht="18">
      <c r="B1" s="793"/>
      <c r="C1" s="793"/>
      <c r="D1" s="14"/>
      <c r="E1" s="14"/>
      <c r="F1" s="15"/>
      <c r="G1" s="16" t="str">
        <f>[1]Status!C1</f>
        <v>UNEP/OzL.Pro/ExCom/94/3</v>
      </c>
    </row>
    <row r="2" spans="2:8" ht="18">
      <c r="B2" s="35"/>
      <c r="C2" s="14"/>
      <c r="D2" s="14"/>
      <c r="E2" s="14"/>
      <c r="F2" s="15"/>
      <c r="G2" s="16" t="s">
        <v>0</v>
      </c>
    </row>
    <row r="3" spans="2:8" ht="18">
      <c r="B3" s="8"/>
      <c r="C3" s="14"/>
      <c r="D3" s="14"/>
      <c r="E3" s="14"/>
      <c r="F3" s="16"/>
      <c r="G3" s="16" t="s">
        <v>134</v>
      </c>
    </row>
    <row r="4" spans="2:8" ht="15.5">
      <c r="B4" s="1"/>
      <c r="C4" s="14"/>
      <c r="D4" s="14"/>
      <c r="E4" s="14"/>
      <c r="F4" s="14"/>
      <c r="G4" s="14"/>
    </row>
    <row r="5" spans="2:8" ht="19.5" customHeight="1">
      <c r="B5" s="794" t="s">
        <v>2</v>
      </c>
      <c r="C5" s="794"/>
      <c r="D5" s="794"/>
      <c r="E5" s="794"/>
      <c r="F5" s="794"/>
      <c r="G5" s="794"/>
    </row>
    <row r="6" spans="2:8" ht="15.5">
      <c r="B6" s="795" t="s">
        <v>263</v>
      </c>
      <c r="C6" s="795"/>
      <c r="D6" s="795"/>
      <c r="E6" s="795"/>
      <c r="F6" s="795"/>
      <c r="G6" s="795"/>
    </row>
    <row r="7" spans="2:8" ht="16">
      <c r="B7" s="796" t="str">
        <f>[1]Status!A6</f>
        <v>As at 24/05/2024</v>
      </c>
      <c r="C7" s="796"/>
      <c r="D7" s="796"/>
      <c r="E7" s="796"/>
      <c r="F7" s="796"/>
      <c r="G7" s="796"/>
    </row>
    <row r="8" spans="2:8" ht="16.5" thickBot="1">
      <c r="B8" s="533"/>
      <c r="C8" s="533"/>
      <c r="D8" s="533"/>
      <c r="E8" s="533"/>
      <c r="F8" s="533"/>
      <c r="G8" s="533"/>
    </row>
    <row r="9" spans="2:8" ht="27" thickBot="1">
      <c r="B9" s="19" t="s">
        <v>59</v>
      </c>
      <c r="C9" s="20" t="s">
        <v>60</v>
      </c>
      <c r="D9" s="20" t="s">
        <v>61</v>
      </c>
      <c r="E9" s="504" t="s">
        <v>62</v>
      </c>
      <c r="F9" s="20" t="s">
        <v>63</v>
      </c>
      <c r="G9" s="21" t="s">
        <v>64</v>
      </c>
    </row>
    <row r="10" spans="2:8">
      <c r="B10" s="436" t="s">
        <v>65</v>
      </c>
      <c r="C10" s="494">
        <v>14842</v>
      </c>
      <c r="D10" s="494">
        <f>10817+4025</f>
        <v>14842</v>
      </c>
      <c r="E10" s="510"/>
      <c r="F10" s="495"/>
      <c r="G10" s="493">
        <f t="shared" ref="G10:G60" si="0">C10-D10-E10-F10</f>
        <v>0</v>
      </c>
      <c r="H10" s="445"/>
    </row>
    <row r="11" spans="2:8">
      <c r="B11" s="440" t="s">
        <v>124</v>
      </c>
      <c r="C11" s="438">
        <v>6266282</v>
      </c>
      <c r="D11" s="438">
        <f>8225550.168</f>
        <v>8225550.1679999996</v>
      </c>
      <c r="E11" s="438"/>
      <c r="F11" s="438"/>
      <c r="G11" s="444">
        <f t="shared" si="0"/>
        <v>-1959268.1679999996</v>
      </c>
      <c r="H11" s="445"/>
    </row>
    <row r="12" spans="2:8">
      <c r="B12" s="440" t="s">
        <v>67</v>
      </c>
      <c r="C12" s="438">
        <v>2015540</v>
      </c>
      <c r="D12" s="438"/>
      <c r="E12" s="438"/>
      <c r="F12" s="438"/>
      <c r="G12" s="444">
        <f t="shared" si="0"/>
        <v>2015540</v>
      </c>
      <c r="H12" s="445"/>
    </row>
    <row r="13" spans="2:8">
      <c r="B13" s="446" t="s">
        <v>68</v>
      </c>
      <c r="C13" s="438">
        <v>89052</v>
      </c>
      <c r="D13" s="438"/>
      <c r="E13" s="438"/>
      <c r="F13" s="438"/>
      <c r="G13" s="444">
        <f t="shared" si="0"/>
        <v>89052</v>
      </c>
      <c r="H13" s="445"/>
    </row>
    <row r="14" spans="2:8">
      <c r="B14" s="440" t="s">
        <v>69</v>
      </c>
      <c r="C14" s="438">
        <v>121704</v>
      </c>
      <c r="D14" s="438"/>
      <c r="E14" s="438"/>
      <c r="F14" s="438"/>
      <c r="G14" s="444">
        <f t="shared" si="0"/>
        <v>121704</v>
      </c>
      <c r="H14" s="445"/>
    </row>
    <row r="15" spans="2:8">
      <c r="B15" s="440" t="s">
        <v>70</v>
      </c>
      <c r="C15" s="438">
        <v>2457831</v>
      </c>
      <c r="D15" s="438">
        <v>2457831</v>
      </c>
      <c r="E15" s="438"/>
      <c r="F15" s="438"/>
      <c r="G15" s="444">
        <f t="shared" si="0"/>
        <v>0</v>
      </c>
      <c r="H15" s="445"/>
    </row>
    <row r="16" spans="2:8">
      <c r="B16" s="440" t="s">
        <v>71</v>
      </c>
      <c r="C16" s="438">
        <v>166230</v>
      </c>
      <c r="D16" s="438"/>
      <c r="E16" s="438"/>
      <c r="F16" s="438"/>
      <c r="G16" s="444">
        <f t="shared" si="0"/>
        <v>166230</v>
      </c>
      <c r="H16" s="445"/>
    </row>
    <row r="17" spans="2:14">
      <c r="B17" s="440" t="s">
        <v>125</v>
      </c>
      <c r="C17" s="438">
        <v>7800942</v>
      </c>
      <c r="D17" s="463"/>
      <c r="E17" s="438"/>
      <c r="F17" s="438"/>
      <c r="G17" s="444">
        <f t="shared" si="0"/>
        <v>7800942</v>
      </c>
      <c r="H17" s="445"/>
    </row>
    <row r="18" spans="2:14">
      <c r="B18" s="440" t="s">
        <v>73</v>
      </c>
      <c r="C18" s="438">
        <v>270124</v>
      </c>
      <c r="D18" s="438"/>
      <c r="E18" s="438"/>
      <c r="F18" s="438"/>
      <c r="G18" s="444">
        <f t="shared" si="0"/>
        <v>270124</v>
      </c>
      <c r="H18" s="445"/>
    </row>
    <row r="19" spans="2:14">
      <c r="B19" s="440" t="s">
        <v>74</v>
      </c>
      <c r="C19" s="438">
        <v>106862</v>
      </c>
      <c r="D19" s="438"/>
      <c r="E19" s="438"/>
      <c r="F19" s="438"/>
      <c r="G19" s="444">
        <f t="shared" si="0"/>
        <v>106862</v>
      </c>
      <c r="H19" s="445"/>
    </row>
    <row r="20" spans="2:14">
      <c r="B20" s="440" t="s">
        <v>75</v>
      </c>
      <c r="C20" s="438">
        <v>1009254</v>
      </c>
      <c r="D20" s="438">
        <v>1009254</v>
      </c>
      <c r="E20" s="438"/>
      <c r="F20" s="438"/>
      <c r="G20" s="444">
        <f t="shared" si="0"/>
        <v>0</v>
      </c>
      <c r="H20" s="445"/>
    </row>
    <row r="21" spans="2:14">
      <c r="B21" s="440" t="s">
        <v>76</v>
      </c>
      <c r="C21" s="438">
        <v>1641522</v>
      </c>
      <c r="D21" s="438"/>
      <c r="E21" s="438"/>
      <c r="F21" s="438"/>
      <c r="G21" s="444">
        <f t="shared" si="0"/>
        <v>1641522</v>
      </c>
      <c r="H21" s="445"/>
    </row>
    <row r="22" spans="2:14">
      <c r="B22" s="440" t="s">
        <v>77</v>
      </c>
      <c r="C22" s="438">
        <v>130609</v>
      </c>
      <c r="D22" s="438">
        <v>130609</v>
      </c>
      <c r="E22" s="438"/>
      <c r="F22" s="438"/>
      <c r="G22" s="444">
        <f t="shared" si="0"/>
        <v>0</v>
      </c>
      <c r="H22" s="445"/>
    </row>
    <row r="23" spans="2:14">
      <c r="B23" s="440" t="s">
        <v>78</v>
      </c>
      <c r="C23" s="438">
        <v>1237821</v>
      </c>
      <c r="D23" s="438"/>
      <c r="E23" s="438"/>
      <c r="F23" s="438"/>
      <c r="G23" s="444">
        <f t="shared" si="0"/>
        <v>1237821</v>
      </c>
      <c r="H23" s="445"/>
    </row>
    <row r="24" spans="2:14">
      <c r="B24" s="440" t="s">
        <v>126</v>
      </c>
      <c r="C24" s="438">
        <v>12817530</v>
      </c>
      <c r="D24" s="438"/>
      <c r="E24" s="438"/>
      <c r="F24" s="438"/>
      <c r="G24" s="444">
        <f t="shared" si="0"/>
        <v>12817530</v>
      </c>
      <c r="H24" s="445"/>
    </row>
    <row r="25" spans="2:14">
      <c r="B25" s="440" t="s">
        <v>127</v>
      </c>
      <c r="C25" s="438">
        <v>18139862</v>
      </c>
      <c r="D25" s="438"/>
      <c r="E25" s="438"/>
      <c r="F25" s="438"/>
      <c r="G25" s="444">
        <f>C25-D25-E25-F25</f>
        <v>18139862</v>
      </c>
      <c r="H25" s="445"/>
      <c r="I25" s="52"/>
      <c r="J25" s="52" t="s">
        <v>251</v>
      </c>
      <c r="M25" s="432">
        <f>I25*20%</f>
        <v>0</v>
      </c>
      <c r="N25" t="s">
        <v>252</v>
      </c>
    </row>
    <row r="26" spans="2:14">
      <c r="B26" s="440" t="s">
        <v>81</v>
      </c>
      <c r="C26" s="438">
        <v>964728</v>
      </c>
      <c r="D26" s="438">
        <v>964728</v>
      </c>
      <c r="E26" s="438"/>
      <c r="F26" s="438"/>
      <c r="G26" s="444">
        <f t="shared" si="0"/>
        <v>0</v>
      </c>
      <c r="H26" s="445"/>
    </row>
    <row r="27" spans="2:14">
      <c r="B27" s="440" t="s">
        <v>82</v>
      </c>
      <c r="C27" s="438">
        <v>2968</v>
      </c>
      <c r="D27" s="438">
        <v>2968</v>
      </c>
      <c r="E27" s="438"/>
      <c r="F27" s="438"/>
      <c r="G27" s="444">
        <f t="shared" si="0"/>
        <v>0</v>
      </c>
      <c r="H27" s="445"/>
      <c r="M27" s="432"/>
    </row>
    <row r="28" spans="2:14">
      <c r="B28" s="440" t="s">
        <v>83</v>
      </c>
      <c r="C28" s="438">
        <v>676794</v>
      </c>
      <c r="D28" s="438">
        <v>676794</v>
      </c>
      <c r="E28" s="438"/>
      <c r="F28" s="438"/>
      <c r="G28" s="444">
        <f t="shared" si="0"/>
        <v>0</v>
      </c>
      <c r="H28" s="445"/>
      <c r="J28" s="445">
        <f>E25+'YR2022'!D24+'YR2021'!D24</f>
        <v>8569769</v>
      </c>
    </row>
    <row r="29" spans="2:14">
      <c r="B29" s="440" t="s">
        <v>84</v>
      </c>
      <c r="C29" s="438">
        <v>106862</v>
      </c>
      <c r="D29" s="438"/>
      <c r="E29" s="438"/>
      <c r="F29" s="438"/>
      <c r="G29" s="444">
        <f t="shared" si="0"/>
        <v>106862</v>
      </c>
      <c r="H29" s="445"/>
    </row>
    <row r="30" spans="2:14">
      <c r="B30" s="440" t="s">
        <v>128</v>
      </c>
      <c r="C30" s="438">
        <v>1303125</v>
      </c>
      <c r="D30" s="438">
        <v>1303125</v>
      </c>
      <c r="E30" s="438"/>
      <c r="F30" s="438"/>
      <c r="G30" s="444">
        <f t="shared" si="0"/>
        <v>0</v>
      </c>
      <c r="H30" s="445"/>
    </row>
    <row r="31" spans="2:14">
      <c r="B31" s="440" t="s">
        <v>86</v>
      </c>
      <c r="C31" s="438">
        <v>1665270</v>
      </c>
      <c r="D31" s="438"/>
      <c r="E31" s="438"/>
      <c r="F31" s="438"/>
      <c r="G31" s="444">
        <f t="shared" si="0"/>
        <v>1665270</v>
      </c>
      <c r="H31" s="445"/>
    </row>
    <row r="32" spans="2:14">
      <c r="B32" s="440" t="s">
        <v>87</v>
      </c>
      <c r="C32" s="438">
        <v>9466212</v>
      </c>
      <c r="D32" s="438">
        <v>9466212</v>
      </c>
      <c r="E32" s="438"/>
      <c r="F32" s="438"/>
      <c r="G32" s="444">
        <f t="shared" si="0"/>
        <v>0</v>
      </c>
      <c r="H32" s="445"/>
    </row>
    <row r="33" spans="2:8">
      <c r="B33" s="440" t="s">
        <v>129</v>
      </c>
      <c r="C33" s="438">
        <v>23845117</v>
      </c>
      <c r="D33" s="438"/>
      <c r="E33" s="438"/>
      <c r="F33" s="438"/>
      <c r="G33" s="444">
        <f t="shared" si="0"/>
        <v>23845117</v>
      </c>
      <c r="H33" s="445"/>
    </row>
    <row r="34" spans="2:8">
      <c r="B34" s="440" t="s">
        <v>89</v>
      </c>
      <c r="C34" s="438">
        <v>394797</v>
      </c>
      <c r="D34" s="438"/>
      <c r="E34" s="438"/>
      <c r="F34" s="438"/>
      <c r="G34" s="444">
        <f t="shared" si="0"/>
        <v>394797</v>
      </c>
      <c r="H34" s="445"/>
    </row>
    <row r="35" spans="2:8">
      <c r="B35" s="440" t="s">
        <v>91</v>
      </c>
      <c r="C35" s="438">
        <v>148420</v>
      </c>
      <c r="D35" s="438">
        <v>148420</v>
      </c>
      <c r="E35" s="438"/>
      <c r="F35" s="438"/>
      <c r="G35" s="444">
        <f t="shared" si="0"/>
        <v>0</v>
      </c>
      <c r="H35" s="445"/>
    </row>
    <row r="36" spans="2:8">
      <c r="B36" s="440" t="s">
        <v>92</v>
      </c>
      <c r="C36" s="438">
        <v>29684</v>
      </c>
      <c r="D36" s="438">
        <v>29684</v>
      </c>
      <c r="E36" s="438"/>
      <c r="F36" s="438"/>
      <c r="G36" s="444">
        <f t="shared" si="0"/>
        <v>0</v>
      </c>
      <c r="H36" s="445"/>
    </row>
    <row r="37" spans="2:8">
      <c r="B37" s="440" t="s">
        <v>93</v>
      </c>
      <c r="C37" s="438">
        <v>228566</v>
      </c>
      <c r="D37" s="438"/>
      <c r="E37" s="438"/>
      <c r="F37" s="438"/>
      <c r="G37" s="444">
        <f t="shared" si="0"/>
        <v>228566</v>
      </c>
      <c r="H37" s="445"/>
    </row>
    <row r="38" spans="2:8">
      <c r="B38" s="440" t="s">
        <v>94</v>
      </c>
      <c r="C38" s="438">
        <v>201851</v>
      </c>
      <c r="D38" s="438"/>
      <c r="E38" s="438"/>
      <c r="F38" s="438"/>
      <c r="G38" s="444">
        <f t="shared" si="0"/>
        <v>201851</v>
      </c>
      <c r="H38" s="445"/>
    </row>
    <row r="39" spans="2:8">
      <c r="B39" s="440" t="s">
        <v>95</v>
      </c>
      <c r="C39" s="438">
        <v>56400</v>
      </c>
      <c r="D39" s="438"/>
      <c r="E39" s="438"/>
      <c r="F39" s="438"/>
      <c r="G39" s="444">
        <f t="shared" si="0"/>
        <v>56400</v>
      </c>
      <c r="H39" s="445"/>
    </row>
    <row r="40" spans="2:8">
      <c r="B40" s="440" t="s">
        <v>96</v>
      </c>
      <c r="C40" s="438">
        <v>32652</v>
      </c>
      <c r="D40" s="438">
        <v>32652</v>
      </c>
      <c r="E40" s="438"/>
      <c r="F40" s="438"/>
      <c r="G40" s="444">
        <f t="shared" si="0"/>
        <v>0</v>
      </c>
      <c r="H40" s="445"/>
    </row>
    <row r="41" spans="2:8">
      <c r="B41" s="440" t="s">
        <v>97</v>
      </c>
      <c r="C41" s="438">
        <v>4087480</v>
      </c>
      <c r="D41" s="438"/>
      <c r="E41" s="438"/>
      <c r="F41" s="438"/>
      <c r="G41" s="444">
        <f t="shared" si="0"/>
        <v>4087480</v>
      </c>
      <c r="H41" s="445"/>
    </row>
    <row r="42" spans="2:8">
      <c r="B42" s="440" t="s">
        <v>98</v>
      </c>
      <c r="C42" s="438">
        <v>917234</v>
      </c>
      <c r="D42" s="438"/>
      <c r="E42" s="438"/>
      <c r="F42" s="438"/>
      <c r="G42" s="444">
        <f t="shared" si="0"/>
        <v>917234</v>
      </c>
      <c r="H42" s="445"/>
    </row>
    <row r="43" spans="2:8">
      <c r="B43" s="440" t="s">
        <v>99</v>
      </c>
      <c r="C43" s="438">
        <v>2015540</v>
      </c>
      <c r="D43" s="438"/>
      <c r="E43" s="438"/>
      <c r="F43" s="438"/>
      <c r="G43" s="444">
        <f t="shared" si="0"/>
        <v>2015540</v>
      </c>
      <c r="H43" s="445"/>
    </row>
    <row r="44" spans="2:8">
      <c r="B44" s="440" t="s">
        <v>101</v>
      </c>
      <c r="C44" s="438">
        <v>2484547</v>
      </c>
      <c r="D44" s="438">
        <v>2484547</v>
      </c>
      <c r="E44" s="438"/>
      <c r="F44" s="438"/>
      <c r="G44" s="444">
        <f t="shared" si="0"/>
        <v>0</v>
      </c>
      <c r="H44" s="445"/>
    </row>
    <row r="45" spans="2:8">
      <c r="B45" s="440" t="s">
        <v>102</v>
      </c>
      <c r="C45" s="438">
        <v>1047843</v>
      </c>
      <c r="D45" s="438">
        <v>1047843</v>
      </c>
      <c r="E45" s="438"/>
      <c r="F45" s="438"/>
      <c r="G45" s="444">
        <f t="shared" si="0"/>
        <v>0</v>
      </c>
      <c r="H45" s="445"/>
    </row>
    <row r="46" spans="2:8">
      <c r="B46" s="440" t="s">
        <v>103</v>
      </c>
      <c r="C46" s="438">
        <v>926139</v>
      </c>
      <c r="D46" s="438"/>
      <c r="E46" s="438"/>
      <c r="F46" s="438"/>
      <c r="G46" s="444">
        <f t="shared" si="0"/>
        <v>926139</v>
      </c>
      <c r="H46" s="445"/>
    </row>
    <row r="47" spans="2:8">
      <c r="B47" s="440" t="s">
        <v>104</v>
      </c>
      <c r="C47" s="438">
        <v>5539025</v>
      </c>
      <c r="D47" s="438">
        <v>1500000</v>
      </c>
      <c r="E47" s="438"/>
      <c r="F47" s="438"/>
      <c r="G47" s="444">
        <f t="shared" si="0"/>
        <v>4039025</v>
      </c>
      <c r="H47" s="445"/>
    </row>
    <row r="48" spans="2:8">
      <c r="B48" s="440" t="s">
        <v>105</v>
      </c>
      <c r="C48" s="438">
        <v>5937</v>
      </c>
      <c r="D48" s="438">
        <v>5937</v>
      </c>
      <c r="E48" s="438"/>
      <c r="F48" s="438"/>
      <c r="G48" s="444">
        <f t="shared" si="0"/>
        <v>0</v>
      </c>
      <c r="H48" s="445"/>
    </row>
    <row r="49" spans="2:11">
      <c r="B49" s="440" t="s">
        <v>107</v>
      </c>
      <c r="C49" s="438">
        <v>460101</v>
      </c>
      <c r="D49" s="438">
        <v>460101</v>
      </c>
      <c r="E49" s="438"/>
      <c r="F49" s="438"/>
      <c r="G49" s="444">
        <f t="shared" si="0"/>
        <v>0</v>
      </c>
      <c r="H49" s="445"/>
    </row>
    <row r="50" spans="2:11">
      <c r="B50" s="440" t="s">
        <v>108</v>
      </c>
      <c r="C50" s="438">
        <v>234503</v>
      </c>
      <c r="D50" s="438"/>
      <c r="E50" s="438"/>
      <c r="F50" s="438"/>
      <c r="G50" s="444">
        <f t="shared" si="0"/>
        <v>234503</v>
      </c>
      <c r="H50" s="445"/>
    </row>
    <row r="51" spans="2:11">
      <c r="B51" s="440" t="s">
        <v>110</v>
      </c>
      <c r="C51" s="438">
        <v>6334555</v>
      </c>
      <c r="D51" s="438">
        <v>6334555</v>
      </c>
      <c r="E51" s="438"/>
      <c r="F51" s="438"/>
      <c r="G51" s="444">
        <f t="shared" si="0"/>
        <v>0</v>
      </c>
      <c r="H51" s="445"/>
    </row>
    <row r="52" spans="2:11">
      <c r="B52" s="440" t="s">
        <v>130</v>
      </c>
      <c r="C52" s="438">
        <v>2585472</v>
      </c>
      <c r="D52" s="438">
        <v>2585472</v>
      </c>
      <c r="E52" s="438"/>
      <c r="F52" s="438"/>
      <c r="G52" s="444">
        <f t="shared" si="0"/>
        <v>0</v>
      </c>
      <c r="H52" s="445"/>
    </row>
    <row r="53" spans="2:11">
      <c r="B53" s="440" t="s">
        <v>112</v>
      </c>
      <c r="C53" s="438">
        <v>3366160</v>
      </c>
      <c r="D53" s="438">
        <v>3366160</v>
      </c>
      <c r="E53" s="438"/>
      <c r="F53" s="438"/>
      <c r="G53" s="444">
        <f t="shared" si="0"/>
        <v>0</v>
      </c>
      <c r="H53" s="445"/>
    </row>
    <row r="54" spans="2:11" ht="18" customHeight="1">
      <c r="B54" s="440" t="s">
        <v>113</v>
      </c>
      <c r="C54" s="438">
        <v>8905</v>
      </c>
      <c r="D54" s="438"/>
      <c r="E54" s="438"/>
      <c r="F54" s="438"/>
      <c r="G54" s="444">
        <f t="shared" si="0"/>
        <v>8905</v>
      </c>
      <c r="H54" s="445"/>
    </row>
    <row r="55" spans="2:11">
      <c r="B55" s="440" t="s">
        <v>115</v>
      </c>
      <c r="C55" s="438">
        <v>166230</v>
      </c>
      <c r="D55" s="438"/>
      <c r="E55" s="438"/>
      <c r="F55" s="438"/>
      <c r="G55" s="444">
        <f t="shared" si="0"/>
        <v>166230</v>
      </c>
      <c r="H55" s="445"/>
    </row>
    <row r="56" spans="2:11">
      <c r="B56" s="440" t="s">
        <v>117</v>
      </c>
      <c r="C56" s="438">
        <v>12986728</v>
      </c>
      <c r="D56" s="438"/>
      <c r="E56" s="438"/>
      <c r="F56" s="438"/>
      <c r="G56" s="444">
        <f t="shared" si="0"/>
        <v>12986728</v>
      </c>
      <c r="H56" s="445"/>
    </row>
    <row r="57" spans="2:11">
      <c r="B57" s="440" t="s">
        <v>118</v>
      </c>
      <c r="C57" s="438">
        <v>38544000</v>
      </c>
      <c r="D57" s="438">
        <f>88012896-49468896</f>
        <v>38544000</v>
      </c>
      <c r="E57" s="438"/>
      <c r="F57" s="438"/>
      <c r="G57" s="444">
        <f t="shared" si="0"/>
        <v>0</v>
      </c>
      <c r="H57" s="445"/>
      <c r="I57" s="421"/>
      <c r="J57" s="421"/>
      <c r="K57" s="421"/>
    </row>
    <row r="58" spans="2:11" ht="15" thickBot="1">
      <c r="B58" s="441" t="s">
        <v>119</v>
      </c>
      <c r="C58" s="464">
        <v>80147</v>
      </c>
      <c r="D58" s="464"/>
      <c r="E58" s="464"/>
      <c r="F58" s="464"/>
      <c r="G58" s="469">
        <f t="shared" si="0"/>
        <v>80147</v>
      </c>
      <c r="H58" s="445"/>
    </row>
    <row r="59" spans="2:11" ht="15" thickBot="1">
      <c r="B59" s="443" t="s">
        <v>122</v>
      </c>
      <c r="C59" s="477">
        <f>SUM(C10:C58)</f>
        <v>175199999</v>
      </c>
      <c r="D59" s="477">
        <f>SUM(D10:D58)</f>
        <v>80791284.167999998</v>
      </c>
      <c r="E59" s="477">
        <f>SUM(E10:E58)</f>
        <v>0</v>
      </c>
      <c r="F59" s="482">
        <f>SUM(F10:F58)</f>
        <v>0</v>
      </c>
      <c r="G59" s="478">
        <f>SUM(G10:G58)</f>
        <v>94408714.832000002</v>
      </c>
      <c r="H59" s="445"/>
      <c r="I59" s="435">
        <f>D59/C59</f>
        <v>0.46113746934439193</v>
      </c>
    </row>
    <row r="60" spans="2:11" ht="15" thickBot="1">
      <c r="B60" s="450" t="s">
        <v>131</v>
      </c>
      <c r="C60" s="109"/>
      <c r="D60" s="109"/>
      <c r="E60" s="109"/>
      <c r="F60" s="109"/>
      <c r="G60" s="483">
        <f t="shared" si="0"/>
        <v>0</v>
      </c>
      <c r="H60" s="445"/>
    </row>
    <row r="61" spans="2:11" ht="15" thickBot="1">
      <c r="B61" s="484" t="s">
        <v>132</v>
      </c>
      <c r="C61" s="485">
        <f>C59+C60</f>
        <v>175199999</v>
      </c>
      <c r="D61" s="485">
        <f t="shared" ref="D61:G61" si="1">D59+D60</f>
        <v>80791284.167999998</v>
      </c>
      <c r="E61" s="485">
        <f t="shared" si="1"/>
        <v>0</v>
      </c>
      <c r="F61" s="486">
        <f t="shared" si="1"/>
        <v>0</v>
      </c>
      <c r="G61" s="487">
        <f t="shared" si="1"/>
        <v>94408714.832000002</v>
      </c>
      <c r="H61" s="445"/>
      <c r="J61" s="433"/>
    </row>
    <row r="62" spans="2:11">
      <c r="B62" s="475"/>
      <c r="C62" s="454"/>
      <c r="D62" s="454"/>
      <c r="E62" s="454"/>
      <c r="F62" s="454"/>
      <c r="G62" s="454"/>
      <c r="H62" s="445"/>
    </row>
    <row r="63" spans="2:11" ht="15" thickBot="1">
      <c r="B63" s="475"/>
      <c r="C63" s="454"/>
      <c r="D63" s="454"/>
      <c r="E63" s="454"/>
      <c r="F63" s="454"/>
      <c r="G63" s="454"/>
      <c r="H63" s="445"/>
    </row>
    <row r="64" spans="2:11" ht="15" thickBot="1">
      <c r="B64" s="479" t="s">
        <v>133</v>
      </c>
      <c r="C64" s="480">
        <f>C13+C14+C16+C20+C22+C28+C34+C37+C44+C47+C49+C50+C54+C55+C58</f>
        <v>11790464</v>
      </c>
      <c r="D64" s="480">
        <f>D13+D14+D16+D20+D22+D28+D34+D37+D44+D47+D49+D50+D54+D55+D58</f>
        <v>6261305</v>
      </c>
      <c r="E64" s="480">
        <f>E13+E14+E16+E20+E22+E27+E35+E37+E44+E47+E49+E50+E54+E55+E58</f>
        <v>0</v>
      </c>
      <c r="F64" s="488">
        <f>F13+F14+F16+F20+F22+F27+F35+F37+F44+F47+F49+F50+F54+F55+F58</f>
        <v>0</v>
      </c>
      <c r="G64" s="481">
        <f>C64-D64-E64-F64</f>
        <v>5529159</v>
      </c>
      <c r="H64" s="445"/>
    </row>
    <row r="65" spans="2:8">
      <c r="B65" s="445"/>
      <c r="C65" s="445"/>
      <c r="D65" s="445"/>
      <c r="E65" s="445"/>
      <c r="F65" s="445"/>
      <c r="G65" s="445"/>
      <c r="H65" s="445"/>
    </row>
    <row r="66" spans="2:8">
      <c r="B66" s="445"/>
      <c r="C66" s="445"/>
      <c r="D66" s="445"/>
      <c r="E66" s="445"/>
      <c r="F66" s="445"/>
      <c r="G66" s="445"/>
      <c r="H66" s="445"/>
    </row>
    <row r="67" spans="2:8">
      <c r="B67" s="445"/>
      <c r="C67" s="445"/>
      <c r="D67" s="445"/>
      <c r="E67" s="445"/>
      <c r="F67" s="445"/>
      <c r="G67" s="445"/>
      <c r="H67" s="445"/>
    </row>
  </sheetData>
  <mergeCells count="4">
    <mergeCell ref="B1:C1"/>
    <mergeCell ref="B5:G5"/>
    <mergeCell ref="B6:G6"/>
    <mergeCell ref="B7:G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E1A5-D2E0-41E1-B816-359E90B3A520}">
  <sheetPr>
    <pageSetUpPr fitToPage="1"/>
  </sheetPr>
  <dimension ref="A1:H70"/>
  <sheetViews>
    <sheetView zoomScale="106" zoomScaleNormal="106" workbookViewId="0">
      <selection activeCell="D14" sqref="D14"/>
    </sheetView>
  </sheetViews>
  <sheetFormatPr defaultRowHeight="14.5"/>
  <cols>
    <col min="1" max="1" width="30.7265625" customWidth="1"/>
    <col min="2" max="6" width="20.7265625" customWidth="1"/>
    <col min="7" max="7" width="13.7265625" bestFit="1" customWidth="1"/>
    <col min="8" max="8" width="14.26953125" style="52" bestFit="1" customWidth="1"/>
    <col min="11" max="11" width="9.81640625" bestFit="1" customWidth="1"/>
  </cols>
  <sheetData>
    <row r="1" spans="1:8" ht="18">
      <c r="A1" s="793" t="str">
        <f>[1]Status!C1</f>
        <v>UNEP/OzL.Pro/ExCom/94/3</v>
      </c>
      <c r="B1" s="793"/>
      <c r="C1" s="14"/>
      <c r="D1" s="14"/>
      <c r="E1" s="14"/>
      <c r="F1" s="14"/>
    </row>
    <row r="2" spans="1:8" ht="18">
      <c r="A2" s="35" t="s">
        <v>0</v>
      </c>
      <c r="B2" s="14"/>
      <c r="C2" s="14"/>
      <c r="D2" s="14"/>
      <c r="E2" s="14"/>
      <c r="F2" s="14"/>
    </row>
    <row r="3" spans="1:8" ht="18">
      <c r="A3" s="8" t="s">
        <v>256</v>
      </c>
      <c r="B3" s="14"/>
      <c r="C3" s="14"/>
      <c r="D3" s="14"/>
      <c r="E3" s="14"/>
      <c r="F3" s="14"/>
    </row>
    <row r="4" spans="1:8" ht="15.5">
      <c r="A4" s="1"/>
      <c r="B4" s="14"/>
      <c r="C4" s="14"/>
      <c r="D4" s="14"/>
      <c r="E4" s="14"/>
      <c r="F4" s="14"/>
    </row>
    <row r="5" spans="1:8" ht="22.5" customHeight="1">
      <c r="A5" s="794" t="s">
        <v>2</v>
      </c>
      <c r="B5" s="794"/>
      <c r="C5" s="794"/>
      <c r="D5" s="794"/>
      <c r="E5" s="794"/>
      <c r="F5" s="794"/>
    </row>
    <row r="6" spans="1:8" ht="15.5">
      <c r="A6" s="795" t="s">
        <v>264</v>
      </c>
      <c r="B6" s="795"/>
      <c r="C6" s="795"/>
      <c r="D6" s="795"/>
      <c r="E6" s="795"/>
      <c r="F6" s="795"/>
    </row>
    <row r="7" spans="1:8" ht="16.5" thickBot="1">
      <c r="A7" s="796" t="str">
        <f>[1]Status!A6</f>
        <v>As at 24/05/2024</v>
      </c>
      <c r="B7" s="796"/>
      <c r="C7" s="796"/>
      <c r="D7" s="796"/>
      <c r="E7" s="796"/>
      <c r="F7" s="796"/>
    </row>
    <row r="8" spans="1:8" ht="30.75" customHeight="1" thickBot="1">
      <c r="A8" s="19" t="s">
        <v>59</v>
      </c>
      <c r="B8" s="20" t="s">
        <v>60</v>
      </c>
      <c r="C8" s="20" t="s">
        <v>61</v>
      </c>
      <c r="D8" s="504" t="s">
        <v>62</v>
      </c>
      <c r="E8" s="525" t="s">
        <v>63</v>
      </c>
      <c r="F8" s="21" t="s">
        <v>64</v>
      </c>
    </row>
    <row r="9" spans="1:8">
      <c r="A9" s="449" t="s">
        <v>65</v>
      </c>
      <c r="B9" s="492">
        <f>'YR2021'!B9+'YR2022'!B9+'YR2023'!B9</f>
        <v>38976</v>
      </c>
      <c r="C9" s="498">
        <f>'YR2021'!C9+'YR2022'!C9+'YR2023'!C9</f>
        <v>38976</v>
      </c>
      <c r="D9" s="529">
        <f>'YR2021'!D9+'YR2022'!D9</f>
        <v>0</v>
      </c>
      <c r="E9" s="492"/>
      <c r="F9" s="522">
        <f>B9-C9-D9-E9</f>
        <v>0</v>
      </c>
      <c r="H9"/>
    </row>
    <row r="10" spans="1:8">
      <c r="A10" s="441" t="s">
        <v>124</v>
      </c>
      <c r="B10" s="527">
        <f>'YR2021'!B10+'YR2022'!B10+'YR2023'!B10</f>
        <v>17227482</v>
      </c>
      <c r="C10" s="527">
        <f>'YR2021'!C10+'YR2022'!C10+'YR2023'!C10</f>
        <v>16675094</v>
      </c>
      <c r="D10" s="463">
        <f>'YR2021'!D10+'YR2022'!D10+'YR2023'!D10</f>
        <v>552388</v>
      </c>
      <c r="E10" s="463"/>
      <c r="F10" s="469">
        <f t="shared" ref="F10:F57" si="0">B10-C10-D10-E10</f>
        <v>0</v>
      </c>
      <c r="H10"/>
    </row>
    <row r="11" spans="1:8">
      <c r="A11" s="440" t="s">
        <v>67</v>
      </c>
      <c r="B11" s="463">
        <f>'YR2021'!B11+'YR2022'!B11+'YR2023'!B11</f>
        <v>5277378</v>
      </c>
      <c r="C11" s="463">
        <f>'YR2021'!C11+'YR2022'!C11+'YR2023'!C11</f>
        <v>4590376.47</v>
      </c>
      <c r="D11" s="526">
        <f>'YR2021'!D11+'YR2022'!D11+'YR2023'!D11</f>
        <v>391833</v>
      </c>
      <c r="E11" s="451"/>
      <c r="F11" s="444">
        <f t="shared" si="0"/>
        <v>295168.53000000026</v>
      </c>
      <c r="H11"/>
    </row>
    <row r="12" spans="1:8">
      <c r="A12" s="530" t="s">
        <v>68</v>
      </c>
      <c r="B12" s="494">
        <f>'YR2021'!B12+'YR2022'!B12+'YR2023'!B12</f>
        <v>381967</v>
      </c>
      <c r="C12" s="494">
        <f>'YR2021'!C12+'YR2022'!C12+'YR2023'!C12</f>
        <v>0</v>
      </c>
      <c r="D12" s="526">
        <f>'YR2021'!D12+'YR2022'!D12</f>
        <v>0</v>
      </c>
      <c r="E12" s="451"/>
      <c r="F12" s="493">
        <f t="shared" si="0"/>
        <v>381967</v>
      </c>
      <c r="H12"/>
    </row>
    <row r="13" spans="1:8">
      <c r="A13" s="440" t="s">
        <v>69</v>
      </c>
      <c r="B13" s="438">
        <f>'YR2021'!B13+'YR2022'!B13+'YR2023'!B13</f>
        <v>381967</v>
      </c>
      <c r="C13" s="438">
        <f>'YR2021'!C13+'YR2022'!C13+'YR2023'!C13</f>
        <v>384309</v>
      </c>
      <c r="D13" s="526">
        <f>'YR2021'!D13+'YR2022'!D13</f>
        <v>0</v>
      </c>
      <c r="E13" s="451"/>
      <c r="F13" s="444">
        <f t="shared" si="0"/>
        <v>-2342</v>
      </c>
      <c r="H13"/>
    </row>
    <row r="14" spans="1:8">
      <c r="A14" s="449" t="s">
        <v>70</v>
      </c>
      <c r="B14" s="528">
        <f>'YR2021'!B14+'YR2022'!B14+'YR2023'!B14</f>
        <v>6399893</v>
      </c>
      <c r="C14" s="528">
        <f>'YR2021'!C14+'YR2022'!C14+'YR2023'!C14</f>
        <v>6399893</v>
      </c>
      <c r="D14" s="463">
        <f>'YR2021'!D14+'YR2022'!D14</f>
        <v>0</v>
      </c>
      <c r="E14" s="463"/>
      <c r="F14" s="522">
        <f t="shared" si="0"/>
        <v>0</v>
      </c>
      <c r="H14"/>
    </row>
    <row r="15" spans="1:8">
      <c r="A15" s="441" t="s">
        <v>71</v>
      </c>
      <c r="B15" s="464">
        <f>'YR2021'!B15+'YR2022'!B15+'YR2023'!B15</f>
        <v>358581</v>
      </c>
      <c r="C15" s="464">
        <f>'YR2021'!C15+'YR2022'!C15+'YR2023'!C15</f>
        <v>358581</v>
      </c>
      <c r="D15" s="526">
        <f>'YR2021'!D15+'YR2022'!D15</f>
        <v>0</v>
      </c>
      <c r="E15" s="451"/>
      <c r="F15" s="469">
        <f>B15-C15-D15-E15</f>
        <v>0</v>
      </c>
      <c r="H15"/>
    </row>
    <row r="16" spans="1:8">
      <c r="A16" s="440" t="s">
        <v>125</v>
      </c>
      <c r="B16" s="463">
        <f>'YR2021'!B16+'YR2022'!B16+'YR2023'!B16</f>
        <v>21312188</v>
      </c>
      <c r="C16" s="463">
        <f>'YR2021'!C16+'YR2022'!C16+'YR2023'!C16</f>
        <v>21211314.809999999</v>
      </c>
      <c r="D16" s="526">
        <f>'YR2021'!D16+'YR2022'!D16</f>
        <v>0</v>
      </c>
      <c r="E16" s="451"/>
      <c r="F16" s="531">
        <f t="shared" si="0"/>
        <v>100873.19000000134</v>
      </c>
      <c r="H16"/>
    </row>
    <row r="17" spans="1:8">
      <c r="A17" s="436" t="s">
        <v>73</v>
      </c>
      <c r="B17" s="498">
        <f>'YR2021'!B17+'YR2022'!B17+'YR2023'!B17</f>
        <v>600234</v>
      </c>
      <c r="C17" s="498">
        <f>'YR2021'!C17+'YR2022'!C17+'YR2023'!C17</f>
        <v>600234</v>
      </c>
      <c r="D17" s="463">
        <f>'YR2021'!D17+'YR2022'!D17</f>
        <v>0</v>
      </c>
      <c r="E17" s="463"/>
      <c r="F17" s="493">
        <f t="shared" si="0"/>
        <v>0</v>
      </c>
      <c r="H17"/>
    </row>
    <row r="18" spans="1:8">
      <c r="A18" s="441" t="s">
        <v>74</v>
      </c>
      <c r="B18" s="527">
        <f>'YR2021'!B18+'YR2022'!B18+'YR2023'!B18</f>
        <v>280629</v>
      </c>
      <c r="C18" s="527">
        <f>'YR2021'!C18+'YR2022'!C18+'YR2023'!C18</f>
        <v>280629.02</v>
      </c>
      <c r="D18" s="463">
        <f>'YR2021'!D18+'YR2022'!D18</f>
        <v>0</v>
      </c>
      <c r="E18" s="463"/>
      <c r="F18" s="469">
        <f t="shared" si="0"/>
        <v>-2.0000000018626451E-2</v>
      </c>
      <c r="H18"/>
    </row>
    <row r="19" spans="1:8">
      <c r="A19" s="440" t="s">
        <v>75</v>
      </c>
      <c r="B19" s="438">
        <f>'YR2021'!B19+'YR2022'!B19+'YR2023'!B19</f>
        <v>2424320</v>
      </c>
      <c r="C19" s="438">
        <f>'YR2021'!C19+'YR2022'!C19+'YR2023'!C19</f>
        <v>2424320</v>
      </c>
      <c r="D19" s="526">
        <f>'YR2021'!D19+'YR2022'!D19</f>
        <v>0</v>
      </c>
      <c r="E19" s="451"/>
      <c r="F19" s="444">
        <f t="shared" si="0"/>
        <v>0</v>
      </c>
      <c r="H19"/>
    </row>
    <row r="20" spans="1:8">
      <c r="A20" s="449" t="s">
        <v>76</v>
      </c>
      <c r="B20" s="528">
        <f>'YR2021'!B20+'YR2022'!B20+'YR2023'!B20</f>
        <v>4318563</v>
      </c>
      <c r="C20" s="528">
        <f>'YR2021'!C20+'YR2022'!C20+'YR2023'!C20</f>
        <v>4318563</v>
      </c>
      <c r="D20" s="463">
        <f>'YR2021'!D20+'YR2022'!D20</f>
        <v>0</v>
      </c>
      <c r="E20" s="463"/>
      <c r="F20" s="522">
        <f t="shared" si="0"/>
        <v>0</v>
      </c>
      <c r="H20"/>
    </row>
    <row r="21" spans="1:8">
      <c r="A21" s="441" t="s">
        <v>77</v>
      </c>
      <c r="B21" s="464">
        <f>'YR2021'!B21+'YR2022'!B21+'YR2023'!B21</f>
        <v>304014</v>
      </c>
      <c r="C21" s="464">
        <f>'YR2021'!C21+'YR2022'!C21+'YR2023'!C21</f>
        <v>304013.57</v>
      </c>
      <c r="D21" s="526">
        <f>'YR2021'!D21+'YR2022'!D21</f>
        <v>0</v>
      </c>
      <c r="E21" s="451"/>
      <c r="F21" s="469">
        <f t="shared" si="0"/>
        <v>0.42999999999301508</v>
      </c>
      <c r="H21"/>
    </row>
    <row r="22" spans="1:8">
      <c r="A22" s="440" t="s">
        <v>78</v>
      </c>
      <c r="B22" s="463">
        <f>'YR2021'!B22+'YR2022'!B22+'YR2023'!B22</f>
        <v>3281796</v>
      </c>
      <c r="C22" s="463">
        <f>'YR2021'!C22+'YR2022'!C22+'YR2023'!C22</f>
        <v>3281795.8</v>
      </c>
      <c r="D22" s="526">
        <f>'YR2021'!D22+'YR2022'!D22</f>
        <v>0</v>
      </c>
      <c r="E22" s="451"/>
      <c r="F22" s="444">
        <f t="shared" si="0"/>
        <v>0.20000000018626451</v>
      </c>
      <c r="H22"/>
    </row>
    <row r="23" spans="1:8">
      <c r="A23" s="449" t="s">
        <v>126</v>
      </c>
      <c r="B23" s="528">
        <f>'YR2021'!B23+'YR2022'!B23+'YR2023'!B23</f>
        <v>34509531</v>
      </c>
      <c r="C23" s="528">
        <f>'YR2021'!C23+'YR2022'!C23+'YR2023'!C23</f>
        <v>33819417.269999996</v>
      </c>
      <c r="D23" s="463">
        <f>'YR2021'!D23+'YR2022'!D23+'YR2023'!D23</f>
        <v>690114</v>
      </c>
      <c r="E23" s="463"/>
      <c r="F23" s="522">
        <f t="shared" si="0"/>
        <v>-0.26999999582767487</v>
      </c>
      <c r="H23"/>
    </row>
    <row r="24" spans="1:8">
      <c r="A24" s="440" t="s">
        <v>127</v>
      </c>
      <c r="B24" s="463">
        <f>'YR2021'!B24+'YR2022'!B24+'YR2023'!B24</f>
        <v>47473016</v>
      </c>
      <c r="C24" s="463">
        <f>'YR2021'!C24+'YR2022'!C24+'YR2023'!C24</f>
        <v>37978412.549999997</v>
      </c>
      <c r="D24" s="526">
        <f>'YR2021'!D24+'YR2022'!D24+'YR2023'!D24</f>
        <v>9494603</v>
      </c>
      <c r="E24" s="451"/>
      <c r="F24" s="444">
        <f t="shared" si="0"/>
        <v>0.45000000298023224</v>
      </c>
    </row>
    <row r="25" spans="1:8">
      <c r="A25" s="440" t="s">
        <v>81</v>
      </c>
      <c r="B25" s="463">
        <f>'YR2021'!B25+'YR2022'!B25+'YR2023'!B25</f>
        <v>2853058</v>
      </c>
      <c r="C25" s="463">
        <f>'YR2021'!C25+'YR2022'!C25+'YR2023'!C25</f>
        <v>2853058</v>
      </c>
      <c r="D25" s="526">
        <f>'YR2021'!D25+'YR2022'!D25</f>
        <v>0</v>
      </c>
      <c r="E25" s="451"/>
      <c r="F25" s="444">
        <f t="shared" si="0"/>
        <v>0</v>
      </c>
      <c r="H25"/>
    </row>
    <row r="26" spans="1:8">
      <c r="A26" s="449" t="s">
        <v>82</v>
      </c>
      <c r="B26" s="528">
        <f>'YR2021'!B26+'YR2022'!B26+'YR2023'!B26</f>
        <v>7795</v>
      </c>
      <c r="C26" s="528">
        <f>'YR2021'!C26+'YR2022'!C26+'YR2023'!C26</f>
        <v>7795</v>
      </c>
      <c r="D26" s="463">
        <f>'YR2021'!D26+'YR2022'!D26</f>
        <v>0</v>
      </c>
      <c r="E26" s="463"/>
      <c r="F26" s="522">
        <f t="shared" si="0"/>
        <v>0</v>
      </c>
      <c r="H26"/>
    </row>
    <row r="27" spans="1:8">
      <c r="A27" s="441" t="s">
        <v>83</v>
      </c>
      <c r="B27" s="464">
        <f>'YR2021'!B27+'YR2022'!B27+'YR2023'!B27</f>
        <v>1605820</v>
      </c>
      <c r="C27" s="464">
        <f>'YR2021'!C27+'YR2022'!C27+'YR2023'!C27</f>
        <v>1605820</v>
      </c>
      <c r="D27" s="526">
        <f>'YR2021'!D27+'YR2022'!D27</f>
        <v>0</v>
      </c>
      <c r="E27" s="451"/>
      <c r="F27" s="469">
        <f t="shared" si="0"/>
        <v>0</v>
      </c>
      <c r="H27"/>
    </row>
    <row r="28" spans="1:8">
      <c r="A28" s="440" t="s">
        <v>84</v>
      </c>
      <c r="B28" s="463">
        <f>'YR2021'!B28+'YR2022'!B28+'YR2023'!B28</f>
        <v>218267</v>
      </c>
      <c r="C28" s="463">
        <f>'YR2021'!C28+'YR2022'!C28+'YR2023'!C28</f>
        <v>0</v>
      </c>
      <c r="D28" s="526">
        <f>'YR2021'!D28+'YR2022'!E28</f>
        <v>0</v>
      </c>
      <c r="E28" s="451"/>
      <c r="F28" s="444">
        <f t="shared" si="0"/>
        <v>218267</v>
      </c>
      <c r="H28"/>
    </row>
    <row r="29" spans="1:8">
      <c r="A29" s="449" t="s">
        <v>128</v>
      </c>
      <c r="B29" s="528">
        <f>'YR2021'!B29+'YR2022'!B29+'YR2023'!B29</f>
        <v>2892034</v>
      </c>
      <c r="C29" s="528">
        <f>'YR2021'!C29+'YR2022'!C29+'YR2023'!C29</f>
        <v>2892034</v>
      </c>
      <c r="D29" s="463">
        <f>'YR2021'!D29+'YR2022'!D29</f>
        <v>0</v>
      </c>
      <c r="E29" s="463"/>
      <c r="F29" s="522">
        <f t="shared" si="0"/>
        <v>0</v>
      </c>
      <c r="H29"/>
    </row>
    <row r="30" spans="1:8">
      <c r="A30" s="440" t="s">
        <v>86</v>
      </c>
      <c r="B30" s="463">
        <f>'YR2021'!B30+'YR2022'!B30+'YR2023'!B30</f>
        <v>3819668</v>
      </c>
      <c r="C30" s="463">
        <f>'YR2021'!C30+'YR2022'!C30+'YR2023'!C30</f>
        <v>0</v>
      </c>
      <c r="D30" s="526">
        <f>'YR2021'!D30+'YR2022'!D30</f>
        <v>0</v>
      </c>
      <c r="E30" s="451"/>
      <c r="F30" s="444">
        <f t="shared" si="0"/>
        <v>3819668</v>
      </c>
      <c r="H30"/>
    </row>
    <row r="31" spans="1:8">
      <c r="A31" s="449" t="s">
        <v>87</v>
      </c>
      <c r="B31" s="528">
        <f>'YR2021'!B31+'YR2022'!B31+'YR2023'!B31</f>
        <v>25778861</v>
      </c>
      <c r="C31" s="528">
        <f>'YR2021'!C31+'YR2022'!C31+'YR2023'!C31</f>
        <v>25514021.43</v>
      </c>
      <c r="D31" s="463">
        <f>'YR2021'!D31+'YR2022'!D31+'YR2023'!D31</f>
        <v>264840</v>
      </c>
      <c r="E31" s="463"/>
      <c r="F31" s="522">
        <f t="shared" si="0"/>
        <v>-0.42999999970197678</v>
      </c>
      <c r="H31"/>
    </row>
    <row r="32" spans="1:8">
      <c r="A32" s="440" t="s">
        <v>129</v>
      </c>
      <c r="B32" s="463">
        <f>'YR2021'!B32+'YR2022'!B32+'YR2023'!B32</f>
        <v>66758442</v>
      </c>
      <c r="C32" s="463">
        <f>'YR2021'!C32+'YR2022'!C32+'YR2023'!C32</f>
        <v>66389610</v>
      </c>
      <c r="D32" s="526">
        <f>'YR2021'!D32+'YR2022'!D32+'YR2023'!D32</f>
        <v>368832</v>
      </c>
      <c r="E32" s="451"/>
      <c r="F32" s="444">
        <f t="shared" si="0"/>
        <v>0</v>
      </c>
    </row>
    <row r="33" spans="1:6" customFormat="1">
      <c r="A33" s="436" t="s">
        <v>89</v>
      </c>
      <c r="B33" s="494">
        <f>'YR2021'!B33+'YR2022'!B33+'YR2023'!B33</f>
        <v>1387553</v>
      </c>
      <c r="C33" s="494">
        <f>'YR2021'!C33+'YR2022'!C33+'YR2023'!C33</f>
        <v>100000</v>
      </c>
      <c r="D33" s="526">
        <f>'YR2021'!D33+'YR2022'!D33</f>
        <v>0</v>
      </c>
      <c r="E33" s="451"/>
      <c r="F33" s="493">
        <f t="shared" si="0"/>
        <v>1287553</v>
      </c>
    </row>
    <row r="34" spans="1:6" customFormat="1">
      <c r="A34" s="436" t="s">
        <v>91</v>
      </c>
      <c r="B34" s="498">
        <f>'YR2021'!B34+'YR2022'!B34+'YR2023'!B34</f>
        <v>366376</v>
      </c>
      <c r="C34" s="498">
        <f>'YR2021'!C34+'YR2022'!C34+'YR2023'!C34</f>
        <v>366376.4</v>
      </c>
      <c r="D34" s="463">
        <f>'YR2021'!D34+'YR2022'!D34</f>
        <v>0</v>
      </c>
      <c r="E34" s="463"/>
      <c r="F34" s="493">
        <f t="shared" si="0"/>
        <v>-0.40000000002328306</v>
      </c>
    </row>
    <row r="35" spans="1:6" customFormat="1">
      <c r="A35" s="441" t="s">
        <v>92</v>
      </c>
      <c r="B35" s="527">
        <f>'YR2021'!B35+'YR2022'!B35+'YR2023'!B35</f>
        <v>70157</v>
      </c>
      <c r="C35" s="527">
        <f>'YR2021'!C35+'YR2022'!C35+'YR2023'!C35</f>
        <v>70157</v>
      </c>
      <c r="D35" s="463">
        <f>'YR2021'!D35+'YR2022'!D35</f>
        <v>0</v>
      </c>
      <c r="E35" s="463"/>
      <c r="F35" s="469">
        <f t="shared" si="0"/>
        <v>0</v>
      </c>
    </row>
    <row r="36" spans="1:6" customFormat="1">
      <c r="A36" s="441" t="s">
        <v>93</v>
      </c>
      <c r="B36" s="464">
        <f>'YR2021'!B36+'YR2022'!B36+'YR2023'!B36</f>
        <v>553462</v>
      </c>
      <c r="C36" s="464">
        <f>'YR2021'!C36+'YR2022'!C36+'YR2023'!C36</f>
        <v>553462.28</v>
      </c>
      <c r="D36" s="526">
        <f>'YR2021'!D36+'YR2022'!D36</f>
        <v>0</v>
      </c>
      <c r="E36" s="451"/>
      <c r="F36" s="469">
        <f t="shared" si="0"/>
        <v>-0.28000000002793968</v>
      </c>
    </row>
    <row r="37" spans="1:6" customFormat="1">
      <c r="A37" s="440" t="s">
        <v>94</v>
      </c>
      <c r="B37" s="463">
        <f>'YR2021'!B37+'YR2022'!B37+'YR2023'!B37</f>
        <v>522281</v>
      </c>
      <c r="C37" s="463">
        <f>'YR2021'!C37+'YR2022'!C37+'YR2023'!C37</f>
        <v>522281.36</v>
      </c>
      <c r="D37" s="526">
        <f>'YR2021'!D37+'YR2022'!D37</f>
        <v>0</v>
      </c>
      <c r="E37" s="451"/>
      <c r="F37" s="444">
        <f t="shared" si="0"/>
        <v>-0.35999999998603016</v>
      </c>
    </row>
    <row r="38" spans="1:6" customFormat="1">
      <c r="A38" s="440" t="s">
        <v>95</v>
      </c>
      <c r="B38" s="463">
        <f>'YR2021'!B38+'YR2022'!B38+'YR2023'!B38</f>
        <v>132519</v>
      </c>
      <c r="C38" s="463">
        <f>'YR2021'!C38+'YR2022'!C38+'YR2023'!C38</f>
        <v>0</v>
      </c>
      <c r="D38" s="526">
        <f>'YR2021'!D38+'YR2022'!D38</f>
        <v>0</v>
      </c>
      <c r="E38" s="451"/>
      <c r="F38" s="444">
        <f t="shared" si="0"/>
        <v>132519</v>
      </c>
    </row>
    <row r="39" spans="1:6" customFormat="1">
      <c r="A39" s="436" t="s">
        <v>96</v>
      </c>
      <c r="B39" s="498">
        <f>'YR2021'!B39+'YR2022'!B39+'YR2023'!B39</f>
        <v>85748</v>
      </c>
      <c r="C39" s="498">
        <f>'YR2021'!C39+'YR2022'!C39+'YR2023'!C39</f>
        <v>85748</v>
      </c>
      <c r="D39" s="463">
        <f>'YR2021'!D39+'YR2022'!D39</f>
        <v>0</v>
      </c>
      <c r="E39" s="463"/>
      <c r="F39" s="493">
        <f t="shared" si="0"/>
        <v>0</v>
      </c>
    </row>
    <row r="40" spans="1:6" customFormat="1">
      <c r="A40" s="440" t="s">
        <v>97</v>
      </c>
      <c r="B40" s="463">
        <f>'YR2021'!B40+'YR2022'!B40+'YR2023'!B40</f>
        <v>10570347</v>
      </c>
      <c r="C40" s="463">
        <f>'YR2021'!C40+'YR2022'!C40+'YR2023'!C40</f>
        <v>10570347</v>
      </c>
      <c r="D40" s="463">
        <f>'YR2021'!D40+'YR2022'!D40</f>
        <v>0</v>
      </c>
      <c r="E40" s="463"/>
      <c r="F40" s="444">
        <f t="shared" si="0"/>
        <v>0</v>
      </c>
    </row>
    <row r="41" spans="1:6" customFormat="1">
      <c r="A41" s="440" t="s">
        <v>98</v>
      </c>
      <c r="B41" s="463">
        <f>'YR2021'!B41+'YR2022'!B41+'YR2023'!B41</f>
        <v>2268415</v>
      </c>
      <c r="C41" s="463">
        <f>'YR2021'!C41+'YR2022'!C41+'YR2023'!C41</f>
        <v>2268415</v>
      </c>
      <c r="D41" s="463">
        <f>'YR2021'!D41+'YR2022'!D41</f>
        <v>0</v>
      </c>
      <c r="E41" s="463"/>
      <c r="F41" s="444">
        <f t="shared" si="0"/>
        <v>0</v>
      </c>
    </row>
    <row r="42" spans="1:6" customFormat="1">
      <c r="A42" s="441" t="s">
        <v>99</v>
      </c>
      <c r="B42" s="527">
        <f>'YR2021'!B42+'YR2022'!B42+'YR2023'!B42</f>
        <v>5877612</v>
      </c>
      <c r="C42" s="527">
        <f>'YR2021'!C42+'YR2022'!C42+'YR2023'!C42</f>
        <v>5877612</v>
      </c>
      <c r="D42" s="463">
        <f>'YR2021'!D42+'YR2022'!D42</f>
        <v>0</v>
      </c>
      <c r="E42" s="463"/>
      <c r="F42" s="469">
        <f t="shared" si="0"/>
        <v>0</v>
      </c>
    </row>
    <row r="43" spans="1:6" customFormat="1">
      <c r="A43" s="440" t="s">
        <v>101</v>
      </c>
      <c r="B43" s="438">
        <f>'YR2021'!B43+'YR2022'!B43+'YR2023'!B43</f>
        <v>6251783</v>
      </c>
      <c r="C43" s="438">
        <f>'YR2021'!C43+'YR2022'!C43+'YR2023'!C43</f>
        <v>6251783.0800000001</v>
      </c>
      <c r="D43" s="526">
        <f>'YR2021'!D43+'YR2022'!D43</f>
        <v>0</v>
      </c>
      <c r="E43" s="451"/>
      <c r="F43" s="444">
        <f t="shared" si="0"/>
        <v>-8.0000000074505806E-2</v>
      </c>
    </row>
    <row r="44" spans="1:6" customFormat="1">
      <c r="A44" s="449" t="s">
        <v>102</v>
      </c>
      <c r="B44" s="528">
        <f>'YR2021'!B44+'YR2022'!B44+'YR2023'!B44</f>
        <v>2728334</v>
      </c>
      <c r="C44" s="528">
        <f>'YR2021'!C44+'YR2022'!C44+'YR2023'!C44</f>
        <v>2728334</v>
      </c>
      <c r="D44" s="463">
        <f>'YR2021'!D44+'YR2022'!D44</f>
        <v>0</v>
      </c>
      <c r="E44" s="463"/>
      <c r="F44" s="522">
        <f t="shared" si="0"/>
        <v>0</v>
      </c>
    </row>
    <row r="45" spans="1:6" customFormat="1">
      <c r="A45" s="440" t="s">
        <v>103</v>
      </c>
      <c r="B45" s="463">
        <f>'YR2021'!B45+'YR2022'!B45+'YR2023'!B45</f>
        <v>1543458</v>
      </c>
      <c r="C45" s="463">
        <f>'YR2021'!C45+'YR2022'!C45+'YR2023'!C45</f>
        <v>443942</v>
      </c>
      <c r="D45" s="526">
        <f>'YR2021'!D45+'YR2022'!D45</f>
        <v>0</v>
      </c>
      <c r="E45" s="451"/>
      <c r="F45" s="444">
        <f t="shared" si="0"/>
        <v>1099516</v>
      </c>
    </row>
    <row r="46" spans="1:6" customFormat="1">
      <c r="A46" s="449" t="s">
        <v>104</v>
      </c>
      <c r="B46" s="442">
        <f>'YR2021'!B46+'YR2022'!B46+'YR2023'!B46</f>
        <v>18747554</v>
      </c>
      <c r="C46" s="442">
        <f>'YR2021'!C46+'YR2022'!C46+'YR2023'!C46</f>
        <v>1500000</v>
      </c>
      <c r="D46" s="526">
        <f>'YR2021'!D46+'YR2022'!D46</f>
        <v>0</v>
      </c>
      <c r="E46" s="451"/>
      <c r="F46" s="522">
        <f t="shared" si="0"/>
        <v>17247554</v>
      </c>
    </row>
    <row r="47" spans="1:6" customFormat="1">
      <c r="A47" s="440" t="s">
        <v>105</v>
      </c>
      <c r="B47" s="463">
        <f>'YR2021'!B47+'YR2022'!B47+'YR2023'!B47</f>
        <v>15590</v>
      </c>
      <c r="C47" s="463">
        <f>'YR2021'!C47+'YR2022'!C47+'YR2023'!C47</f>
        <v>15591</v>
      </c>
      <c r="D47" s="526">
        <f>'YR2021'!D47+'YR2022'!D47</f>
        <v>0</v>
      </c>
      <c r="E47" s="451"/>
      <c r="F47" s="444">
        <f t="shared" si="0"/>
        <v>-1</v>
      </c>
    </row>
    <row r="48" spans="1:6" customFormat="1">
      <c r="A48" s="436" t="s">
        <v>107</v>
      </c>
      <c r="B48" s="494">
        <f>'YR2021'!B48+'YR2022'!B48+'YR2023'!B48</f>
        <v>1192672</v>
      </c>
      <c r="C48" s="494">
        <f>'YR2021'!C48+'YR2022'!C48+'YR2023'!C48</f>
        <v>1192672.43</v>
      </c>
      <c r="D48" s="526">
        <f>'YR2021'!D48+'YR2022'!D48</f>
        <v>0</v>
      </c>
      <c r="E48" s="451"/>
      <c r="F48" s="493">
        <f t="shared" si="0"/>
        <v>-0.42999999993480742</v>
      </c>
    </row>
    <row r="49" spans="1:8">
      <c r="A49" s="440" t="s">
        <v>108</v>
      </c>
      <c r="B49" s="438">
        <f>'YR2021'!B49+'YR2022'!B49+'YR2023'!B49</f>
        <v>592438</v>
      </c>
      <c r="C49" s="438">
        <f>'YR2021'!C49+'YR2022'!C49+'YR2023'!C49</f>
        <v>592438.21</v>
      </c>
      <c r="D49" s="526">
        <f>'YR2021'!D49+'YR2022'!D49</f>
        <v>0</v>
      </c>
      <c r="E49" s="451"/>
      <c r="F49" s="444">
        <f t="shared" si="0"/>
        <v>-0.2099999999627471</v>
      </c>
      <c r="H49"/>
    </row>
    <row r="50" spans="1:8">
      <c r="A50" s="436" t="s">
        <v>110</v>
      </c>
      <c r="B50" s="498">
        <f>'YR2021'!B50+'YR2022'!B50+'YR2023'!B50</f>
        <v>16728587</v>
      </c>
      <c r="C50" s="498">
        <f>'YR2021'!C50+'YR2022'!C50+'YR2023'!C50</f>
        <v>16728587</v>
      </c>
      <c r="D50" s="463">
        <f>'YR2021'!D50+'YR2022'!D50</f>
        <v>0</v>
      </c>
      <c r="E50" s="463"/>
      <c r="F50" s="493">
        <f t="shared" si="0"/>
        <v>0</v>
      </c>
      <c r="H50"/>
    </row>
    <row r="51" spans="1:8">
      <c r="A51" s="440" t="s">
        <v>130</v>
      </c>
      <c r="B51" s="463">
        <f>'YR2021'!B51+'YR2022'!B51+'YR2023'!B51</f>
        <v>7062488</v>
      </c>
      <c r="C51" s="463">
        <f>'YR2021'!C51+'YR2022'!C51+'YR2023'!C51</f>
        <v>7062488</v>
      </c>
      <c r="D51" s="463">
        <f>'YR2021'!D51+'YR2022'!D51</f>
        <v>0</v>
      </c>
      <c r="E51" s="463"/>
      <c r="F51" s="444">
        <f t="shared" si="0"/>
        <v>0</v>
      </c>
      <c r="H51"/>
    </row>
    <row r="52" spans="1:8">
      <c r="A52" s="441" t="s">
        <v>112</v>
      </c>
      <c r="B52" s="527">
        <f>'YR2021'!B52+'YR2022'!B52+'YR2023'!B52</f>
        <v>8972322</v>
      </c>
      <c r="C52" s="527">
        <f>'YR2021'!C52+'YR2022'!C52+'YR2023'!C52</f>
        <v>8972321.540000001</v>
      </c>
      <c r="D52" s="463">
        <f>'YR2021'!D52+'YR2022'!D52</f>
        <v>0</v>
      </c>
      <c r="E52" s="463"/>
      <c r="F52" s="469">
        <f t="shared" si="0"/>
        <v>0.45999999903142452</v>
      </c>
      <c r="H52"/>
    </row>
    <row r="53" spans="1:8" ht="14.25" customHeight="1">
      <c r="A53" s="25" t="s">
        <v>113</v>
      </c>
      <c r="B53" s="438">
        <f>'YR2021'!B53+'YR2022'!B53+'YR2023'!B53</f>
        <v>31181</v>
      </c>
      <c r="C53" s="438">
        <f>'YR2021'!C53+'YR2022'!C53+'YR2023'!C53</f>
        <v>0</v>
      </c>
      <c r="D53" s="526">
        <f>'YR2021'!D53+'YR2022'!D53</f>
        <v>0</v>
      </c>
      <c r="E53" s="451"/>
      <c r="F53" s="444">
        <f t="shared" si="0"/>
        <v>31181</v>
      </c>
      <c r="H53"/>
    </row>
    <row r="54" spans="1:8">
      <c r="A54" s="440" t="s">
        <v>115</v>
      </c>
      <c r="B54" s="438">
        <f>'YR2021'!B54+'YR2022'!B54+'YR2023'!B54</f>
        <v>444329</v>
      </c>
      <c r="C54" s="438">
        <f>'YR2021'!C54+'YR2022'!C54+'YR2023'!C54</f>
        <v>0</v>
      </c>
      <c r="D54" s="526">
        <f>'YR2021'!D54+'YR2022'!D54</f>
        <v>0</v>
      </c>
      <c r="E54" s="451"/>
      <c r="F54" s="444">
        <f t="shared" si="0"/>
        <v>444329</v>
      </c>
      <c r="H54"/>
    </row>
    <row r="55" spans="1:8">
      <c r="A55" s="436" t="s">
        <v>117</v>
      </c>
      <c r="B55" s="498">
        <f>'YR2021'!B55+'YR2022'!B55+'YR2023'!B55</f>
        <v>35600865</v>
      </c>
      <c r="C55" s="498">
        <f>'YR2021'!C55+'YR2022'!C55+'YR2023'!C55</f>
        <v>35600864.810000002</v>
      </c>
      <c r="D55" s="463">
        <f>'YR2021'!D55+'YR2022'!D55</f>
        <v>0</v>
      </c>
      <c r="E55" s="463"/>
      <c r="F55" s="493">
        <f t="shared" si="0"/>
        <v>0.18999999761581421</v>
      </c>
      <c r="H55"/>
    </row>
    <row r="56" spans="1:8">
      <c r="A56" s="441" t="s">
        <v>118</v>
      </c>
      <c r="B56" s="527">
        <f>'YR2021'!B56+'YR2022'!B56+'YR2023'!B56</f>
        <v>103214767.9999999</v>
      </c>
      <c r="C56" s="527">
        <f>'YR2021'!C56+'YR2022'!C56+'YR2023'!C56</f>
        <v>103214767</v>
      </c>
      <c r="D56" s="463">
        <f>'YR2021'!D56+'YR2022'!D56</f>
        <v>0</v>
      </c>
      <c r="E56" s="463"/>
      <c r="F56" s="469">
        <f>B56-C56-D56-E56</f>
        <v>0.99999989569187164</v>
      </c>
      <c r="H56"/>
    </row>
    <row r="57" spans="1:8" ht="15" thickBot="1">
      <c r="A57" s="440" t="s">
        <v>119</v>
      </c>
      <c r="B57" s="438">
        <f>'YR2021'!B57+'YR2022'!B57+'YR2023'!B57</f>
        <v>249448</v>
      </c>
      <c r="C57" s="438">
        <f>'YR2021'!C57+'YR2022'!C57+'YR2023'!C57</f>
        <v>167900</v>
      </c>
      <c r="D57" s="529">
        <f>'YR2021'!D57+'YR2022'!D57</f>
        <v>0</v>
      </c>
      <c r="E57" s="492"/>
      <c r="F57" s="444">
        <f t="shared" si="0"/>
        <v>81548</v>
      </c>
      <c r="H57"/>
    </row>
    <row r="58" spans="1:8" ht="15" thickBot="1">
      <c r="A58" s="443" t="s">
        <v>122</v>
      </c>
      <c r="B58" s="477">
        <f>SUM(B9:B57)</f>
        <v>473714766.99999988</v>
      </c>
      <c r="C58" s="477">
        <f>SUM(C9:C57)</f>
        <v>436814356.03000009</v>
      </c>
      <c r="D58" s="477">
        <f>SUM(D9:D57)</f>
        <v>11762610</v>
      </c>
      <c r="E58" s="482">
        <f>SUM(E9:E57)</f>
        <v>0</v>
      </c>
      <c r="F58" s="478">
        <f>SUM(F9:F57)</f>
        <v>25137800.969999902</v>
      </c>
      <c r="H58" s="532">
        <f>F58-D58</f>
        <v>13375190.969999902</v>
      </c>
    </row>
    <row r="59" spans="1:8" ht="15" thickBot="1">
      <c r="A59" s="450" t="s">
        <v>131</v>
      </c>
      <c r="B59" s="109">
        <f>'YR2021'!B59+'YR2022'!B59+'YR2023'!B59</f>
        <v>1285232</v>
      </c>
      <c r="C59" s="451">
        <v>0</v>
      </c>
      <c r="D59" s="451">
        <v>0</v>
      </c>
      <c r="E59" s="489">
        <v>0</v>
      </c>
      <c r="F59" s="110">
        <f>B59-C59-D59-E59</f>
        <v>1285232</v>
      </c>
      <c r="H59"/>
    </row>
    <row r="60" spans="1:8" ht="15" thickBot="1">
      <c r="A60" s="452" t="s">
        <v>132</v>
      </c>
      <c r="B60" s="32">
        <f>B58+B59</f>
        <v>474999998.99999988</v>
      </c>
      <c r="C60" s="32">
        <f>C58+C59</f>
        <v>436814356.03000009</v>
      </c>
      <c r="D60" s="32">
        <f>D58+D59</f>
        <v>11762610</v>
      </c>
      <c r="E60" s="490">
        <f>E58+E59</f>
        <v>0</v>
      </c>
      <c r="F60" s="111">
        <f>F58+F59</f>
        <v>26423032.969999902</v>
      </c>
      <c r="H60"/>
    </row>
    <row r="61" spans="1:8">
      <c r="A61" s="523" t="s">
        <v>249</v>
      </c>
      <c r="B61" s="454"/>
      <c r="C61" s="454"/>
      <c r="D61" s="454"/>
      <c r="E61" s="454"/>
      <c r="F61" s="454"/>
      <c r="H61"/>
    </row>
    <row r="62" spans="1:8" ht="15" thickBot="1">
      <c r="A62" s="524"/>
      <c r="B62" s="445"/>
      <c r="C62" s="445"/>
      <c r="D62" s="445"/>
      <c r="E62" s="445"/>
      <c r="F62" s="445"/>
    </row>
    <row r="63" spans="1:8" ht="15" thickBot="1">
      <c r="A63" s="455" t="s">
        <v>133</v>
      </c>
      <c r="B63" s="456">
        <f>B12+B13+B15+B19+B21+B27+B33+B34+B36+B43+B46+B48+B49+B53+B54+B57</f>
        <v>35273465</v>
      </c>
      <c r="C63" s="456">
        <f>C12+C13+C15+C19+C21+C27+C33+C36+C43+C46+C48+C49+C53+C54+C57</f>
        <v>15435299.57</v>
      </c>
      <c r="D63" s="456">
        <f>D12+D13+D15+D19+D21+D26+D34+D36+D43+D46+D48+D49+D53+D54+D57</f>
        <v>0</v>
      </c>
      <c r="E63" s="491">
        <f>E12+E13+E15+E19+E21+E26+E34+E36+E43+E46+E48+E49+E53+E54+E57</f>
        <v>0</v>
      </c>
      <c r="F63" s="457">
        <f>B63-C63-D63-E63</f>
        <v>19838165.43</v>
      </c>
    </row>
    <row r="64" spans="1:8">
      <c r="B64" s="421"/>
      <c r="C64" s="421"/>
      <c r="D64" s="421"/>
    </row>
    <row r="66" spans="5:7">
      <c r="G66" s="52"/>
    </row>
    <row r="69" spans="5:7">
      <c r="E69" s="52"/>
      <c r="F69" s="52"/>
      <c r="G69" s="52"/>
    </row>
    <row r="70" spans="5:7">
      <c r="E70" s="52"/>
      <c r="F70" s="52"/>
      <c r="G70" s="52"/>
    </row>
  </sheetData>
  <autoFilter ref="A8:F61" xr:uid="{F84FE1A5-D2E0-41E1-B816-359E90B3A520}"/>
  <mergeCells count="4">
    <mergeCell ref="A1:B1"/>
    <mergeCell ref="A5:F5"/>
    <mergeCell ref="A6:F6"/>
    <mergeCell ref="A7:F7"/>
  </mergeCells>
  <printOptions horizontalCentered="1"/>
  <pageMargins left="0.118110236220472" right="0.118110236220472" top="0.27559055118110198" bottom="0.196850393700787" header="0.27559055118110198" footer="0.118110236220472"/>
  <pageSetup scale="77"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AF83-A94A-4374-BD75-694C78BF034D}">
  <sheetPr>
    <pageSetUpPr fitToPage="1"/>
  </sheetPr>
  <dimension ref="A1:M66"/>
  <sheetViews>
    <sheetView topLeftCell="A41" zoomScaleNormal="100" workbookViewId="0">
      <selection activeCell="D14" sqref="D14"/>
    </sheetView>
  </sheetViews>
  <sheetFormatPr defaultRowHeight="14.5"/>
  <cols>
    <col min="1" max="1" width="30.7265625" customWidth="1"/>
    <col min="2" max="6" width="20.7265625" customWidth="1"/>
    <col min="8" max="8" width="16.54296875" customWidth="1"/>
    <col min="9" max="9" width="10.26953125" bestFit="1" customWidth="1"/>
    <col min="12" max="12" width="13.7265625" bestFit="1" customWidth="1"/>
  </cols>
  <sheetData>
    <row r="1" spans="1:7" ht="18">
      <c r="A1" s="793"/>
      <c r="B1" s="793"/>
      <c r="C1" s="14"/>
      <c r="D1" s="14"/>
      <c r="E1" s="15"/>
      <c r="F1" s="16" t="str">
        <f>[1]Status!C1</f>
        <v>UNEP/OzL.Pro/ExCom/94/3</v>
      </c>
    </row>
    <row r="2" spans="1:7" ht="18">
      <c r="A2" s="35"/>
      <c r="B2" s="14"/>
      <c r="C2" s="14"/>
      <c r="D2" s="14"/>
      <c r="E2" s="15"/>
      <c r="F2" s="16" t="s">
        <v>0</v>
      </c>
    </row>
    <row r="3" spans="1:7" ht="18">
      <c r="A3" s="8"/>
      <c r="B3" s="14"/>
      <c r="C3" s="14"/>
      <c r="D3" s="14"/>
      <c r="E3" s="16"/>
      <c r="F3" s="16" t="s">
        <v>136</v>
      </c>
    </row>
    <row r="4" spans="1:7" ht="15.5">
      <c r="A4" s="1"/>
      <c r="B4" s="14"/>
      <c r="C4" s="14"/>
      <c r="D4" s="14"/>
      <c r="E4" s="14"/>
      <c r="F4" s="14"/>
    </row>
    <row r="5" spans="1:7" ht="19.5" customHeight="1">
      <c r="A5" s="794" t="s">
        <v>2</v>
      </c>
      <c r="B5" s="794"/>
      <c r="C5" s="794"/>
      <c r="D5" s="794"/>
      <c r="E5" s="794"/>
      <c r="F5" s="794"/>
    </row>
    <row r="6" spans="1:7" ht="15.5">
      <c r="A6" s="795" t="s">
        <v>265</v>
      </c>
      <c r="B6" s="795"/>
      <c r="C6" s="795"/>
      <c r="D6" s="795"/>
      <c r="E6" s="795"/>
      <c r="F6" s="795"/>
    </row>
    <row r="7" spans="1:7" ht="16.5" thickBot="1">
      <c r="A7" s="796" t="str">
        <f>[1]Status!A6</f>
        <v>As at 24/05/2024</v>
      </c>
      <c r="B7" s="796"/>
      <c r="C7" s="796"/>
      <c r="D7" s="796"/>
      <c r="E7" s="796"/>
      <c r="F7" s="796"/>
    </row>
    <row r="8" spans="1:7" ht="27" thickBot="1">
      <c r="A8" s="19" t="s">
        <v>59</v>
      </c>
      <c r="B8" s="20" t="s">
        <v>60</v>
      </c>
      <c r="C8" s="20" t="s">
        <v>61</v>
      </c>
      <c r="D8" s="504" t="s">
        <v>62</v>
      </c>
      <c r="E8" s="20" t="s">
        <v>63</v>
      </c>
      <c r="F8" s="21" t="s">
        <v>64</v>
      </c>
    </row>
    <row r="9" spans="1:7">
      <c r="A9" s="436" t="s">
        <v>65</v>
      </c>
      <c r="B9" s="494">
        <v>12992</v>
      </c>
      <c r="C9" s="494">
        <v>12992</v>
      </c>
      <c r="D9" s="510"/>
      <c r="E9" s="495"/>
      <c r="F9" s="493">
        <f t="shared" ref="F9:F59" si="0">B9-C9-D9-E9</f>
        <v>0</v>
      </c>
      <c r="G9" s="445"/>
    </row>
    <row r="10" spans="1:7">
      <c r="A10" s="440" t="s">
        <v>124</v>
      </c>
      <c r="B10" s="438">
        <v>5742494</v>
      </c>
      <c r="C10" s="438">
        <f>6924274-552388</f>
        <v>6371886</v>
      </c>
      <c r="D10" s="438">
        <v>552388</v>
      </c>
      <c r="E10" s="438"/>
      <c r="F10" s="444">
        <f t="shared" si="0"/>
        <v>-1181780</v>
      </c>
      <c r="G10" s="445"/>
    </row>
    <row r="11" spans="1:7">
      <c r="A11" s="440" t="s">
        <v>67</v>
      </c>
      <c r="B11" s="438">
        <v>1759126</v>
      </c>
      <c r="C11" s="438">
        <v>1415621</v>
      </c>
      <c r="D11" s="438"/>
      <c r="E11" s="438"/>
      <c r="F11" s="444">
        <f t="shared" si="0"/>
        <v>343505</v>
      </c>
      <c r="G11" s="445"/>
    </row>
    <row r="12" spans="1:7">
      <c r="A12" s="446" t="s">
        <v>68</v>
      </c>
      <c r="B12" s="438">
        <v>127322.33333333333</v>
      </c>
      <c r="C12" s="438"/>
      <c r="D12" s="438"/>
      <c r="E12" s="438"/>
      <c r="F12" s="444">
        <f t="shared" si="0"/>
        <v>127322.33333333333</v>
      </c>
      <c r="G12" s="445"/>
    </row>
    <row r="13" spans="1:7">
      <c r="A13" s="440" t="s">
        <v>69</v>
      </c>
      <c r="B13" s="438">
        <v>127322.33333333333</v>
      </c>
      <c r="C13" s="438">
        <v>129665</v>
      </c>
      <c r="D13" s="438"/>
      <c r="E13" s="438"/>
      <c r="F13" s="444">
        <f t="shared" si="0"/>
        <v>-2342.6666666666715</v>
      </c>
      <c r="G13" s="445"/>
    </row>
    <row r="14" spans="1:7">
      <c r="A14" s="440" t="s">
        <v>70</v>
      </c>
      <c r="B14" s="438">
        <v>2133297.6666666665</v>
      </c>
      <c r="C14" s="438">
        <v>1820103</v>
      </c>
      <c r="D14" s="438"/>
      <c r="E14" s="438"/>
      <c r="F14" s="444">
        <f t="shared" si="0"/>
        <v>313194.66666666651</v>
      </c>
      <c r="G14" s="445"/>
    </row>
    <row r="15" spans="1:7">
      <c r="A15" s="440" t="s">
        <v>71</v>
      </c>
      <c r="B15" s="438">
        <v>119527</v>
      </c>
      <c r="C15" s="438">
        <v>131915</v>
      </c>
      <c r="D15" s="438"/>
      <c r="E15" s="438"/>
      <c r="F15" s="444">
        <f t="shared" si="0"/>
        <v>-12388</v>
      </c>
      <c r="G15" s="445"/>
    </row>
    <row r="16" spans="1:7">
      <c r="A16" s="440" t="s">
        <v>125</v>
      </c>
      <c r="B16" s="438">
        <v>7104062.666666667</v>
      </c>
      <c r="C16" s="463">
        <f>1881838.87+3710478.48+1346706.05</f>
        <v>6939023.3999999994</v>
      </c>
      <c r="D16" s="438"/>
      <c r="E16" s="438"/>
      <c r="F16" s="444">
        <f t="shared" si="0"/>
        <v>165039.26666666754</v>
      </c>
      <c r="G16" s="445"/>
    </row>
    <row r="17" spans="1:13">
      <c r="A17" s="440" t="s">
        <v>73</v>
      </c>
      <c r="B17" s="438">
        <v>200078</v>
      </c>
      <c r="C17" s="438">
        <v>97650</v>
      </c>
      <c r="D17" s="438"/>
      <c r="E17" s="438"/>
      <c r="F17" s="444">
        <f t="shared" si="0"/>
        <v>102428</v>
      </c>
      <c r="G17" s="445"/>
    </row>
    <row r="18" spans="1:13">
      <c r="A18" s="440" t="s">
        <v>74</v>
      </c>
      <c r="B18" s="438">
        <v>93543</v>
      </c>
      <c r="C18" s="438">
        <v>58173</v>
      </c>
      <c r="D18" s="438"/>
      <c r="E18" s="438"/>
      <c r="F18" s="444">
        <f t="shared" si="0"/>
        <v>35370</v>
      </c>
      <c r="G18" s="445"/>
    </row>
    <row r="19" spans="1:13">
      <c r="A19" s="440" t="s">
        <v>75</v>
      </c>
      <c r="B19" s="438">
        <v>808106.66666666663</v>
      </c>
      <c r="C19" s="438">
        <v>690320</v>
      </c>
      <c r="D19" s="438"/>
      <c r="E19" s="438"/>
      <c r="F19" s="444">
        <f t="shared" si="0"/>
        <v>117786.66666666663</v>
      </c>
      <c r="G19" s="445"/>
    </row>
    <row r="20" spans="1:13">
      <c r="A20" s="440" t="s">
        <v>76</v>
      </c>
      <c r="B20" s="438">
        <v>1439521</v>
      </c>
      <c r="C20" s="438">
        <v>1306566</v>
      </c>
      <c r="D20" s="438"/>
      <c r="E20" s="438"/>
      <c r="F20" s="444">
        <f t="shared" si="0"/>
        <v>132955</v>
      </c>
      <c r="G20" s="445"/>
    </row>
    <row r="21" spans="1:13">
      <c r="A21" s="440" t="s">
        <v>77</v>
      </c>
      <c r="B21" s="438">
        <v>101338</v>
      </c>
      <c r="C21" s="438">
        <v>58241</v>
      </c>
      <c r="D21" s="438"/>
      <c r="E21" s="438"/>
      <c r="F21" s="444">
        <f t="shared" si="0"/>
        <v>43097</v>
      </c>
      <c r="G21" s="445"/>
    </row>
    <row r="22" spans="1:13">
      <c r="A22" s="440" t="s">
        <v>78</v>
      </c>
      <c r="B22" s="438">
        <v>1093932</v>
      </c>
      <c r="C22" s="438">
        <f>1093936.8-14</f>
        <v>1093922.8</v>
      </c>
      <c r="D22" s="438"/>
      <c r="E22" s="438"/>
      <c r="F22" s="444">
        <f t="shared" si="0"/>
        <v>9.1999999999534339</v>
      </c>
      <c r="G22" s="445"/>
    </row>
    <row r="23" spans="1:13">
      <c r="A23" s="440" t="s">
        <v>126</v>
      </c>
      <c r="B23" s="438">
        <v>11503177</v>
      </c>
      <c r="C23" s="438">
        <v>11503177</v>
      </c>
      <c r="D23" s="438"/>
      <c r="E23" s="438"/>
      <c r="F23" s="444">
        <f t="shared" si="0"/>
        <v>0</v>
      </c>
      <c r="G23" s="445"/>
    </row>
    <row r="24" spans="1:13">
      <c r="A24" s="440" t="s">
        <v>127</v>
      </c>
      <c r="B24" s="438">
        <v>15824338.666666666</v>
      </c>
      <c r="C24" s="438">
        <f>5540534.55+7320474</f>
        <v>12861008.550000001</v>
      </c>
      <c r="D24" s="438">
        <f>305100-895306-33900+1548940</f>
        <v>924834</v>
      </c>
      <c r="E24" s="438"/>
      <c r="F24" s="444">
        <f>B24-C24-D24-E24</f>
        <v>2038496.1166666653</v>
      </c>
      <c r="G24" s="445"/>
      <c r="H24" s="52"/>
      <c r="I24" s="52" t="s">
        <v>251</v>
      </c>
      <c r="L24" s="432">
        <f>H24*20%</f>
        <v>0</v>
      </c>
      <c r="M24" t="s">
        <v>252</v>
      </c>
    </row>
    <row r="25" spans="1:13">
      <c r="A25" s="440" t="s">
        <v>81</v>
      </c>
      <c r="B25" s="438">
        <v>951019.33333333337</v>
      </c>
      <c r="C25" s="438">
        <f>683322-14</f>
        <v>683308</v>
      </c>
      <c r="D25" s="438"/>
      <c r="E25" s="438"/>
      <c r="F25" s="444">
        <f t="shared" si="0"/>
        <v>267711.33333333337</v>
      </c>
      <c r="G25" s="445"/>
    </row>
    <row r="26" spans="1:13">
      <c r="A26" s="440" t="s">
        <v>82</v>
      </c>
      <c r="B26" s="438">
        <v>2598.3333333333335</v>
      </c>
      <c r="C26" s="438">
        <v>2599</v>
      </c>
      <c r="D26" s="438"/>
      <c r="E26" s="438"/>
      <c r="F26" s="444">
        <f t="shared" si="0"/>
        <v>-0.66666666666651508</v>
      </c>
      <c r="G26" s="445"/>
      <c r="L26" s="432"/>
    </row>
    <row r="27" spans="1:13">
      <c r="A27" s="440" t="s">
        <v>83</v>
      </c>
      <c r="B27" s="438">
        <v>535273.33333333337</v>
      </c>
      <c r="C27" s="438">
        <v>757369</v>
      </c>
      <c r="D27" s="438"/>
      <c r="E27" s="438"/>
      <c r="F27" s="444">
        <f t="shared" si="0"/>
        <v>-222095.66666666663</v>
      </c>
      <c r="G27" s="445"/>
      <c r="I27" s="445">
        <f>D24+'YR2022'!D24+'YR2021'!D24</f>
        <v>9494603</v>
      </c>
    </row>
    <row r="28" spans="1:13">
      <c r="A28" s="440" t="s">
        <v>84</v>
      </c>
      <c r="B28" s="438">
        <v>72755.666666666672</v>
      </c>
      <c r="C28" s="438"/>
      <c r="D28" s="438"/>
      <c r="E28" s="438"/>
      <c r="F28" s="444">
        <f t="shared" si="0"/>
        <v>72755.666666666672</v>
      </c>
      <c r="G28" s="445"/>
    </row>
    <row r="29" spans="1:13">
      <c r="A29" s="440" t="s">
        <v>128</v>
      </c>
      <c r="B29" s="438">
        <v>964011.33333333337</v>
      </c>
      <c r="C29" s="438">
        <v>964003</v>
      </c>
      <c r="D29" s="438"/>
      <c r="E29" s="438"/>
      <c r="F29" s="444">
        <f t="shared" si="0"/>
        <v>8.3333333333721384</v>
      </c>
      <c r="G29" s="445"/>
    </row>
    <row r="30" spans="1:13">
      <c r="A30" s="440" t="s">
        <v>86</v>
      </c>
      <c r="B30" s="438">
        <v>1273222.6666666667</v>
      </c>
      <c r="C30" s="438"/>
      <c r="D30" s="438"/>
      <c r="E30" s="438"/>
      <c r="F30" s="444">
        <f t="shared" si="0"/>
        <v>1273222.6666666667</v>
      </c>
      <c r="G30" s="445"/>
    </row>
    <row r="31" spans="1:13">
      <c r="A31" s="440" t="s">
        <v>87</v>
      </c>
      <c r="B31" s="438">
        <v>8592953.666666666</v>
      </c>
      <c r="C31" s="438">
        <v>8592877</v>
      </c>
      <c r="D31" s="438"/>
      <c r="E31" s="438"/>
      <c r="F31" s="444">
        <f t="shared" si="0"/>
        <v>76.666666666045785</v>
      </c>
      <c r="G31" s="445"/>
    </row>
    <row r="32" spans="1:13">
      <c r="A32" s="440" t="s">
        <v>129</v>
      </c>
      <c r="B32" s="438">
        <v>22252814</v>
      </c>
      <c r="C32" s="438">
        <f>16029773+431802+220216+8257344-67800</f>
        <v>24871335</v>
      </c>
      <c r="D32" s="438">
        <v>67800</v>
      </c>
      <c r="E32" s="438"/>
      <c r="F32" s="444">
        <f t="shared" si="0"/>
        <v>-2686321</v>
      </c>
      <c r="G32" s="445"/>
    </row>
    <row r="33" spans="1:7">
      <c r="A33" s="440" t="s">
        <v>89</v>
      </c>
      <c r="B33" s="438">
        <v>462517.66666666669</v>
      </c>
      <c r="C33" s="438"/>
      <c r="D33" s="438"/>
      <c r="E33" s="438"/>
      <c r="F33" s="444">
        <f t="shared" si="0"/>
        <v>462517.66666666669</v>
      </c>
      <c r="G33" s="445"/>
    </row>
    <row r="34" spans="1:7">
      <c r="A34" s="440" t="s">
        <v>91</v>
      </c>
      <c r="B34" s="438">
        <v>122125.33333333333</v>
      </c>
      <c r="C34" s="438">
        <v>107640.4</v>
      </c>
      <c r="D34" s="438"/>
      <c r="E34" s="438"/>
      <c r="F34" s="444">
        <f t="shared" si="0"/>
        <v>14484.933333333334</v>
      </c>
      <c r="G34" s="445"/>
    </row>
    <row r="35" spans="1:7">
      <c r="A35" s="440" t="s">
        <v>92</v>
      </c>
      <c r="B35" s="438">
        <v>23385.666666666668</v>
      </c>
      <c r="C35" s="438">
        <v>23385</v>
      </c>
      <c r="D35" s="438"/>
      <c r="E35" s="438"/>
      <c r="F35" s="444">
        <f t="shared" si="0"/>
        <v>0.66666666666787933</v>
      </c>
      <c r="G35" s="445"/>
    </row>
    <row r="36" spans="1:7">
      <c r="A36" s="440" t="s">
        <v>93</v>
      </c>
      <c r="B36" s="438">
        <v>184487.33333333334</v>
      </c>
      <c r="C36" s="438">
        <f>76248+104515.28-3</f>
        <v>180760.28</v>
      </c>
      <c r="D36" s="438"/>
      <c r="E36" s="438"/>
      <c r="F36" s="444">
        <f t="shared" si="0"/>
        <v>3727.0533333333442</v>
      </c>
      <c r="G36" s="445"/>
    </row>
    <row r="37" spans="1:7">
      <c r="A37" s="440" t="s">
        <v>94</v>
      </c>
      <c r="B37" s="438">
        <v>174093.66666666666</v>
      </c>
      <c r="C37" s="438">
        <v>190991</v>
      </c>
      <c r="D37" s="438"/>
      <c r="E37" s="438"/>
      <c r="F37" s="444">
        <f t="shared" si="0"/>
        <v>-16897.333333333343</v>
      </c>
      <c r="G37" s="445"/>
    </row>
    <row r="38" spans="1:7">
      <c r="A38" s="440" t="s">
        <v>95</v>
      </c>
      <c r="B38" s="438">
        <v>44173</v>
      </c>
      <c r="C38" s="438"/>
      <c r="D38" s="438"/>
      <c r="E38" s="438"/>
      <c r="F38" s="444">
        <f t="shared" si="0"/>
        <v>44173</v>
      </c>
      <c r="G38" s="445"/>
    </row>
    <row r="39" spans="1:7">
      <c r="A39" s="440" t="s">
        <v>96</v>
      </c>
      <c r="B39" s="438">
        <v>28582.666666666668</v>
      </c>
      <c r="C39" s="438">
        <v>28582</v>
      </c>
      <c r="D39" s="438"/>
      <c r="E39" s="438"/>
      <c r="F39" s="444">
        <f t="shared" si="0"/>
        <v>0.66666666666787933</v>
      </c>
      <c r="G39" s="445"/>
    </row>
    <row r="40" spans="1:7">
      <c r="A40" s="440" t="s">
        <v>97</v>
      </c>
      <c r="B40" s="438">
        <v>3523449</v>
      </c>
      <c r="C40" s="438">
        <v>3100681</v>
      </c>
      <c r="D40" s="438"/>
      <c r="E40" s="438"/>
      <c r="F40" s="444">
        <f t="shared" si="0"/>
        <v>422768</v>
      </c>
      <c r="G40" s="445"/>
    </row>
    <row r="41" spans="1:7">
      <c r="A41" s="440" t="s">
        <v>98</v>
      </c>
      <c r="B41" s="438">
        <v>756138.33333333337</v>
      </c>
      <c r="C41" s="438">
        <v>1068869</v>
      </c>
      <c r="D41" s="438"/>
      <c r="E41" s="438"/>
      <c r="F41" s="444">
        <f t="shared" si="0"/>
        <v>-312730.66666666663</v>
      </c>
      <c r="G41" s="445"/>
    </row>
    <row r="42" spans="1:7">
      <c r="A42" s="440" t="s">
        <v>99</v>
      </c>
      <c r="B42" s="438">
        <v>1959204</v>
      </c>
      <c r="C42" s="438">
        <v>2178456</v>
      </c>
      <c r="D42" s="438"/>
      <c r="E42" s="438"/>
      <c r="F42" s="444">
        <f t="shared" si="0"/>
        <v>-219252</v>
      </c>
      <c r="G42" s="445"/>
    </row>
    <row r="43" spans="1:7">
      <c r="A43" s="440" t="s">
        <v>101</v>
      </c>
      <c r="B43" s="438">
        <v>2083927.6666666667</v>
      </c>
      <c r="C43" s="438">
        <v>2083927.69</v>
      </c>
      <c r="D43" s="438"/>
      <c r="E43" s="438"/>
      <c r="F43" s="444">
        <f t="shared" si="0"/>
        <v>-2.3333333199843764E-2</v>
      </c>
      <c r="G43" s="445"/>
    </row>
    <row r="44" spans="1:7">
      <c r="A44" s="440" t="s">
        <v>102</v>
      </c>
      <c r="B44" s="438">
        <v>909444.66666666663</v>
      </c>
      <c r="C44" s="438">
        <v>700180</v>
      </c>
      <c r="D44" s="438"/>
      <c r="E44" s="438"/>
      <c r="F44" s="444">
        <f t="shared" si="0"/>
        <v>209264.66666666663</v>
      </c>
      <c r="G44" s="445"/>
    </row>
    <row r="45" spans="1:7">
      <c r="A45" s="440" t="s">
        <v>103</v>
      </c>
      <c r="B45" s="438">
        <v>514486</v>
      </c>
      <c r="C45" s="438"/>
      <c r="D45" s="438"/>
      <c r="E45" s="438"/>
      <c r="F45" s="444">
        <f t="shared" si="0"/>
        <v>514486</v>
      </c>
      <c r="G45" s="445"/>
    </row>
    <row r="46" spans="1:7">
      <c r="A46" s="440" t="s">
        <v>104</v>
      </c>
      <c r="B46" s="438">
        <v>6249184.666666667</v>
      </c>
      <c r="C46" s="438"/>
      <c r="D46" s="438"/>
      <c r="E46" s="438"/>
      <c r="F46" s="444">
        <f t="shared" si="0"/>
        <v>6249184.666666667</v>
      </c>
      <c r="G46" s="445"/>
    </row>
    <row r="47" spans="1:7">
      <c r="A47" s="440" t="s">
        <v>105</v>
      </c>
      <c r="B47" s="438">
        <v>5196.666666666667</v>
      </c>
      <c r="C47" s="438">
        <v>5197</v>
      </c>
      <c r="D47" s="438"/>
      <c r="E47" s="438"/>
      <c r="F47" s="444">
        <f t="shared" si="0"/>
        <v>-0.33333333333303017</v>
      </c>
      <c r="G47" s="445"/>
    </row>
    <row r="48" spans="1:7">
      <c r="A48" s="440" t="s">
        <v>107</v>
      </c>
      <c r="B48" s="438">
        <v>397557.33333333331</v>
      </c>
      <c r="C48" s="438">
        <v>364788.23</v>
      </c>
      <c r="D48" s="438"/>
      <c r="E48" s="438"/>
      <c r="F48" s="444">
        <f t="shared" si="0"/>
        <v>32769.103333333333</v>
      </c>
      <c r="G48" s="445"/>
    </row>
    <row r="49" spans="1:10">
      <c r="A49" s="440" t="s">
        <v>108</v>
      </c>
      <c r="B49" s="438">
        <v>197479.33333333334</v>
      </c>
      <c r="C49" s="438">
        <v>157790.21</v>
      </c>
      <c r="D49" s="438"/>
      <c r="E49" s="438"/>
      <c r="F49" s="444">
        <f t="shared" si="0"/>
        <v>39689.123333333351</v>
      </c>
      <c r="G49" s="445"/>
    </row>
    <row r="50" spans="1:10">
      <c r="A50" s="440" t="s">
        <v>110</v>
      </c>
      <c r="B50" s="438">
        <v>5576195.666666667</v>
      </c>
      <c r="C50" s="438">
        <v>4085805</v>
      </c>
      <c r="D50" s="438"/>
      <c r="E50" s="438"/>
      <c r="F50" s="444">
        <f t="shared" si="0"/>
        <v>1490390.666666667</v>
      </c>
      <c r="G50" s="445"/>
    </row>
    <row r="51" spans="1:10">
      <c r="A51" s="440" t="s">
        <v>130</v>
      </c>
      <c r="B51" s="438">
        <v>2354162.6666666665</v>
      </c>
      <c r="C51" s="438">
        <v>2354186</v>
      </c>
      <c r="D51" s="438"/>
      <c r="E51" s="438"/>
      <c r="F51" s="444">
        <f t="shared" si="0"/>
        <v>-23.333333333488554</v>
      </c>
      <c r="G51" s="445"/>
    </row>
    <row r="52" spans="1:10">
      <c r="A52" s="440" t="s">
        <v>112</v>
      </c>
      <c r="B52" s="438">
        <v>2990774</v>
      </c>
      <c r="C52" s="438">
        <v>1919582.14</v>
      </c>
      <c r="D52" s="438"/>
      <c r="E52" s="438"/>
      <c r="F52" s="444">
        <f t="shared" si="0"/>
        <v>1071191.8600000001</v>
      </c>
      <c r="G52" s="445"/>
    </row>
    <row r="53" spans="1:10" ht="18" customHeight="1">
      <c r="A53" s="440" t="s">
        <v>113</v>
      </c>
      <c r="B53" s="438">
        <v>10393.666666666666</v>
      </c>
      <c r="C53" s="438"/>
      <c r="D53" s="438"/>
      <c r="E53" s="438"/>
      <c r="F53" s="444">
        <f t="shared" si="0"/>
        <v>10393.666666666666</v>
      </c>
      <c r="G53" s="445"/>
    </row>
    <row r="54" spans="1:10">
      <c r="A54" s="440" t="s">
        <v>115</v>
      </c>
      <c r="B54" s="438">
        <v>148109.66666666666</v>
      </c>
      <c r="C54" s="438"/>
      <c r="D54" s="438"/>
      <c r="E54" s="438"/>
      <c r="F54" s="444">
        <f t="shared" si="0"/>
        <v>148109.66666666666</v>
      </c>
      <c r="G54" s="445"/>
    </row>
    <row r="55" spans="1:10">
      <c r="A55" s="440" t="s">
        <v>117</v>
      </c>
      <c r="B55" s="438">
        <v>11866955</v>
      </c>
      <c r="C55" s="438">
        <v>12792602.810000001</v>
      </c>
      <c r="D55" s="438"/>
      <c r="E55" s="438"/>
      <c r="F55" s="444">
        <f t="shared" si="0"/>
        <v>-925647.81000000052</v>
      </c>
      <c r="G55" s="445"/>
    </row>
    <row r="56" spans="1:10">
      <c r="A56" s="440" t="s">
        <v>118</v>
      </c>
      <c r="B56" s="438">
        <f>34833333.3333333-318459</f>
        <v>34514874.333333299</v>
      </c>
      <c r="C56" s="438">
        <f>64498573+8326000+303197+49400000-88012896</f>
        <v>34514874</v>
      </c>
      <c r="D56" s="438"/>
      <c r="E56" s="438"/>
      <c r="F56" s="444">
        <f t="shared" si="0"/>
        <v>0.33333329856395721</v>
      </c>
      <c r="G56" s="445"/>
      <c r="H56" s="421"/>
      <c r="I56" s="421"/>
      <c r="J56" s="421"/>
    </row>
    <row r="57" spans="1:10" ht="15" thickBot="1">
      <c r="A57" s="441" t="s">
        <v>119</v>
      </c>
      <c r="B57" s="464">
        <v>83149.333333333328</v>
      </c>
      <c r="C57" s="464">
        <v>55200</v>
      </c>
      <c r="D57" s="464"/>
      <c r="E57" s="464"/>
      <c r="F57" s="469">
        <f t="shared" si="0"/>
        <v>27949.333333333328</v>
      </c>
      <c r="G57" s="445"/>
    </row>
    <row r="58" spans="1:10" ht="15" thickBot="1">
      <c r="A58" s="443" t="s">
        <v>122</v>
      </c>
      <c r="B58" s="477">
        <f>SUM(B9:B57)</f>
        <v>158014874.00000003</v>
      </c>
      <c r="C58" s="477">
        <f>SUM(C9:C57)</f>
        <v>146275252.50999999</v>
      </c>
      <c r="D58" s="477">
        <f>SUM(D9:D57)</f>
        <v>1545022</v>
      </c>
      <c r="E58" s="482">
        <f>SUM(E9:E57)</f>
        <v>0</v>
      </c>
      <c r="F58" s="478">
        <f>SUM(F9:F57)</f>
        <v>10194599.489999963</v>
      </c>
      <c r="G58" s="445"/>
      <c r="H58" s="435">
        <f>C58/B58</f>
        <v>0.92570559218368242</v>
      </c>
    </row>
    <row r="59" spans="1:10" ht="15" thickBot="1">
      <c r="A59" s="450" t="s">
        <v>131</v>
      </c>
      <c r="B59" s="109">
        <f>318459</f>
        <v>318459</v>
      </c>
      <c r="C59" s="109"/>
      <c r="D59" s="109"/>
      <c r="E59" s="109"/>
      <c r="F59" s="483">
        <f t="shared" si="0"/>
        <v>318459</v>
      </c>
      <c r="G59" s="445"/>
    </row>
    <row r="60" spans="1:10" ht="15" thickBot="1">
      <c r="A60" s="484" t="s">
        <v>132</v>
      </c>
      <c r="B60" s="485">
        <f>B58+B59</f>
        <v>158333333.00000003</v>
      </c>
      <c r="C60" s="485">
        <f t="shared" ref="C60:F60" si="1">C58+C59</f>
        <v>146275252.50999999</v>
      </c>
      <c r="D60" s="485">
        <f t="shared" si="1"/>
        <v>1545022</v>
      </c>
      <c r="E60" s="486">
        <f t="shared" si="1"/>
        <v>0</v>
      </c>
      <c r="F60" s="487">
        <f t="shared" si="1"/>
        <v>10513058.489999963</v>
      </c>
      <c r="G60" s="445"/>
      <c r="I60" s="433"/>
    </row>
    <row r="61" spans="1:10">
      <c r="A61" s="475" t="s">
        <v>249</v>
      </c>
      <c r="B61" s="454"/>
      <c r="C61" s="454"/>
      <c r="D61" s="454"/>
      <c r="E61" s="454"/>
      <c r="F61" s="454"/>
      <c r="G61" s="445"/>
    </row>
    <row r="62" spans="1:10" ht="15" thickBot="1">
      <c r="A62" s="475"/>
      <c r="B62" s="454"/>
      <c r="C62" s="454"/>
      <c r="D62" s="454"/>
      <c r="E62" s="454"/>
      <c r="F62" s="454"/>
      <c r="G62" s="445"/>
    </row>
    <row r="63" spans="1:10" ht="15" thickBot="1">
      <c r="A63" s="479" t="s">
        <v>133</v>
      </c>
      <c r="B63" s="480">
        <f>B12+B13+B15+B19+B21+B27+B33+B36+B43+B46+B48+B49+B53+B54+B57</f>
        <v>11635696.333333334</v>
      </c>
      <c r="C63" s="480">
        <f>C12+C13+C15+C19+C21+C27+C33+C36+C43+C46+C48+C49+C53+C54+C57</f>
        <v>4609976.4099999992</v>
      </c>
      <c r="D63" s="480">
        <f>D12+D13+D15+D19+D21+D26+D34+D36+D43+D46+D48+D49+D53+D54+D57</f>
        <v>0</v>
      </c>
      <c r="E63" s="488">
        <f>E12+E13+E15+E19+E21+E26+E34+E36+E43+E46+E48+E49+E53+E54+E57</f>
        <v>0</v>
      </c>
      <c r="F63" s="481">
        <f>B63-C63-D63-E63</f>
        <v>7025719.9233333347</v>
      </c>
      <c r="G63" s="445"/>
    </row>
    <row r="64" spans="1:10">
      <c r="A64" s="445"/>
      <c r="B64" s="445"/>
      <c r="C64" s="445"/>
      <c r="D64" s="445"/>
      <c r="E64" s="445"/>
      <c r="F64" s="445"/>
      <c r="G64" s="445"/>
    </row>
    <row r="65" spans="1:7">
      <c r="A65" s="445"/>
      <c r="B65" s="445"/>
      <c r="C65" s="445"/>
      <c r="D65" s="445"/>
      <c r="E65" s="445"/>
      <c r="F65" s="445"/>
      <c r="G65" s="445"/>
    </row>
    <row r="66" spans="1:7">
      <c r="A66" s="445"/>
      <c r="B66" s="445"/>
      <c r="C66" s="445"/>
      <c r="D66" s="445"/>
      <c r="E66" s="445"/>
      <c r="F66" s="445"/>
      <c r="G66" s="445"/>
    </row>
  </sheetData>
  <mergeCells count="4">
    <mergeCell ref="A1:B1"/>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5770-AD7A-4A88-A8ED-099CB133E18E}">
  <sheetPr>
    <pageSetUpPr fitToPage="1"/>
  </sheetPr>
  <dimension ref="A1:M66"/>
  <sheetViews>
    <sheetView zoomScaleNormal="100" workbookViewId="0">
      <selection activeCell="D14" sqref="D14"/>
    </sheetView>
  </sheetViews>
  <sheetFormatPr defaultRowHeight="14.5"/>
  <cols>
    <col min="1" max="1" width="22.54296875" customWidth="1"/>
    <col min="2" max="6" width="20.7265625" customWidth="1"/>
    <col min="8" max="8" width="16.54296875" hidden="1" customWidth="1"/>
    <col min="9" max="9" width="10.26953125" hidden="1" customWidth="1"/>
    <col min="10" max="11" width="0" hidden="1" customWidth="1"/>
    <col min="12" max="12" width="13.7265625" hidden="1" customWidth="1"/>
    <col min="13" max="21" width="0" hidden="1" customWidth="1"/>
  </cols>
  <sheetData>
    <row r="1" spans="1:7" ht="18">
      <c r="A1" s="15" t="str">
        <f>[1]Status!C1</f>
        <v>UNEP/OzL.Pro/ExCom/94/3</v>
      </c>
      <c r="B1" s="15"/>
      <c r="C1" s="14"/>
      <c r="D1" s="14"/>
      <c r="F1" s="16"/>
    </row>
    <row r="2" spans="1:7" ht="18">
      <c r="A2" s="431" t="s">
        <v>0</v>
      </c>
      <c r="B2" s="15"/>
      <c r="C2" s="14"/>
      <c r="D2" s="14"/>
      <c r="E2" s="15"/>
      <c r="F2" s="16"/>
    </row>
    <row r="3" spans="1:7" ht="18">
      <c r="A3" s="431" t="s">
        <v>137</v>
      </c>
      <c r="B3" s="15"/>
      <c r="C3" s="14"/>
      <c r="D3" s="14"/>
      <c r="E3" s="16"/>
      <c r="F3" s="16"/>
    </row>
    <row r="4" spans="1:7" ht="15.5">
      <c r="A4" s="1"/>
      <c r="B4" s="14"/>
      <c r="C4" s="14"/>
      <c r="D4" s="14"/>
      <c r="E4" s="14"/>
      <c r="F4" s="14"/>
    </row>
    <row r="5" spans="1:7" ht="17.25" customHeight="1">
      <c r="A5" s="794" t="s">
        <v>2</v>
      </c>
      <c r="B5" s="794"/>
      <c r="C5" s="794"/>
      <c r="D5" s="794"/>
      <c r="E5" s="794"/>
      <c r="F5" s="794"/>
    </row>
    <row r="6" spans="1:7" ht="15.5">
      <c r="A6" s="795" t="s">
        <v>266</v>
      </c>
      <c r="B6" s="795"/>
      <c r="C6" s="795"/>
      <c r="D6" s="795"/>
      <c r="E6" s="795"/>
      <c r="F6" s="795"/>
    </row>
    <row r="7" spans="1:7" ht="16.5" thickBot="1">
      <c r="A7" s="796" t="str">
        <f>[1]Status!A6</f>
        <v>As at 24/05/2024</v>
      </c>
      <c r="B7" s="796"/>
      <c r="C7" s="796"/>
      <c r="D7" s="796"/>
      <c r="E7" s="796"/>
      <c r="F7" s="796"/>
    </row>
    <row r="8" spans="1:7" ht="27" thickBot="1">
      <c r="A8" s="19" t="s">
        <v>59</v>
      </c>
      <c r="B8" s="20" t="s">
        <v>60</v>
      </c>
      <c r="C8" s="20" t="s">
        <v>61</v>
      </c>
      <c r="D8" s="504" t="s">
        <v>62</v>
      </c>
      <c r="E8" s="20" t="s">
        <v>63</v>
      </c>
      <c r="F8" s="21" t="s">
        <v>64</v>
      </c>
    </row>
    <row r="9" spans="1:7">
      <c r="A9" s="436" t="s">
        <v>65</v>
      </c>
      <c r="B9" s="494">
        <v>12992</v>
      </c>
      <c r="C9" s="494">
        <v>10817</v>
      </c>
      <c r="D9" s="495"/>
      <c r="E9" s="495"/>
      <c r="F9" s="493">
        <f t="shared" ref="F9:F57" si="0">B9-C9-D9-E9</f>
        <v>2175</v>
      </c>
      <c r="G9" s="445"/>
    </row>
    <row r="10" spans="1:7">
      <c r="A10" s="440" t="s">
        <v>124</v>
      </c>
      <c r="B10" s="438">
        <v>5742494</v>
      </c>
      <c r="C10" s="438">
        <v>5151604</v>
      </c>
      <c r="D10" s="438"/>
      <c r="E10" s="438"/>
      <c r="F10" s="444">
        <f t="shared" si="0"/>
        <v>590890</v>
      </c>
      <c r="G10" s="445"/>
    </row>
    <row r="11" spans="1:7">
      <c r="A11" s="440" t="s">
        <v>67</v>
      </c>
      <c r="B11" s="438">
        <v>1759126</v>
      </c>
      <c r="C11" s="438">
        <v>1415620.98</v>
      </c>
      <c r="D11" s="438">
        <f>28933+362900</f>
        <v>391833</v>
      </c>
      <c r="E11" s="438"/>
      <c r="F11" s="444">
        <f t="shared" si="0"/>
        <v>-48327.979999999981</v>
      </c>
      <c r="G11" s="445"/>
    </row>
    <row r="12" spans="1:7">
      <c r="A12" s="446" t="s">
        <v>68</v>
      </c>
      <c r="B12" s="438">
        <v>127322.33333333333</v>
      </c>
      <c r="C12" s="438"/>
      <c r="D12" s="438"/>
      <c r="E12" s="438"/>
      <c r="F12" s="444">
        <f t="shared" si="0"/>
        <v>127322.33333333333</v>
      </c>
      <c r="G12" s="445"/>
    </row>
    <row r="13" spans="1:7">
      <c r="A13" s="440" t="s">
        <v>69</v>
      </c>
      <c r="B13" s="438">
        <v>127322.33333333333</v>
      </c>
      <c r="C13" s="438">
        <v>113477</v>
      </c>
      <c r="D13" s="438"/>
      <c r="E13" s="438"/>
      <c r="F13" s="444">
        <f t="shared" si="0"/>
        <v>13845.333333333328</v>
      </c>
      <c r="G13" s="445"/>
    </row>
    <row r="14" spans="1:7">
      <c r="A14" s="440" t="s">
        <v>70</v>
      </c>
      <c r="B14" s="438">
        <v>2133297.6666666665</v>
      </c>
      <c r="C14" s="438">
        <v>2289845</v>
      </c>
      <c r="D14" s="438"/>
      <c r="E14" s="438"/>
      <c r="F14" s="444">
        <f t="shared" si="0"/>
        <v>-156547.33333333349</v>
      </c>
      <c r="G14" s="445"/>
    </row>
    <row r="15" spans="1:7">
      <c r="A15" s="440" t="s">
        <v>71</v>
      </c>
      <c r="B15" s="438">
        <v>119527</v>
      </c>
      <c r="C15" s="438">
        <v>113333</v>
      </c>
      <c r="D15" s="438"/>
      <c r="E15" s="438"/>
      <c r="F15" s="444">
        <f t="shared" si="0"/>
        <v>6194</v>
      </c>
      <c r="G15" s="445"/>
    </row>
    <row r="16" spans="1:7">
      <c r="A16" s="440" t="s">
        <v>125</v>
      </c>
      <c r="B16" s="438">
        <v>7104062.666666667</v>
      </c>
      <c r="C16" s="463">
        <f>5728716.99+1382678</f>
        <v>7111394.9900000002</v>
      </c>
      <c r="D16" s="438"/>
      <c r="E16" s="438"/>
      <c r="F16" s="444">
        <f t="shared" si="0"/>
        <v>-7332.3233333332464</v>
      </c>
      <c r="G16" s="445"/>
    </row>
    <row r="17" spans="1:13">
      <c r="A17" s="440" t="s">
        <v>73</v>
      </c>
      <c r="B17" s="438">
        <v>200078</v>
      </c>
      <c r="C17" s="438">
        <v>251292</v>
      </c>
      <c r="D17" s="438"/>
      <c r="E17" s="438"/>
      <c r="F17" s="444">
        <f t="shared" si="0"/>
        <v>-51214</v>
      </c>
      <c r="G17" s="445"/>
    </row>
    <row r="18" spans="1:13">
      <c r="A18" s="440" t="s">
        <v>74</v>
      </c>
      <c r="B18" s="438">
        <v>93543</v>
      </c>
      <c r="C18" s="438">
        <v>111228</v>
      </c>
      <c r="D18" s="438"/>
      <c r="E18" s="438"/>
      <c r="F18" s="444">
        <f t="shared" si="0"/>
        <v>-17685</v>
      </c>
      <c r="G18" s="445"/>
    </row>
    <row r="19" spans="1:13">
      <c r="A19" s="440" t="s">
        <v>75</v>
      </c>
      <c r="B19" s="438">
        <v>808106.66666666663</v>
      </c>
      <c r="C19" s="438">
        <v>867000</v>
      </c>
      <c r="D19" s="438"/>
      <c r="E19" s="438"/>
      <c r="F19" s="444">
        <f t="shared" si="0"/>
        <v>-58893.333333333372</v>
      </c>
      <c r="G19" s="445"/>
    </row>
    <row r="20" spans="1:13">
      <c r="A20" s="440" t="s">
        <v>76</v>
      </c>
      <c r="B20" s="438">
        <v>1439521</v>
      </c>
      <c r="C20" s="438">
        <v>1505998.5</v>
      </c>
      <c r="D20" s="438"/>
      <c r="E20" s="438"/>
      <c r="F20" s="444">
        <f t="shared" si="0"/>
        <v>-66477.5</v>
      </c>
      <c r="G20" s="445"/>
    </row>
    <row r="21" spans="1:13">
      <c r="A21" s="440" t="s">
        <v>77</v>
      </c>
      <c r="B21" s="438">
        <v>101338</v>
      </c>
      <c r="C21" s="438">
        <v>98394.35</v>
      </c>
      <c r="D21" s="438"/>
      <c r="E21" s="438"/>
      <c r="F21" s="444">
        <f t="shared" si="0"/>
        <v>2943.6499999999942</v>
      </c>
      <c r="G21" s="445"/>
    </row>
    <row r="22" spans="1:13">
      <c r="A22" s="440" t="s">
        <v>78</v>
      </c>
      <c r="B22" s="438">
        <v>1093932</v>
      </c>
      <c r="C22" s="438">
        <v>1007992</v>
      </c>
      <c r="D22" s="438"/>
      <c r="E22" s="438"/>
      <c r="F22" s="444">
        <f t="shared" si="0"/>
        <v>85940</v>
      </c>
      <c r="G22" s="445"/>
    </row>
    <row r="23" spans="1:13">
      <c r="A23" s="440" t="s">
        <v>126</v>
      </c>
      <c r="B23" s="438">
        <v>11503177</v>
      </c>
      <c r="C23" s="438">
        <v>10433663</v>
      </c>
      <c r="D23" s="438"/>
      <c r="E23" s="438"/>
      <c r="F23" s="444">
        <f t="shared" si="0"/>
        <v>1069514</v>
      </c>
      <c r="G23" s="445"/>
    </row>
    <row r="24" spans="1:13">
      <c r="A24" s="440" t="s">
        <v>127</v>
      </c>
      <c r="B24" s="438">
        <v>15824338.666666666</v>
      </c>
      <c r="C24" s="438">
        <v>5540479</v>
      </c>
      <c r="D24" s="438">
        <f>721388+3531749</f>
        <v>4253137</v>
      </c>
      <c r="E24" s="438"/>
      <c r="F24" s="444">
        <f>B24-C24-D24-E24</f>
        <v>6030722.666666666</v>
      </c>
      <c r="G24" s="445"/>
      <c r="H24" s="52">
        <f>B24*3</f>
        <v>47473016</v>
      </c>
      <c r="I24" s="52" t="s">
        <v>251</v>
      </c>
      <c r="L24" s="432">
        <f>H24*20%</f>
        <v>9494603.2000000011</v>
      </c>
      <c r="M24" t="s">
        <v>252</v>
      </c>
    </row>
    <row r="25" spans="1:13">
      <c r="A25" s="440" t="s">
        <v>81</v>
      </c>
      <c r="B25" s="438">
        <v>951019.33333333337</v>
      </c>
      <c r="C25" s="438">
        <v>951024</v>
      </c>
      <c r="D25" s="438"/>
      <c r="E25" s="438"/>
      <c r="F25" s="444">
        <f t="shared" si="0"/>
        <v>-4.6666666666278616</v>
      </c>
      <c r="G25" s="445"/>
    </row>
    <row r="26" spans="1:13">
      <c r="A26" s="440" t="s">
        <v>82</v>
      </c>
      <c r="B26" s="438">
        <v>2598.3333333333335</v>
      </c>
      <c r="C26" s="438">
        <v>2598</v>
      </c>
      <c r="D26" s="438"/>
      <c r="E26" s="438"/>
      <c r="F26" s="444">
        <f t="shared" si="0"/>
        <v>0.33333333333348492</v>
      </c>
      <c r="G26" s="445"/>
      <c r="L26" s="432"/>
    </row>
    <row r="27" spans="1:13">
      <c r="A27" s="440" t="s">
        <v>83</v>
      </c>
      <c r="B27" s="438">
        <v>535273.33333333337</v>
      </c>
      <c r="C27" s="438">
        <v>428657</v>
      </c>
      <c r="D27" s="438"/>
      <c r="E27" s="438"/>
      <c r="F27" s="444">
        <f t="shared" si="0"/>
        <v>106616.33333333337</v>
      </c>
      <c r="G27" s="445"/>
    </row>
    <row r="28" spans="1:13">
      <c r="A28" s="440" t="s">
        <v>84</v>
      </c>
      <c r="B28" s="438">
        <v>72755.666666666672</v>
      </c>
      <c r="C28" s="438"/>
      <c r="D28" s="438"/>
      <c r="E28" s="438"/>
      <c r="F28" s="444">
        <f t="shared" si="0"/>
        <v>72755.666666666672</v>
      </c>
      <c r="G28" s="445"/>
    </row>
    <row r="29" spans="1:13">
      <c r="A29" s="440" t="s">
        <v>128</v>
      </c>
      <c r="B29" s="438">
        <v>964011.33333333337</v>
      </c>
      <c r="C29" s="438">
        <f>866900+194231</f>
        <v>1061131</v>
      </c>
      <c r="D29" s="438"/>
      <c r="E29" s="438"/>
      <c r="F29" s="444">
        <f t="shared" si="0"/>
        <v>-97119.666666666628</v>
      </c>
      <c r="G29" s="445"/>
    </row>
    <row r="30" spans="1:13">
      <c r="A30" s="440" t="s">
        <v>86</v>
      </c>
      <c r="B30" s="438">
        <v>1273222.6666666667</v>
      </c>
      <c r="C30" s="438"/>
      <c r="D30" s="438"/>
      <c r="E30" s="438"/>
      <c r="F30" s="444">
        <f t="shared" si="0"/>
        <v>1273222.6666666667</v>
      </c>
      <c r="G30" s="445"/>
    </row>
    <row r="31" spans="1:13">
      <c r="A31" s="440" t="s">
        <v>87</v>
      </c>
      <c r="B31" s="438">
        <v>8592953.666666666</v>
      </c>
      <c r="C31" s="438">
        <f>6773573+714457</f>
        <v>7488030</v>
      </c>
      <c r="D31" s="438"/>
      <c r="E31" s="438"/>
      <c r="F31" s="444">
        <f t="shared" si="0"/>
        <v>1104923.666666666</v>
      </c>
      <c r="G31" s="445"/>
    </row>
    <row r="32" spans="1:13">
      <c r="A32" s="440" t="s">
        <v>129</v>
      </c>
      <c r="B32" s="438">
        <v>22252814</v>
      </c>
      <c r="C32" s="438">
        <f>23743153+431796+220216</f>
        <v>24395165</v>
      </c>
      <c r="D32" s="438"/>
      <c r="E32" s="438"/>
      <c r="F32" s="444">
        <f t="shared" si="0"/>
        <v>-2142351</v>
      </c>
      <c r="G32" s="445"/>
    </row>
    <row r="33" spans="1:7">
      <c r="A33" s="440" t="s">
        <v>89</v>
      </c>
      <c r="B33" s="438">
        <v>462517.66666666669</v>
      </c>
      <c r="C33" s="438"/>
      <c r="D33" s="438"/>
      <c r="E33" s="438"/>
      <c r="F33" s="444">
        <f t="shared" si="0"/>
        <v>462517.66666666669</v>
      </c>
      <c r="G33" s="445"/>
    </row>
    <row r="34" spans="1:7">
      <c r="A34" s="440" t="s">
        <v>91</v>
      </c>
      <c r="B34" s="438">
        <v>122125.33333333333</v>
      </c>
      <c r="C34" s="438">
        <v>129368</v>
      </c>
      <c r="D34" s="438"/>
      <c r="E34" s="438"/>
      <c r="F34" s="444">
        <f t="shared" si="0"/>
        <v>-7242.6666666666715</v>
      </c>
      <c r="G34" s="445"/>
    </row>
    <row r="35" spans="1:7">
      <c r="A35" s="440" t="s">
        <v>92</v>
      </c>
      <c r="B35" s="438">
        <v>23385.666666666668</v>
      </c>
      <c r="C35" s="438">
        <v>23386</v>
      </c>
      <c r="D35" s="438"/>
      <c r="E35" s="438"/>
      <c r="F35" s="444">
        <f t="shared" si="0"/>
        <v>-0.33333333333212067</v>
      </c>
      <c r="G35" s="445"/>
    </row>
    <row r="36" spans="1:7">
      <c r="A36" s="440" t="s">
        <v>93</v>
      </c>
      <c r="B36" s="438">
        <v>184487.33333333334</v>
      </c>
      <c r="C36" s="438">
        <v>186351</v>
      </c>
      <c r="D36" s="438"/>
      <c r="E36" s="438"/>
      <c r="F36" s="444">
        <f t="shared" si="0"/>
        <v>-1863.666666666657</v>
      </c>
      <c r="G36" s="445"/>
    </row>
    <row r="37" spans="1:7">
      <c r="A37" s="440" t="s">
        <v>94</v>
      </c>
      <c r="B37" s="438">
        <v>174093.66666666666</v>
      </c>
      <c r="C37" s="438">
        <v>165645</v>
      </c>
      <c r="D37" s="438"/>
      <c r="E37" s="438"/>
      <c r="F37" s="444">
        <f t="shared" si="0"/>
        <v>8448.666666666657</v>
      </c>
      <c r="G37" s="445"/>
    </row>
    <row r="38" spans="1:7">
      <c r="A38" s="440" t="s">
        <v>95</v>
      </c>
      <c r="B38" s="438">
        <v>44173</v>
      </c>
      <c r="C38" s="438"/>
      <c r="D38" s="438"/>
      <c r="E38" s="438"/>
      <c r="F38" s="444">
        <f t="shared" si="0"/>
        <v>44173</v>
      </c>
      <c r="G38" s="445"/>
    </row>
    <row r="39" spans="1:7">
      <c r="A39" s="440" t="s">
        <v>96</v>
      </c>
      <c r="B39" s="438">
        <v>28582.666666666668</v>
      </c>
      <c r="C39" s="438">
        <v>28583</v>
      </c>
      <c r="D39" s="438"/>
      <c r="E39" s="438"/>
      <c r="F39" s="444">
        <f t="shared" si="0"/>
        <v>-0.33333333333212067</v>
      </c>
      <c r="G39" s="445"/>
    </row>
    <row r="40" spans="1:7">
      <c r="A40" s="440" t="s">
        <v>97</v>
      </c>
      <c r="B40" s="438">
        <v>3523449</v>
      </c>
      <c r="C40" s="438">
        <v>3734833</v>
      </c>
      <c r="D40" s="438"/>
      <c r="E40" s="438"/>
      <c r="F40" s="444">
        <f t="shared" si="0"/>
        <v>-211384</v>
      </c>
      <c r="G40" s="445"/>
    </row>
    <row r="41" spans="1:7">
      <c r="A41" s="440" t="s">
        <v>98</v>
      </c>
      <c r="B41" s="438">
        <v>756138.33333333337</v>
      </c>
      <c r="C41" s="438">
        <v>599773</v>
      </c>
      <c r="D41" s="438"/>
      <c r="E41" s="438"/>
      <c r="F41" s="444">
        <f t="shared" si="0"/>
        <v>156365.33333333337</v>
      </c>
      <c r="G41" s="445"/>
    </row>
    <row r="42" spans="1:7">
      <c r="A42" s="440" t="s">
        <v>99</v>
      </c>
      <c r="B42" s="438">
        <v>1959204</v>
      </c>
      <c r="C42" s="438">
        <v>1849578</v>
      </c>
      <c r="D42" s="438"/>
      <c r="E42" s="438"/>
      <c r="F42" s="444">
        <f t="shared" si="0"/>
        <v>109626</v>
      </c>
      <c r="G42" s="445"/>
    </row>
    <row r="43" spans="1:7">
      <c r="A43" s="440" t="s">
        <v>101</v>
      </c>
      <c r="B43" s="438">
        <v>2083927.6666666667</v>
      </c>
      <c r="C43" s="438">
        <v>2217357.14</v>
      </c>
      <c r="D43" s="438"/>
      <c r="E43" s="438"/>
      <c r="F43" s="444">
        <f t="shared" si="0"/>
        <v>-133429.47333333339</v>
      </c>
      <c r="G43" s="445"/>
    </row>
    <row r="44" spans="1:7">
      <c r="A44" s="440" t="s">
        <v>102</v>
      </c>
      <c r="B44" s="438">
        <v>909444.66666666663</v>
      </c>
      <c r="C44" s="438">
        <v>1014236</v>
      </c>
      <c r="D44" s="438"/>
      <c r="E44" s="438"/>
      <c r="F44" s="444">
        <f t="shared" si="0"/>
        <v>-104791.33333333337</v>
      </c>
      <c r="G44" s="445"/>
    </row>
    <row r="45" spans="1:7">
      <c r="A45" s="440" t="s">
        <v>103</v>
      </c>
      <c r="B45" s="438">
        <v>514486</v>
      </c>
      <c r="C45" s="438"/>
      <c r="D45" s="438"/>
      <c r="E45" s="438"/>
      <c r="F45" s="444">
        <f t="shared" si="0"/>
        <v>514486</v>
      </c>
      <c r="G45" s="445"/>
    </row>
    <row r="46" spans="1:7">
      <c r="A46" s="440" t="s">
        <v>104</v>
      </c>
      <c r="B46" s="438">
        <v>6249184.666666667</v>
      </c>
      <c r="C46" s="438"/>
      <c r="D46" s="438"/>
      <c r="E46" s="438"/>
      <c r="F46" s="444">
        <f t="shared" si="0"/>
        <v>6249184.666666667</v>
      </c>
      <c r="G46" s="445"/>
    </row>
    <row r="47" spans="1:7">
      <c r="A47" s="440" t="s">
        <v>105</v>
      </c>
      <c r="B47" s="438">
        <v>5196.666666666667</v>
      </c>
      <c r="C47" s="438">
        <v>5197</v>
      </c>
      <c r="D47" s="438"/>
      <c r="E47" s="438"/>
      <c r="F47" s="444">
        <f t="shared" si="0"/>
        <v>-0.33333333333303017</v>
      </c>
      <c r="G47" s="445"/>
    </row>
    <row r="48" spans="1:7">
      <c r="A48" s="440" t="s">
        <v>107</v>
      </c>
      <c r="B48" s="438">
        <v>397557.33333333331</v>
      </c>
      <c r="C48" s="438">
        <v>413942.2</v>
      </c>
      <c r="D48" s="438"/>
      <c r="E48" s="438"/>
      <c r="F48" s="444">
        <f t="shared" si="0"/>
        <v>-16384.866666666698</v>
      </c>
      <c r="G48" s="445"/>
    </row>
    <row r="49" spans="1:10">
      <c r="A49" s="440" t="s">
        <v>108</v>
      </c>
      <c r="B49" s="438">
        <v>197479.33333333334</v>
      </c>
      <c r="C49" s="438">
        <v>217324</v>
      </c>
      <c r="D49" s="438"/>
      <c r="E49" s="438"/>
      <c r="F49" s="444">
        <f t="shared" si="0"/>
        <v>-19844.666666666657</v>
      </c>
      <c r="G49" s="445"/>
    </row>
    <row r="50" spans="1:10">
      <c r="A50" s="440" t="s">
        <v>110</v>
      </c>
      <c r="B50" s="438">
        <v>5576195.666666667</v>
      </c>
      <c r="C50" s="438">
        <v>6321391</v>
      </c>
      <c r="D50" s="438"/>
      <c r="E50" s="438"/>
      <c r="F50" s="444">
        <f t="shared" si="0"/>
        <v>-745195.33333333302</v>
      </c>
      <c r="G50" s="445"/>
    </row>
    <row r="51" spans="1:10">
      <c r="A51" s="440" t="s">
        <v>130</v>
      </c>
      <c r="B51" s="438">
        <v>2354162.6666666665</v>
      </c>
      <c r="C51" s="438">
        <v>2493780</v>
      </c>
      <c r="D51" s="438"/>
      <c r="E51" s="438"/>
      <c r="F51" s="444">
        <f t="shared" si="0"/>
        <v>-139617.33333333349</v>
      </c>
      <c r="G51" s="445"/>
    </row>
    <row r="52" spans="1:10">
      <c r="A52" s="440" t="s">
        <v>112</v>
      </c>
      <c r="B52" s="438">
        <v>2990774</v>
      </c>
      <c r="C52" s="438">
        <v>2990774</v>
      </c>
      <c r="D52" s="438"/>
      <c r="E52" s="438"/>
      <c r="F52" s="444">
        <f t="shared" si="0"/>
        <v>0</v>
      </c>
      <c r="G52" s="445"/>
    </row>
    <row r="53" spans="1:10" ht="18" customHeight="1">
      <c r="A53" s="440" t="s">
        <v>113</v>
      </c>
      <c r="B53" s="438">
        <v>10393.666666666666</v>
      </c>
      <c r="C53" s="438"/>
      <c r="D53" s="438"/>
      <c r="E53" s="438"/>
      <c r="F53" s="444">
        <f t="shared" si="0"/>
        <v>10393.666666666666</v>
      </c>
      <c r="G53" s="445"/>
    </row>
    <row r="54" spans="1:10">
      <c r="A54" s="440" t="s">
        <v>115</v>
      </c>
      <c r="B54" s="438">
        <v>148109.66666666666</v>
      </c>
      <c r="C54" s="438"/>
      <c r="D54" s="438"/>
      <c r="E54" s="438"/>
      <c r="F54" s="444">
        <f t="shared" si="0"/>
        <v>148109.66666666666</v>
      </c>
      <c r="G54" s="445"/>
    </row>
    <row r="55" spans="1:10">
      <c r="A55" s="440" t="s">
        <v>117</v>
      </c>
      <c r="B55" s="438">
        <v>11866955</v>
      </c>
      <c r="C55" s="438">
        <v>12610340</v>
      </c>
      <c r="D55" s="438"/>
      <c r="E55" s="438"/>
      <c r="F55" s="444">
        <f t="shared" si="0"/>
        <v>-743385</v>
      </c>
      <c r="G55" s="445"/>
    </row>
    <row r="56" spans="1:10">
      <c r="A56" s="440" t="s">
        <v>118</v>
      </c>
      <c r="B56" s="438">
        <f>34833333.3333333-362134-608906+138586</f>
        <v>34000879.333333299</v>
      </c>
      <c r="C56" s="438">
        <f>39247184+8326000+776268+50150000-64498573</f>
        <v>34000879</v>
      </c>
      <c r="D56" s="438"/>
      <c r="E56" s="438"/>
      <c r="F56" s="444">
        <f t="shared" si="0"/>
        <v>0.33333329856395721</v>
      </c>
      <c r="G56" s="445"/>
      <c r="H56" s="421"/>
      <c r="I56" s="421"/>
      <c r="J56" s="421"/>
    </row>
    <row r="57" spans="1:10" ht="15" thickBot="1">
      <c r="A57" s="441" t="s">
        <v>119</v>
      </c>
      <c r="B57" s="464">
        <v>83149.333333333328</v>
      </c>
      <c r="C57" s="464">
        <v>54700</v>
      </c>
      <c r="D57" s="464"/>
      <c r="E57" s="464"/>
      <c r="F57" s="469">
        <f t="shared" si="0"/>
        <v>28449.333333333328</v>
      </c>
      <c r="G57" s="445"/>
      <c r="H57" s="116"/>
    </row>
    <row r="58" spans="1:10" ht="15" thickBot="1">
      <c r="A58" s="443" t="s">
        <v>122</v>
      </c>
      <c r="B58" s="477">
        <f>SUM(B9:B57)</f>
        <v>157500879.00000003</v>
      </c>
      <c r="C58" s="477">
        <f>SUM(C9:C57)</f>
        <v>139406181.16</v>
      </c>
      <c r="D58" s="477">
        <f>SUM(D9:D57)</f>
        <v>4644970</v>
      </c>
      <c r="E58" s="482">
        <f>SUM(E9:E57)</f>
        <v>0</v>
      </c>
      <c r="F58" s="478">
        <f>SUM(F9:F57)</f>
        <v>13449727.839999963</v>
      </c>
      <c r="G58" s="445"/>
      <c r="H58" s="434">
        <f>(C58+D58)/B58</f>
        <v>0.91460537918648677</v>
      </c>
      <c r="I58" s="116">
        <f>C58/B58</f>
        <v>0.88511367076243408</v>
      </c>
    </row>
    <row r="59" spans="1:10" ht="15" thickBot="1">
      <c r="A59" s="450" t="s">
        <v>131</v>
      </c>
      <c r="B59" s="109">
        <f>362134+608906-138586</f>
        <v>832454</v>
      </c>
      <c r="C59" s="109"/>
      <c r="D59" s="109"/>
      <c r="E59" s="109"/>
      <c r="F59" s="483">
        <f>B59-C59-D59-E59</f>
        <v>832454</v>
      </c>
      <c r="G59" s="445"/>
      <c r="H59" s="434"/>
      <c r="I59" s="116"/>
    </row>
    <row r="60" spans="1:10" ht="15" thickBot="1">
      <c r="A60" s="484" t="s">
        <v>132</v>
      </c>
      <c r="B60" s="485">
        <f>B58+B59</f>
        <v>158333333.00000003</v>
      </c>
      <c r="C60" s="485">
        <f>C58+C59</f>
        <v>139406181.16</v>
      </c>
      <c r="D60" s="485">
        <f>D58+D59</f>
        <v>4644970</v>
      </c>
      <c r="E60" s="486">
        <f>E58+E59</f>
        <v>0</v>
      </c>
      <c r="F60" s="487">
        <f>F58+F59</f>
        <v>14282181.839999963</v>
      </c>
      <c r="G60" s="445"/>
      <c r="H60" s="434">
        <f t="shared" ref="H60" si="1">(C60+D60)/B60</f>
        <v>0.90979674608378247</v>
      </c>
      <c r="I60" s="116">
        <f t="shared" ref="I60" si="2">C60/B60</f>
        <v>0.88046009339044207</v>
      </c>
    </row>
    <row r="61" spans="1:10">
      <c r="A61" s="475" t="s">
        <v>249</v>
      </c>
      <c r="B61" s="454"/>
      <c r="C61" s="454"/>
      <c r="D61" s="454"/>
      <c r="E61" s="454"/>
      <c r="F61" s="454"/>
      <c r="G61" s="445"/>
    </row>
    <row r="62" spans="1:10" ht="15" thickBot="1">
      <c r="A62" s="475"/>
      <c r="B62" s="454"/>
      <c r="C62" s="454"/>
      <c r="D62" s="454"/>
      <c r="E62" s="454"/>
      <c r="F62" s="454"/>
      <c r="G62" s="445"/>
    </row>
    <row r="63" spans="1:10" ht="15" thickBot="1">
      <c r="A63" s="479" t="s">
        <v>133</v>
      </c>
      <c r="B63" s="480">
        <f>B12+B13+B15+B19+B21+B27+B33+B36+B43+B46+B48+B49+B53+B54+B57</f>
        <v>11635696.333333334</v>
      </c>
      <c r="C63" s="480">
        <f>C12+C13+C15+C19+C21+C27+C33+C36+C43+C46+C48+C49+C53+C54+C57</f>
        <v>4710535.6900000004</v>
      </c>
      <c r="D63" s="480">
        <f>D12+D13+D15+D19+D21+D26+D34+D36+D43+D46+D48+D49+D53+D54+D57</f>
        <v>0</v>
      </c>
      <c r="E63" s="488">
        <f>E12+E13+E15+E19+E21+E26+E34+E36+E43+E46+E48+E49+E53+E54+E57</f>
        <v>0</v>
      </c>
      <c r="F63" s="481">
        <f>B63-C63-D63-E63</f>
        <v>6925160.6433333335</v>
      </c>
      <c r="G63" s="445"/>
    </row>
    <row r="64" spans="1:10">
      <c r="A64" s="445"/>
      <c r="B64" s="445"/>
      <c r="C64" s="445"/>
      <c r="D64" s="445"/>
      <c r="E64" s="445"/>
      <c r="F64" s="445"/>
      <c r="G64" s="445"/>
    </row>
    <row r="65" spans="1:7">
      <c r="A65" s="445"/>
      <c r="B65" s="445"/>
      <c r="C65" s="445"/>
      <c r="D65" s="445"/>
      <c r="E65" s="445"/>
      <c r="F65" s="445"/>
      <c r="G65" s="445"/>
    </row>
    <row r="66" spans="1:7">
      <c r="A66" s="445"/>
      <c r="B66" s="445"/>
      <c r="C66" s="445"/>
      <c r="D66" s="445"/>
      <c r="E66" s="445"/>
      <c r="F66" s="445"/>
      <c r="G66" s="445"/>
    </row>
  </sheetData>
  <autoFilter ref="A8:F63" xr:uid="{B2635770-AD7A-4A88-A8ED-099CB133E18E}"/>
  <mergeCells count="3">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4DB4-FAA8-493C-870C-BE2432457240}">
  <sheetPr>
    <pageSetUpPr fitToPage="1"/>
  </sheetPr>
  <dimension ref="A1:K66"/>
  <sheetViews>
    <sheetView zoomScale="120" zoomScaleNormal="120" workbookViewId="0">
      <selection activeCell="D14" sqref="D14"/>
    </sheetView>
  </sheetViews>
  <sheetFormatPr defaultRowHeight="14.5"/>
  <cols>
    <col min="1" max="1" width="30.7265625" customWidth="1"/>
    <col min="2" max="6" width="20.7265625" customWidth="1"/>
    <col min="8" max="8" width="13.7265625" bestFit="1" customWidth="1"/>
    <col min="10" max="10" width="14.7265625" bestFit="1" customWidth="1"/>
  </cols>
  <sheetData>
    <row r="1" spans="1:8" ht="18">
      <c r="A1" s="797"/>
      <c r="B1" s="797"/>
      <c r="C1" s="14"/>
      <c r="D1" s="14"/>
      <c r="E1" s="15"/>
      <c r="F1" s="16" t="s">
        <v>254</v>
      </c>
    </row>
    <row r="2" spans="1:8" ht="18">
      <c r="B2" s="14"/>
      <c r="C2" s="14"/>
      <c r="D2" s="14"/>
      <c r="E2" s="15"/>
      <c r="F2" s="16" t="s">
        <v>0</v>
      </c>
    </row>
    <row r="3" spans="1:8" ht="18">
      <c r="B3" s="14"/>
      <c r="C3" s="14"/>
      <c r="D3" s="14"/>
      <c r="E3" s="16"/>
      <c r="F3" s="16" t="s">
        <v>138</v>
      </c>
    </row>
    <row r="4" spans="1:8" ht="15.5">
      <c r="A4" s="1"/>
      <c r="B4" s="14"/>
      <c r="C4" s="14"/>
      <c r="D4" s="14"/>
      <c r="E4" s="14"/>
      <c r="F4" s="14"/>
    </row>
    <row r="5" spans="1:8" ht="21" customHeight="1">
      <c r="A5" s="794" t="s">
        <v>2</v>
      </c>
      <c r="B5" s="794"/>
      <c r="C5" s="794"/>
      <c r="D5" s="794"/>
      <c r="E5" s="794"/>
      <c r="F5" s="794"/>
    </row>
    <row r="6" spans="1:8" ht="15.5">
      <c r="A6" s="795" t="s">
        <v>267</v>
      </c>
      <c r="B6" s="795"/>
      <c r="C6" s="795"/>
      <c r="D6" s="795"/>
      <c r="E6" s="795"/>
      <c r="F6" s="795"/>
    </row>
    <row r="7" spans="1:8" ht="16.5" thickBot="1">
      <c r="A7" s="796" t="str">
        <f>[1]Status!A6</f>
        <v>As at 24/05/2024</v>
      </c>
      <c r="B7" s="796"/>
      <c r="C7" s="796"/>
      <c r="D7" s="796"/>
      <c r="E7" s="796"/>
      <c r="F7" s="796"/>
    </row>
    <row r="8" spans="1:8" ht="30" customHeight="1" thickBot="1">
      <c r="A8" s="19" t="s">
        <v>59</v>
      </c>
      <c r="B8" s="20" t="s">
        <v>60</v>
      </c>
      <c r="C8" s="20" t="s">
        <v>61</v>
      </c>
      <c r="D8" s="504" t="s">
        <v>62</v>
      </c>
      <c r="E8" s="20" t="s">
        <v>63</v>
      </c>
      <c r="F8" s="21" t="s">
        <v>64</v>
      </c>
    </row>
    <row r="9" spans="1:8">
      <c r="A9" s="436" t="s">
        <v>65</v>
      </c>
      <c r="B9" s="494">
        <v>12992</v>
      </c>
      <c r="C9" s="494">
        <v>15167</v>
      </c>
      <c r="D9" s="495"/>
      <c r="E9" s="495"/>
      <c r="F9" s="493">
        <f t="shared" ref="F9:F57" si="0">B9-C9-D9-E9</f>
        <v>-2175</v>
      </c>
      <c r="G9" s="445"/>
    </row>
    <row r="10" spans="1:8">
      <c r="A10" s="440" t="s">
        <v>124</v>
      </c>
      <c r="B10" s="438">
        <v>5742494</v>
      </c>
      <c r="C10" s="438">
        <v>5151604</v>
      </c>
      <c r="D10" s="438"/>
      <c r="E10" s="438"/>
      <c r="F10" s="444">
        <f t="shared" si="0"/>
        <v>590890</v>
      </c>
      <c r="G10" s="445"/>
    </row>
    <row r="11" spans="1:8">
      <c r="A11" s="440" t="s">
        <v>67</v>
      </c>
      <c r="B11" s="438">
        <v>1759126</v>
      </c>
      <c r="C11" s="438">
        <f>1385134+374000.49</f>
        <v>1759134.49</v>
      </c>
      <c r="D11" s="438">
        <f>362900-362900</f>
        <v>0</v>
      </c>
      <c r="E11" s="438"/>
      <c r="F11" s="444">
        <f t="shared" si="0"/>
        <v>-8.4899999999906868</v>
      </c>
      <c r="G11" s="445" t="s">
        <v>253</v>
      </c>
    </row>
    <row r="12" spans="1:8">
      <c r="A12" s="446" t="s">
        <v>68</v>
      </c>
      <c r="B12" s="438">
        <v>127322.33333333333</v>
      </c>
      <c r="C12" s="438"/>
      <c r="D12" s="438"/>
      <c r="E12" s="438"/>
      <c r="F12" s="444">
        <f t="shared" si="0"/>
        <v>127322.33333333333</v>
      </c>
      <c r="G12" s="445"/>
    </row>
    <row r="13" spans="1:8">
      <c r="A13" s="440" t="s">
        <v>69</v>
      </c>
      <c r="B13" s="438">
        <v>127322.33333333333</v>
      </c>
      <c r="C13" s="438">
        <v>141167</v>
      </c>
      <c r="D13" s="438"/>
      <c r="E13" s="438"/>
      <c r="F13" s="444">
        <f t="shared" si="0"/>
        <v>-13844.666666666672</v>
      </c>
      <c r="G13" s="445"/>
    </row>
    <row r="14" spans="1:8">
      <c r="A14" s="440" t="s">
        <v>70</v>
      </c>
      <c r="B14" s="438">
        <v>2133297.6666666665</v>
      </c>
      <c r="C14" s="438">
        <v>2289945</v>
      </c>
      <c r="D14" s="438"/>
      <c r="E14" s="438"/>
      <c r="F14" s="444">
        <f t="shared" si="0"/>
        <v>-156647.33333333349</v>
      </c>
      <c r="G14" s="445"/>
      <c r="H14" s="421"/>
    </row>
    <row r="15" spans="1:8">
      <c r="A15" s="440" t="s">
        <v>71</v>
      </c>
      <c r="B15" s="438">
        <v>119527</v>
      </c>
      <c r="C15" s="438">
        <v>113333</v>
      </c>
      <c r="D15" s="438"/>
      <c r="E15" s="438"/>
      <c r="F15" s="444">
        <f t="shared" si="0"/>
        <v>6194</v>
      </c>
      <c r="G15" s="445"/>
    </row>
    <row r="16" spans="1:8">
      <c r="A16" s="440" t="s">
        <v>125</v>
      </c>
      <c r="B16" s="438">
        <v>7104062.666666667</v>
      </c>
      <c r="C16" s="438">
        <f>5728716.99+1432179.43</f>
        <v>7160896.4199999999</v>
      </c>
      <c r="D16" s="438"/>
      <c r="E16" s="438"/>
      <c r="F16" s="444">
        <f t="shared" si="0"/>
        <v>-56833.753333332948</v>
      </c>
      <c r="G16" s="445"/>
    </row>
    <row r="17" spans="1:7">
      <c r="A17" s="440" t="s">
        <v>73</v>
      </c>
      <c r="B17" s="438">
        <v>200078</v>
      </c>
      <c r="C17" s="438">
        <v>251292</v>
      </c>
      <c r="D17" s="438"/>
      <c r="E17" s="438"/>
      <c r="F17" s="444">
        <f t="shared" si="0"/>
        <v>-51214</v>
      </c>
      <c r="G17" s="445"/>
    </row>
    <row r="18" spans="1:7">
      <c r="A18" s="440" t="s">
        <v>74</v>
      </c>
      <c r="B18" s="438">
        <v>93543</v>
      </c>
      <c r="C18" s="438">
        <v>111228.02</v>
      </c>
      <c r="D18" s="438"/>
      <c r="E18" s="438"/>
      <c r="F18" s="444">
        <f t="shared" si="0"/>
        <v>-17685.020000000004</v>
      </c>
      <c r="G18" s="445"/>
    </row>
    <row r="19" spans="1:7">
      <c r="A19" s="440" t="s">
        <v>75</v>
      </c>
      <c r="B19" s="438">
        <v>808106.66666666663</v>
      </c>
      <c r="C19" s="438">
        <v>867000</v>
      </c>
      <c r="D19" s="438"/>
      <c r="E19" s="438"/>
      <c r="F19" s="444">
        <f t="shared" si="0"/>
        <v>-58893.333333333372</v>
      </c>
      <c r="G19" s="445"/>
    </row>
    <row r="20" spans="1:7">
      <c r="A20" s="440" t="s">
        <v>76</v>
      </c>
      <c r="B20" s="438">
        <v>1439521</v>
      </c>
      <c r="C20" s="438">
        <v>1505998.5</v>
      </c>
      <c r="D20" s="438"/>
      <c r="E20" s="438"/>
      <c r="F20" s="444">
        <f t="shared" si="0"/>
        <v>-66477.5</v>
      </c>
      <c r="G20" s="445"/>
    </row>
    <row r="21" spans="1:7">
      <c r="A21" s="440" t="s">
        <v>77</v>
      </c>
      <c r="B21" s="438">
        <v>101338</v>
      </c>
      <c r="C21" s="438">
        <v>147378.22</v>
      </c>
      <c r="D21" s="438"/>
      <c r="E21" s="438"/>
      <c r="F21" s="444">
        <f t="shared" si="0"/>
        <v>-46040.22</v>
      </c>
      <c r="G21" s="445"/>
    </row>
    <row r="22" spans="1:7">
      <c r="A22" s="440" t="s">
        <v>78</v>
      </c>
      <c r="B22" s="438">
        <v>1093932</v>
      </c>
      <c r="C22" s="438">
        <v>1179881</v>
      </c>
      <c r="D22" s="438"/>
      <c r="E22" s="438"/>
      <c r="F22" s="444">
        <f t="shared" si="0"/>
        <v>-85949</v>
      </c>
      <c r="G22" s="445"/>
    </row>
    <row r="23" spans="1:7">
      <c r="A23" s="440" t="s">
        <v>126</v>
      </c>
      <c r="B23" s="438">
        <v>11503177</v>
      </c>
      <c r="C23" s="438">
        <f>11861378.27+21199</f>
        <v>11882577.27</v>
      </c>
      <c r="D23" s="438">
        <f>687810-6747+30250-21199</f>
        <v>690114</v>
      </c>
      <c r="E23" s="438"/>
      <c r="F23" s="444">
        <f t="shared" si="0"/>
        <v>-1069514.2699999996</v>
      </c>
      <c r="G23" s="445"/>
    </row>
    <row r="24" spans="1:7">
      <c r="A24" s="440" t="s">
        <v>127</v>
      </c>
      <c r="B24" s="438">
        <v>15824338.666666666</v>
      </c>
      <c r="C24" s="438">
        <v>19576925</v>
      </c>
      <c r="D24" s="438">
        <f>1102511+3214121</f>
        <v>4316632</v>
      </c>
      <c r="E24" s="438"/>
      <c r="F24" s="444">
        <f>B24-C24-D24-E24</f>
        <v>-8069218.333333334</v>
      </c>
      <c r="G24" s="445"/>
    </row>
    <row r="25" spans="1:7">
      <c r="A25" s="440" t="s">
        <v>81</v>
      </c>
      <c r="B25" s="438">
        <v>951019.33333333337</v>
      </c>
      <c r="C25" s="438">
        <v>1218726</v>
      </c>
      <c r="D25" s="438"/>
      <c r="E25" s="438"/>
      <c r="F25" s="444">
        <f t="shared" si="0"/>
        <v>-267706.66666666663</v>
      </c>
      <c r="G25" s="445"/>
    </row>
    <row r="26" spans="1:7">
      <c r="A26" s="440" t="s">
        <v>82</v>
      </c>
      <c r="B26" s="438">
        <v>2598.3333333333335</v>
      </c>
      <c r="C26" s="438">
        <v>2598</v>
      </c>
      <c r="D26" s="438"/>
      <c r="E26" s="438"/>
      <c r="F26" s="444">
        <f t="shared" si="0"/>
        <v>0.33333333333348492</v>
      </c>
      <c r="G26" s="445"/>
    </row>
    <row r="27" spans="1:7">
      <c r="A27" s="440" t="s">
        <v>83</v>
      </c>
      <c r="B27" s="438">
        <v>535273.33333333337</v>
      </c>
      <c r="C27" s="438">
        <v>419794</v>
      </c>
      <c r="D27" s="438"/>
      <c r="E27" s="438"/>
      <c r="F27" s="444">
        <f t="shared" si="0"/>
        <v>115479.33333333337</v>
      </c>
      <c r="G27" s="445"/>
    </row>
    <row r="28" spans="1:7">
      <c r="A28" s="440" t="s">
        <v>84</v>
      </c>
      <c r="B28" s="438">
        <v>72755.666666666672</v>
      </c>
      <c r="C28" s="438"/>
      <c r="D28" s="438"/>
      <c r="E28" s="438"/>
      <c r="F28" s="444">
        <f t="shared" si="0"/>
        <v>72755.666666666672</v>
      </c>
      <c r="G28" s="445"/>
    </row>
    <row r="29" spans="1:7">
      <c r="A29" s="440" t="s">
        <v>128</v>
      </c>
      <c r="B29" s="438">
        <v>964011.33333333337</v>
      </c>
      <c r="C29" s="438">
        <v>866900</v>
      </c>
      <c r="D29" s="438"/>
      <c r="E29" s="438"/>
      <c r="F29" s="444">
        <f t="shared" si="0"/>
        <v>97111.333333333372</v>
      </c>
      <c r="G29" s="445"/>
    </row>
    <row r="30" spans="1:7">
      <c r="A30" s="440" t="s">
        <v>86</v>
      </c>
      <c r="B30" s="438">
        <v>1273222.6666666667</v>
      </c>
      <c r="C30" s="438"/>
      <c r="D30" s="438"/>
      <c r="E30" s="438"/>
      <c r="F30" s="444">
        <f t="shared" si="0"/>
        <v>1273222.6666666667</v>
      </c>
      <c r="G30" s="445"/>
    </row>
    <row r="31" spans="1:7">
      <c r="A31" s="440" t="s">
        <v>87</v>
      </c>
      <c r="B31" s="438">
        <v>8592953.666666666</v>
      </c>
      <c r="C31" s="438">
        <f>9697954.43-264840</f>
        <v>9433114.4299999997</v>
      </c>
      <c r="D31" s="438">
        <v>264840</v>
      </c>
      <c r="E31" s="438"/>
      <c r="F31" s="444">
        <f t="shared" si="0"/>
        <v>-1105000.7633333337</v>
      </c>
      <c r="G31" s="445"/>
    </row>
    <row r="32" spans="1:7">
      <c r="A32" s="440" t="s">
        <v>129</v>
      </c>
      <c r="B32" s="438">
        <v>22252814</v>
      </c>
      <c r="C32" s="438">
        <f>16772130+220216+431796-271200-29832</f>
        <v>17123110</v>
      </c>
      <c r="D32" s="438">
        <f>29832+271200</f>
        <v>301032</v>
      </c>
      <c r="E32" s="438"/>
      <c r="F32" s="444">
        <f t="shared" si="0"/>
        <v>4828672</v>
      </c>
      <c r="G32" s="445"/>
    </row>
    <row r="33" spans="1:7">
      <c r="A33" s="440" t="s">
        <v>89</v>
      </c>
      <c r="B33" s="438">
        <v>462517.66666666669</v>
      </c>
      <c r="C33" s="438">
        <v>100000</v>
      </c>
      <c r="D33" s="438"/>
      <c r="E33" s="438"/>
      <c r="F33" s="444">
        <f t="shared" si="0"/>
        <v>362517.66666666669</v>
      </c>
      <c r="G33" s="445"/>
    </row>
    <row r="34" spans="1:7">
      <c r="A34" s="440" t="s">
        <v>91</v>
      </c>
      <c r="B34" s="438">
        <v>122125.33333333333</v>
      </c>
      <c r="C34" s="438">
        <v>129368</v>
      </c>
      <c r="D34" s="438"/>
      <c r="E34" s="438"/>
      <c r="F34" s="444">
        <f t="shared" si="0"/>
        <v>-7242.6666666666715</v>
      </c>
      <c r="G34" s="445"/>
    </row>
    <row r="35" spans="1:7">
      <c r="A35" s="440" t="s">
        <v>92</v>
      </c>
      <c r="B35" s="438">
        <v>23385.666666666668</v>
      </c>
      <c r="C35" s="438">
        <v>23386</v>
      </c>
      <c r="D35" s="438"/>
      <c r="E35" s="438"/>
      <c r="F35" s="444">
        <f t="shared" si="0"/>
        <v>-0.33333333333212067</v>
      </c>
      <c r="G35" s="445"/>
    </row>
    <row r="36" spans="1:7">
      <c r="A36" s="476" t="s">
        <v>93</v>
      </c>
      <c r="B36" s="438">
        <v>184487.33333333334</v>
      </c>
      <c r="C36" s="438">
        <v>186351</v>
      </c>
      <c r="D36" s="438"/>
      <c r="E36" s="438"/>
      <c r="F36" s="444">
        <f t="shared" si="0"/>
        <v>-1863.666666666657</v>
      </c>
      <c r="G36" s="445"/>
    </row>
    <row r="37" spans="1:7">
      <c r="A37" s="440" t="s">
        <v>94</v>
      </c>
      <c r="B37" s="438">
        <v>174093.66666666666</v>
      </c>
      <c r="C37" s="438">
        <v>165645.35999999999</v>
      </c>
      <c r="D37" s="438"/>
      <c r="E37" s="438"/>
      <c r="F37" s="444">
        <f t="shared" si="0"/>
        <v>8448.3066666666709</v>
      </c>
      <c r="G37" s="445"/>
    </row>
    <row r="38" spans="1:7">
      <c r="A38" s="440" t="s">
        <v>95</v>
      </c>
      <c r="B38" s="438">
        <v>44173</v>
      </c>
      <c r="C38" s="438"/>
      <c r="D38" s="438"/>
      <c r="E38" s="438"/>
      <c r="F38" s="444">
        <f t="shared" si="0"/>
        <v>44173</v>
      </c>
      <c r="G38" s="445"/>
    </row>
    <row r="39" spans="1:7">
      <c r="A39" s="440" t="s">
        <v>96</v>
      </c>
      <c r="B39" s="438">
        <v>28582.666666666668</v>
      </c>
      <c r="C39" s="438">
        <v>28583</v>
      </c>
      <c r="D39" s="438"/>
      <c r="E39" s="438"/>
      <c r="F39" s="444">
        <f t="shared" si="0"/>
        <v>-0.33333333333212067</v>
      </c>
      <c r="G39" s="445"/>
    </row>
    <row r="40" spans="1:7">
      <c r="A40" s="440" t="s">
        <v>97</v>
      </c>
      <c r="B40" s="438">
        <v>3523449</v>
      </c>
      <c r="C40" s="438">
        <v>3734833</v>
      </c>
      <c r="D40" s="438"/>
      <c r="E40" s="438"/>
      <c r="F40" s="444">
        <f t="shared" si="0"/>
        <v>-211384</v>
      </c>
      <c r="G40" s="445"/>
    </row>
    <row r="41" spans="1:7">
      <c r="A41" s="440" t="s">
        <v>98</v>
      </c>
      <c r="B41" s="438">
        <v>756138.33333333337</v>
      </c>
      <c r="C41" s="438">
        <v>599773</v>
      </c>
      <c r="D41" s="438"/>
      <c r="E41" s="438"/>
      <c r="F41" s="444">
        <f t="shared" si="0"/>
        <v>156365.33333333337</v>
      </c>
      <c r="G41" s="445"/>
    </row>
    <row r="42" spans="1:7">
      <c r="A42" s="440" t="s">
        <v>99</v>
      </c>
      <c r="B42" s="438">
        <v>1959204</v>
      </c>
      <c r="C42" s="438">
        <v>1849578</v>
      </c>
      <c r="D42" s="438"/>
      <c r="E42" s="438"/>
      <c r="F42" s="444">
        <f t="shared" si="0"/>
        <v>109626</v>
      </c>
      <c r="G42" s="445"/>
    </row>
    <row r="43" spans="1:7">
      <c r="A43" s="440" t="s">
        <v>101</v>
      </c>
      <c r="B43" s="438">
        <v>2083927.6666666667</v>
      </c>
      <c r="C43" s="438">
        <v>1950498.25</v>
      </c>
      <c r="D43" s="438"/>
      <c r="E43" s="438"/>
      <c r="F43" s="444">
        <f t="shared" si="0"/>
        <v>133429.41666666674</v>
      </c>
      <c r="G43" s="445"/>
    </row>
    <row r="44" spans="1:7">
      <c r="A44" s="440" t="s">
        <v>102</v>
      </c>
      <c r="B44" s="438">
        <v>909444.66666666663</v>
      </c>
      <c r="C44" s="438">
        <v>1013918</v>
      </c>
      <c r="D44" s="438"/>
      <c r="E44" s="438"/>
      <c r="F44" s="444">
        <f t="shared" si="0"/>
        <v>-104473.33333333337</v>
      </c>
      <c r="G44" s="445"/>
    </row>
    <row r="45" spans="1:7">
      <c r="A45" s="440" t="s">
        <v>103</v>
      </c>
      <c r="B45" s="438">
        <v>514486</v>
      </c>
      <c r="C45" s="438">
        <v>443942</v>
      </c>
      <c r="D45" s="438"/>
      <c r="E45" s="438"/>
      <c r="F45" s="444">
        <f t="shared" si="0"/>
        <v>70544</v>
      </c>
      <c r="G45" s="445"/>
    </row>
    <row r="46" spans="1:7">
      <c r="A46" s="440" t="s">
        <v>104</v>
      </c>
      <c r="B46" s="438">
        <v>6249184.666666667</v>
      </c>
      <c r="C46" s="438">
        <v>1500000</v>
      </c>
      <c r="D46" s="438"/>
      <c r="E46" s="438"/>
      <c r="F46" s="444">
        <f t="shared" si="0"/>
        <v>4749184.666666667</v>
      </c>
      <c r="G46" s="445"/>
    </row>
    <row r="47" spans="1:7">
      <c r="A47" s="440" t="s">
        <v>105</v>
      </c>
      <c r="B47" s="438">
        <v>5196.666666666667</v>
      </c>
      <c r="C47" s="438">
        <v>5197</v>
      </c>
      <c r="D47" s="438"/>
      <c r="E47" s="438"/>
      <c r="F47" s="444">
        <f t="shared" si="0"/>
        <v>-0.33333333333303017</v>
      </c>
      <c r="G47" s="445"/>
    </row>
    <row r="48" spans="1:7">
      <c r="A48" s="440" t="s">
        <v>107</v>
      </c>
      <c r="B48" s="438">
        <v>397557.33333333331</v>
      </c>
      <c r="C48" s="438">
        <v>413942</v>
      </c>
      <c r="D48" s="438"/>
      <c r="E48" s="438"/>
      <c r="F48" s="444">
        <f t="shared" si="0"/>
        <v>-16384.666666666686</v>
      </c>
      <c r="G48" s="445"/>
    </row>
    <row r="49" spans="1:11">
      <c r="A49" s="440" t="s">
        <v>108</v>
      </c>
      <c r="B49" s="438">
        <v>197479.33333333334</v>
      </c>
      <c r="C49" s="438">
        <v>217324</v>
      </c>
      <c r="D49" s="438"/>
      <c r="E49" s="438"/>
      <c r="F49" s="444">
        <f t="shared" si="0"/>
        <v>-19844.666666666657</v>
      </c>
      <c r="G49" s="445"/>
    </row>
    <row r="50" spans="1:11">
      <c r="A50" s="440" t="s">
        <v>110</v>
      </c>
      <c r="B50" s="438">
        <v>5576195.666666667</v>
      </c>
      <c r="C50" s="438">
        <v>6321391</v>
      </c>
      <c r="D50" s="438"/>
      <c r="E50" s="438"/>
      <c r="F50" s="444">
        <f t="shared" si="0"/>
        <v>-745195.33333333302</v>
      </c>
      <c r="G50" s="445"/>
    </row>
    <row r="51" spans="1:11">
      <c r="A51" s="440" t="s">
        <v>130</v>
      </c>
      <c r="B51" s="438">
        <v>2354162.6666666665</v>
      </c>
      <c r="C51" s="438">
        <v>2214522</v>
      </c>
      <c r="D51" s="438"/>
      <c r="E51" s="438"/>
      <c r="F51" s="444">
        <f t="shared" si="0"/>
        <v>139640.66666666651</v>
      </c>
      <c r="G51" s="445"/>
    </row>
    <row r="52" spans="1:11">
      <c r="A52" s="440" t="s">
        <v>112</v>
      </c>
      <c r="B52" s="438">
        <v>2990774</v>
      </c>
      <c r="C52" s="438">
        <v>4061965.4</v>
      </c>
      <c r="D52" s="438"/>
      <c r="E52" s="438"/>
      <c r="F52" s="444">
        <f t="shared" si="0"/>
        <v>-1071191.3999999999</v>
      </c>
      <c r="G52" s="445"/>
    </row>
    <row r="53" spans="1:11" ht="18" customHeight="1">
      <c r="A53" s="440" t="s">
        <v>113</v>
      </c>
      <c r="B53" s="438">
        <v>10393.666666666666</v>
      </c>
      <c r="C53" s="438"/>
      <c r="D53" s="438"/>
      <c r="E53" s="438"/>
      <c r="F53" s="444">
        <f t="shared" si="0"/>
        <v>10393.666666666666</v>
      </c>
      <c r="G53" s="445"/>
    </row>
    <row r="54" spans="1:11">
      <c r="A54" s="440" t="s">
        <v>115</v>
      </c>
      <c r="B54" s="438">
        <v>148109.66666666666</v>
      </c>
      <c r="C54" s="438"/>
      <c r="D54" s="438"/>
      <c r="E54" s="438"/>
      <c r="F54" s="444">
        <f t="shared" si="0"/>
        <v>148109.66666666666</v>
      </c>
      <c r="G54" s="445"/>
    </row>
    <row r="55" spans="1:11">
      <c r="A55" s="440" t="s">
        <v>117</v>
      </c>
      <c r="B55" s="438">
        <v>11866955</v>
      </c>
      <c r="C55" s="438">
        <v>10197922</v>
      </c>
      <c r="D55" s="438"/>
      <c r="E55" s="438"/>
      <c r="F55" s="444">
        <f t="shared" si="0"/>
        <v>1669033</v>
      </c>
      <c r="G55" s="445"/>
    </row>
    <row r="56" spans="1:11">
      <c r="A56" s="440" t="s">
        <v>118</v>
      </c>
      <c r="B56" s="438">
        <f>34833333.3333333-134319</f>
        <v>34699014.333333299</v>
      </c>
      <c r="C56" s="438">
        <f>34041030+8326000+479168+31100000-39247184</f>
        <v>34699014</v>
      </c>
      <c r="D56" s="438"/>
      <c r="E56" s="438"/>
      <c r="F56" s="444">
        <f>B56-C56-D56-E56</f>
        <v>0.33333329856395721</v>
      </c>
      <c r="G56" s="445"/>
      <c r="H56" s="421"/>
    </row>
    <row r="57" spans="1:11" ht="15" thickBot="1">
      <c r="A57" s="441" t="s">
        <v>119</v>
      </c>
      <c r="B57" s="464">
        <v>83149.333333333328</v>
      </c>
      <c r="C57" s="464">
        <v>58000</v>
      </c>
      <c r="D57" s="464"/>
      <c r="E57" s="464"/>
      <c r="F57" s="469">
        <f t="shared" si="0"/>
        <v>25149.333333333328</v>
      </c>
      <c r="G57" s="445"/>
    </row>
    <row r="58" spans="1:11" ht="15" thickBot="1">
      <c r="A58" s="443" t="s">
        <v>122</v>
      </c>
      <c r="B58" s="477">
        <f>SUM(B9:B57)</f>
        <v>158199014.00000003</v>
      </c>
      <c r="C58" s="477">
        <f>SUM(C9:C57)</f>
        <v>151132922.36000001</v>
      </c>
      <c r="D58" s="477">
        <f>SUM(D9:D57)</f>
        <v>5572618</v>
      </c>
      <c r="E58" s="477">
        <f>SUM(E9:E57)</f>
        <v>0</v>
      </c>
      <c r="F58" s="478">
        <f>SUM(F9:F57)</f>
        <v>1493473.6399999692</v>
      </c>
      <c r="G58" s="445"/>
      <c r="I58" s="116"/>
    </row>
    <row r="59" spans="1:11" ht="15" thickBot="1">
      <c r="A59" s="468" t="s">
        <v>131</v>
      </c>
      <c r="B59" s="454">
        <v>134319</v>
      </c>
      <c r="C59" s="454"/>
      <c r="D59" s="454"/>
      <c r="E59" s="454"/>
      <c r="F59" s="444">
        <f>B59-C59-D59-E59</f>
        <v>134319</v>
      </c>
      <c r="G59" s="445"/>
      <c r="K59" s="116"/>
    </row>
    <row r="60" spans="1:11" ht="15" thickBot="1">
      <c r="A60" s="452" t="s">
        <v>132</v>
      </c>
      <c r="B60" s="470">
        <f>B58+B59</f>
        <v>158333333.00000003</v>
      </c>
      <c r="C60" s="470">
        <f t="shared" ref="C60:F60" si="1">C58+C59</f>
        <v>151132922.36000001</v>
      </c>
      <c r="D60" s="470">
        <f t="shared" si="1"/>
        <v>5572618</v>
      </c>
      <c r="E60" s="470">
        <f t="shared" si="1"/>
        <v>0</v>
      </c>
      <c r="F60" s="471">
        <f t="shared" si="1"/>
        <v>1627792.6399999692</v>
      </c>
      <c r="G60" s="445"/>
      <c r="I60" s="116"/>
    </row>
    <row r="61" spans="1:11">
      <c r="A61" s="475" t="s">
        <v>249</v>
      </c>
      <c r="B61" s="454"/>
      <c r="C61" s="454"/>
      <c r="D61" s="454"/>
      <c r="E61" s="454"/>
      <c r="F61" s="454"/>
      <c r="G61" s="445"/>
    </row>
    <row r="62" spans="1:11" ht="15" thickBot="1">
      <c r="A62" s="475"/>
      <c r="B62" s="454"/>
      <c r="C62" s="454"/>
      <c r="D62" s="454"/>
      <c r="E62" s="454"/>
      <c r="F62" s="454"/>
      <c r="G62" s="445"/>
    </row>
    <row r="63" spans="1:11" ht="15" thickBot="1">
      <c r="A63" s="479" t="s">
        <v>133</v>
      </c>
      <c r="B63" s="480">
        <f>B12+B13+B15+B19+B21+B27+B33+B36+B43+B46+B48+B49+B53+B54+B57</f>
        <v>11635696.333333334</v>
      </c>
      <c r="C63" s="480">
        <f>C12+C13+C15+C19+C21+C27+C33+C36+C43+C46+C48+C49+C53+C54+C57</f>
        <v>6114787.4699999997</v>
      </c>
      <c r="D63" s="480">
        <f>D12+D13+D15+D19+D21+D26+D34+D36+D43+D46+D48+D49+D53+D54+D57</f>
        <v>0</v>
      </c>
      <c r="E63" s="480">
        <f>E12+E13+E15+E19+E21+E26+E34+E36+E43+E46+E48+E49+E53+E54+E57</f>
        <v>0</v>
      </c>
      <c r="F63" s="481">
        <f>B63-C63-D63-E63</f>
        <v>5520908.8633333342</v>
      </c>
      <c r="G63" s="445"/>
      <c r="H63" s="52"/>
      <c r="J63" s="432"/>
      <c r="K63" s="116"/>
    </row>
    <row r="64" spans="1:11">
      <c r="A64" s="445"/>
      <c r="B64" s="445"/>
      <c r="C64" s="445"/>
      <c r="D64" s="445"/>
      <c r="E64" s="445"/>
      <c r="F64" s="445"/>
      <c r="G64" s="445"/>
    </row>
    <row r="65" spans="1:7">
      <c r="A65" s="445"/>
      <c r="B65" s="445"/>
      <c r="C65" s="445"/>
      <c r="D65" s="445"/>
      <c r="E65" s="445"/>
      <c r="F65" s="445"/>
      <c r="G65" s="445"/>
    </row>
    <row r="66" spans="1:7">
      <c r="A66" s="445"/>
      <c r="B66" s="445"/>
      <c r="C66" s="445"/>
      <c r="D66" s="445"/>
      <c r="E66" s="445"/>
      <c r="F66" s="445"/>
      <c r="G66" s="445"/>
    </row>
  </sheetData>
  <autoFilter ref="A8:F61" xr:uid="{78454DB4-FAA8-493C-870C-BE2432457240}"/>
  <mergeCells count="4">
    <mergeCell ref="A1:B1"/>
    <mergeCell ref="A5:F5"/>
    <mergeCell ref="A6:F6"/>
    <mergeCell ref="A7:F7"/>
  </mergeCells>
  <printOptions horizontalCentered="1"/>
  <pageMargins left="0.118110236220472" right="0.118110236220472" top="0.27559055118110198" bottom="0.196850393700787" header="0.27559055118110198" footer="0.118110236220472"/>
  <pageSetup scale="77"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60F8E60516143877F7AC30EFBB2F3" ma:contentTypeVersion="24" ma:contentTypeDescription="Create a new document." ma:contentTypeScope="" ma:versionID="d03b4f8a530825ba29232d5f849ff460">
  <xsd:schema xmlns:xsd="http://www.w3.org/2001/XMLSchema" xmlns:xs="http://www.w3.org/2001/XMLSchema" xmlns:p="http://schemas.microsoft.com/office/2006/metadata/properties" xmlns:ns2="b93c647f-d63b-431a-95c8-8e00048cff23" xmlns:ns3="eb6c2e4c-3f1c-4103-a37b-37c984dbe58f" targetNamespace="http://schemas.microsoft.com/office/2006/metadata/properties" ma:root="true" ma:fieldsID="9ca01a62ae7a69adec5dae91df9e03ee" ns2:_="" ns3:_="">
    <xsd:import namespace="b93c647f-d63b-431a-95c8-8e00048cff23"/>
    <xsd:import namespace="eb6c2e4c-3f1c-4103-a37b-37c984dbe5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Location" minOccurs="0"/>
                <xsd:element ref="ns3:SharedWithUsers" minOccurs="0"/>
                <xsd:element ref="ns3:SharedWithDetails" minOccurs="0"/>
                <xsd:element ref="ns3:TaxCatchAll" minOccurs="0"/>
                <xsd:element ref="ns2:lcf76f155ced4ddcb4097134ff3c332f"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3c647f-d63b-431a-95c8-8e00048cff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6c2e4c-3f1c-4103-a37b-37c984dbe58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5e02fd8-4a4b-4660-97b2-d99d7ad029f8}" ma:internalName="TaxCatchAll" ma:showField="CatchAllData" ma:web="eb6c2e4c-3f1c-4103-a37b-37c984dbe5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b6c2e4c-3f1c-4103-a37b-37c984dbe58f" xsi:nil="true"/>
    <lcf76f155ced4ddcb4097134ff3c332f xmlns="b93c647f-d63b-431a-95c8-8e00048cff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2AE339E-9CEC-47EB-8483-514C4A077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3c647f-d63b-431a-95c8-8e00048cff23"/>
    <ds:schemaRef ds:uri="eb6c2e4c-3f1c-4103-a37b-37c984dbe5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67F408-8666-4932-88CD-A6A528E0BE11}">
  <ds:schemaRefs>
    <ds:schemaRef ds:uri="http://schemas.microsoft.com/sharepoint/v3/contenttype/forms"/>
  </ds:schemaRefs>
</ds:datastoreItem>
</file>

<file path=customXml/itemProps3.xml><?xml version="1.0" encoding="utf-8"?>
<ds:datastoreItem xmlns:ds="http://schemas.openxmlformats.org/officeDocument/2006/customXml" ds:itemID="{0F97F671-0268-4B80-BC7E-949AD4DFF70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http://www.w3.org/XML/1998/namespace"/>
    <ds:schemaRef ds:uri="eb6c2e4c-3f1c-4103-a37b-37c984dbe58f"/>
    <ds:schemaRef ds:uri="b93c647f-d63b-431a-95c8-8e00048cff2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13</vt:i4>
      </vt:variant>
    </vt:vector>
  </HeadingPairs>
  <TitlesOfParts>
    <vt:vector size="62" baseType="lpstr">
      <vt:lpstr>Status of the Fund</vt:lpstr>
      <vt:lpstr>Statistics</vt:lpstr>
      <vt:lpstr>Summary Status of Contributions</vt:lpstr>
      <vt:lpstr>2024-26 Contributions</vt:lpstr>
      <vt:lpstr>YR2024</vt:lpstr>
      <vt:lpstr>YR2021_23</vt:lpstr>
      <vt:lpstr>YR2023</vt:lpstr>
      <vt:lpstr>YR2022</vt:lpstr>
      <vt:lpstr>YR2021</vt:lpstr>
      <vt:lpstr>YR2018_20</vt:lpstr>
      <vt:lpstr>YR2020</vt:lpstr>
      <vt:lpstr>YR2019</vt:lpstr>
      <vt:lpstr>YR2018</vt:lpstr>
      <vt:lpstr>YR2015_17</vt:lpstr>
      <vt:lpstr>YR2017</vt:lpstr>
      <vt:lpstr>YR2016</vt:lpstr>
      <vt:lpstr>YR2015</vt:lpstr>
      <vt:lpstr>YR2012_14</vt:lpstr>
      <vt:lpstr>YR2014</vt:lpstr>
      <vt:lpstr>YR2013</vt:lpstr>
      <vt:lpstr>YR2012</vt:lpstr>
      <vt:lpstr>YR2009_11</vt:lpstr>
      <vt:lpstr>YR2011</vt:lpstr>
      <vt:lpstr>YR2010</vt:lpstr>
      <vt:lpstr>YR2009</vt:lpstr>
      <vt:lpstr>YR2006_08</vt:lpstr>
      <vt:lpstr>YR2008</vt:lpstr>
      <vt:lpstr>YR2007</vt:lpstr>
      <vt:lpstr>YR2006</vt:lpstr>
      <vt:lpstr>YR2003_05</vt:lpstr>
      <vt:lpstr>YR2005</vt:lpstr>
      <vt:lpstr>YR2004</vt:lpstr>
      <vt:lpstr>YR2003</vt:lpstr>
      <vt:lpstr>YR2000_02</vt:lpstr>
      <vt:lpstr>YR2002</vt:lpstr>
      <vt:lpstr>YR2001</vt:lpstr>
      <vt:lpstr>YR2000</vt:lpstr>
      <vt:lpstr>YR1997_99</vt:lpstr>
      <vt:lpstr>YR1999</vt:lpstr>
      <vt:lpstr>YR1998</vt:lpstr>
      <vt:lpstr>YR1997</vt:lpstr>
      <vt:lpstr>YR1994_96</vt:lpstr>
      <vt:lpstr>YR1996</vt:lpstr>
      <vt:lpstr>YR1995</vt:lpstr>
      <vt:lpstr>YR1994</vt:lpstr>
      <vt:lpstr>YR1991_93</vt:lpstr>
      <vt:lpstr>YR1993</vt:lpstr>
      <vt:lpstr>YR1992</vt:lpstr>
      <vt:lpstr>YR1991</vt:lpstr>
      <vt:lpstr>'2024-26 Contributions'!Print_Area</vt:lpstr>
      <vt:lpstr>Statistics!Print_Area</vt:lpstr>
      <vt:lpstr>'Status of the Fund'!Print_Area</vt:lpstr>
      <vt:lpstr>'Summary Status of Contributions'!Print_Area</vt:lpstr>
      <vt:lpstr>'YR2017'!Print_Area</vt:lpstr>
      <vt:lpstr>'YR2021'!Print_Area</vt:lpstr>
      <vt:lpstr>YR2021_23!Print_Area</vt:lpstr>
      <vt:lpstr>'YR2022'!Print_Area</vt:lpstr>
      <vt:lpstr>'YR2023'!Print_Area</vt:lpstr>
      <vt:lpstr>'YR2024'!Print_Area</vt:lpstr>
      <vt:lpstr>'YR2022'!Print_Titles</vt:lpstr>
      <vt:lpstr>'YR2023'!Print_Titles</vt:lpstr>
      <vt:lpstr>'YR2024'!Print_Titles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Girma Gina</dc:creator>
  <cp:lastModifiedBy>Owen Timothy Miller</cp:lastModifiedBy>
  <cp:lastPrinted>2024-10-07T19:23:11Z</cp:lastPrinted>
  <dcterms:created xsi:type="dcterms:W3CDTF">2021-04-06T08:18:36Z</dcterms:created>
  <dcterms:modified xsi:type="dcterms:W3CDTF">2024-10-07T19:24:45Z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0x010100C5F60F8E60516143877F7AC30EFBB2F3</vt:lpwstr>
  </property>
  <property fmtid="{D5CDD505-2E9C-101B-9397-08002B2CF9AE}" pid="3" name="MediaServiceImageTags">
    <vt:lpwstr/>
  </property>
</Properties>
</file>